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8_{F73C1154-A32F-4F24-BA11-3B308029B604}" xr6:coauthVersionLast="34" xr6:coauthVersionMax="34" xr10:uidLastSave="{00000000-0000-0000-0000-000000000000}"/>
  <bookViews>
    <workbookView xWindow="0" yWindow="0" windowWidth="990" windowHeight="480" activeTab="1" xr2:uid="{2E80CA58-8610-40E9-A54D-09997D7EA2F4}"/>
  </bookViews>
  <sheets>
    <sheet name="Settings" sheetId="3" r:id="rId1"/>
    <sheet name="Staff Detail" sheetId="1" r:id="rId2"/>
    <sheet name="LaborOLD" sheetId="17" state="veryHidden" r:id="rId3"/>
    <sheet name="Labor Gantt" sheetId="26" r:id="rId4"/>
    <sheet name="Non-Staff Labor" sheetId="27" r:id="rId5"/>
    <sheet name="Rate Tables" sheetId="28" r:id="rId6"/>
    <sheet name="GCs Detail" sheetId="23" r:id="rId7"/>
    <sheet name="GRs Detail" sheetId="24" r:id="rId8"/>
    <sheet name="GCs Owner" sheetId="20" r:id="rId9"/>
    <sheet name="GRs Owner" sheetId="19" r:id="rId10"/>
    <sheet name="Bin" sheetId="21" state="veryHidden" r:id="rId11"/>
    <sheet name="Errors" sheetId="11" r:id="rId12"/>
    <sheet name="Code" sheetId="10" r:id="rId13"/>
    <sheet name="CostCodes" sheetId="25" r:id="rId14"/>
    <sheet name="splash" sheetId="22" state="hidden" r:id="rId15"/>
  </sheets>
  <externalReferences>
    <externalReference r:id="rId16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Detail'!$E$90:$J$94</definedName>
    <definedName name="\\\temp" localSheetId="7">'GRs Detail'!$E$10:$J$11,'GRs Detail'!#REF!,'GRs Detail'!$E$18:$J$21,'GRs Detail'!$E$24:$J$26,'GRs Detail'!$E$29:$J$34,'GRs Detail'!$E$37:$J$47,'GRs Detail'!$E$50:$J$50,'GRs Detail'!$E$54:$J$54,'GRs Detail'!$E$64:$J$64,'GRs Detail'!$E$67:$J$83,'GRs Detail'!$E$86:$J$94,'GRs Detail'!$E$108:$J$109</definedName>
    <definedName name="\\\temp2" localSheetId="6">'GCs Detail'!#REF!,'GCs Detail'!#REF!,'GCs Detail'!#REF!,'GCs Detail'!#REF!,'GCs Detail'!#REF!,'GCs Detail'!#REF!,'GCs Detail'!#REF!,'GCs Detail'!#REF!,'GCs Detail'!#REF!,'GCs Detail'!#REF!,'GCs Detail'!#REF!</definedName>
    <definedName name="\\\temp2" localSheetId="7">'GRs Detail'!$E$68,'GRs Detail'!$E$67,'GRs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1">'Staff Detail'!$E$1</definedName>
    <definedName name="\body" localSheetId="8">'GCs Owner'!$D$16:$M$103</definedName>
    <definedName name="\body" localSheetId="9">'GRs Owner'!$D$10:$M$193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1">'Staff Detail'!$AJ$1</definedName>
    <definedName name="\c_durSTART" localSheetId="1">'Staff Detail'!$S$1</definedName>
    <definedName name="\c_editStart" localSheetId="2">LaborOLD!$Q$1</definedName>
    <definedName name="\c_editStart" localSheetId="4">'Non-Staff Labor'!$O$1</definedName>
    <definedName name="\c_endcol" localSheetId="3">'Labor Gantt'!$CF$7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Gantt'!$CH$1</definedName>
    <definedName name="\c_jobDur" localSheetId="1">'Staff Detail'!$H$1</definedName>
    <definedName name="\c_jobStart" localSheetId="1">'Staff Detail'!$G$1</definedName>
    <definedName name="\c_merge" localSheetId="2">LaborOLD!$B$1</definedName>
    <definedName name="\c_merge" localSheetId="4">'Non-Staff Labor'!$C$1</definedName>
    <definedName name="\c_monthDETAIL" localSheetId="1">'Staff Detail'!$M$1:$AJ$1</definedName>
    <definedName name="\c_name" localSheetId="8">'GCs Owner'!$F$1</definedName>
    <definedName name="\c_negStart" localSheetId="1">'Staff Detail'!$M$1</definedName>
    <definedName name="\c_negTemp" localSheetId="1">'Staff Detail'!$BG$1</definedName>
    <definedName name="\c_order" localSheetId="1">'Staff Detail'!$AN$1</definedName>
    <definedName name="\c_perTIME" localSheetId="1">'Staff Detail'!$K$1</definedName>
    <definedName name="\c_posEnd" localSheetId="1">'Staff Detail'!$J$1</definedName>
    <definedName name="\c_Position" localSheetId="1">'Staff Detail'!$B$1</definedName>
    <definedName name="\c_posName" localSheetId="1">'Staff Detail'!$C$1</definedName>
    <definedName name="\c_posStart" localSheetId="1">'Staff Detail'!$I$1</definedName>
    <definedName name="\c_posTemp" localSheetId="1">'Staff Detail'!$BH$1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1">'Staff Detail'!$AN$1:$AY$1</definedName>
    <definedName name="\c_rateEnd" localSheetId="1">'Staff Detail'!$AY$1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2">LaborOLD!$AC$1</definedName>
    <definedName name="\c_schedEnd" localSheetId="4">'Non-Staff Labor'!$X$1</definedName>
    <definedName name="\c_schedStart" localSheetId="2">LaborOLD!$C$1</definedName>
    <definedName name="\c_schedStart" localSheetId="4">'Non-Staff Labor'!$D$1</definedName>
    <definedName name="\c_SchedTemp" localSheetId="2">LaborOLD!$AO$1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Detail'!$C$106:$D$106</definedName>
    <definedName name="\carryFORMAT" localSheetId="7">'GRs Detail'!$C$209:$D$209</definedName>
    <definedName name="\cend" localSheetId="0">Settings!$K$5</definedName>
    <definedName name="\cend" localSheetId="1">'Staff Detail'!$C$8</definedName>
    <definedName name="\chartRan" localSheetId="1">'Staff Detail'!$S$31:$S$47</definedName>
    <definedName name="\colSTART" localSheetId="3">'Labor Gantt'!$I$7</definedName>
    <definedName name="\conlabor" localSheetId="4">'[1]Staff Detail'!$AK$38</definedName>
    <definedName name="\conlabor">'Staff Detail'!$AL$18</definedName>
    <definedName name="\conLIT" localSheetId="0">Settings!$H$10</definedName>
    <definedName name="\conLIT" localSheetId="1">'Staff Detail'!$K$6</definedName>
    <definedName name="\conRaise" localSheetId="0">Settings!$H$12</definedName>
    <definedName name="\conRaise" localSheetId="1">'Staff Detail'!$K$8</definedName>
    <definedName name="\contotal" localSheetId="0">Settings!$K$14</definedName>
    <definedName name="\cstart" localSheetId="0">Settings!$K$4</definedName>
    <definedName name="\cstart" localSheetId="1">'Staff Detail'!$C$7</definedName>
    <definedName name="\date" localSheetId="0">Settings!$D$11</definedName>
    <definedName name="\date" localSheetId="1">'Staff Detail'!$E$3</definedName>
    <definedName name="\defaultbody" localSheetId="8">'GCs Owner'!#REF!</definedName>
    <definedName name="\defaultFORMAT" localSheetId="6">'GCs Detail'!$C$108:$D$108</definedName>
    <definedName name="\defaultFORMAT" localSheetId="7">'GRs Detail'!$C$211:$D$211</definedName>
    <definedName name="\doc" localSheetId="8">'GCs Owner'!$D$4:$M$105</definedName>
    <definedName name="\doc" localSheetId="9">'GRs Owner'!$D$4:$M$195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1">'Staff Detail'!$E$7</definedName>
    <definedName name="\errors" localSheetId="11">Errors!$A$2</definedName>
    <definedName name="\firewatch" localSheetId="5">'Rate Tables'!$F$50:$Y$50</definedName>
    <definedName name="\foot" localSheetId="8">'GCs Owner'!$D$103:$M$105</definedName>
    <definedName name="\foot" localSheetId="9">'GRs Owner'!$D$193:$M$195</definedName>
    <definedName name="\gas" localSheetId="0">Settings!$H$16</definedName>
    <definedName name="\gas" localSheetId="1">'Staff Detail'!$H$7</definedName>
    <definedName name="\gcontotal" localSheetId="0">Settings!$K$15</definedName>
    <definedName name="\gctotal" localSheetId="4">'[1]GCs Owner'!$L$135</definedName>
    <definedName name="\gctotal">'GCs Owner'!$L$104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>'GRs Owner'!$L$194</definedName>
    <definedName name="\h_trailers" localSheetId="6">Code!$T$2:$V$2</definedName>
    <definedName name="\h_trailers" localSheetId="7">Code!$T$2:$V$2</definedName>
    <definedName name="\h_trailers" localSheetId="2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bl" localSheetId="12">Code!$X$16:$X$25</definedName>
    <definedName name="\info" localSheetId="6">'GCs Detail'!$E$2:$K$6</definedName>
    <definedName name="\info" localSheetId="7">'GRs Detail'!$E$2:$K$6</definedName>
    <definedName name="\info" localSheetId="1">'Staff Detail'!$B$2:$M$9</definedName>
    <definedName name="\iphone" localSheetId="0">Settings!$H$15</definedName>
    <definedName name="\iphone" localSheetId="1">'Staff Detail'!$H$6</definedName>
    <definedName name="\IT" localSheetId="0">Settings!$H$14</definedName>
    <definedName name="\IT" localSheetId="1">'Staff Detail'!$H$5</definedName>
    <definedName name="\jdEnd" localSheetId="1">'Staff Detail'!$H$20</definedName>
    <definedName name="\jobEnd" localSheetId="1">'Staff Detail'!$G$20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1">'Staff Detail'!$B$3</definedName>
    <definedName name="\mark" localSheetId="12">Code!$A$2</definedName>
    <definedName name="\negMax" localSheetId="1">'Staff Detail'!$BE$1</definedName>
    <definedName name="\negMin" localSheetId="1">'Staff Detail'!$BF$1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1">'Staff Detail'!$E$5</definedName>
    <definedName name="\pend" localSheetId="0">Settings!$H$5</definedName>
    <definedName name="\pend" localSheetId="1">'Staff Detail'!$C$6</definedName>
    <definedName name="\perEND" localSheetId="1">'Staff Detail'!$K$20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>'Staff Detail'!$AL$14</definedName>
    <definedName name="\preLIT" localSheetId="0">Settings!$H$9</definedName>
    <definedName name="\preLIT" localSheetId="1">'Staff Detail'!$K$5</definedName>
    <definedName name="\preRaise" localSheetId="0">Settings!$H$11</definedName>
    <definedName name="\preRaise" localSheetId="1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1">'Staff Detail'!$B$2</definedName>
    <definedName name="\pstart" localSheetId="0">Settings!$H$4</definedName>
    <definedName name="\pstart" localSheetId="1">'Staff Detail'!$C$5</definedName>
    <definedName name="\pwdur" localSheetId="0">Settings!$H$7</definedName>
    <definedName name="\pwdur" localSheetId="1">'Staff Detail'!$E$6</definedName>
    <definedName name="\r_addphase" localSheetId="3">'Labor Gantt'!$A$8</definedName>
    <definedName name="\r_admin" localSheetId="6">'GCs Detail'!$A$100:$A$110</definedName>
    <definedName name="\r_admin" localSheetId="7">'GRs Detail'!$A$203:$A$213</definedName>
    <definedName name="\r_adminEND" localSheetId="6">'GCs Detail'!$A$99</definedName>
    <definedName name="\r_adminEND" localSheetId="8">'GCs Owner'!$A$112</definedName>
    <definedName name="\r_adminEND" localSheetId="7">'GRs Detail'!$A$202</definedName>
    <definedName name="\r_adminEND" localSheetId="9">'GRs Owner'!$A$202</definedName>
    <definedName name="\r_almostEnd" localSheetId="1">'Staff Detail'!$A$18</definedName>
    <definedName name="\r_bin" localSheetId="8">'GCs Owner'!$A$116:$A$124</definedName>
    <definedName name="\r_bin" localSheetId="9">'GRs Owner'!$A$206:$A$207</definedName>
    <definedName name="\r_blank" localSheetId="8">'GCs Owner'!$A$115</definedName>
    <definedName name="\r_blank" localSheetId="9">'GRs Owner'!$A$205</definedName>
    <definedName name="\r_carry" localSheetId="2">LaborOLD!$A$14</definedName>
    <definedName name="\r_carry" localSheetId="4">'Non-Staff Labor'!#REF!</definedName>
    <definedName name="\r_constr" localSheetId="1">'Staff Detail'!$A$15</definedName>
    <definedName name="\r_dates" localSheetId="3">'Labor Gantt'!$A$1</definedName>
    <definedName name="\r_defaultEnd" localSheetId="8">'GCs Owner'!$A$130</definedName>
    <definedName name="\r_defaultEnd" localSheetId="9">'GRs Owner'!$A$214</definedName>
    <definedName name="\r_defaultStart" localSheetId="8">'GCs Owner'!$A$129</definedName>
    <definedName name="\r_defaultStart" localSheetId="9">'GRs Owner'!$A$213</definedName>
    <definedName name="\r_dend" localSheetId="8">'GCs Owner'!$A$103</definedName>
    <definedName name="\r_dend" localSheetId="9">'GRs Owner'!$A$193</definedName>
    <definedName name="\r_dstart" localSheetId="8">'GCs Owner'!$A$16</definedName>
    <definedName name="\r_dstart" localSheetId="9">'GRs Owner'!$A$10</definedName>
    <definedName name="\r_end" localSheetId="6">'GCs Detail'!$A$96</definedName>
    <definedName name="\r_end" localSheetId="7">'GRs Detail'!$A$199</definedName>
    <definedName name="\r_end" localSheetId="2">LaborOLD!$A$20</definedName>
    <definedName name="\r_end" localSheetId="4">'Non-Staff Labor'!#REF!</definedName>
    <definedName name="\r_end" localSheetId="1">'Staff Detail'!$A$19</definedName>
    <definedName name="\r_gbottom" localSheetId="3">'Labor Gantt'!$A$14</definedName>
    <definedName name="\r_header" localSheetId="2">LaborOLD!$A$12</definedName>
    <definedName name="\r_header" localSheetId="4">'Non-Staff Labor'!$B$12</definedName>
    <definedName name="\r_heading" localSheetId="8">'GCs Owner'!$A$114</definedName>
    <definedName name="\r_heading" localSheetId="9">'GRs Owner'!$A$204</definedName>
    <definedName name="\r_insertSched" localSheetId="7">'GRs Detail'!$A$197</definedName>
    <definedName name="\r_lineitem" localSheetId="8">'GCs Owner'!$A$113</definedName>
    <definedName name="\r_lineitem" localSheetId="9">'GRs Owner'!$A$203</definedName>
    <definedName name="\r_lineitem" localSheetId="3">'Labor Gantt'!$A$32</definedName>
    <definedName name="\r_phase" localSheetId="1">'Staff Detail'!$A$38</definedName>
    <definedName name="\r_phaseitem" localSheetId="8">'GCs Owner'!$A$127</definedName>
    <definedName name="\r_phaseitem" localSheetId="3">'Labor Gantt'!$A$33</definedName>
    <definedName name="\r_phasephase" localSheetId="3">'Labor Gantt'!$A$34</definedName>
    <definedName name="\r_precon" localSheetId="1">'Staff Detail'!$A$13</definedName>
    <definedName name="\r_schedItem" localSheetId="7">'GRs Detail'!$A$221</definedName>
    <definedName name="\r_schedStart" localSheetId="7">'GRs Detail'!$A$190</definedName>
    <definedName name="\r_SchedTemp" localSheetId="2">LaborOLD!$A$24</definedName>
    <definedName name="\r_SchedTemp" localSheetId="4">'Non-Staff Labor'!$B$94</definedName>
    <definedName name="\r_settings" localSheetId="6">'GCs Detail'!$A$4:$A$7,'GCs Detail'!$A$97,'GCs Detail'!$A$98</definedName>
    <definedName name="\r_settings" localSheetId="8">'GCs Owner'!$A$106:$A$111,'GCs Owner'!$A$1:$A$3</definedName>
    <definedName name="\r_settings" localSheetId="7">'GRs Detail'!$A$4:$A$7,'GRs Detail'!$A$200,'GRs Detail'!$A$201</definedName>
    <definedName name="\r_settings" localSheetId="9">'GRs Owner'!$A$196:$A$201,'GRs Owner'!$A$1:$A$3</definedName>
    <definedName name="\r_settings" localSheetId="1">'Staff Detail'!$A$4:$A$9</definedName>
    <definedName name="\r_start" localSheetId="6">'GCs Detail'!$A$8</definedName>
    <definedName name="\r_start" localSheetId="7">'GRs Detail'!$A$8</definedName>
    <definedName name="\r_start" localSheetId="2">LaborOLD!$A$13</definedName>
    <definedName name="\r_start" localSheetId="4">'Non-Staff Labor'!$A$88</definedName>
    <definedName name="\r_start" localSheetId="1">'Staff Detail'!$A$12</definedName>
    <definedName name="\r_tempCON" localSheetId="1">'Staff Detail'!$A$30</definedName>
    <definedName name="\r_tempEST" localSheetId="1">'Staff Detail'!$A$34</definedName>
    <definedName name="\r_tempPhase" localSheetId="1">'Staff Detail'!$A$32</definedName>
    <definedName name="\r_tempPRECON" localSheetId="1">'Staff Detail'!$A$28</definedName>
    <definedName name="\r_temptrailer" localSheetId="6">'GCs Detail'!$A$118:$A$126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Owner'!$A$108</definedName>
    <definedName name="\r_xfer" localSheetId="9">'GRs Owner'!$A$198</definedName>
    <definedName name="\rank" localSheetId="12">Code!$C$2</definedName>
    <definedName name="\rank" localSheetId="1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1">'Staff Detail'!$D$1</definedName>
    <definedName name="\schedDur" localSheetId="2">LaborOLD!$L$17</definedName>
    <definedName name="\schedDur" localSheetId="4">'Non-Staff Labor'!#REF!</definedName>
    <definedName name="\schedItem" localSheetId="2">LaborOLD!$E$17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2">Code!$P$3:$Q$8</definedName>
    <definedName name="\t_commBIM" localSheetId="4">[1]Code!$P$3:$Q$8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2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2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2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2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2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2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2">Settings!$O$4:$P$6</definedName>
    <definedName name="\table_VACA" localSheetId="4">[1]Settings!$O$4:$P$6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2">Settings!$P$7</definedName>
    <definedName name="\VACAhrs" localSheetId="4">[1]Settings!$P$7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1">'Staff Detail'!$E$8</definedName>
    <definedName name="\workregion" localSheetId="12">Code!$S$34:$AB$34</definedName>
    <definedName name="\xfer" localSheetId="8">'GCs Owner'!$D$108:$M$109</definedName>
    <definedName name="\xfer" localSheetId="9">'GRs Owner'!$D$198:$M$199</definedName>
    <definedName name="_Order1" hidden="1">255</definedName>
    <definedName name="_Order2" hidden="1">255</definedName>
    <definedName name="formHEADER" localSheetId="6">'Staff Detail'!$AK$13:$AV$13,'Staff Detail'!#REF!,'Staff Detail'!#REF!,'Staff Detail'!#REF!,'Staff Detail'!$B$13:$L$13,'Staff Detail'!#REF!</definedName>
    <definedName name="formHEADER" localSheetId="7">'Staff Detail'!$AK$13:$AV$13,'Staff Detail'!#REF!,'Staff Detail'!#REF!,'Staff Detail'!#REF!,'Staff Detail'!$B$13:$L$13,'Staff Detail'!#REF!</definedName>
    <definedName name="formHEADER" localSheetId="2">'Staff Detail'!$AM$13:$AY$13,'Staff Detail'!#REF!,'Staff Detail'!$S$13:$S$13,'Staff Detail'!#REF!,'Staff Detail'!$B$13:$K$13,'Staff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>'Staff Detail'!$AM$13:$AY$13,'Staff Detail'!$AM$15:$AY$15,'Staff Detail'!$S$13:$S$13,'Staff Detail'!$S$15:$S$15,'Staff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2">Settings!$F$22:$F$31</definedName>
    <definedName name="regions" localSheetId="4">[1]Settings!$F$22:$F$31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2">Settings!$D$22:$D$39</definedName>
    <definedName name="sectors" localSheetId="4">[1]Settings!$D$22:$D$39</definedName>
    <definedName name="sectors">Settings!$D$22:$D$39</definedName>
    <definedName name="staff" localSheetId="6">'Staff Detail'!$AY$12</definedName>
    <definedName name="staff" localSheetId="7">'Staff Detail'!$AY$12</definedName>
    <definedName name="staff" localSheetId="2">'Staff Detail'!$BC$12</definedName>
    <definedName name="staff" localSheetId="4">'[1]Staff Detail'!$BB$12</definedName>
    <definedName name="staff">'Staff Detail'!$BC$12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4" i="27" l="1"/>
  <c r="W87" i="27"/>
  <c r="W86" i="27"/>
  <c r="W85" i="27"/>
  <c r="W84" i="27"/>
  <c r="W83" i="27"/>
  <c r="W82" i="27"/>
  <c r="W81" i="27"/>
  <c r="W80" i="27"/>
  <c r="W79" i="27"/>
  <c r="W78" i="27"/>
  <c r="W77" i="27"/>
  <c r="W76" i="27"/>
  <c r="W75" i="27"/>
  <c r="W74" i="27"/>
  <c r="W73" i="27"/>
  <c r="W72" i="27"/>
  <c r="W71" i="27"/>
  <c r="W70" i="27"/>
  <c r="W69" i="27"/>
  <c r="W68" i="27"/>
  <c r="W67" i="27"/>
  <c r="W66" i="27"/>
  <c r="W65" i="27"/>
  <c r="W64" i="27"/>
  <c r="W63" i="27"/>
  <c r="W62" i="27"/>
  <c r="W61" i="27"/>
  <c r="W60" i="27"/>
  <c r="W59" i="27"/>
  <c r="W58" i="27"/>
  <c r="W57" i="27"/>
  <c r="W56" i="27"/>
  <c r="W55" i="27"/>
  <c r="W54" i="27"/>
  <c r="W53" i="27"/>
  <c r="W52" i="27"/>
  <c r="W51" i="27"/>
  <c r="W50" i="27"/>
  <c r="W49" i="27"/>
  <c r="W48" i="27"/>
  <c r="W47" i="27"/>
  <c r="W46" i="27"/>
  <c r="W45" i="27"/>
  <c r="W44" i="27"/>
  <c r="W43" i="27"/>
  <c r="W42" i="27"/>
  <c r="W41" i="27"/>
  <c r="W40" i="27"/>
  <c r="W39" i="27"/>
  <c r="W38" i="27"/>
  <c r="W37" i="27"/>
  <c r="W36" i="27"/>
  <c r="W35" i="27"/>
  <c r="W34" i="27"/>
  <c r="W33" i="27"/>
  <c r="W32" i="27"/>
  <c r="W31" i="27"/>
  <c r="W30" i="27"/>
  <c r="W29" i="27"/>
  <c r="W28" i="27"/>
  <c r="W27" i="27"/>
  <c r="W26" i="27"/>
  <c r="W25" i="27"/>
  <c r="W24" i="27"/>
  <c r="W23" i="27"/>
  <c r="W22" i="27"/>
  <c r="W21" i="27"/>
  <c r="W20" i="27"/>
  <c r="W19" i="27"/>
  <c r="W18" i="27"/>
  <c r="W17" i="27"/>
  <c r="W16" i="27"/>
  <c r="W15" i="27"/>
  <c r="W14" i="27"/>
  <c r="W13" i="27"/>
  <c r="N94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N62" i="27"/>
  <c r="N61" i="27"/>
  <c r="N60" i="27"/>
  <c r="N59" i="27"/>
  <c r="N58" i="27"/>
  <c r="N57" i="27"/>
  <c r="N56" i="27"/>
  <c r="N55" i="27"/>
  <c r="N54" i="27"/>
  <c r="N53" i="27"/>
  <c r="N52" i="27"/>
  <c r="N51" i="27"/>
  <c r="N50" i="27"/>
  <c r="N49" i="27"/>
  <c r="N48" i="27"/>
  <c r="N47" i="27"/>
  <c r="N46" i="27"/>
  <c r="N45" i="27"/>
  <c r="N44" i="27"/>
  <c r="N43" i="27"/>
  <c r="N42" i="27"/>
  <c r="N41" i="27"/>
  <c r="N40" i="27"/>
  <c r="N39" i="27"/>
  <c r="N38" i="27"/>
  <c r="N37" i="27"/>
  <c r="N36" i="27"/>
  <c r="N35" i="27"/>
  <c r="N34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20" i="27"/>
  <c r="N19" i="27"/>
  <c r="N18" i="27"/>
  <c r="N17" i="27"/>
  <c r="N16" i="27"/>
  <c r="N15" i="27"/>
  <c r="N14" i="27"/>
  <c r="N13" i="27"/>
  <c r="C2" i="28"/>
  <c r="S16" i="1" l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H12" i="20"/>
  <c r="F12" i="20"/>
  <c r="E12" i="20"/>
  <c r="F12" i="26"/>
  <c r="B12" i="26"/>
  <c r="J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H13" i="20"/>
  <c r="F13" i="20"/>
  <c r="E13" i="20"/>
  <c r="F13" i="26"/>
  <c r="B13" i="26"/>
  <c r="J17" i="1"/>
  <c r="AM87" i="27"/>
  <c r="AM86" i="27"/>
  <c r="AM85" i="27"/>
  <c r="AM84" i="27"/>
  <c r="AM83" i="27"/>
  <c r="AM82" i="27"/>
  <c r="AM81" i="27"/>
  <c r="AM80" i="27"/>
  <c r="AM79" i="27"/>
  <c r="AM78" i="27"/>
  <c r="AM77" i="27"/>
  <c r="AM76" i="27"/>
  <c r="AM75" i="27"/>
  <c r="AM74" i="27"/>
  <c r="AM73" i="27"/>
  <c r="AM72" i="27"/>
  <c r="AM71" i="27"/>
  <c r="AM70" i="27"/>
  <c r="AM69" i="27"/>
  <c r="AM68" i="27"/>
  <c r="AM67" i="27"/>
  <c r="AM66" i="27"/>
  <c r="AM65" i="27"/>
  <c r="AM64" i="27"/>
  <c r="AM63" i="27"/>
  <c r="AM62" i="27"/>
  <c r="AM61" i="27"/>
  <c r="AM60" i="27"/>
  <c r="AM59" i="27"/>
  <c r="AM58" i="27"/>
  <c r="AM57" i="27"/>
  <c r="AM56" i="27"/>
  <c r="AM55" i="27"/>
  <c r="AM54" i="27"/>
  <c r="AM53" i="27"/>
  <c r="AM52" i="27"/>
  <c r="AM51" i="27"/>
  <c r="AM50" i="27"/>
  <c r="AM49" i="27"/>
  <c r="AM48" i="27"/>
  <c r="AM47" i="27"/>
  <c r="AM46" i="27"/>
  <c r="AM45" i="27"/>
  <c r="AM44" i="27"/>
  <c r="AM43" i="27"/>
  <c r="AM42" i="27"/>
  <c r="AM41" i="27"/>
  <c r="AM40" i="27"/>
  <c r="AM39" i="27"/>
  <c r="AM38" i="27"/>
  <c r="AM37" i="27"/>
  <c r="AM36" i="27"/>
  <c r="AM35" i="27"/>
  <c r="AM34" i="27"/>
  <c r="AM33" i="27"/>
  <c r="AM32" i="27"/>
  <c r="AM31" i="27"/>
  <c r="AM30" i="27"/>
  <c r="AM29" i="27"/>
  <c r="AM28" i="27"/>
  <c r="AM27" i="27"/>
  <c r="AM26" i="27"/>
  <c r="AM25" i="27"/>
  <c r="AM24" i="27"/>
  <c r="AM23" i="27"/>
  <c r="AM22" i="27"/>
  <c r="AM21" i="27"/>
  <c r="AM20" i="27"/>
  <c r="AM19" i="27"/>
  <c r="AM18" i="27"/>
  <c r="AM17" i="27"/>
  <c r="AM16" i="27"/>
  <c r="AM15" i="27"/>
  <c r="AM14" i="27"/>
  <c r="AM13" i="27"/>
  <c r="E13" i="27"/>
  <c r="H89" i="27" s="1" a="1"/>
  <c r="H89" i="27" s="1"/>
  <c r="D13" i="27"/>
  <c r="D14" i="27" s="1"/>
  <c r="D15" i="27" s="1"/>
  <c r="D16" i="27" s="1"/>
  <c r="D17" i="27" s="1"/>
  <c r="D18" i="27" s="1"/>
  <c r="D19" i="27" s="1"/>
  <c r="D20" i="27" s="1"/>
  <c r="D21" i="27" s="1"/>
  <c r="D22" i="27" s="1"/>
  <c r="D23" i="27" s="1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D46" i="27" s="1"/>
  <c r="D47" i="27" s="1"/>
  <c r="D48" i="27" s="1"/>
  <c r="D49" i="27" s="1"/>
  <c r="D50" i="27" s="1"/>
  <c r="D51" i="27" s="1"/>
  <c r="D52" i="27" s="1"/>
  <c r="D53" i="27" s="1"/>
  <c r="D54" i="27" s="1"/>
  <c r="D55" i="27" s="1"/>
  <c r="D56" i="27" s="1"/>
  <c r="D57" i="27" s="1"/>
  <c r="D58" i="27" s="1"/>
  <c r="D59" i="27" s="1"/>
  <c r="D60" i="27" s="1"/>
  <c r="D61" i="27" s="1"/>
  <c r="D62" i="27" s="1"/>
  <c r="D63" i="27" s="1"/>
  <c r="D64" i="27" s="1"/>
  <c r="D65" i="27" s="1"/>
  <c r="D66" i="27" s="1"/>
  <c r="D67" i="27" s="1"/>
  <c r="D68" i="27" s="1"/>
  <c r="D69" i="27" s="1"/>
  <c r="D70" i="27" s="1"/>
  <c r="D71" i="27" s="1"/>
  <c r="D72" i="27" s="1"/>
  <c r="D73" i="27" s="1"/>
  <c r="D74" i="27" s="1"/>
  <c r="D75" i="27" s="1"/>
  <c r="D76" i="27" s="1"/>
  <c r="D77" i="27" s="1"/>
  <c r="D78" i="27" s="1"/>
  <c r="D79" i="27" s="1"/>
  <c r="D80" i="27" s="1"/>
  <c r="D81" i="27" s="1"/>
  <c r="D82" i="27" s="1"/>
  <c r="D83" i="27" s="1"/>
  <c r="D84" i="27" s="1"/>
  <c r="D85" i="27" s="1"/>
  <c r="D86" i="27" s="1"/>
  <c r="D87" i="27" s="1"/>
  <c r="C8" i="1"/>
  <c r="C6" i="1"/>
  <c r="Q11" i="1" s="1"/>
  <c r="C5" i="1"/>
  <c r="AM94" i="27"/>
  <c r="B50" i="28"/>
  <c r="B43" i="28"/>
  <c r="B36" i="28"/>
  <c r="B32" i="28"/>
  <c r="B18" i="28"/>
  <c r="B4" i="28"/>
  <c r="C44" i="28"/>
  <c r="C45" i="28"/>
  <c r="C46" i="28"/>
  <c r="C37" i="28"/>
  <c r="C38" i="28"/>
  <c r="C39" i="28"/>
  <c r="C27" i="28"/>
  <c r="C28" i="28"/>
  <c r="C20" i="28"/>
  <c r="C21" i="28"/>
  <c r="C13" i="28"/>
  <c r="C14" i="28"/>
  <c r="C6" i="28"/>
  <c r="C7" i="28"/>
  <c r="K6" i="3"/>
  <c r="K7" i="3"/>
  <c r="H7" i="3"/>
  <c r="H6" i="3"/>
  <c r="I13" i="27" l="1"/>
  <c r="H13" i="27"/>
  <c r="E14" i="27"/>
  <c r="I14" i="27" s="1"/>
  <c r="N11" i="1"/>
  <c r="O11" i="1"/>
  <c r="P11" i="1"/>
  <c r="E5" i="1"/>
  <c r="E7" i="1"/>
  <c r="K14" i="27" l="1"/>
  <c r="H14" i="27"/>
  <c r="E15" i="27"/>
  <c r="I15" i="27" s="1"/>
  <c r="H16" i="1"/>
  <c r="H17" i="1"/>
  <c r="K15" i="27" l="1"/>
  <c r="H15" i="27"/>
  <c r="E16" i="27"/>
  <c r="I16" i="27" s="1"/>
  <c r="C8" i="28"/>
  <c r="Y51" i="28"/>
  <c r="W51" i="28"/>
  <c r="U51" i="28"/>
  <c r="S51" i="28"/>
  <c r="Q51" i="28"/>
  <c r="O51" i="28"/>
  <c r="M51" i="28"/>
  <c r="K51" i="28"/>
  <c r="I51" i="28"/>
  <c r="D51" i="28"/>
  <c r="C51" i="28"/>
  <c r="Y44" i="28"/>
  <c r="W44" i="28"/>
  <c r="U44" i="28"/>
  <c r="S44" i="28"/>
  <c r="Q44" i="28"/>
  <c r="O44" i="28"/>
  <c r="M44" i="28"/>
  <c r="K44" i="28"/>
  <c r="I44" i="28"/>
  <c r="G44" i="28"/>
  <c r="C47" i="28"/>
  <c r="Y37" i="28"/>
  <c r="W37" i="28"/>
  <c r="U37" i="28"/>
  <c r="S37" i="28"/>
  <c r="Q37" i="28"/>
  <c r="O37" i="28"/>
  <c r="M37" i="28"/>
  <c r="K37" i="28"/>
  <c r="I37" i="28"/>
  <c r="G37" i="28"/>
  <c r="D40" i="28" s="1"/>
  <c r="C40" i="28"/>
  <c r="C15" i="28"/>
  <c r="C22" i="28"/>
  <c r="Y26" i="28"/>
  <c r="W26" i="28"/>
  <c r="U26" i="28"/>
  <c r="S26" i="28"/>
  <c r="Q26" i="28"/>
  <c r="O26" i="28"/>
  <c r="M26" i="28"/>
  <c r="K26" i="28"/>
  <c r="I26" i="28"/>
  <c r="G26" i="28"/>
  <c r="D29" i="28" s="1"/>
  <c r="C29" i="28"/>
  <c r="Y19" i="28"/>
  <c r="W19" i="28"/>
  <c r="U19" i="28"/>
  <c r="S19" i="28"/>
  <c r="Q19" i="28"/>
  <c r="O19" i="28"/>
  <c r="M19" i="28"/>
  <c r="K19" i="28"/>
  <c r="I19" i="28"/>
  <c r="G19" i="28"/>
  <c r="Y12" i="28"/>
  <c r="W12" i="28"/>
  <c r="U12" i="28"/>
  <c r="S12" i="28"/>
  <c r="Q12" i="28"/>
  <c r="O12" i="28"/>
  <c r="M12" i="28"/>
  <c r="K12" i="28"/>
  <c r="I12" i="28"/>
  <c r="G12" i="28"/>
  <c r="Y5" i="28"/>
  <c r="W5" i="28"/>
  <c r="U5" i="28"/>
  <c r="S5" i="28"/>
  <c r="Q5" i="28"/>
  <c r="O5" i="28"/>
  <c r="M5" i="28"/>
  <c r="K5" i="28"/>
  <c r="I5" i="28"/>
  <c r="G5" i="28"/>
  <c r="D33" i="28"/>
  <c r="C33" i="28"/>
  <c r="Y47" i="28"/>
  <c r="Y46" i="28"/>
  <c r="Y45" i="28"/>
  <c r="W47" i="28"/>
  <c r="W46" i="28"/>
  <c r="W45" i="28"/>
  <c r="U47" i="28"/>
  <c r="U46" i="28"/>
  <c r="U45" i="28"/>
  <c r="S47" i="28"/>
  <c r="S46" i="28"/>
  <c r="S45" i="28"/>
  <c r="Q47" i="28"/>
  <c r="Q46" i="28"/>
  <c r="Q45" i="28"/>
  <c r="O47" i="28"/>
  <c r="O46" i="28"/>
  <c r="O45" i="28"/>
  <c r="M47" i="28"/>
  <c r="M46" i="28"/>
  <c r="M45" i="28"/>
  <c r="K47" i="28"/>
  <c r="K46" i="28"/>
  <c r="K45" i="28"/>
  <c r="I47" i="28"/>
  <c r="I46" i="28"/>
  <c r="I45" i="28"/>
  <c r="G46" i="28"/>
  <c r="D45" i="28" s="1"/>
  <c r="G47" i="28"/>
  <c r="D44" i="28" s="1"/>
  <c r="Y40" i="28"/>
  <c r="Y39" i="28"/>
  <c r="Y38" i="28"/>
  <c r="W40" i="28"/>
  <c r="W39" i="28"/>
  <c r="W38" i="28"/>
  <c r="U40" i="28"/>
  <c r="U39" i="28"/>
  <c r="U38" i="28"/>
  <c r="S40" i="28"/>
  <c r="S39" i="28"/>
  <c r="S38" i="28"/>
  <c r="Q40" i="28"/>
  <c r="Q39" i="28"/>
  <c r="Q38" i="28"/>
  <c r="O40" i="28"/>
  <c r="O39" i="28"/>
  <c r="O38" i="28"/>
  <c r="M40" i="28"/>
  <c r="M39" i="28"/>
  <c r="M38" i="28"/>
  <c r="K40" i="28"/>
  <c r="K39" i="28"/>
  <c r="K38" i="28"/>
  <c r="I40" i="28"/>
  <c r="I39" i="28"/>
  <c r="I38" i="28"/>
  <c r="G39" i="28"/>
  <c r="D38" i="28" s="1"/>
  <c r="G40" i="28"/>
  <c r="D37" i="28" s="1"/>
  <c r="Y28" i="28"/>
  <c r="Y27" i="28"/>
  <c r="W28" i="28"/>
  <c r="W27" i="28"/>
  <c r="U28" i="28"/>
  <c r="U27" i="28"/>
  <c r="S28" i="28"/>
  <c r="S27" i="28"/>
  <c r="Q28" i="28"/>
  <c r="Q27" i="28"/>
  <c r="O28" i="28"/>
  <c r="O27" i="28"/>
  <c r="M28" i="28"/>
  <c r="M27" i="28"/>
  <c r="K28" i="28"/>
  <c r="K27" i="28"/>
  <c r="I28" i="28"/>
  <c r="I27" i="28"/>
  <c r="G28" i="28"/>
  <c r="D27" i="28" s="1"/>
  <c r="Y21" i="28"/>
  <c r="Y20" i="28"/>
  <c r="W21" i="28"/>
  <c r="W20" i="28"/>
  <c r="U21" i="28"/>
  <c r="U20" i="28"/>
  <c r="S21" i="28"/>
  <c r="S20" i="28"/>
  <c r="Q21" i="28"/>
  <c r="Q20" i="28"/>
  <c r="O21" i="28"/>
  <c r="O20" i="28"/>
  <c r="M21" i="28"/>
  <c r="M20" i="28"/>
  <c r="K21" i="28"/>
  <c r="K20" i="28"/>
  <c r="I21" i="28"/>
  <c r="I20" i="28"/>
  <c r="G21" i="28"/>
  <c r="D20" i="28" s="1"/>
  <c r="G45" i="28"/>
  <c r="D46" i="28" s="1"/>
  <c r="G38" i="28"/>
  <c r="D39" i="28" s="1"/>
  <c r="G27" i="28"/>
  <c r="D28" i="28" s="1"/>
  <c r="G20" i="28"/>
  <c r="D21" i="28" s="1"/>
  <c r="Y14" i="28"/>
  <c r="Y13" i="28"/>
  <c r="W14" i="28"/>
  <c r="W13" i="28"/>
  <c r="U14" i="28"/>
  <c r="U13" i="28"/>
  <c r="S14" i="28"/>
  <c r="S13" i="28"/>
  <c r="Q14" i="28"/>
  <c r="Q13" i="28"/>
  <c r="O14" i="28"/>
  <c r="O13" i="28"/>
  <c r="M14" i="28"/>
  <c r="M13" i="28"/>
  <c r="K14" i="28"/>
  <c r="K13" i="28"/>
  <c r="I14" i="28"/>
  <c r="I13" i="28"/>
  <c r="G14" i="28"/>
  <c r="D13" i="28" s="1"/>
  <c r="G13" i="28"/>
  <c r="D14" i="28" s="1"/>
  <c r="Y7" i="28"/>
  <c r="Y6" i="28"/>
  <c r="W7" i="28"/>
  <c r="W6" i="28"/>
  <c r="U7" i="28"/>
  <c r="U6" i="28"/>
  <c r="S7" i="28"/>
  <c r="S6" i="28"/>
  <c r="Q7" i="28"/>
  <c r="Q6" i="28"/>
  <c r="O7" i="28"/>
  <c r="O6" i="28"/>
  <c r="M7" i="28"/>
  <c r="M6" i="28"/>
  <c r="K7" i="28"/>
  <c r="K6" i="28"/>
  <c r="I7" i="28"/>
  <c r="I6" i="28"/>
  <c r="G7" i="28"/>
  <c r="D6" i="28" s="1"/>
  <c r="G6" i="28"/>
  <c r="D7" i="28" s="1"/>
  <c r="X29" i="28"/>
  <c r="Y29" i="28" s="1"/>
  <c r="V29" i="28"/>
  <c r="W29" i="28" s="1"/>
  <c r="T29" i="28"/>
  <c r="U29" i="28" s="1"/>
  <c r="R29" i="28"/>
  <c r="S29" i="28" s="1"/>
  <c r="P29" i="28"/>
  <c r="Q29" i="28" s="1"/>
  <c r="N29" i="28"/>
  <c r="O29" i="28" s="1"/>
  <c r="L29" i="28"/>
  <c r="M29" i="28" s="1"/>
  <c r="J29" i="28"/>
  <c r="K29" i="28" s="1"/>
  <c r="H29" i="28"/>
  <c r="I29" i="28" s="1"/>
  <c r="F29" i="28"/>
  <c r="C26" i="28" s="1"/>
  <c r="X22" i="28"/>
  <c r="Y22" i="28" s="1"/>
  <c r="V22" i="28"/>
  <c r="W22" i="28" s="1"/>
  <c r="T22" i="28"/>
  <c r="U22" i="28" s="1"/>
  <c r="R22" i="28"/>
  <c r="S22" i="28" s="1"/>
  <c r="P22" i="28"/>
  <c r="Q22" i="28" s="1"/>
  <c r="N22" i="28"/>
  <c r="O22" i="28" s="1"/>
  <c r="L22" i="28"/>
  <c r="M22" i="28" s="1"/>
  <c r="J22" i="28"/>
  <c r="K22" i="28" s="1"/>
  <c r="H22" i="28"/>
  <c r="I22" i="28" s="1"/>
  <c r="F22" i="28"/>
  <c r="C19" i="28" s="1"/>
  <c r="X15" i="28"/>
  <c r="Y15" i="28" s="1"/>
  <c r="V15" i="28"/>
  <c r="W15" i="28" s="1"/>
  <c r="T15" i="28"/>
  <c r="U15" i="28" s="1"/>
  <c r="R15" i="28"/>
  <c r="S15" i="28" s="1"/>
  <c r="P15" i="28"/>
  <c r="Q15" i="28" s="1"/>
  <c r="N15" i="28"/>
  <c r="O15" i="28" s="1"/>
  <c r="L15" i="28"/>
  <c r="M15" i="28" s="1"/>
  <c r="J15" i="28"/>
  <c r="K15" i="28" s="1"/>
  <c r="H15" i="28"/>
  <c r="I15" i="28" s="1"/>
  <c r="F15" i="28"/>
  <c r="C12" i="28" s="1"/>
  <c r="X8" i="28"/>
  <c r="Y8" i="28" s="1"/>
  <c r="V8" i="28"/>
  <c r="W8" i="28" s="1"/>
  <c r="T8" i="28"/>
  <c r="U8" i="28" s="1"/>
  <c r="R8" i="28"/>
  <c r="S8" i="28" s="1"/>
  <c r="P8" i="28"/>
  <c r="Q8" i="28" s="1"/>
  <c r="N8" i="28"/>
  <c r="O8" i="28" s="1"/>
  <c r="L8" i="28"/>
  <c r="M8" i="28" s="1"/>
  <c r="J8" i="28"/>
  <c r="K8" i="28" s="1"/>
  <c r="H8" i="28"/>
  <c r="I8" i="28" s="1"/>
  <c r="F8" i="28"/>
  <c r="C5" i="28" s="1"/>
  <c r="T13" i="27" l="1"/>
  <c r="T14" i="27"/>
  <c r="T16" i="27"/>
  <c r="T15" i="27"/>
  <c r="Q13" i="27"/>
  <c r="Q14" i="27"/>
  <c r="Q15" i="27"/>
  <c r="K16" i="27"/>
  <c r="Q16" i="27"/>
  <c r="H16" i="27"/>
  <c r="E17" i="27"/>
  <c r="I17" i="27" s="1"/>
  <c r="D22" i="28"/>
  <c r="D47" i="28"/>
  <c r="D8" i="28"/>
  <c r="D15" i="28"/>
  <c r="G15" i="28"/>
  <c r="D12" i="28" s="1"/>
  <c r="G8" i="28"/>
  <c r="D5" i="28" s="1"/>
  <c r="G29" i="28"/>
  <c r="D26" i="28" s="1"/>
  <c r="G22" i="28"/>
  <c r="D19" i="28" s="1"/>
  <c r="K13" i="27" s="1"/>
  <c r="T17" i="27" l="1"/>
  <c r="K17" i="27"/>
  <c r="Q17" i="27"/>
  <c r="H17" i="27"/>
  <c r="E18" i="27"/>
  <c r="I18" i="27" s="1"/>
  <c r="E8" i="1"/>
  <c r="D11" i="3"/>
  <c r="K8" i="1"/>
  <c r="F5" i="24"/>
  <c r="E196" i="24"/>
  <c r="E195" i="24"/>
  <c r="E194" i="24"/>
  <c r="E193" i="24"/>
  <c r="E192" i="24"/>
  <c r="E191" i="24"/>
  <c r="T18" i="27" l="1"/>
  <c r="K18" i="27"/>
  <c r="Q18" i="27"/>
  <c r="H18" i="27"/>
  <c r="E19" i="27"/>
  <c r="I19" i="27" s="1"/>
  <c r="C7" i="1"/>
  <c r="T19" i="27" l="1"/>
  <c r="K19" i="27"/>
  <c r="Q19" i="27"/>
  <c r="H19" i="27"/>
  <c r="E20" i="27"/>
  <c r="I20" i="27" s="1"/>
  <c r="I16" i="1"/>
  <c r="I17" i="1"/>
  <c r="AI11" i="1"/>
  <c r="AA11" i="1"/>
  <c r="AH11" i="1"/>
  <c r="Z11" i="1"/>
  <c r="AG11" i="1"/>
  <c r="Y11" i="1"/>
  <c r="AB11" i="1"/>
  <c r="AF11" i="1"/>
  <c r="X11" i="1"/>
  <c r="T11" i="1"/>
  <c r="AE11" i="1"/>
  <c r="W11" i="1"/>
  <c r="AC11" i="1"/>
  <c r="AD11" i="1"/>
  <c r="V11" i="1"/>
  <c r="U11" i="1"/>
  <c r="I34" i="1"/>
  <c r="J34" i="1"/>
  <c r="R11" i="1"/>
  <c r="K6" i="1"/>
  <c r="E94" i="27"/>
  <c r="T94" i="27" s="1"/>
  <c r="T20" i="27" l="1"/>
  <c r="K94" i="27"/>
  <c r="Q94" i="27"/>
  <c r="K20" i="27"/>
  <c r="Q20" i="27"/>
  <c r="H94" i="27"/>
  <c r="H20" i="27"/>
  <c r="E21" i="27"/>
  <c r="I21" i="27" s="1"/>
  <c r="E13" i="26"/>
  <c r="D13" i="26"/>
  <c r="AO17" i="1"/>
  <c r="E12" i="26"/>
  <c r="D12" i="26"/>
  <c r="AO16" i="1"/>
  <c r="AO34" i="1"/>
  <c r="AM34" i="1" s="1"/>
  <c r="H34" i="1"/>
  <c r="G34" i="1"/>
  <c r="AV17" i="1"/>
  <c r="AV16" i="1"/>
  <c r="T21" i="27" l="1"/>
  <c r="K21" i="27"/>
  <c r="Q21" i="27"/>
  <c r="H21" i="27"/>
  <c r="E22" i="27"/>
  <c r="I22" i="27" s="1"/>
  <c r="AM16" i="1"/>
  <c r="J12" i="20" s="1"/>
  <c r="AM17" i="1"/>
  <c r="J13" i="20" s="1"/>
  <c r="F11" i="26"/>
  <c r="T22" i="27" l="1"/>
  <c r="K22" i="27"/>
  <c r="Q22" i="27"/>
  <c r="H22" i="27"/>
  <c r="E23" i="27"/>
  <c r="I23" i="27" s="1"/>
  <c r="K12" i="19"/>
  <c r="J12" i="19"/>
  <c r="I12" i="19"/>
  <c r="E12" i="19"/>
  <c r="K10" i="24"/>
  <c r="T23" i="27" l="1"/>
  <c r="K23" i="27"/>
  <c r="Q23" i="27"/>
  <c r="H23" i="27"/>
  <c r="E24" i="27"/>
  <c r="I24" i="27" s="1"/>
  <c r="L12" i="19"/>
  <c r="K7" i="1"/>
  <c r="H7" i="1"/>
  <c r="H6" i="1"/>
  <c r="H5" i="1"/>
  <c r="D94" i="27"/>
  <c r="T24" i="27" l="1"/>
  <c r="K24" i="27"/>
  <c r="Q24" i="27"/>
  <c r="H24" i="27"/>
  <c r="E25" i="27"/>
  <c r="I25" i="27" s="1"/>
  <c r="AQ16" i="1"/>
  <c r="AT16" i="1" s="1"/>
  <c r="AQ17" i="1"/>
  <c r="AT17" i="1" s="1"/>
  <c r="AP16" i="1"/>
  <c r="AP17" i="1"/>
  <c r="AR16" i="1"/>
  <c r="AU16" i="1" s="1"/>
  <c r="AR17" i="1"/>
  <c r="AU17" i="1" s="1"/>
  <c r="AP34" i="1"/>
  <c r="AQ34" i="1"/>
  <c r="AT34" i="1" s="1"/>
  <c r="AR34" i="1"/>
  <c r="AU34" i="1" s="1"/>
  <c r="AM88" i="27"/>
  <c r="AM90" i="27" s="1"/>
  <c r="T25" i="27" l="1"/>
  <c r="K25" i="27"/>
  <c r="Q25" i="27"/>
  <c r="H25" i="27"/>
  <c r="E26" i="27"/>
  <c r="I26" i="27" s="1"/>
  <c r="AS16" i="1"/>
  <c r="AS17" i="1"/>
  <c r="AS34" i="1"/>
  <c r="AL90" i="27"/>
  <c r="AW16" i="1"/>
  <c r="AW17" i="1"/>
  <c r="T26" i="27" l="1"/>
  <c r="K26" i="27"/>
  <c r="Q26" i="27"/>
  <c r="H26" i="27"/>
  <c r="E27" i="27"/>
  <c r="I27" i="27" s="1"/>
  <c r="AK17" i="1"/>
  <c r="I13" i="20" s="1"/>
  <c r="L13" i="20" s="1"/>
  <c r="AK16" i="1"/>
  <c r="I12" i="20" s="1"/>
  <c r="L12" i="20" s="1"/>
  <c r="AY16" i="1"/>
  <c r="AL16" i="1"/>
  <c r="AL17" i="1"/>
  <c r="AY17" i="1"/>
  <c r="I7" i="26"/>
  <c r="CH7" i="26"/>
  <c r="T27" i="27" l="1"/>
  <c r="K27" i="27"/>
  <c r="Q27" i="27"/>
  <c r="H27" i="27"/>
  <c r="E28" i="27"/>
  <c r="I28" i="27" s="1"/>
  <c r="J7" i="26"/>
  <c r="K7" i="26" s="1"/>
  <c r="L7" i="26" s="1"/>
  <c r="M7" i="26" s="1"/>
  <c r="I1" i="26"/>
  <c r="T28" i="27" l="1"/>
  <c r="K28" i="27"/>
  <c r="Q28" i="27"/>
  <c r="H28" i="27"/>
  <c r="E29" i="27"/>
  <c r="I29" i="27" s="1"/>
  <c r="N7" i="26"/>
  <c r="O7" i="26" s="1"/>
  <c r="P7" i="26" s="1"/>
  <c r="Q7" i="26" s="1"/>
  <c r="M1" i="26"/>
  <c r="T29" i="27" l="1"/>
  <c r="K29" i="27"/>
  <c r="Q29" i="27"/>
  <c r="H29" i="27"/>
  <c r="E30" i="27"/>
  <c r="I30" i="27" s="1"/>
  <c r="R7" i="26"/>
  <c r="S7" i="26" s="1"/>
  <c r="T7" i="26" s="1"/>
  <c r="U7" i="26" s="1"/>
  <c r="Q1" i="26"/>
  <c r="T30" i="27" l="1"/>
  <c r="K30" i="27"/>
  <c r="Q30" i="27"/>
  <c r="H30" i="27"/>
  <c r="E31" i="27"/>
  <c r="I31" i="27" s="1"/>
  <c r="V7" i="26"/>
  <c r="W7" i="26" s="1"/>
  <c r="X7" i="26" s="1"/>
  <c r="Y7" i="26" s="1"/>
  <c r="U1" i="26"/>
  <c r="T31" i="27" l="1"/>
  <c r="K31" i="27"/>
  <c r="Q31" i="27"/>
  <c r="H31" i="27"/>
  <c r="E32" i="27"/>
  <c r="I32" i="27" s="1"/>
  <c r="Z7" i="26"/>
  <c r="Y1" i="26"/>
  <c r="E11" i="26"/>
  <c r="D11" i="26"/>
  <c r="T32" i="27" l="1"/>
  <c r="K32" i="27"/>
  <c r="Q32" i="27"/>
  <c r="H32" i="27"/>
  <c r="E33" i="27"/>
  <c r="I33" i="27" s="1"/>
  <c r="AA7" i="26"/>
  <c r="Z1" i="26"/>
  <c r="T33" i="27" l="1"/>
  <c r="K33" i="27"/>
  <c r="Q33" i="27"/>
  <c r="H33" i="27"/>
  <c r="E34" i="27"/>
  <c r="I34" i="27" s="1"/>
  <c r="AB7" i="26"/>
  <c r="AA1" i="26"/>
  <c r="B11" i="26"/>
  <c r="T34" i="27" l="1"/>
  <c r="K34" i="27"/>
  <c r="Q34" i="27"/>
  <c r="H34" i="27"/>
  <c r="E35" i="27"/>
  <c r="I35" i="27" s="1"/>
  <c r="AC7" i="26"/>
  <c r="AB1" i="26"/>
  <c r="T35" i="27" l="1"/>
  <c r="K35" i="27"/>
  <c r="Q35" i="27"/>
  <c r="H35" i="27"/>
  <c r="E36" i="27"/>
  <c r="I36" i="27" s="1"/>
  <c r="AD7" i="26"/>
  <c r="AC1" i="26"/>
  <c r="K192" i="19"/>
  <c r="J192" i="19"/>
  <c r="I192" i="19"/>
  <c r="E192" i="19"/>
  <c r="K191" i="19"/>
  <c r="J191" i="19"/>
  <c r="I191" i="19"/>
  <c r="E191" i="19"/>
  <c r="K190" i="19"/>
  <c r="J190" i="19"/>
  <c r="K189" i="19"/>
  <c r="J189" i="19"/>
  <c r="K188" i="19"/>
  <c r="J188" i="19"/>
  <c r="K187" i="19"/>
  <c r="J187" i="19"/>
  <c r="K186" i="19"/>
  <c r="J186" i="19"/>
  <c r="K185" i="19"/>
  <c r="J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J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J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J13" i="19"/>
  <c r="I13" i="19"/>
  <c r="E13" i="19"/>
  <c r="K11" i="19"/>
  <c r="J11" i="19"/>
  <c r="I11" i="19"/>
  <c r="E11" i="19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J87" i="20"/>
  <c r="I87" i="20"/>
  <c r="E87" i="20"/>
  <c r="K86" i="20"/>
  <c r="J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E43" i="20"/>
  <c r="K42" i="20"/>
  <c r="J42" i="20"/>
  <c r="I42" i="20"/>
  <c r="E42" i="20"/>
  <c r="K41" i="20"/>
  <c r="J41" i="20"/>
  <c r="I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T36" i="27" l="1"/>
  <c r="K36" i="27"/>
  <c r="Q36" i="27"/>
  <c r="H36" i="27"/>
  <c r="E37" i="27"/>
  <c r="I37" i="27" s="1"/>
  <c r="AE7" i="26"/>
  <c r="AD1" i="26"/>
  <c r="L86" i="19"/>
  <c r="L114" i="19"/>
  <c r="L116" i="19"/>
  <c r="L118" i="19"/>
  <c r="L120" i="19"/>
  <c r="L122" i="19"/>
  <c r="L124" i="19"/>
  <c r="L126" i="19"/>
  <c r="L130" i="19"/>
  <c r="L21" i="19"/>
  <c r="L25" i="19"/>
  <c r="L29" i="19"/>
  <c r="L191" i="19"/>
  <c r="L149" i="19"/>
  <c r="L41" i="19"/>
  <c r="L43" i="19"/>
  <c r="L45" i="19"/>
  <c r="L49" i="19"/>
  <c r="L53" i="19"/>
  <c r="L57" i="19"/>
  <c r="L65" i="19"/>
  <c r="L67" i="19"/>
  <c r="L73" i="19"/>
  <c r="L77" i="19"/>
  <c r="L89" i="19"/>
  <c r="L93" i="19"/>
  <c r="L101" i="19"/>
  <c r="L105" i="19"/>
  <c r="L109" i="19"/>
  <c r="L113" i="19"/>
  <c r="L125" i="19"/>
  <c r="L18" i="19"/>
  <c r="L22" i="19"/>
  <c r="L30" i="19"/>
  <c r="L32" i="19"/>
  <c r="L34" i="19"/>
  <c r="L36" i="19"/>
  <c r="L38" i="19"/>
  <c r="L66" i="19"/>
  <c r="L68" i="19"/>
  <c r="L134" i="19"/>
  <c r="L150" i="19"/>
  <c r="L152" i="19"/>
  <c r="L154" i="19"/>
  <c r="L156" i="19"/>
  <c r="L158" i="19"/>
  <c r="L160" i="19"/>
  <c r="L162" i="19"/>
  <c r="L15" i="19"/>
  <c r="L133" i="19"/>
  <c r="L141" i="19"/>
  <c r="L145" i="19"/>
  <c r="L169" i="19"/>
  <c r="L171" i="19"/>
  <c r="L173" i="19"/>
  <c r="L177" i="19"/>
  <c r="L179" i="19"/>
  <c r="L181" i="19"/>
  <c r="L153" i="19"/>
  <c r="L78" i="19"/>
  <c r="L80" i="19"/>
  <c r="L82" i="19"/>
  <c r="L84" i="19"/>
  <c r="L31" i="19"/>
  <c r="L79" i="19"/>
  <c r="L14" i="19"/>
  <c r="L70" i="19"/>
  <c r="L72" i="19"/>
  <c r="L74" i="19"/>
  <c r="L139" i="19"/>
  <c r="L161" i="19"/>
  <c r="L165" i="19"/>
  <c r="L183" i="19"/>
  <c r="L50" i="19"/>
  <c r="L13" i="19"/>
  <c r="L98" i="19"/>
  <c r="L136" i="19"/>
  <c r="L138" i="19"/>
  <c r="L170" i="19"/>
  <c r="L172" i="19"/>
  <c r="L180" i="19"/>
  <c r="L182" i="19"/>
  <c r="L184" i="19"/>
  <c r="L18" i="20"/>
  <c r="L20" i="20"/>
  <c r="L22" i="20"/>
  <c r="L26" i="20"/>
  <c r="L28" i="20"/>
  <c r="L30" i="20"/>
  <c r="L32" i="20"/>
  <c r="L34" i="20"/>
  <c r="L36" i="20"/>
  <c r="L38" i="20"/>
  <c r="L40" i="20"/>
  <c r="L99" i="20"/>
  <c r="L47" i="20"/>
  <c r="L49" i="20"/>
  <c r="L54" i="20"/>
  <c r="L55" i="20"/>
  <c r="L58" i="20"/>
  <c r="L61" i="20"/>
  <c r="L72" i="20"/>
  <c r="L73" i="20"/>
  <c r="L76" i="20"/>
  <c r="L78" i="20"/>
  <c r="L80" i="20"/>
  <c r="L84" i="20"/>
  <c r="L92" i="20"/>
  <c r="L94" i="20"/>
  <c r="L127" i="19"/>
  <c r="L178" i="19"/>
  <c r="L25" i="20"/>
  <c r="L29" i="20"/>
  <c r="L37" i="20"/>
  <c r="L27" i="19"/>
  <c r="L35" i="19"/>
  <c r="L37" i="19"/>
  <c r="L88" i="19"/>
  <c r="L90" i="19"/>
  <c r="L94" i="19"/>
  <c r="L100" i="19"/>
  <c r="L102" i="19"/>
  <c r="L104" i="19"/>
  <c r="L106" i="19"/>
  <c r="L110" i="19"/>
  <c r="L137" i="19"/>
  <c r="L20" i="19"/>
  <c r="L51" i="19"/>
  <c r="L61" i="19"/>
  <c r="L147" i="19"/>
  <c r="L46" i="20"/>
  <c r="L62" i="20"/>
  <c r="L63" i="20"/>
  <c r="L65" i="20"/>
  <c r="L67" i="20"/>
  <c r="L69" i="20"/>
  <c r="L71" i="20"/>
  <c r="L89" i="20"/>
  <c r="L91" i="20"/>
  <c r="L95" i="20"/>
  <c r="L97" i="20"/>
  <c r="L24" i="19"/>
  <c r="L26" i="19"/>
  <c r="L75" i="19"/>
  <c r="L85" i="19"/>
  <c r="L132" i="19"/>
  <c r="L157" i="19"/>
  <c r="L192" i="19"/>
  <c r="L11" i="19"/>
  <c r="L42" i="19"/>
  <c r="L46" i="19"/>
  <c r="L52" i="19"/>
  <c r="L54" i="19"/>
  <c r="L56" i="19"/>
  <c r="L58" i="19"/>
  <c r="L62" i="19"/>
  <c r="L95" i="19"/>
  <c r="L115" i="19"/>
  <c r="L117" i="19"/>
  <c r="L121" i="19"/>
  <c r="L142" i="19"/>
  <c r="L144" i="19"/>
  <c r="L146" i="19"/>
  <c r="L148" i="19"/>
  <c r="L33" i="20"/>
  <c r="L41" i="20"/>
  <c r="L68" i="20"/>
  <c r="L88" i="20"/>
  <c r="L96" i="20"/>
  <c r="L100" i="20"/>
  <c r="L102" i="20"/>
  <c r="L48" i="20"/>
  <c r="L53" i="20"/>
  <c r="L59" i="20"/>
  <c r="L77" i="20"/>
  <c r="L85" i="20"/>
  <c r="L17" i="20"/>
  <c r="L21" i="20"/>
  <c r="L23" i="20"/>
  <c r="L24" i="20"/>
  <c r="L35" i="20"/>
  <c r="L39" i="20"/>
  <c r="L45" i="20"/>
  <c r="L56" i="20"/>
  <c r="L57" i="20"/>
  <c r="L70" i="20"/>
  <c r="L79" i="20"/>
  <c r="L81" i="20"/>
  <c r="L83" i="20"/>
  <c r="L98" i="20"/>
  <c r="L17" i="19"/>
  <c r="L28" i="19"/>
  <c r="L48" i="19"/>
  <c r="L55" i="19"/>
  <c r="L59" i="19"/>
  <c r="L76" i="19"/>
  <c r="L83" i="19"/>
  <c r="L96" i="19"/>
  <c r="L103" i="19"/>
  <c r="L107" i="19"/>
  <c r="L129" i="19"/>
  <c r="L140" i="19"/>
  <c r="L151" i="19"/>
  <c r="L155" i="19"/>
  <c r="L174" i="19"/>
  <c r="L176" i="19"/>
  <c r="L60" i="20"/>
  <c r="L51" i="20"/>
  <c r="L75" i="20"/>
  <c r="L63" i="19"/>
  <c r="L91" i="19"/>
  <c r="L111" i="19"/>
  <c r="L163" i="19"/>
  <c r="L167" i="19"/>
  <c r="L19" i="19"/>
  <c r="L87" i="19"/>
  <c r="L19" i="20"/>
  <c r="L44" i="20"/>
  <c r="L66" i="20"/>
  <c r="L93" i="20"/>
  <c r="L23" i="19"/>
  <c r="L60" i="19"/>
  <c r="L71" i="19"/>
  <c r="L97" i="19"/>
  <c r="L108" i="19"/>
  <c r="L128" i="19"/>
  <c r="L135" i="19"/>
  <c r="L87" i="20"/>
  <c r="L159" i="19"/>
  <c r="L42" i="20"/>
  <c r="L82" i="20"/>
  <c r="L86" i="20"/>
  <c r="L40" i="19"/>
  <c r="L47" i="19"/>
  <c r="L175" i="19"/>
  <c r="L39" i="19"/>
  <c r="L131" i="19"/>
  <c r="L27" i="20"/>
  <c r="L31" i="20"/>
  <c r="L50" i="20"/>
  <c r="L52" i="20"/>
  <c r="L64" i="20"/>
  <c r="L74" i="20"/>
  <c r="L90" i="20"/>
  <c r="L101" i="20"/>
  <c r="L33" i="19"/>
  <c r="L44" i="19"/>
  <c r="L64" i="19"/>
  <c r="L81" i="19"/>
  <c r="L92" i="19"/>
  <c r="L99" i="19"/>
  <c r="L112" i="19"/>
  <c r="L119" i="19"/>
  <c r="L123" i="19"/>
  <c r="L143" i="19"/>
  <c r="L164" i="19"/>
  <c r="L168" i="19"/>
  <c r="K5" i="1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81" i="23"/>
  <c r="K82" i="23"/>
  <c r="K90" i="23"/>
  <c r="K91" i="23"/>
  <c r="P13" i="17"/>
  <c r="P14" i="17" s="1"/>
  <c r="F6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80" i="24"/>
  <c r="K81" i="24"/>
  <c r="K82" i="24"/>
  <c r="K83" i="24"/>
  <c r="H13" i="17"/>
  <c r="H14" i="17" s="1"/>
  <c r="J191" i="24" s="1"/>
  <c r="I185" i="19" s="1"/>
  <c r="L185" i="19" s="1"/>
  <c r="L13" i="17"/>
  <c r="L14" i="17" s="1"/>
  <c r="J18" i="21" s="1"/>
  <c r="K18" i="21" s="1"/>
  <c r="T13" i="17"/>
  <c r="T14" i="17" s="1"/>
  <c r="X13" i="17"/>
  <c r="X14" i="17" s="1"/>
  <c r="AB13" i="17"/>
  <c r="AB14" i="17" s="1"/>
  <c r="J196" i="24" s="1"/>
  <c r="I190" i="19" s="1"/>
  <c r="L190" i="19" s="1"/>
  <c r="K11" i="24"/>
  <c r="K14" i="24"/>
  <c r="K15" i="24"/>
  <c r="K18" i="24"/>
  <c r="K19" i="24"/>
  <c r="K20" i="24"/>
  <c r="K21" i="24"/>
  <c r="K24" i="24"/>
  <c r="K25" i="24"/>
  <c r="K26" i="24"/>
  <c r="K29" i="24"/>
  <c r="K33" i="24"/>
  <c r="K40" i="24"/>
  <c r="K41" i="24"/>
  <c r="K43" i="24"/>
  <c r="K44" i="24"/>
  <c r="K37" i="24"/>
  <c r="K38" i="24"/>
  <c r="K39" i="24"/>
  <c r="K42" i="24"/>
  <c r="K45" i="24"/>
  <c r="K46" i="24"/>
  <c r="K47" i="24"/>
  <c r="K50" i="24"/>
  <c r="K54" i="24"/>
  <c r="K86" i="24"/>
  <c r="K87" i="24"/>
  <c r="K88" i="24"/>
  <c r="K91" i="24"/>
  <c r="K89" i="24"/>
  <c r="K90" i="24"/>
  <c r="K92" i="24"/>
  <c r="K93" i="24"/>
  <c r="K94" i="24"/>
  <c r="K97" i="24"/>
  <c r="K104" i="24"/>
  <c r="K108" i="24"/>
  <c r="K109" i="24"/>
  <c r="K113" i="24"/>
  <c r="K114" i="24"/>
  <c r="K115" i="24"/>
  <c r="K116" i="24"/>
  <c r="K120" i="24"/>
  <c r="K121" i="24"/>
  <c r="K125" i="24"/>
  <c r="K174" i="24"/>
  <c r="K175" i="24"/>
  <c r="K176" i="24"/>
  <c r="K177" i="24"/>
  <c r="K178" i="24"/>
  <c r="K179" i="24"/>
  <c r="K183" i="24"/>
  <c r="K184" i="24"/>
  <c r="K185" i="24"/>
  <c r="K186" i="24"/>
  <c r="K187" i="24"/>
  <c r="J10" i="20"/>
  <c r="I10" i="20"/>
  <c r="P7" i="3"/>
  <c r="J11" i="20"/>
  <c r="I11" i="20"/>
  <c r="AO32" i="1"/>
  <c r="K92" i="23"/>
  <c r="K93" i="23"/>
  <c r="K94" i="23"/>
  <c r="A123" i="20"/>
  <c r="J123" i="20"/>
  <c r="I123" i="20"/>
  <c r="H123" i="20"/>
  <c r="F123" i="20"/>
  <c r="E123" i="20"/>
  <c r="A122" i="20"/>
  <c r="E190" i="19"/>
  <c r="E189" i="19"/>
  <c r="E188" i="19"/>
  <c r="E187" i="19"/>
  <c r="E186" i="19"/>
  <c r="E185" i="19"/>
  <c r="A121" i="20"/>
  <c r="J121" i="20"/>
  <c r="K121" i="20"/>
  <c r="I121" i="20"/>
  <c r="E121" i="20"/>
  <c r="A120" i="20"/>
  <c r="A119" i="20"/>
  <c r="A118" i="20"/>
  <c r="A117" i="20"/>
  <c r="D42" i="1"/>
  <c r="J122" i="20"/>
  <c r="I122" i="20"/>
  <c r="H122" i="20"/>
  <c r="F122" i="20"/>
  <c r="E122" i="20"/>
  <c r="K170" i="24"/>
  <c r="K168" i="24"/>
  <c r="K167" i="24"/>
  <c r="K166" i="24"/>
  <c r="K165" i="24"/>
  <c r="K164" i="24"/>
  <c r="K163" i="24"/>
  <c r="K162" i="24"/>
  <c r="K161" i="24"/>
  <c r="K64" i="24"/>
  <c r="K63" i="24"/>
  <c r="K62" i="24"/>
  <c r="K61" i="24"/>
  <c r="K60" i="24"/>
  <c r="K59" i="24"/>
  <c r="K58" i="24"/>
  <c r="K57" i="24"/>
  <c r="K53" i="24"/>
  <c r="K34" i="24"/>
  <c r="K32" i="24"/>
  <c r="K31" i="24"/>
  <c r="K30" i="24"/>
  <c r="E14" i="20"/>
  <c r="I30" i="1"/>
  <c r="M14" i="1"/>
  <c r="AY39" i="1"/>
  <c r="AX39" i="1"/>
  <c r="AW39" i="1"/>
  <c r="AV39" i="1"/>
  <c r="AU39" i="1"/>
  <c r="AT39" i="1"/>
  <c r="AS39" i="1"/>
  <c r="AR39" i="1"/>
  <c r="AQ39" i="1"/>
  <c r="AP39" i="1"/>
  <c r="AO39" i="1"/>
  <c r="AM39" i="1"/>
  <c r="AL39" i="1"/>
  <c r="AK39" i="1"/>
  <c r="K39" i="1"/>
  <c r="M39" i="1" s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AB24" i="17"/>
  <c r="Z13" i="17"/>
  <c r="Y13" i="17"/>
  <c r="K6" i="24"/>
  <c r="K5" i="24"/>
  <c r="K5" i="23"/>
  <c r="K6" i="23"/>
  <c r="K221" i="24"/>
  <c r="C209" i="24"/>
  <c r="C106" i="23"/>
  <c r="H10" i="20"/>
  <c r="H11" i="20"/>
  <c r="F11" i="20"/>
  <c r="F10" i="20"/>
  <c r="E11" i="20"/>
  <c r="E10" i="20"/>
  <c r="L7" i="20"/>
  <c r="D5" i="20"/>
  <c r="L7" i="19"/>
  <c r="D5" i="19"/>
  <c r="D24" i="17"/>
  <c r="AR24" i="17"/>
  <c r="X24" i="17"/>
  <c r="T24" i="17"/>
  <c r="P24" i="17"/>
  <c r="L24" i="17"/>
  <c r="H24" i="17"/>
  <c r="C24" i="17"/>
  <c r="AP13" i="17"/>
  <c r="AP14" i="17" s="1"/>
  <c r="AO13" i="17"/>
  <c r="V13" i="17"/>
  <c r="U13" i="17"/>
  <c r="R13" i="17"/>
  <c r="Q13" i="17"/>
  <c r="N13" i="17"/>
  <c r="N14" i="17" s="1"/>
  <c r="M13" i="17"/>
  <c r="J13" i="17"/>
  <c r="J14" i="17" s="1"/>
  <c r="I13" i="17"/>
  <c r="F13" i="17"/>
  <c r="F14" i="17" s="1"/>
  <c r="E13" i="17"/>
  <c r="AR13" i="17"/>
  <c r="AR14" i="17" s="1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BK10" i="1"/>
  <c r="BC12" i="1"/>
  <c r="H14" i="24" s="1"/>
  <c r="J16" i="19" s="1"/>
  <c r="L16" i="19" s="1"/>
  <c r="S11" i="1"/>
  <c r="BH11" i="1"/>
  <c r="B3" i="1"/>
  <c r="B2" i="1"/>
  <c r="E3" i="1"/>
  <c r="B8" i="1"/>
  <c r="D7" i="1"/>
  <c r="B7" i="1"/>
  <c r="B6" i="1"/>
  <c r="D5" i="1"/>
  <c r="B5" i="1"/>
  <c r="M18" i="1"/>
  <c r="H211" i="24"/>
  <c r="J120" i="23"/>
  <c r="J126" i="23"/>
  <c r="J122" i="23"/>
  <c r="J124" i="23"/>
  <c r="J121" i="23"/>
  <c r="T28" i="10"/>
  <c r="M27" i="10"/>
  <c r="H108" i="23"/>
  <c r="J123" i="23"/>
  <c r="J36" i="23"/>
  <c r="J125" i="23"/>
  <c r="J119" i="23"/>
  <c r="AV34" i="1"/>
  <c r="AW34" i="1"/>
  <c r="T37" i="27" l="1"/>
  <c r="K37" i="27"/>
  <c r="Q37" i="27"/>
  <c r="H37" i="27"/>
  <c r="E38" i="27"/>
  <c r="I38" i="27" s="1"/>
  <c r="AY34" i="1"/>
  <c r="AL34" i="1"/>
  <c r="AK34" i="1"/>
  <c r="AM32" i="1"/>
  <c r="AF7" i="26"/>
  <c r="AE1" i="26"/>
  <c r="O10" i="24"/>
  <c r="O124" i="23"/>
  <c r="AQ30" i="1"/>
  <c r="O115" i="24"/>
  <c r="O11" i="21"/>
  <c r="O41" i="23"/>
  <c r="AQ28" i="1"/>
  <c r="AR30" i="1"/>
  <c r="O79" i="24"/>
  <c r="AR32" i="1"/>
  <c r="AR28" i="1"/>
  <c r="AP32" i="1"/>
  <c r="O91" i="23"/>
  <c r="O175" i="24"/>
  <c r="AQ32" i="1"/>
  <c r="O91" i="24"/>
  <c r="I28" i="1"/>
  <c r="BG11" i="1"/>
  <c r="O66" i="23"/>
  <c r="J28" i="1"/>
  <c r="O186" i="24"/>
  <c r="O101" i="24"/>
  <c r="O164" i="24"/>
  <c r="O61" i="24"/>
  <c r="O47" i="23"/>
  <c r="O153" i="24"/>
  <c r="O46" i="24"/>
  <c r="O145" i="24"/>
  <c r="O37" i="24"/>
  <c r="O20" i="24"/>
  <c r="O137" i="24"/>
  <c r="O119" i="23"/>
  <c r="O129" i="24"/>
  <c r="O67" i="24"/>
  <c r="I43" i="20"/>
  <c r="L43" i="20" s="1"/>
  <c r="O121" i="23"/>
  <c r="O78" i="23"/>
  <c r="K77" i="23" s="1"/>
  <c r="O46" i="23"/>
  <c r="O13" i="23"/>
  <c r="O123" i="23"/>
  <c r="O87" i="23"/>
  <c r="O75" i="23"/>
  <c r="K74" i="23" s="1"/>
  <c r="O65" i="23"/>
  <c r="O51" i="23"/>
  <c r="O38" i="23"/>
  <c r="O19" i="23"/>
  <c r="O52" i="23"/>
  <c r="O39" i="23"/>
  <c r="O126" i="23"/>
  <c r="O86" i="23"/>
  <c r="O72" i="23"/>
  <c r="K71" i="23" s="1"/>
  <c r="O64" i="23"/>
  <c r="O56" i="23"/>
  <c r="O50" i="23"/>
  <c r="O37" i="23"/>
  <c r="O17" i="23"/>
  <c r="O90" i="23"/>
  <c r="O59" i="23"/>
  <c r="O122" i="23"/>
  <c r="O85" i="23"/>
  <c r="O69" i="23"/>
  <c r="O63" i="23"/>
  <c r="O36" i="23"/>
  <c r="O29" i="23"/>
  <c r="O16" i="23"/>
  <c r="O94" i="23"/>
  <c r="O82" i="23"/>
  <c r="O62" i="23"/>
  <c r="O55" i="23"/>
  <c r="O49" i="23"/>
  <c r="O35" i="23"/>
  <c r="O28" i="23"/>
  <c r="O15" i="23"/>
  <c r="W13" i="17"/>
  <c r="O120" i="23"/>
  <c r="O93" i="23"/>
  <c r="O81" i="23"/>
  <c r="O68" i="23"/>
  <c r="O61" i="23"/>
  <c r="O54" i="23"/>
  <c r="O48" i="23"/>
  <c r="O43" i="23"/>
  <c r="O34" i="23"/>
  <c r="O26" i="23"/>
  <c r="O12" i="23"/>
  <c r="O125" i="23"/>
  <c r="O92" i="23"/>
  <c r="O67" i="23"/>
  <c r="O60" i="23"/>
  <c r="O53" i="23"/>
  <c r="O42" i="23"/>
  <c r="O33" i="23"/>
  <c r="O22" i="23"/>
  <c r="K21" i="23" s="1"/>
  <c r="O11" i="23"/>
  <c r="L122" i="20"/>
  <c r="L123" i="20"/>
  <c r="L121" i="20"/>
  <c r="S13" i="17"/>
  <c r="O221" i="24"/>
  <c r="O10" i="21"/>
  <c r="O21" i="21"/>
  <c r="AP30" i="1"/>
  <c r="O185" i="24"/>
  <c r="O174" i="24"/>
  <c r="O163" i="24"/>
  <c r="O152" i="24"/>
  <c r="O144" i="24"/>
  <c r="O136" i="24"/>
  <c r="O128" i="24"/>
  <c r="O114" i="24"/>
  <c r="O100" i="24"/>
  <c r="O90" i="24"/>
  <c r="O60" i="24"/>
  <c r="O45" i="24"/>
  <c r="O34" i="24"/>
  <c r="O26" i="24"/>
  <c r="O18" i="24"/>
  <c r="O11" i="24"/>
  <c r="O77" i="24"/>
  <c r="O74" i="24"/>
  <c r="O9" i="21"/>
  <c r="O20" i="21"/>
  <c r="L11" i="20"/>
  <c r="O184" i="24"/>
  <c r="O170" i="24"/>
  <c r="O162" i="24"/>
  <c r="O151" i="24"/>
  <c r="O143" i="24"/>
  <c r="O135" i="24"/>
  <c r="O127" i="24"/>
  <c r="O113" i="24"/>
  <c r="O99" i="24"/>
  <c r="O89" i="24"/>
  <c r="O59" i="24"/>
  <c r="O44" i="24"/>
  <c r="O33" i="24"/>
  <c r="O25" i="24"/>
  <c r="O75" i="24"/>
  <c r="O8" i="21"/>
  <c r="O19" i="21"/>
  <c r="J30" i="1"/>
  <c r="AO30" i="1" s="1"/>
  <c r="O183" i="24"/>
  <c r="O169" i="24"/>
  <c r="O161" i="24"/>
  <c r="O150" i="24"/>
  <c r="O142" i="24"/>
  <c r="O134" i="24"/>
  <c r="O126" i="24"/>
  <c r="O109" i="24"/>
  <c r="O98" i="24"/>
  <c r="O88" i="24"/>
  <c r="O58" i="24"/>
  <c r="O43" i="24"/>
  <c r="O32" i="24"/>
  <c r="O196" i="24"/>
  <c r="O73" i="24"/>
  <c r="O18" i="21"/>
  <c r="AP28" i="1"/>
  <c r="O179" i="24"/>
  <c r="O168" i="24"/>
  <c r="O157" i="24"/>
  <c r="O149" i="24"/>
  <c r="O141" i="24"/>
  <c r="O133" i="24"/>
  <c r="O125" i="24"/>
  <c r="O108" i="24"/>
  <c r="O97" i="24"/>
  <c r="O87" i="24"/>
  <c r="O57" i="24"/>
  <c r="O42" i="24"/>
  <c r="O31" i="24"/>
  <c r="O195" i="24"/>
  <c r="O72" i="24"/>
  <c r="O7" i="21"/>
  <c r="L10" i="20"/>
  <c r="O178" i="24"/>
  <c r="O167" i="24"/>
  <c r="O156" i="24"/>
  <c r="O148" i="24"/>
  <c r="O140" i="24"/>
  <c r="O132" i="24"/>
  <c r="O121" i="24"/>
  <c r="O104" i="24"/>
  <c r="O94" i="24"/>
  <c r="O86" i="24"/>
  <c r="O54" i="24"/>
  <c r="K52" i="24" s="1"/>
  <c r="O41" i="24"/>
  <c r="O29" i="24"/>
  <c r="O15" i="24"/>
  <c r="O194" i="24"/>
  <c r="O83" i="24"/>
  <c r="O71" i="24"/>
  <c r="O6" i="21"/>
  <c r="O17" i="21"/>
  <c r="O177" i="24"/>
  <c r="O166" i="24"/>
  <c r="O155" i="24"/>
  <c r="O147" i="24"/>
  <c r="O139" i="24"/>
  <c r="O131" i="24"/>
  <c r="O120" i="24"/>
  <c r="O103" i="24"/>
  <c r="O93" i="24"/>
  <c r="O64" i="24"/>
  <c r="K56" i="24" s="1"/>
  <c r="O53" i="24"/>
  <c r="O39" i="24"/>
  <c r="O14" i="24"/>
  <c r="O193" i="24"/>
  <c r="O81" i="24"/>
  <c r="O69" i="24"/>
  <c r="O187" i="24"/>
  <c r="O176" i="24"/>
  <c r="O165" i="24"/>
  <c r="O154" i="24"/>
  <c r="O146" i="24"/>
  <c r="O138" i="24"/>
  <c r="O130" i="24"/>
  <c r="O116" i="24"/>
  <c r="O102" i="24"/>
  <c r="O92" i="24"/>
  <c r="O63" i="24"/>
  <c r="O47" i="24"/>
  <c r="O38" i="24"/>
  <c r="O21" i="24"/>
  <c r="O191" i="24"/>
  <c r="O80" i="24"/>
  <c r="O78" i="24"/>
  <c r="O70" i="24"/>
  <c r="O40" i="23"/>
  <c r="O32" i="23"/>
  <c r="O27" i="23"/>
  <c r="O18" i="23"/>
  <c r="O10" i="23"/>
  <c r="O76" i="24"/>
  <c r="O68" i="24"/>
  <c r="O62" i="24"/>
  <c r="O50" i="24"/>
  <c r="K49" i="24" s="1"/>
  <c r="O40" i="24"/>
  <c r="O30" i="24"/>
  <c r="O24" i="24"/>
  <c r="O19" i="24"/>
  <c r="O192" i="24"/>
  <c r="O82" i="24"/>
  <c r="O14" i="23"/>
  <c r="AA13" i="17"/>
  <c r="V14" i="17"/>
  <c r="I5" i="23"/>
  <c r="I5" i="24"/>
  <c r="K124" i="23"/>
  <c r="K126" i="23"/>
  <c r="E6" i="1"/>
  <c r="K119" i="23"/>
  <c r="K120" i="23"/>
  <c r="K121" i="23"/>
  <c r="I6" i="23"/>
  <c r="I6" i="24"/>
  <c r="K122" i="23"/>
  <c r="K123" i="23"/>
  <c r="K125" i="23"/>
  <c r="K36" i="23"/>
  <c r="J194" i="24"/>
  <c r="I188" i="19" s="1"/>
  <c r="L188" i="19" s="1"/>
  <c r="J6" i="21"/>
  <c r="K6" i="21" s="1"/>
  <c r="K13" i="17"/>
  <c r="G13" i="17"/>
  <c r="Z14" i="17"/>
  <c r="O13" i="17"/>
  <c r="K196" i="24"/>
  <c r="K191" i="24"/>
  <c r="J195" i="24"/>
  <c r="I189" i="19" s="1"/>
  <c r="L189" i="19" s="1"/>
  <c r="J169" i="24"/>
  <c r="I166" i="19" s="1"/>
  <c r="L166" i="19" s="1"/>
  <c r="J67" i="24"/>
  <c r="I69" i="19" s="1"/>
  <c r="L69" i="19" s="1"/>
  <c r="J193" i="24"/>
  <c r="I187" i="19" s="1"/>
  <c r="L187" i="19" s="1"/>
  <c r="R14" i="17"/>
  <c r="J192" i="24"/>
  <c r="I186" i="19" s="1"/>
  <c r="L186" i="19" s="1"/>
  <c r="AQ13" i="17"/>
  <c r="AW32" i="1"/>
  <c r="AV32" i="1"/>
  <c r="T38" i="27" l="1"/>
  <c r="K38" i="27"/>
  <c r="Q38" i="27"/>
  <c r="H38" i="27"/>
  <c r="E39" i="27"/>
  <c r="I39" i="27" s="1"/>
  <c r="AT32" i="1"/>
  <c r="AS32" i="1"/>
  <c r="AU32" i="1"/>
  <c r="AM30" i="1"/>
  <c r="AU30" i="1" s="1"/>
  <c r="AG7" i="26"/>
  <c r="AF1" i="26"/>
  <c r="AR14" i="1"/>
  <c r="BF1" i="1"/>
  <c r="AO28" i="1"/>
  <c r="AQ14" i="1"/>
  <c r="K16" i="21"/>
  <c r="K23" i="24"/>
  <c r="K80" i="23"/>
  <c r="K119" i="24"/>
  <c r="K28" i="24"/>
  <c r="K173" i="24"/>
  <c r="K25" i="23"/>
  <c r="K89" i="23"/>
  <c r="K58" i="23"/>
  <c r="K45" i="23"/>
  <c r="AP18" i="1"/>
  <c r="K124" i="24"/>
  <c r="K36" i="24"/>
  <c r="K13" i="24"/>
  <c r="K84" i="23"/>
  <c r="K85" i="24"/>
  <c r="K17" i="24"/>
  <c r="K112" i="24"/>
  <c r="AQ18" i="1"/>
  <c r="K9" i="24"/>
  <c r="K96" i="24"/>
  <c r="K107" i="24"/>
  <c r="BE1" i="1"/>
  <c r="K182" i="24"/>
  <c r="K5" i="21"/>
  <c r="L104" i="20"/>
  <c r="K15" i="3" s="1"/>
  <c r="AR18" i="1"/>
  <c r="AP14" i="1"/>
  <c r="K9" i="23"/>
  <c r="K194" i="24"/>
  <c r="H28" i="1"/>
  <c r="G28" i="1"/>
  <c r="H30" i="1"/>
  <c r="K31" i="23"/>
  <c r="K193" i="24"/>
  <c r="K67" i="24"/>
  <c r="K192" i="24"/>
  <c r="K169" i="24"/>
  <c r="K160" i="24" s="1"/>
  <c r="K195" i="24"/>
  <c r="AW28" i="1"/>
  <c r="AV28" i="1"/>
  <c r="T39" i="27" l="1"/>
  <c r="K39" i="27"/>
  <c r="Q39" i="27"/>
  <c r="H39" i="27"/>
  <c r="E40" i="27"/>
  <c r="I40" i="27" s="1"/>
  <c r="AM28" i="1"/>
  <c r="AT28" i="1" s="1"/>
  <c r="AT30" i="1"/>
  <c r="AS30" i="1"/>
  <c r="AY32" i="1"/>
  <c r="AL32" i="1"/>
  <c r="AH7" i="26"/>
  <c r="AG1" i="26"/>
  <c r="T40" i="27" l="1"/>
  <c r="K40" i="27"/>
  <c r="Q40" i="27"/>
  <c r="H40" i="27"/>
  <c r="E41" i="27"/>
  <c r="I41" i="27" s="1"/>
  <c r="AI7" i="26"/>
  <c r="AH1" i="26"/>
  <c r="AK32" i="1"/>
  <c r="AM14" i="1"/>
  <c r="AO18" i="1"/>
  <c r="AU28" i="1"/>
  <c r="AS28" i="1"/>
  <c r="AO14" i="1"/>
  <c r="J2" i="23"/>
  <c r="L105" i="20" s="1"/>
  <c r="K190" i="24"/>
  <c r="K66" i="24"/>
  <c r="L194" i="19"/>
  <c r="K16" i="3" s="1"/>
  <c r="T41" i="27" l="1"/>
  <c r="K41" i="27"/>
  <c r="Q41" i="27"/>
  <c r="H41" i="27"/>
  <c r="E42" i="27"/>
  <c r="I42" i="27" s="1"/>
  <c r="AJ7" i="26"/>
  <c r="AI1" i="26"/>
  <c r="T42" i="27" l="1"/>
  <c r="K42" i="27"/>
  <c r="Q42" i="27"/>
  <c r="H42" i="27"/>
  <c r="E43" i="27"/>
  <c r="I43" i="27" s="1"/>
  <c r="AK7" i="26"/>
  <c r="AJ1" i="26"/>
  <c r="AV14" i="1"/>
  <c r="T43" i="27" l="1"/>
  <c r="K43" i="27"/>
  <c r="Q43" i="27"/>
  <c r="H43" i="27"/>
  <c r="E44" i="27"/>
  <c r="I44" i="27" s="1"/>
  <c r="AL7" i="26"/>
  <c r="AK1" i="26"/>
  <c r="AK28" i="1"/>
  <c r="AT14" i="1"/>
  <c r="AS14" i="1"/>
  <c r="AU14" i="1"/>
  <c r="AM18" i="1"/>
  <c r="AL28" i="1"/>
  <c r="AY28" i="1"/>
  <c r="J2" i="24"/>
  <c r="L195" i="19" s="1"/>
  <c r="T44" i="27" l="1"/>
  <c r="K44" i="27"/>
  <c r="Q44" i="27"/>
  <c r="H44" i="27"/>
  <c r="E45" i="27"/>
  <c r="I45" i="27" s="1"/>
  <c r="AM7" i="26"/>
  <c r="AL1" i="26"/>
  <c r="AW14" i="1"/>
  <c r="AL14" i="1"/>
  <c r="K13" i="3" s="1"/>
  <c r="AY14" i="1"/>
  <c r="AU18" i="1"/>
  <c r="AT18" i="1"/>
  <c r="AS18" i="1"/>
  <c r="T45" i="27" l="1"/>
  <c r="K45" i="27"/>
  <c r="Q45" i="27"/>
  <c r="H45" i="27"/>
  <c r="E46" i="27"/>
  <c r="I46" i="27" s="1"/>
  <c r="AN7" i="26"/>
  <c r="AM1" i="26"/>
  <c r="BC13" i="1"/>
  <c r="T46" i="27" l="1"/>
  <c r="K46" i="27"/>
  <c r="Q46" i="27"/>
  <c r="H46" i="27"/>
  <c r="E47" i="27"/>
  <c r="I47" i="27" s="1"/>
  <c r="AO7" i="26"/>
  <c r="AN1" i="26"/>
  <c r="T47" i="27" l="1"/>
  <c r="K47" i="27"/>
  <c r="Q47" i="27"/>
  <c r="H47" i="27"/>
  <c r="E48" i="27"/>
  <c r="I48" i="27" s="1"/>
  <c r="AP7" i="26"/>
  <c r="AO1" i="26"/>
  <c r="T48" i="27" l="1"/>
  <c r="K48" i="27"/>
  <c r="Q48" i="27"/>
  <c r="H48" i="27"/>
  <c r="E49" i="27"/>
  <c r="I49" i="27" s="1"/>
  <c r="AQ7" i="26"/>
  <c r="AP1" i="26"/>
  <c r="T49" i="27" l="1"/>
  <c r="K49" i="27"/>
  <c r="Q49" i="27"/>
  <c r="H49" i="27"/>
  <c r="E50" i="27"/>
  <c r="I50" i="27" s="1"/>
  <c r="AR7" i="26"/>
  <c r="AQ1" i="26"/>
  <c r="T50" i="27" l="1"/>
  <c r="K50" i="27"/>
  <c r="Q50" i="27"/>
  <c r="H50" i="27"/>
  <c r="E51" i="27"/>
  <c r="I51" i="27" s="1"/>
  <c r="AS7" i="26"/>
  <c r="AR1" i="26"/>
  <c r="T51" i="27" l="1"/>
  <c r="K51" i="27"/>
  <c r="Q51" i="27"/>
  <c r="H51" i="27"/>
  <c r="E52" i="27"/>
  <c r="I52" i="27" s="1"/>
  <c r="AT7" i="26"/>
  <c r="AS1" i="26"/>
  <c r="T52" i="27" l="1"/>
  <c r="K52" i="27"/>
  <c r="Q52" i="27"/>
  <c r="H52" i="27"/>
  <c r="E53" i="27"/>
  <c r="I53" i="27" s="1"/>
  <c r="AU7" i="26"/>
  <c r="AT1" i="26"/>
  <c r="T53" i="27" l="1"/>
  <c r="K53" i="27"/>
  <c r="Q53" i="27"/>
  <c r="H53" i="27"/>
  <c r="E54" i="27"/>
  <c r="I54" i="27" s="1"/>
  <c r="AV7" i="26"/>
  <c r="AU1" i="26"/>
  <c r="T54" i="27" l="1"/>
  <c r="K54" i="27"/>
  <c r="Q54" i="27"/>
  <c r="H54" i="27"/>
  <c r="E55" i="27"/>
  <c r="I55" i="27" s="1"/>
  <c r="AW7" i="26"/>
  <c r="AV1" i="26"/>
  <c r="T55" i="27" l="1"/>
  <c r="K55" i="27"/>
  <c r="Q55" i="27"/>
  <c r="H55" i="27"/>
  <c r="E56" i="27"/>
  <c r="I56" i="27" s="1"/>
  <c r="AX7" i="26"/>
  <c r="AW1" i="26"/>
  <c r="T56" i="27" l="1"/>
  <c r="K56" i="27"/>
  <c r="Q56" i="27"/>
  <c r="H56" i="27"/>
  <c r="E57" i="27"/>
  <c r="I57" i="27" s="1"/>
  <c r="AY7" i="26"/>
  <c r="AX1" i="26"/>
  <c r="T57" i="27" l="1"/>
  <c r="K57" i="27"/>
  <c r="Q57" i="27"/>
  <c r="H57" i="27"/>
  <c r="E58" i="27"/>
  <c r="I58" i="27" s="1"/>
  <c r="AZ7" i="26"/>
  <c r="AY1" i="26"/>
  <c r="T58" i="27" l="1"/>
  <c r="K58" i="27"/>
  <c r="Q58" i="27"/>
  <c r="H58" i="27"/>
  <c r="E59" i="27"/>
  <c r="I59" i="27" s="1"/>
  <c r="BA7" i="26"/>
  <c r="AZ1" i="26"/>
  <c r="T59" i="27" l="1"/>
  <c r="K59" i="27"/>
  <c r="Q59" i="27"/>
  <c r="H59" i="27"/>
  <c r="E60" i="27"/>
  <c r="I60" i="27" s="1"/>
  <c r="BB7" i="26"/>
  <c r="BA1" i="26"/>
  <c r="T60" i="27" l="1"/>
  <c r="K60" i="27"/>
  <c r="Q60" i="27"/>
  <c r="H60" i="27"/>
  <c r="E61" i="27"/>
  <c r="I61" i="27" s="1"/>
  <c r="BC7" i="26"/>
  <c r="BB1" i="26"/>
  <c r="T61" i="27" l="1"/>
  <c r="K61" i="27"/>
  <c r="Q61" i="27"/>
  <c r="H61" i="27"/>
  <c r="E62" i="27"/>
  <c r="I62" i="27" s="1"/>
  <c r="BD7" i="26"/>
  <c r="BC1" i="26"/>
  <c r="T62" i="27" l="1"/>
  <c r="K62" i="27"/>
  <c r="Q62" i="27"/>
  <c r="H62" i="27"/>
  <c r="E63" i="27"/>
  <c r="I63" i="27" s="1"/>
  <c r="BE7" i="26"/>
  <c r="BD1" i="26"/>
  <c r="T63" i="27" l="1"/>
  <c r="K63" i="27"/>
  <c r="Q63" i="27"/>
  <c r="H63" i="27"/>
  <c r="E64" i="27"/>
  <c r="I64" i="27" s="1"/>
  <c r="BF7" i="26"/>
  <c r="BE1" i="26"/>
  <c r="T64" i="27" l="1"/>
  <c r="K64" i="27"/>
  <c r="Q64" i="27"/>
  <c r="H64" i="27"/>
  <c r="E65" i="27"/>
  <c r="I65" i="27" s="1"/>
  <c r="BG7" i="26"/>
  <c r="BH7" i="26" s="1"/>
  <c r="BI7" i="26" s="1"/>
  <c r="BJ7" i="26" s="1"/>
  <c r="BK7" i="26" s="1"/>
  <c r="BL7" i="26" s="1"/>
  <c r="BM7" i="26" s="1"/>
  <c r="BN7" i="26" s="1"/>
  <c r="BO7" i="26" s="1"/>
  <c r="BP7" i="26" s="1"/>
  <c r="BQ7" i="26" s="1"/>
  <c r="BR7" i="26" s="1"/>
  <c r="BS7" i="26" s="1"/>
  <c r="BT7" i="26" s="1"/>
  <c r="BU7" i="26" s="1"/>
  <c r="BV7" i="26" s="1"/>
  <c r="BW7" i="26" s="1"/>
  <c r="BX7" i="26" s="1"/>
  <c r="BY7" i="26" s="1"/>
  <c r="BZ7" i="26" s="1"/>
  <c r="CA7" i="26" s="1"/>
  <c r="CB7" i="26" s="1"/>
  <c r="CC7" i="26" s="1"/>
  <c r="CD7" i="26" s="1"/>
  <c r="CE7" i="26" s="1"/>
  <c r="BF1" i="26"/>
  <c r="T65" i="27" l="1"/>
  <c r="K65" i="27"/>
  <c r="Q65" i="27"/>
  <c r="H65" i="27"/>
  <c r="E66" i="27"/>
  <c r="I66" i="27" s="1"/>
  <c r="BG1" i="26"/>
  <c r="T66" i="27" l="1"/>
  <c r="K66" i="27"/>
  <c r="Q66" i="27"/>
  <c r="H66" i="27"/>
  <c r="E67" i="27"/>
  <c r="I67" i="27" s="1"/>
  <c r="L15" i="20"/>
  <c r="T67" i="27" l="1"/>
  <c r="K67" i="27"/>
  <c r="Q67" i="27"/>
  <c r="H67" i="27"/>
  <c r="E68" i="27"/>
  <c r="I68" i="27" s="1"/>
  <c r="T68" i="27" l="1"/>
  <c r="K68" i="27"/>
  <c r="Q68" i="27"/>
  <c r="H68" i="27"/>
  <c r="E69" i="27"/>
  <c r="I69" i="27" s="1"/>
  <c r="AW18" i="1"/>
  <c r="AV18" i="1"/>
  <c r="AY18" i="1"/>
  <c r="AL18" i="1"/>
  <c r="T69" i="27" l="1"/>
  <c r="K69" i="27"/>
  <c r="Q69" i="27"/>
  <c r="H69" i="27"/>
  <c r="E70" i="27"/>
  <c r="I70" i="27" s="1"/>
  <c r="K14" i="3"/>
  <c r="BC15" i="1"/>
  <c r="AV30" i="1"/>
  <c r="AW30" i="1"/>
  <c r="T70" i="27" l="1"/>
  <c r="K70" i="27"/>
  <c r="Q70" i="27"/>
  <c r="H70" i="27"/>
  <c r="E71" i="27"/>
  <c r="I71" i="27" s="1"/>
  <c r="AK30" i="1"/>
  <c r="AL30" i="1"/>
  <c r="AY30" i="1"/>
  <c r="T71" i="27" l="1"/>
  <c r="K71" i="27"/>
  <c r="Q71" i="27"/>
  <c r="H71" i="27"/>
  <c r="E72" i="27"/>
  <c r="I72" i="27" s="1"/>
  <c r="T72" i="27" l="1"/>
  <c r="K72" i="27"/>
  <c r="Q72" i="27"/>
  <c r="H72" i="27"/>
  <c r="E73" i="27"/>
  <c r="I73" i="27" s="1"/>
  <c r="T73" i="27" l="1"/>
  <c r="K73" i="27"/>
  <c r="Q73" i="27"/>
  <c r="H73" i="27"/>
  <c r="E74" i="27"/>
  <c r="I74" i="27" s="1"/>
  <c r="T74" i="27" l="1"/>
  <c r="K74" i="27"/>
  <c r="Q74" i="27"/>
  <c r="H74" i="27"/>
  <c r="E75" i="27"/>
  <c r="I75" i="27" s="1"/>
  <c r="T75" i="27" l="1"/>
  <c r="K75" i="27"/>
  <c r="Q75" i="27"/>
  <c r="H75" i="27"/>
  <c r="E76" i="27"/>
  <c r="I76" i="27" s="1"/>
  <c r="T76" i="27" l="1"/>
  <c r="K76" i="27"/>
  <c r="Q76" i="27"/>
  <c r="H76" i="27"/>
  <c r="E77" i="27"/>
  <c r="I77" i="27" s="1"/>
  <c r="T77" i="27" l="1"/>
  <c r="K77" i="27"/>
  <c r="Q77" i="27"/>
  <c r="H77" i="27"/>
  <c r="E78" i="27"/>
  <c r="I78" i="27" s="1"/>
  <c r="T78" i="27" l="1"/>
  <c r="K78" i="27"/>
  <c r="Q78" i="27"/>
  <c r="H78" i="27"/>
  <c r="E79" i="27"/>
  <c r="I79" i="27" s="1"/>
  <c r="T79" i="27" l="1"/>
  <c r="K79" i="27"/>
  <c r="Q79" i="27"/>
  <c r="H79" i="27"/>
  <c r="E80" i="27"/>
  <c r="I80" i="27" s="1"/>
  <c r="T80" i="27" l="1"/>
  <c r="K80" i="27"/>
  <c r="Q80" i="27"/>
  <c r="H80" i="27"/>
  <c r="E81" i="27"/>
  <c r="I81" i="27" s="1"/>
  <c r="T81" i="27" l="1"/>
  <c r="K81" i="27"/>
  <c r="Q81" i="27"/>
  <c r="H81" i="27"/>
  <c r="E82" i="27"/>
  <c r="I82" i="27" s="1"/>
  <c r="T82" i="27" l="1"/>
  <c r="K82" i="27"/>
  <c r="Q82" i="27"/>
  <c r="H82" i="27"/>
  <c r="E83" i="27"/>
  <c r="I83" i="27" s="1"/>
  <c r="T83" i="27" l="1"/>
  <c r="K83" i="27"/>
  <c r="Q83" i="27"/>
  <c r="H83" i="27"/>
  <c r="E84" i="27"/>
  <c r="I84" i="27" s="1"/>
  <c r="T84" i="27" l="1"/>
  <c r="K84" i="27"/>
  <c r="Q84" i="27"/>
  <c r="H84" i="27"/>
  <c r="E85" i="27"/>
  <c r="I85" i="27" s="1"/>
  <c r="T85" i="27" l="1"/>
  <c r="K85" i="27"/>
  <c r="Q85" i="27"/>
  <c r="H85" i="27"/>
  <c r="E86" i="27"/>
  <c r="I86" i="27" s="1"/>
  <c r="T86" i="27" l="1"/>
  <c r="K86" i="27"/>
  <c r="Q86" i="27"/>
  <c r="H86" i="27"/>
  <c r="E87" i="27"/>
  <c r="I87" i="27" s="1"/>
  <c r="K89" i="27" s="1" a="1"/>
  <c r="K89" i="27" s="1"/>
  <c r="I88" i="27" l="1"/>
  <c r="T87" i="27"/>
  <c r="T88" i="27" s="1"/>
  <c r="T90" i="27" s="1"/>
  <c r="S90" i="27" s="1"/>
  <c r="Q87" i="27"/>
  <c r="Q88" i="27" s="1"/>
  <c r="Q90" i="27" s="1"/>
  <c r="P90" i="27" s="1"/>
  <c r="H87" i="27"/>
  <c r="H88" i="27" s="1"/>
  <c r="H90" i="27" s="1"/>
  <c r="G90" i="27" s="1"/>
  <c r="W88" i="27"/>
  <c r="W90" i="27" s="1"/>
  <c r="V90" i="27" s="1"/>
  <c r="N88" i="27"/>
  <c r="N90" i="27" s="1"/>
  <c r="M90" i="27" s="1"/>
  <c r="K87" i="27" l="1"/>
  <c r="K88" i="27" s="1"/>
  <c r="K90" i="27" s="1"/>
  <c r="J90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38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39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0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<sst xmlns="http://schemas.openxmlformats.org/spreadsheetml/2006/main" count="2028" uniqueCount="979">
  <si>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</si>
  <si>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</si>
  <si>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</si>
  <si>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</si>
  <si>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</si>
  <si>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</si>
  <si>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</si>
  <si>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</si>
  <si>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</si>
  <si>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</si>
  <si>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</si>
  <si>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</si>
  <si>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</si>
  <si>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</si>
  <si>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</si>
  <si>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</si>
  <si>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</si>
  <si>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</si>
  <si>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</si>
  <si>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</si>
  <si>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</si>
  <si>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</si>
  <si>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</si>
  <si>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</si>
  <si>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</si>
  <si>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</si>
  <si>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</si>
  <si>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PARKING SHUTTLES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</si>
  <si>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</si>
  <si>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</si>
  <si>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</si>
  <si>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</si>
  <si>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</si>
  <si>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</si>
  <si>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</si>
  <si>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</si>
  <si>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</si>
  <si>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</si>
  <si>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</si>
  <si>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</si>
  <si>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</si>
  <si>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</si>
  <si>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</si>
  <si>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</si>
  <si>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</si>
  <si>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</si>
  <si>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</si>
  <si>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</si>
  <si>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</si>
  <si>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</si>
  <si>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</si>
  <si>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</si>
  <si>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</si>
  <si>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</si>
  <si>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</si>
  <si>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</si>
  <si>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</si>
  <si>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</si>
  <si>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</si>
  <si>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</si>
  <si>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</si>
  <si>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</si>
  <si>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</si>
  <si>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</si>
  <si>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</si>
  <si>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</si>
  <si>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</si>
  <si>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</si>
  <si>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</si>
  <si>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</si>
  <si>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</si>
  <si>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</si>
  <si>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each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</si>
  <si>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</si>
  <si>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</si>
  <si>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</si>
  <si>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</si>
  <si>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</si>
  <si>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</si>
  <si>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</si>
  <si>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</si>
  <si>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BFD Post (signage, gang box, keys, plans, etc. - over 40 stories only)</t>
  </si>
  <si>
    <t>Fire Watch</t>
  </si>
  <si>
    <t>Security</t>
  </si>
  <si>
    <t>MISCELLANEOUS CLEANING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</si>
  <si>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</si>
  <si>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</si>
  <si>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</si>
  <si>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</si>
  <si>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</si>
  <si>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</si>
  <si>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</si>
  <si>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</si>
  <si>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</si>
  <si>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</si>
  <si>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</si>
  <si>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</si>
  <si>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</si>
  <si>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</si>
  <si>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</si>
  <si>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</si>
  <si>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</si>
  <si>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</si>
  <si>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</si>
  <si>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</si>
  <si>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</si>
  <si>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</si>
  <si>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</si>
  <si>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</si>
  <si>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</si>
  <si>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</si>
  <si>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</si>
  <si>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</si>
  <si>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</si>
  <si>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</si>
  <si>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</si>
  <si>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SCCI Costs: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</si>
  <si>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</si>
  <si>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</si>
  <si>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</si>
  <si>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</si>
  <si>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</si>
  <si>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</si>
  <si>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</si>
  <si>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</si>
  <si>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</si>
  <si>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</si>
  <si>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</si>
  <si>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</si>
  <si>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</si>
  <si>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</si>
  <si>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</si>
  <si>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</si>
  <si>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</si>
  <si>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</si>
  <si>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</si>
  <si>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</si>
  <si>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</si>
  <si>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</si>
  <si>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</si>
  <si>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</si>
  <si>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</si>
  <si>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</si>
  <si>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</si>
  <si>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</si>
  <si>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</si>
  <si>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</si>
  <si>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</si>
  <si>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</si>
  <si>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</si>
  <si>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</si>
  <si>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</si>
  <si>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</si>
  <si>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</si>
  <si>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</si>
  <si>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</si>
  <si>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</si>
  <si>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</si>
  <si>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</si>
  <si>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</si>
  <si>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</si>
  <si>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</si>
  <si>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</si>
  <si>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</si>
  <si>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</si>
  <si>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</si>
  <si>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</si>
  <si>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</si>
  <si>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</si>
  <si>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</si>
  <si>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</si>
  <si>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</si>
  <si>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</si>
  <si>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</si>
  <si>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</si>
  <si>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</si>
  <si>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</si>
  <si>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</si>
  <si>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</si>
  <si>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</si>
  <si>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</si>
  <si>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</si>
  <si>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</si>
  <si>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</si>
  <si>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</si>
  <si>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</si>
  <si>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</si>
  <si>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</si>
  <si>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</si>
  <si>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</si>
  <si>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</si>
  <si>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</si>
  <si>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</si>
  <si>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</si>
  <si>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</si>
  <si>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</si>
  <si>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</si>
  <si>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</si>
  <si>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</si>
  <si>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</si>
  <si>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</si>
  <si>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</si>
  <si>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months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</si>
  <si>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</si>
  <si>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</si>
  <si>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</si>
  <si>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</si>
  <si>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</si>
  <si>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</si>
  <si>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</si>
  <si>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</si>
  <si>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</si>
  <si>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</si>
  <si>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</si>
  <si>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</si>
  <si>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</si>
  <si>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</si>
  <si>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</si>
  <si>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</si>
  <si>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</si>
  <si>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</si>
  <si>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</si>
  <si>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</si>
  <si>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</si>
  <si>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</si>
  <si>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</si>
  <si>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</si>
  <si>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</si>
  <si>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</si>
  <si>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</si>
  <si>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</si>
  <si>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</si>
  <si>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</si>
  <si>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</si>
  <si>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</si>
  <si>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</si>
  <si>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</si>
  <si>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</si>
  <si>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</si>
  <si>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</si>
  <si>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</si>
  <si>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</si>
  <si>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</si>
  <si>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</si>
  <si>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</si>
  <si>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</si>
  <si>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</si>
  <si>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</si>
  <si>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</si>
  <si>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</si>
  <si>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</si>
  <si>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</si>
  <si>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</si>
  <si>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</si>
  <si>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</si>
  <si>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</si>
  <si>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</si>
  <si>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</si>
  <si>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</si>
  <si>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</si>
  <si>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</si>
  <si>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</si>
  <si>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</si>
  <si>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</si>
  <si>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</si>
  <si>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</si>
  <si>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</si>
  <si>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</si>
  <si>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</si>
  <si>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</si>
  <si>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</si>
  <si>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</si>
  <si>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</si>
  <si>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</si>
  <si>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</si>
  <si>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</si>
  <si>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</si>
  <si>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</si>
  <si>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</si>
  <si>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</si>
  <si>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</si>
  <si>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</si>
  <si>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</si>
  <si>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</si>
  <si>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</si>
  <si>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</si>
  <si>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</si>
  <si>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</si>
  <si>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</si>
  <si>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</si>
  <si>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</si>
  <si>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</si>
  <si>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</si>
  <si>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</si>
  <si>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</si>
  <si>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</si>
  <si>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</si>
  <si>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</si>
  <si>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</si>
  <si>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</si>
  <si>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</si>
  <si>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</si>
  <si>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</si>
  <si>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</si>
  <si>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</si>
  <si>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</si>
  <si>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</si>
  <si>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</si>
  <si>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</si>
  <si>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</si>
  <si>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</si>
  <si>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</si>
  <si>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</si>
  <si>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</si>
  <si>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</si>
  <si>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</si>
  <si>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</si>
  <si>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</si>
  <si>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</si>
  <si>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</si>
  <si>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</si>
  <si>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</si>
  <si>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</si>
  <si>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</si>
  <si>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</si>
  <si>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</si>
  <si>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</si>
  <si>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Rates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</si>
  <si>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</si>
  <si>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</si>
  <si>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</si>
  <si>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</si>
  <si>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</si>
  <si>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</si>
  <si>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</si>
  <si>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</si>
  <si>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</si>
  <si>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</si>
  <si>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</si>
  <si>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</si>
  <si>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</si>
  <si>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</si>
  <si>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</si>
  <si>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</si>
  <si>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</si>
  <si>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</si>
  <si>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</si>
  <si>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</si>
  <si>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</si>
  <si>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</si>
  <si>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</si>
  <si>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</si>
  <si>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</si>
  <si>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</si>
  <si>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</si>
  <si>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</si>
  <si>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</si>
  <si>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</si>
  <si>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</si>
  <si>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</si>
  <si>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</si>
  <si>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</si>
  <si>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</si>
  <si>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</si>
  <si>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</si>
  <si>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</si>
  <si>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</si>
  <si>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</si>
  <si>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</si>
  <si>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</si>
  <si>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</si>
  <si>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Safety</t>
  </si>
  <si>
    <t>Police</t>
  </si>
  <si>
    <t>Cleaning</t>
  </si>
  <si>
    <t>Winter Cond</t>
  </si>
  <si>
    <t>Hours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</si>
  <si>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</si>
  <si>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</si>
  <si>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</si>
  <si>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</si>
  <si>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</si>
  <si>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</si>
  <si>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</si>
  <si>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</si>
  <si>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</si>
  <si>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Schedule Item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</si>
  <si>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</si>
  <si>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</si>
  <si>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</si>
  <si>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</si>
  <si>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</si>
  <si>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</si>
  <si>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</si>
  <si>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</si>
  <si>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</si>
  <si>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</si>
  <si>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</si>
  <si>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</si>
  <si>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</si>
  <si>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</si>
  <si>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</si>
  <si>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</si>
  <si>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</si>
  <si>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</si>
  <si>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</si>
  <si>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</si>
  <si>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</si>
  <si>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</si>
  <si>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</si>
  <si>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</si>
  <si>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</si>
  <si>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</si>
  <si>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</si>
  <si>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</si>
  <si>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</si>
  <si>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</si>
  <si>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</si>
  <si>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</si>
  <si>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</si>
  <si>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</si>
  <si>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</si>
  <si>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</si>
  <si>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</si>
  <si>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</si>
  <si>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Carry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</si>
  <si>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</si>
  <si>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</si>
  <si>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</si>
  <si>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</si>
  <si>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</si>
  <si>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</si>
  <si>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</si>
  <si>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</si>
  <si>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Shanty Portection - NYC Sprinkler Kit (not required yet - over 40 stories only)</t>
  </si>
  <si>
    <t>Creation of Temp. Fire Protection Plan (over 40 stories only)</t>
  </si>
  <si>
    <t>Misc. Safety Supplies (hard hats, safety glasses, harnesses, etc)</t>
  </si>
  <si>
    <t>SECURITY &amp; WATCHES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</si>
  <si>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</si>
  <si>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</si>
  <si>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</si>
  <si>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</si>
  <si>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</si>
  <si>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</si>
  <si>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</si>
  <si>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</si>
  <si>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</si>
  <si>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</si>
  <si>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</si>
  <si>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</si>
  <si>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</si>
  <si>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</si>
  <si>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</si>
  <si>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</si>
  <si>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</si>
  <si>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</si>
  <si>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</si>
  <si>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</si>
  <si>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</si>
  <si>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</si>
  <si>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</si>
  <si>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</si>
  <si>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</si>
  <si>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</si>
  <si>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</si>
  <si>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</si>
  <si>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</si>
  <si>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</si>
  <si>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</si>
  <si>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</si>
  <si>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</si>
  <si>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</si>
  <si>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</si>
  <si>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</si>
  <si>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Windscreen/Scrim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</si>
  <si>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</si>
  <si>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</si>
  <si>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</si>
  <si>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</si>
  <si>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</si>
  <si>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</si>
  <si>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</si>
  <si>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</si>
  <si>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</si>
  <si>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</si>
  <si>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</si>
  <si>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</si>
  <si>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</si>
  <si>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</si>
  <si>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</si>
  <si>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</si>
  <si>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</si>
  <si>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</si>
  <si>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</si>
  <si>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</si>
  <si>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</si>
  <si>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</si>
  <si>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</si>
  <si>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</si>
  <si>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</si>
  <si>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</si>
  <si>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</si>
  <si>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</si>
  <si>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</si>
  <si>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</si>
  <si>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</si>
  <si>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</si>
  <si>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011100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</si>
  <si>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</si>
  <si>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</si>
  <si>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</si>
  <si>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</si>
  <si>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</si>
  <si>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</si>
  <si>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</si>
  <si>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</si>
  <si>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</si>
  <si>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</si>
  <si>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</si>
  <si>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</si>
  <si>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</si>
  <si>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</si>
  <si>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</si>
  <si>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</si>
  <si>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</si>
  <si>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</si>
  <si>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</si>
  <si>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</si>
  <si>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</si>
  <si>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</si>
  <si>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</si>
  <si>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</si>
  <si>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</si>
  <si>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</si>
  <si>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</si>
  <si>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</si>
  <si>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</si>
  <si>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</si>
  <si>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</si>
  <si>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</si>
  <si>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</si>
  <si>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</si>
  <si>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</si>
  <si>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</si>
  <si>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</si>
  <si>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</si>
  <si>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</si>
  <si>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</si>
  <si>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</si>
  <si>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</si>
  <si>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</si>
  <si>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</si>
  <si>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</si>
  <si>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</si>
  <si>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</si>
  <si>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</si>
  <si>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</si>
  <si>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</si>
  <si>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</si>
  <si>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</si>
  <si>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</si>
  <si>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</si>
  <si>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</si>
  <si>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</si>
  <si>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</si>
  <si>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</si>
  <si>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</si>
  <si>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</si>
  <si>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</si>
  <si>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</si>
  <si>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</si>
  <si>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</si>
  <si>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</si>
  <si>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</si>
  <si>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</si>
  <si>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</si>
  <si>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</si>
  <si>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</si>
  <si>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</si>
  <si>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</si>
  <si>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</si>
  <si>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</si>
  <si>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</si>
  <si>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</si>
  <si>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</si>
  <si>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</si>
  <si>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</si>
  <si>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</si>
  <si>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</si>
  <si>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</si>
  <si>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</si>
  <si>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</si>
  <si>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</si>
  <si>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</si>
  <si>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</si>
  <si>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</si>
  <si>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</si>
  <si>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</si>
  <si>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</si>
  <si>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</si>
  <si>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</si>
  <si>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</si>
  <si>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</si>
  <si>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</si>
  <si>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</si>
  <si>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</si>
  <si>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</si>
  <si>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</si>
  <si>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</si>
  <si>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</si>
  <si>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</si>
  <si>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</si>
  <si>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</si>
  <si>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</si>
  <si>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</si>
  <si>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</si>
  <si>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</si>
  <si>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</si>
  <si>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</si>
  <si>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</si>
  <si>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</si>
  <si>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</si>
  <si>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</si>
  <si>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</si>
  <si>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</si>
  <si>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</si>
  <si>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</si>
  <si>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</si>
  <si>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</si>
  <si>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</si>
  <si>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</si>
  <si>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</si>
  <si>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</si>
  <si>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</si>
  <si>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</si>
  <si>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</si>
  <si>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</si>
  <si>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</si>
  <si>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</si>
  <si>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</si>
  <si>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</si>
  <si>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</si>
  <si>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</si>
  <si>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</si>
  <si>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</si>
  <si>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</si>
  <si>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</si>
  <si>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</si>
  <si>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</si>
  <si>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</si>
  <si>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</si>
  <si>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</si>
  <si>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</si>
  <si>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</si>
  <si>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</si>
  <si>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</si>
  <si>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</si>
  <si>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</si>
  <si>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</si>
  <si>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</si>
  <si>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</si>
  <si>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</si>
  <si>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</si>
  <si>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</si>
  <si>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</si>
  <si>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</si>
  <si>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</si>
  <si>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</si>
  <si>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</si>
  <si>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</si>
  <si>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</si>
  <si>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</si>
  <si>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</si>
  <si>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</si>
  <si>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</si>
  <si>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</si>
  <si>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</si>
  <si>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</si>
  <si>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</si>
  <si>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</si>
  <si>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</si>
  <si>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</si>
  <si>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</si>
  <si>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</si>
  <si>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</si>
  <si>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</si>
  <si>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</si>
  <si>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</si>
  <si>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</si>
  <si>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</si>
  <si>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</si>
  <si>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</si>
  <si>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</si>
  <si>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</si>
  <si>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</si>
  <si>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</si>
  <si>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</si>
  <si>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</si>
  <si>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</si>
  <si>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</si>
  <si>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</si>
  <si>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</si>
  <si>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</si>
  <si>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</si>
  <si>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</si>
  <si>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</si>
  <si>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</si>
  <si>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</si>
  <si>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</si>
  <si>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</si>
  <si>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</si>
  <si>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</si>
  <si>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</si>
  <si>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</si>
  <si>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</si>
  <si>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</si>
  <si>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</si>
  <si>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</si>
  <si>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</si>
  <si>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</si>
  <si>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</si>
  <si>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</si>
  <si>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</si>
  <si>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</si>
  <si>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</si>
  <si>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</si>
  <si>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</si>
  <si>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</si>
  <si>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</si>
  <si>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</si>
  <si>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</si>
  <si>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</si>
  <si>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</si>
  <si>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</si>
  <si>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</si>
  <si>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</si>
  <si>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</si>
  <si>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</si>
  <si>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</si>
  <si>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</si>
  <si>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</si>
  <si>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</si>
  <si>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</si>
  <si>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</si>
  <si>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</si>
  <si>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</si>
  <si>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</si>
  <si>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</si>
  <si>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</si>
  <si>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</si>
  <si>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</si>
  <si>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</si>
  <si>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</si>
  <si>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</si>
  <si>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</si>
  <si>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</si>
  <si>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</si>
  <si>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</si>
  <si>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</si>
  <si>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</si>
  <si>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</si>
  <si>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</si>
  <si>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</si>
  <si>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</si>
  <si>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</si>
  <si>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</si>
  <si>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</si>
  <si>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</si>
  <si>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</si>
  <si>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</si>
  <si>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</si>
  <si>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</si>
  <si>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</si>
  <si>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</si>
  <si>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</si>
  <si>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</si>
  <si>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</si>
  <si>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</si>
  <si>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</si>
  <si>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</si>
  <si>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</si>
  <si>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</si>
  <si>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</si>
  <si>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</si>
  <si>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</si>
  <si>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</si>
  <si>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</si>
  <si>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</si>
  <si>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</si>
  <si>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</si>
  <si>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</si>
  <si>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</si>
  <si>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</si>
  <si>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</si>
  <si>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</si>
  <si>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</si>
  <si>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</si>
  <si>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</si>
  <si>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</si>
  <si>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</si>
  <si>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</si>
  <si>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</si>
  <si>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</si>
  <si>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</si>
  <si>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</si>
  <si>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</si>
  <si>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</si>
  <si>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</si>
  <si>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</si>
  <si>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</si>
  <si>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</si>
  <si>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</si>
  <si>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</si>
  <si>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</si>
  <si>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</si>
  <si>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</si>
  <si>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</si>
  <si>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</si>
  <si>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</si>
  <si>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</si>
  <si>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</si>
  <si>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</si>
  <si>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</si>
  <si>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</si>
  <si>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</si>
  <si>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</si>
  <si>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</si>
  <si>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</si>
  <si>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</si>
  <si>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</si>
  <si>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</si>
  <si>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</si>
  <si>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</si>
  <si>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</si>
  <si>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</si>
  <si>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</si>
  <si>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</si>
  <si>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</si>
  <si>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</si>
  <si>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</si>
  <si>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</si>
  <si>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</si>
  <si>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</si>
  <si>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</si>
  <si>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</si>
  <si>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</si>
  <si>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</si>
  <si>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</si>
  <si>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</si>
  <si>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</si>
  <si>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</si>
  <si>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</si>
  <si>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</si>
  <si>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</si>
  <si>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</si>
  <si>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</si>
  <si>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</si>
  <si>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</si>
  <si>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</si>
  <si>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</si>
  <si>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</si>
  <si>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</si>
  <si>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</si>
  <si>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</si>
  <si>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</si>
  <si>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</si>
  <si>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</si>
  <si>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</si>
  <si>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</si>
  <si>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</si>
  <si>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</si>
  <si>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</si>
  <si>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</si>
  <si>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</si>
  <si>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</si>
  <si>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</si>
  <si>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</si>
  <si>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</si>
  <si>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</si>
  <si>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</si>
  <si>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</si>
  <si>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</si>
  <si>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</si>
  <si>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</si>
  <si>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</si>
  <si>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</si>
  <si>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</si>
  <si>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</si>
  <si>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</si>
  <si>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</si>
  <si>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</si>
  <si>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</si>
  <si>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</si>
  <si>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</si>
  <si>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</si>
  <si>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</si>
  <si>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</si>
  <si>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</si>
  <si>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</si>
  <si>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</si>
  <si>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</si>
  <si>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</si>
  <si>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</si>
  <si>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</si>
  <si>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</si>
  <si>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</si>
  <si>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</si>
  <si>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</si>
  <si>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</si>
  <si>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</si>
  <si>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</si>
  <si>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</si>
  <si>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</si>
  <si>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</si>
  <si>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</si>
  <si>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</si>
  <si>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</si>
  <si>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</si>
  <si>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</si>
  <si>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</si>
  <si>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</si>
  <si>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</si>
  <si>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</si>
  <si>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</si>
  <si>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</si>
  <si>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</si>
  <si>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</si>
  <si>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</si>
  <si>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</si>
  <si>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</si>
  <si>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</si>
  <si>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</si>
  <si>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</si>
  <si>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</si>
  <si>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</si>
  <si>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</si>
  <si>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</si>
  <si>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</si>
  <si>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</si>
  <si>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</si>
  <si>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</si>
  <si>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</si>
  <si>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</si>
  <si>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</si>
  <si>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</si>
  <si>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</si>
  <si>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011000</t>
  </si>
  <si>
    <t>012100</t>
  </si>
  <si>
    <t>014100</t>
  </si>
  <si>
    <t>017100</t>
  </si>
  <si>
    <t>016100</t>
  </si>
  <si>
    <t>018100</t>
  </si>
  <si>
    <t>dp</t>
  </si>
  <si>
    <t>Finish?</t>
  </si>
  <si>
    <t>Start?</t>
  </si>
  <si>
    <t>Phase Start</t>
  </si>
  <si>
    <t>Phase Finish</t>
  </si>
  <si>
    <t>SUBTOTAL</t>
  </si>
  <si>
    <t>Missing</t>
  </si>
  <si>
    <t>Start Week</t>
  </si>
  <si>
    <t>Foreman</t>
  </si>
  <si>
    <t>TOTALS</t>
  </si>
  <si>
    <t>LABOR ITEMS</t>
  </si>
  <si>
    <t>\est</t>
  </si>
  <si>
    <t>s</t>
  </si>
  <si>
    <t>Add Phase Here:</t>
  </si>
  <si>
    <t>Lag</t>
  </si>
  <si>
    <t>Pred</t>
  </si>
  <si>
    <t>% Work</t>
  </si>
  <si>
    <t>DT Ratio: 1.5</t>
  </si>
  <si>
    <t>Clean-Up Labor</t>
  </si>
  <si>
    <t>Labor Steward</t>
  </si>
  <si>
    <t>Carpenter Steward</t>
  </si>
  <si>
    <t>OT</t>
  </si>
  <si>
    <t>Laborer</t>
  </si>
  <si>
    <t>Laborer Foreman</t>
  </si>
  <si>
    <t>Carpenter Foreman</t>
  </si>
  <si>
    <t>OT Ratio: 1.27</t>
  </si>
  <si>
    <t>Safety &amp; Carpentry</t>
  </si>
  <si>
    <t>CAjoku	ScheduleMod	RemoveMergeSection	Object variable or With block variable not set	91	GCGR_CodeNEWPENDING.xlsm	8/7/2018 3:13:01 PM_x000D_
CAjoku	GanttMod	recordState	Type mismatch	13	GCGR_CodeNEWPENDING.xlsm	8/7/2018 3:13:02 PM_x000D_
CAjoku	ScheduleMod	RemoveMergeSection	Object variable or With block variable not set	91	GCGR_CodeNEWPENDING.xlsm	8/7/2018 3:13:06 PM_x000D_
CAjoku	GanttMod	recordState	Type mismatch	13	GCGR_CodeNEWPENDING.xlsm	8/7/2018 3:13:06 PM_x000D_
CAjoku	ScheduleMod	RemoveMergeSection	Object variable or With block variable not set	91	GCGR_CodeNEWPENDING.xlsm	8/7/2018 3:13:07 PM_x000D_
CAjoku	GanttMod	recordState	Type mismatch	13	GCGR_CodeNEWPENDING.xlsm	8/7/2018 3:13:08 PM_x000D_
CAjoku	ScheduleMod	RemoveMergeSection	Object variable or With block variable not set	91	GCGR_CodeNEWPENDING.xlsm	8/7/2018 3:13:09 PM_x000D_
CAjoku	GanttMod	recordState	Type mismatch	13	GCGR_CodeNEWPENDING.xlsm	8/7/2018 3:13:10 PM_x000D_
CAjoku	ScheduleMod	RemoveMergeSection	Object variable or With block variable not set	91	GCGR_CodeNEWPENDING.xlsm	8/7/2018 3:13:11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</si>
</sst>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20"/>
      <color theme="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3" tint="-0.249977111117893"/>
      <name val="Verdana"/>
      <family val="2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3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34998626667073579"/>
      </top>
      <bottom style="thin">
        <color indexed="64"/>
      </bottom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 style="medium">
        <color rgb="FF002C77"/>
      </left>
      <right/>
      <top style="medium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 style="medium">
        <color rgb="FF002C77"/>
      </right>
      <top/>
      <bottom style="medium">
        <color rgb="FF002C77"/>
      </bottom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4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1" fillId="0" borderId="0"/>
  </cellStyleXfs>
  <cellXfs count="735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22" fontId="0" fillId="0" borderId="0" xfId="0" applyNumberFormat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4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13" borderId="0" xfId="0" applyFill="1"/>
    <xf numFmtId="0" fontId="0" fillId="6" borderId="10" xfId="0" applyFill="1" applyBorder="1"/>
    <xf numFmtId="0" fontId="0" fillId="6" borderId="0" xfId="0" applyFill="1" applyBorder="1"/>
    <xf numFmtId="0" fontId="0" fillId="13" borderId="0" xfId="0" applyFill="1" applyBorder="1"/>
    <xf numFmtId="0" fontId="11" fillId="14" borderId="0" xfId="0" applyFont="1" applyFill="1" applyAlignment="1">
      <alignment horizontal="center"/>
    </xf>
    <xf numFmtId="0" fontId="0" fillId="15" borderId="65" xfId="0" applyFill="1" applyBorder="1"/>
    <xf numFmtId="0" fontId="0" fillId="15" borderId="0" xfId="0" applyFill="1" applyBorder="1"/>
    <xf numFmtId="0" fontId="0" fillId="13" borderId="64" xfId="0" applyFill="1" applyBorder="1"/>
    <xf numFmtId="0" fontId="43" fillId="2" borderId="0" xfId="0" applyNumberFormat="1" applyFont="1" applyFill="1" applyBorder="1"/>
    <xf numFmtId="0" fontId="23" fillId="2" borderId="0" xfId="0" applyFont="1" applyFill="1"/>
    <xf numFmtId="0" fontId="43" fillId="5" borderId="0" xfId="0" applyNumberFormat="1" applyFont="1" applyFill="1" applyBorder="1"/>
    <xf numFmtId="0" fontId="23" fillId="5" borderId="0" xfId="0" applyFont="1" applyFill="1"/>
    <xf numFmtId="0" fontId="43" fillId="5" borderId="28" xfId="0" applyNumberFormat="1" applyFont="1" applyFill="1" applyBorder="1"/>
    <xf numFmtId="0" fontId="23" fillId="5" borderId="28" xfId="0" applyFont="1" applyFill="1" applyBorder="1"/>
    <xf numFmtId="0" fontId="21" fillId="6" borderId="0" xfId="0" applyNumberFormat="1" applyFont="1" applyFill="1" applyBorder="1"/>
    <xf numFmtId="0" fontId="2" fillId="5" borderId="25" xfId="0" applyFont="1" applyFill="1" applyBorder="1"/>
    <xf numFmtId="0" fontId="2" fillId="6" borderId="0" xfId="0" applyFont="1" applyFill="1" applyAlignment="1">
      <alignment horizontal="centerContinuous"/>
    </xf>
    <xf numFmtId="0" fontId="45" fillId="16" borderId="0" xfId="0" applyNumberFormat="1" applyFont="1" applyFill="1" applyBorder="1" applyAlignment="1">
      <alignment horizontal="centerContinuous" vertical="center"/>
    </xf>
    <xf numFmtId="0" fontId="21" fillId="16" borderId="0" xfId="0" applyNumberFormat="1" applyFont="1" applyFill="1" applyBorder="1" applyAlignment="1">
      <alignment horizontal="centerContinuous"/>
    </xf>
    <xf numFmtId="0" fontId="44" fillId="16" borderId="0" xfId="0" applyNumberFormat="1" applyFont="1" applyFill="1" applyAlignment="1">
      <alignment horizontal="centerContinuous"/>
    </xf>
    <xf numFmtId="0" fontId="21" fillId="16" borderId="0" xfId="0" applyNumberFormat="1" applyFont="1" applyFill="1" applyBorder="1"/>
    <xf numFmtId="181" fontId="46" fillId="16" borderId="0" xfId="0" applyNumberFormat="1" applyFont="1" applyFill="1" applyBorder="1" applyAlignment="1">
      <alignment horizontal="center"/>
    </xf>
    <xf numFmtId="0" fontId="46" fillId="16" borderId="0" xfId="0" applyNumberFormat="1" applyFont="1" applyFill="1" applyBorder="1" applyAlignment="1">
      <alignment horizontal="center"/>
    </xf>
    <xf numFmtId="0" fontId="21" fillId="16" borderId="0" xfId="0" applyNumberFormat="1" applyFont="1" applyFill="1" applyBorder="1" applyProtection="1">
      <protection locked="0"/>
    </xf>
    <xf numFmtId="0" fontId="47" fillId="16" borderId="0" xfId="0" applyNumberFormat="1" applyFont="1" applyFill="1" applyBorder="1" applyProtection="1">
      <protection locked="0"/>
    </xf>
    <xf numFmtId="0" fontId="47" fillId="16" borderId="0" xfId="0" applyNumberFormat="1" applyFont="1" applyFill="1" applyBorder="1" applyAlignment="1" applyProtection="1">
      <alignment horizontal="center"/>
      <protection locked="0"/>
    </xf>
    <xf numFmtId="176" fontId="48" fillId="16" borderId="0" xfId="0" applyNumberFormat="1" applyFont="1" applyFill="1" applyBorder="1" applyAlignment="1" applyProtection="1">
      <alignment horizontal="right"/>
      <protection locked="0"/>
    </xf>
    <xf numFmtId="176" fontId="49" fillId="16" borderId="0" xfId="0" applyNumberFormat="1" applyFont="1" applyFill="1" applyBorder="1" applyAlignment="1" applyProtection="1">
      <alignment horizontal="right"/>
      <protection locked="0"/>
    </xf>
    <xf numFmtId="0" fontId="49" fillId="16" borderId="0" xfId="0" applyNumberFormat="1" applyFont="1" applyFill="1" applyAlignment="1" applyProtection="1">
      <alignment horizontal="centerContinuous"/>
      <protection locked="0"/>
    </xf>
    <xf numFmtId="0" fontId="49" fillId="16" borderId="0" xfId="0" applyNumberFormat="1" applyFont="1" applyFill="1" applyBorder="1" applyAlignment="1" applyProtection="1">
      <alignment horizontal="right" indent="1"/>
      <protection locked="0"/>
    </xf>
    <xf numFmtId="0" fontId="48" fillId="16" borderId="0" xfId="0" applyNumberFormat="1" applyFont="1" applyFill="1" applyBorder="1" applyAlignment="1" applyProtection="1">
      <alignment horizontal="left" indent="1"/>
      <protection locked="0"/>
    </xf>
    <xf numFmtId="169" fontId="48" fillId="16" borderId="0" xfId="0" applyNumberFormat="1" applyFont="1" applyFill="1" applyBorder="1" applyProtection="1">
      <protection locked="0"/>
    </xf>
    <xf numFmtId="10" fontId="48" fillId="16" borderId="0" xfId="0" applyNumberFormat="1" applyFont="1" applyFill="1" applyBorder="1" applyProtection="1">
      <protection locked="0"/>
    </xf>
    <xf numFmtId="7" fontId="48" fillId="16" borderId="0" xfId="0" applyNumberFormat="1" applyFont="1" applyFill="1" applyBorder="1" applyAlignment="1" applyProtection="1">
      <alignment horizontal="right" indent="1"/>
      <protection locked="0"/>
    </xf>
    <xf numFmtId="37" fontId="48" fillId="16" borderId="0" xfId="0" applyNumberFormat="1" applyFont="1" applyFill="1" applyBorder="1" applyProtection="1">
      <protection locked="0"/>
    </xf>
    <xf numFmtId="1" fontId="48" fillId="16" borderId="0" xfId="0" applyNumberFormat="1" applyFont="1" applyFill="1" applyBorder="1" applyProtection="1">
      <protection locked="0"/>
    </xf>
    <xf numFmtId="7" fontId="48" fillId="16" borderId="0" xfId="0" applyNumberFormat="1" applyFont="1" applyFill="1" applyBorder="1" applyProtection="1">
      <protection locked="0"/>
    </xf>
    <xf numFmtId="0" fontId="48" fillId="16" borderId="0" xfId="0" applyNumberFormat="1" applyFont="1" applyFill="1" applyBorder="1"/>
    <xf numFmtId="169" fontId="48" fillId="16" borderId="0" xfId="0" applyNumberFormat="1" applyFont="1" applyFill="1" applyBorder="1"/>
    <xf numFmtId="10" fontId="48" fillId="16" borderId="0" xfId="0" applyNumberFormat="1" applyFont="1" applyFill="1" applyBorder="1"/>
    <xf numFmtId="7" fontId="48" fillId="16" borderId="0" xfId="0" applyNumberFormat="1" applyFont="1" applyFill="1" applyBorder="1"/>
    <xf numFmtId="1" fontId="48" fillId="16" borderId="0" xfId="0" applyNumberFormat="1" applyFont="1" applyFill="1" applyBorder="1"/>
    <xf numFmtId="37" fontId="48" fillId="16" borderId="0" xfId="0" applyNumberFormat="1" applyFont="1" applyFill="1" applyBorder="1"/>
    <xf numFmtId="0" fontId="50" fillId="16" borderId="0" xfId="0" applyNumberFormat="1" applyFont="1" applyFill="1" applyBorder="1"/>
    <xf numFmtId="0" fontId="45" fillId="16" borderId="0" xfId="0" applyNumberFormat="1" applyFont="1" applyFill="1" applyBorder="1"/>
    <xf numFmtId="1" fontId="45" fillId="16" borderId="0" xfId="0" applyNumberFormat="1" applyFont="1" applyFill="1" applyBorder="1"/>
    <xf numFmtId="37" fontId="50" fillId="16" borderId="0" xfId="0" applyNumberFormat="1" applyFont="1" applyFill="1" applyBorder="1"/>
    <xf numFmtId="0" fontId="51" fillId="5" borderId="0" xfId="0" applyFont="1" applyFill="1" applyBorder="1"/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0" fontId="2" fillId="6" borderId="71" xfId="0" applyFont="1" applyFill="1" applyBorder="1" applyProtection="1">
      <protection locked="0"/>
    </xf>
    <xf numFmtId="0" fontId="2" fillId="6" borderId="72" xfId="0" applyFont="1" applyFill="1" applyBorder="1" applyProtection="1">
      <protection locked="0"/>
    </xf>
    <xf numFmtId="9" fontId="48" fillId="16" borderId="0" xfId="0" applyNumberFormat="1" applyFont="1" applyFill="1" applyBorder="1" applyProtection="1">
      <protection locked="0"/>
    </xf>
    <xf numFmtId="3" fontId="48" fillId="16" borderId="0" xfId="0" applyNumberFormat="1" applyFont="1" applyFill="1" applyBorder="1" applyAlignment="1" applyProtection="1">
      <alignment horizontal="right"/>
      <protection locked="0"/>
    </xf>
    <xf numFmtId="1" fontId="48" fillId="16" borderId="0" xfId="0" applyNumberFormat="1" applyFont="1" applyFill="1" applyBorder="1" applyAlignment="1" applyProtection="1">
      <alignment horizontal="left"/>
      <protection locked="0"/>
    </xf>
    <xf numFmtId="5" fontId="48" fillId="16" borderId="0" xfId="0" applyNumberFormat="1" applyFont="1" applyFill="1" applyBorder="1" applyProtection="1">
      <protection locked="0"/>
    </xf>
    <xf numFmtId="0" fontId="2" fillId="5" borderId="73" xfId="0" applyFont="1" applyFill="1" applyBorder="1"/>
    <xf numFmtId="167" fontId="48" fillId="16" borderId="0" xfId="0" applyNumberFormat="1" applyFont="1" applyFill="1" applyBorder="1" applyAlignment="1" applyProtection="1">
      <alignment horizontal="center"/>
      <protection locked="0"/>
    </xf>
    <xf numFmtId="44" fontId="48" fillId="16" borderId="0" xfId="0" applyNumberFormat="1" applyFont="1" applyFill="1" applyBorder="1" applyAlignment="1" applyProtection="1">
      <alignment horizontal="right" indent="1"/>
      <protection locked="0"/>
    </xf>
    <xf numFmtId="1" fontId="48" fillId="16" borderId="0" xfId="0" applyNumberFormat="1" applyFont="1" applyFill="1" applyBorder="1" applyAlignment="1" applyProtection="1">
      <protection locked="0"/>
    </xf>
    <xf numFmtId="172" fontId="48" fillId="16" borderId="0" xfId="0" applyNumberFormat="1" applyFont="1" applyFill="1" applyBorder="1" applyProtection="1">
      <protection locked="0"/>
    </xf>
    <xf numFmtId="0" fontId="2" fillId="0" borderId="73" xfId="0" applyFont="1" applyBorder="1"/>
    <xf numFmtId="9" fontId="48" fillId="16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4" xfId="6" applyBorder="1">
      <alignment horizontal="left" vertical="center" indent="3"/>
    </xf>
    <xf numFmtId="166" fontId="28" fillId="6" borderId="75" xfId="6" applyBorder="1">
      <alignment horizontal="left" vertical="center" indent="3"/>
    </xf>
    <xf numFmtId="166" fontId="25" fillId="6" borderId="76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5" fillId="6" borderId="53" xfId="0" applyNumberFormat="1" applyFont="1" applyFill="1" applyBorder="1" applyAlignment="1" applyProtection="1">
      <alignment horizontal="left" vertical="center"/>
    </xf>
    <xf numFmtId="166" fontId="55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5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5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5" fillId="0" borderId="40" xfId="0" applyNumberFormat="1" applyFont="1" applyFill="1" applyBorder="1" applyAlignment="1" applyProtection="1">
      <alignment horizontal="left" vertical="center"/>
    </xf>
    <xf numFmtId="166" fontId="55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5" fillId="6" borderId="41" xfId="0" applyNumberFormat="1" applyFont="1" applyFill="1" applyBorder="1" applyAlignment="1" applyProtection="1">
      <alignment horizontal="left" vertical="center" wrapText="1"/>
    </xf>
    <xf numFmtId="166" fontId="55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8" fillId="6" borderId="0" xfId="0" applyFont="1" applyFill="1" applyAlignment="1">
      <alignment horizontal="center"/>
    </xf>
    <xf numFmtId="0" fontId="58" fillId="6" borderId="0" xfId="0" applyFont="1" applyFill="1" applyAlignment="1"/>
    <xf numFmtId="0" fontId="6" fillId="0" borderId="0" xfId="0" applyFont="1"/>
    <xf numFmtId="0" fontId="58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5" borderId="0" xfId="0" applyNumberFormat="1" applyFill="1" applyBorder="1"/>
    <xf numFmtId="9" fontId="0" fillId="15" borderId="0" xfId="0" applyNumberFormat="1" applyFont="1" applyFill="1" applyBorder="1" applyAlignment="1">
      <alignment horizontal="center" vertical="center"/>
    </xf>
    <xf numFmtId="0" fontId="0" fillId="15" borderId="0" xfId="0" applyFill="1" applyBorder="1" applyAlignment="1">
      <alignment horizontal="right"/>
    </xf>
    <xf numFmtId="9" fontId="53" fillId="16" borderId="0" xfId="0" applyNumberFormat="1" applyFont="1" applyFill="1" applyBorder="1" applyAlignment="1" applyProtection="1">
      <alignment horizontal="right" indent="1"/>
      <protection hidden="1"/>
    </xf>
    <xf numFmtId="44" fontId="53" fillId="16" borderId="0" xfId="0" applyNumberFormat="1" applyFont="1" applyFill="1" applyBorder="1" applyAlignment="1" applyProtection="1">
      <alignment horizontal="right" indent="1"/>
      <protection hidden="1"/>
    </xf>
    <xf numFmtId="1" fontId="53" fillId="16" borderId="0" xfId="0" applyNumberFormat="1" applyFont="1" applyFill="1" applyBorder="1" applyAlignment="1" applyProtection="1">
      <protection hidden="1"/>
    </xf>
    <xf numFmtId="169" fontId="53" fillId="16" borderId="0" xfId="0" applyNumberFormat="1" applyFont="1" applyFill="1" applyBorder="1" applyProtection="1">
      <protection hidden="1"/>
    </xf>
    <xf numFmtId="0" fontId="52" fillId="16" borderId="0" xfId="0" applyNumberFormat="1" applyFont="1" applyFill="1" applyBorder="1" applyAlignment="1" applyProtection="1">
      <alignment horizontal="left" indent="1"/>
      <protection hidden="1"/>
    </xf>
    <xf numFmtId="0" fontId="18" fillId="6" borderId="0" xfId="0" applyFont="1" applyFill="1" applyBorder="1" applyAlignment="1" applyProtection="1">
      <alignment horizontal="left" vertical="top" indent="2"/>
    </xf>
    <xf numFmtId="166" fontId="55" fillId="6" borderId="39" xfId="0" applyNumberFormat="1" applyFont="1" applyFill="1" applyBorder="1" applyAlignment="1" applyProtection="1">
      <alignment horizontal="left" vertical="center"/>
    </xf>
    <xf numFmtId="166" fontId="55" fillId="6" borderId="40" xfId="0" applyNumberFormat="1" applyFont="1" applyFill="1" applyBorder="1" applyAlignment="1" applyProtection="1">
      <alignment horizontal="left" vertical="center"/>
    </xf>
    <xf numFmtId="0" fontId="2" fillId="17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5" fillId="6" borderId="52" xfId="0" applyNumberFormat="1" applyFont="1" applyFill="1" applyBorder="1" applyAlignment="1" applyProtection="1">
      <alignment horizontal="left" vertical="center"/>
      <protection locked="0"/>
    </xf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7" fontId="55" fillId="6" borderId="55" xfId="1" applyNumberFormat="1" applyFont="1" applyFill="1" applyBorder="1" applyAlignment="1" applyProtection="1">
      <alignment vertical="center"/>
      <protection locked="0"/>
    </xf>
    <xf numFmtId="167" fontId="55" fillId="6" borderId="42" xfId="1" applyNumberFormat="1" applyFont="1" applyFill="1" applyBorder="1" applyAlignment="1" applyProtection="1">
      <alignment vertical="center"/>
      <protection locked="0"/>
    </xf>
    <xf numFmtId="167" fontId="55" fillId="6" borderId="47" xfId="1" applyNumberFormat="1" applyFont="1" applyFill="1" applyBorder="1" applyAlignment="1" applyProtection="1">
      <alignment vertical="center"/>
      <protection locked="0"/>
    </xf>
    <xf numFmtId="166" fontId="55" fillId="6" borderId="55" xfId="0" applyNumberFormat="1" applyFont="1" applyFill="1" applyBorder="1" applyAlignment="1" applyProtection="1">
      <alignment horizontal="center" vertical="center"/>
      <protection locked="0"/>
    </xf>
    <xf numFmtId="166" fontId="55" fillId="6" borderId="42" xfId="0" applyNumberFormat="1" applyFont="1" applyFill="1" applyBorder="1" applyAlignment="1" applyProtection="1">
      <alignment horizontal="center" vertical="center"/>
      <protection locked="0"/>
    </xf>
    <xf numFmtId="166" fontId="55" fillId="6" borderId="47" xfId="0" applyNumberFormat="1" applyFont="1" applyFill="1" applyBorder="1" applyAlignment="1" applyProtection="1">
      <alignment horizontal="center" vertical="center"/>
      <protection locked="0"/>
    </xf>
    <xf numFmtId="168" fontId="55" fillId="6" borderId="55" xfId="1" applyNumberFormat="1" applyFont="1" applyFill="1" applyBorder="1" applyAlignment="1" applyProtection="1">
      <alignment vertical="center"/>
      <protection locked="0"/>
    </xf>
    <xf numFmtId="168" fontId="54" fillId="5" borderId="56" xfId="8" applyBorder="1" applyAlignment="1" applyProtection="1">
      <alignment horizontal="right" vertical="center"/>
      <protection locked="0"/>
    </xf>
    <xf numFmtId="168" fontId="55" fillId="6" borderId="42" xfId="1" applyNumberFormat="1" applyFont="1" applyFill="1" applyBorder="1" applyAlignment="1" applyProtection="1">
      <alignment vertical="center"/>
      <protection locked="0"/>
    </xf>
    <xf numFmtId="168" fontId="54" fillId="5" borderId="43" xfId="8" applyBorder="1" applyAlignment="1" applyProtection="1">
      <alignment horizontal="right" vertical="center"/>
      <protection locked="0"/>
    </xf>
    <xf numFmtId="169" fontId="55" fillId="6" borderId="42" xfId="1" applyNumberFormat="1" applyFont="1" applyFill="1" applyBorder="1" applyAlignment="1" applyProtection="1">
      <alignment vertical="center"/>
      <protection locked="0"/>
    </xf>
    <xf numFmtId="168" fontId="55" fillId="6" borderId="47" xfId="1" applyNumberFormat="1" applyFont="1" applyFill="1" applyBorder="1" applyAlignment="1" applyProtection="1">
      <alignment vertical="center"/>
      <protection locked="0"/>
    </xf>
    <xf numFmtId="168" fontId="54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5" fillId="0" borderId="39" xfId="0" applyNumberFormat="1" applyFont="1" applyFill="1" applyBorder="1" applyAlignment="1" applyProtection="1">
      <alignment horizontal="left" vertical="center"/>
      <protection locked="0"/>
    </xf>
    <xf numFmtId="167" fontId="55" fillId="0" borderId="42" xfId="1" applyNumberFormat="1" applyFont="1" applyFill="1" applyBorder="1" applyAlignment="1" applyProtection="1">
      <alignment vertical="center"/>
      <protection locked="0"/>
    </xf>
    <xf numFmtId="166" fontId="55" fillId="0" borderId="42" xfId="0" applyNumberFormat="1" applyFont="1" applyFill="1" applyBorder="1" applyAlignment="1" applyProtection="1">
      <alignment horizontal="center" vertical="center"/>
      <protection locked="0"/>
    </xf>
    <xf numFmtId="168" fontId="55" fillId="0" borderId="42" xfId="1" applyNumberFormat="1" applyFont="1" applyFill="1" applyBorder="1" applyAlignment="1" applyProtection="1">
      <alignment vertical="center"/>
      <protection locked="0"/>
    </xf>
    <xf numFmtId="0" fontId="55" fillId="6" borderId="40" xfId="0" applyNumberFormat="1" applyFont="1" applyFill="1" applyBorder="1" applyAlignment="1" applyProtection="1">
      <alignment vertical="center"/>
      <protection locked="0"/>
    </xf>
    <xf numFmtId="166" fontId="55" fillId="6" borderId="41" xfId="0" applyNumberFormat="1" applyFont="1" applyFill="1" applyBorder="1" applyAlignment="1" applyProtection="1">
      <alignment horizontal="left" vertical="center"/>
      <protection locked="0"/>
    </xf>
    <xf numFmtId="0" fontId="55" fillId="6" borderId="39" xfId="0" applyFont="1" applyFill="1" applyBorder="1" applyAlignment="1" applyProtection="1">
      <alignment horizontal="left" vertical="center"/>
      <protection locked="0"/>
    </xf>
    <xf numFmtId="0" fontId="55" fillId="6" borderId="40" xfId="0" applyNumberFormat="1" applyFont="1" applyFill="1" applyBorder="1" applyAlignment="1" applyProtection="1">
      <alignment horizontal="left" vertical="center"/>
      <protection locked="0"/>
    </xf>
    <xf numFmtId="168" fontId="55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5" fillId="6" borderId="42" xfId="2" applyNumberFormat="1" applyFont="1" applyFill="1" applyBorder="1" applyAlignment="1" applyProtection="1">
      <alignment horizontal="right" vertical="center"/>
      <protection locked="0"/>
    </xf>
    <xf numFmtId="167" fontId="55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2" xfId="0" applyNumberFormat="1" applyFont="1" applyFill="1" applyBorder="1" applyAlignment="1" applyProtection="1">
      <alignment horizontal="left" vertical="center" wrapText="1"/>
      <protection locked="0"/>
    </xf>
    <xf numFmtId="166" fontId="56" fillId="6" borderId="53" xfId="0" applyNumberFormat="1" applyFont="1" applyFill="1" applyBorder="1" applyAlignment="1" applyProtection="1">
      <alignment vertical="center"/>
      <protection locked="0"/>
    </xf>
    <xf numFmtId="166" fontId="56" fillId="6" borderId="40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8" fontId="55" fillId="6" borderId="55" xfId="2" applyNumberFormat="1" applyFont="1" applyFill="1" applyBorder="1" applyAlignment="1" applyProtection="1">
      <alignment horizontal="right" vertical="center"/>
      <protection locked="0"/>
    </xf>
    <xf numFmtId="169" fontId="55" fillId="6" borderId="42" xfId="2" applyNumberFormat="1" applyFont="1" applyFill="1" applyBorder="1" applyAlignment="1" applyProtection="1">
      <alignment horizontal="right" vertical="center"/>
      <protection locked="0"/>
    </xf>
    <xf numFmtId="166" fontId="55" fillId="6" borderId="51" xfId="0" applyNumberFormat="1" applyFont="1" applyFill="1" applyBorder="1" applyAlignment="1" applyProtection="1">
      <alignment vertical="center"/>
      <protection locked="0"/>
    </xf>
    <xf numFmtId="166" fontId="55" fillId="6" borderId="57" xfId="0" applyNumberFormat="1" applyFont="1" applyFill="1" applyBorder="1" applyAlignment="1" applyProtection="1">
      <alignment vertical="center"/>
      <protection locked="0"/>
    </xf>
    <xf numFmtId="167" fontId="55" fillId="6" borderId="49" xfId="1" applyNumberFormat="1" applyFont="1" applyFill="1" applyBorder="1" applyAlignment="1" applyProtection="1">
      <alignment vertical="center"/>
      <protection locked="0"/>
    </xf>
    <xf numFmtId="166" fontId="55" fillId="6" borderId="49" xfId="0" applyNumberFormat="1" applyFont="1" applyFill="1" applyBorder="1" applyAlignment="1" applyProtection="1">
      <alignment horizontal="center" vertical="center"/>
      <protection locked="0"/>
    </xf>
    <xf numFmtId="168" fontId="55" fillId="6" borderId="49" xfId="2" applyNumberFormat="1" applyFont="1" applyFill="1" applyBorder="1" applyAlignment="1" applyProtection="1">
      <alignment horizontal="right" vertical="center"/>
      <protection locked="0"/>
    </xf>
    <xf numFmtId="168" fontId="54" fillId="5" borderId="50" xfId="8" applyBorder="1" applyAlignment="1" applyProtection="1">
      <alignment horizontal="right" vertical="center"/>
      <protection locked="0"/>
    </xf>
    <xf numFmtId="166" fontId="55" fillId="6" borderId="53" xfId="0" applyNumberFormat="1" applyFont="1" applyFill="1" applyBorder="1" applyAlignment="1" applyProtection="1">
      <alignment horizontal="left" vertical="center"/>
      <protection locked="0"/>
    </xf>
    <xf numFmtId="9" fontId="66" fillId="15" borderId="0" xfId="0" applyNumberFormat="1" applyFont="1" applyFill="1" applyBorder="1" applyAlignment="1" applyProtection="1">
      <alignment horizontal="right"/>
      <protection locked="0"/>
    </xf>
    <xf numFmtId="0" fontId="66" fillId="15" borderId="0" xfId="0" applyFont="1" applyFill="1" applyBorder="1" applyAlignment="1" applyProtection="1">
      <alignment horizontal="right"/>
      <protection locked="0"/>
    </xf>
    <xf numFmtId="0" fontId="66" fillId="15" borderId="0" xfId="0" applyFont="1" applyFill="1" applyBorder="1" applyProtection="1">
      <protection locked="0"/>
    </xf>
    <xf numFmtId="1" fontId="66" fillId="15" borderId="65" xfId="0" applyNumberFormat="1" applyFont="1" applyFill="1" applyBorder="1" applyProtection="1">
      <protection locked="0"/>
    </xf>
    <xf numFmtId="0" fontId="66" fillId="15" borderId="65" xfId="0" applyFont="1" applyFill="1" applyBorder="1" applyProtection="1">
      <protection locked="0"/>
    </xf>
    <xf numFmtId="169" fontId="66" fillId="15" borderId="65" xfId="0" applyNumberFormat="1" applyFont="1" applyFill="1" applyBorder="1" applyProtection="1">
      <protection locked="0"/>
    </xf>
    <xf numFmtId="44" fontId="66" fillId="15" borderId="65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7" fontId="0" fillId="0" borderId="0" xfId="0" applyNumberFormat="1" applyFo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8" fillId="16" borderId="0" xfId="0" applyNumberFormat="1" applyFont="1" applyFill="1" applyBorder="1" applyProtection="1"/>
    <xf numFmtId="7" fontId="48" fillId="16" borderId="0" xfId="0" applyNumberFormat="1" applyFont="1" applyFill="1" applyBorder="1" applyAlignment="1" applyProtection="1">
      <alignment horizontal="right" indent="1"/>
    </xf>
    <xf numFmtId="3" fontId="48" fillId="16" borderId="0" xfId="0" applyNumberFormat="1" applyFont="1" applyFill="1" applyBorder="1" applyAlignment="1" applyProtection="1">
      <alignment horizontal="right"/>
    </xf>
    <xf numFmtId="1" fontId="48" fillId="16" borderId="0" xfId="0" applyNumberFormat="1" applyFont="1" applyFill="1" applyBorder="1" applyAlignment="1" applyProtection="1">
      <alignment horizontal="left"/>
    </xf>
    <xf numFmtId="5" fontId="48" fillId="16" borderId="0" xfId="0" applyNumberFormat="1" applyFont="1" applyFill="1" applyBorder="1" applyProtection="1"/>
    <xf numFmtId="167" fontId="53" fillId="16" borderId="0" xfId="0" applyNumberFormat="1" applyFont="1" applyFill="1" applyBorder="1" applyAlignment="1" applyProtection="1">
      <alignment horizontal="center"/>
      <protection hidden="1"/>
    </xf>
    <xf numFmtId="180" fontId="46" fillId="16" borderId="0" xfId="0" applyNumberFormat="1" applyFont="1" applyFill="1" applyBorder="1" applyAlignment="1" applyProtection="1">
      <alignment horizontal="center"/>
      <protection hidden="1"/>
    </xf>
    <xf numFmtId="0" fontId="44" fillId="6" borderId="0" xfId="0" applyNumberFormat="1" applyFont="1" applyFill="1" applyBorder="1" applyAlignment="1" applyProtection="1">
      <alignment horizontal="centerContinuous" vertical="center"/>
      <protection hidden="1"/>
    </xf>
    <xf numFmtId="168" fontId="54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6" fontId="57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5" fillId="6" borderId="41" xfId="0" applyNumberFormat="1" applyFont="1" applyFill="1" applyBorder="1" applyAlignment="1" applyProtection="1">
      <alignment horizontal="left" vertical="center"/>
      <protection locked="0"/>
    </xf>
    <xf numFmtId="1" fontId="66" fillId="15" borderId="0" xfId="0" applyNumberFormat="1" applyFont="1" applyFill="1" applyBorder="1" applyAlignment="1" applyProtection="1">
      <alignment horizontal="right"/>
      <protection locked="0"/>
    </xf>
    <xf numFmtId="9" fontId="66" fillId="15" borderId="0" xfId="3" applyFont="1" applyFill="1" applyBorder="1" applyProtection="1">
      <protection locked="0"/>
    </xf>
    <xf numFmtId="169" fontId="66" fillId="15" borderId="0" xfId="0" applyNumberFormat="1" applyFont="1" applyFill="1" applyBorder="1" applyProtection="1">
      <protection locked="0"/>
    </xf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0" fontId="55" fillId="6" borderId="39" xfId="0" applyFont="1" applyFill="1" applyBorder="1" applyAlignment="1" applyProtection="1">
      <alignment horizontal="left" vertical="center"/>
      <protection locked="0"/>
    </xf>
    <xf numFmtId="0" fontId="55" fillId="6" borderId="40" xfId="0" applyNumberFormat="1" applyFont="1" applyFill="1" applyBorder="1" applyAlignment="1" applyProtection="1">
      <alignment horizontal="left" vertical="center"/>
      <protection locked="0"/>
    </xf>
    <xf numFmtId="166" fontId="55" fillId="6" borderId="44" xfId="0" applyNumberFormat="1" applyFont="1" applyFill="1" applyBorder="1" applyAlignment="1" applyProtection="1">
      <alignment horizontal="left" vertical="center"/>
      <protection locked="0"/>
    </xf>
    <xf numFmtId="166" fontId="55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60" fillId="6" borderId="77" xfId="0" applyNumberFormat="1" applyFont="1" applyFill="1" applyBorder="1" applyAlignment="1" applyProtection="1">
      <alignment vertical="center"/>
      <protection locked="0"/>
    </xf>
    <xf numFmtId="166" fontId="55" fillId="6" borderId="86" xfId="0" applyNumberFormat="1" applyFont="1" applyFill="1" applyBorder="1" applyAlignment="1" applyProtection="1">
      <alignment horizontal="left" vertical="center"/>
    </xf>
    <xf numFmtId="166" fontId="55" fillId="6" borderId="85" xfId="0" applyNumberFormat="1" applyFont="1" applyFill="1" applyBorder="1" applyAlignment="1" applyProtection="1">
      <alignment horizontal="left" vertical="center"/>
      <protection locked="0"/>
    </xf>
    <xf numFmtId="166" fontId="55" fillId="6" borderId="86" xfId="0" applyNumberFormat="1" applyFont="1" applyFill="1" applyBorder="1" applyAlignment="1" applyProtection="1">
      <alignment horizontal="left" vertical="center"/>
      <protection locked="0"/>
    </xf>
    <xf numFmtId="166" fontId="55" fillId="6" borderId="87" xfId="0" applyNumberFormat="1" applyFont="1" applyFill="1" applyBorder="1" applyAlignment="1" applyProtection="1">
      <alignment horizontal="left" vertical="center"/>
      <protection locked="0"/>
    </xf>
    <xf numFmtId="167" fontId="55" fillId="0" borderId="89" xfId="1" applyNumberFormat="1" applyFont="1" applyFill="1" applyBorder="1" applyAlignment="1" applyProtection="1">
      <alignment vertical="center"/>
      <protection locked="0"/>
    </xf>
    <xf numFmtId="168" fontId="55" fillId="6" borderId="87" xfId="0" applyNumberFormat="1" applyFont="1" applyFill="1" applyBorder="1" applyAlignment="1" applyProtection="1">
      <alignment horizontal="left" vertical="center"/>
      <protection locked="0"/>
    </xf>
    <xf numFmtId="168" fontId="54" fillId="5" borderId="88" xfId="8" applyNumberFormat="1" applyBorder="1" applyAlignment="1" applyProtection="1">
      <alignment horizontal="right" vertical="center"/>
      <protection locked="0"/>
    </xf>
    <xf numFmtId="166" fontId="25" fillId="6" borderId="75" xfId="0" applyNumberFormat="1" applyFont="1" applyFill="1" applyBorder="1" applyAlignment="1" applyProtection="1">
      <alignment horizontal="left"/>
    </xf>
    <xf numFmtId="167" fontId="25" fillId="6" borderId="75" xfId="1" applyNumberFormat="1" applyFont="1" applyFill="1" applyBorder="1" applyProtection="1"/>
    <xf numFmtId="166" fontId="25" fillId="6" borderId="75" xfId="0" applyNumberFormat="1" applyFont="1" applyFill="1" applyBorder="1" applyAlignment="1" applyProtection="1">
      <alignment horizontal="center"/>
    </xf>
    <xf numFmtId="168" fontId="25" fillId="6" borderId="75" xfId="1" applyNumberFormat="1" applyFont="1" applyFill="1" applyBorder="1" applyProtection="1"/>
    <xf numFmtId="168" fontId="25" fillId="6" borderId="75" xfId="0" applyNumberFormat="1" applyFont="1" applyFill="1" applyBorder="1" applyProtection="1"/>
    <xf numFmtId="166" fontId="55" fillId="6" borderId="87" xfId="0" applyNumberFormat="1" applyFont="1" applyFill="1" applyBorder="1" applyAlignment="1" applyProtection="1">
      <alignment horizontal="left" vertical="center"/>
    </xf>
    <xf numFmtId="167" fontId="55" fillId="6" borderId="89" xfId="1" applyNumberFormat="1" applyFont="1" applyFill="1" applyBorder="1" applyAlignment="1" applyProtection="1">
      <alignment vertical="center"/>
      <protection locked="0"/>
    </xf>
    <xf numFmtId="166" fontId="55" fillId="6" borderId="89" xfId="0" applyNumberFormat="1" applyFont="1" applyFill="1" applyBorder="1" applyAlignment="1" applyProtection="1">
      <alignment horizontal="center" vertical="center"/>
      <protection locked="0"/>
    </xf>
    <xf numFmtId="168" fontId="55" fillId="6" borderId="89" xfId="1" applyNumberFormat="1" applyFont="1" applyFill="1" applyBorder="1" applyAlignment="1" applyProtection="1">
      <alignment vertical="center"/>
      <protection locked="0"/>
    </xf>
    <xf numFmtId="168" fontId="54" fillId="5" borderId="88" xfId="8" applyBorder="1" applyAlignment="1" applyProtection="1">
      <alignment horizontal="right" vertical="center"/>
      <protection locked="0"/>
    </xf>
    <xf numFmtId="166" fontId="26" fillId="6" borderId="75" xfId="0" applyNumberFormat="1" applyFont="1" applyFill="1" applyBorder="1" applyAlignment="1" applyProtection="1">
      <alignment horizontal="left"/>
    </xf>
    <xf numFmtId="167" fontId="26" fillId="6" borderId="75" xfId="1" applyNumberFormat="1" applyFont="1" applyFill="1" applyBorder="1" applyProtection="1"/>
    <xf numFmtId="166" fontId="26" fillId="6" borderId="75" xfId="0" applyNumberFormat="1" applyFont="1" applyFill="1" applyBorder="1" applyAlignment="1" applyProtection="1">
      <alignment horizontal="center"/>
    </xf>
    <xf numFmtId="168" fontId="26" fillId="6" borderId="75" xfId="1" applyNumberFormat="1" applyFont="1" applyFill="1" applyBorder="1" applyProtection="1"/>
    <xf numFmtId="168" fontId="26" fillId="6" borderId="75" xfId="0" applyNumberFormat="1" applyFont="1" applyFill="1" applyBorder="1" applyProtection="1"/>
    <xf numFmtId="168" fontId="55" fillId="6" borderId="89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5" xfId="0" applyFont="1" applyFill="1" applyBorder="1" applyAlignment="1">
      <alignment vertical="top"/>
    </xf>
    <xf numFmtId="0" fontId="2" fillId="6" borderId="75" xfId="0" applyNumberFormat="1" applyFont="1" applyFill="1" applyBorder="1" applyAlignment="1"/>
    <xf numFmtId="168" fontId="26" fillId="6" borderId="75" xfId="2" applyNumberFormat="1" applyFont="1" applyFill="1" applyBorder="1" applyAlignment="1">
      <alignment horizontal="right" vertical="center" wrapText="1"/>
    </xf>
    <xf numFmtId="168" fontId="55" fillId="6" borderId="89" xfId="2" applyNumberFormat="1" applyFont="1" applyFill="1" applyBorder="1" applyAlignment="1" applyProtection="1">
      <alignment horizontal="right" vertical="center"/>
      <protection locked="0"/>
    </xf>
    <xf numFmtId="169" fontId="55" fillId="6" borderId="89" xfId="2" applyNumberFormat="1" applyFont="1" applyFill="1" applyBorder="1" applyAlignment="1" applyProtection="1">
      <alignment horizontal="right" vertical="center"/>
      <protection locked="0"/>
    </xf>
    <xf numFmtId="166" fontId="68" fillId="6" borderId="85" xfId="0" applyNumberFormat="1" applyFont="1" applyFill="1" applyBorder="1" applyAlignment="1" applyProtection="1">
      <alignment horizontal="left" vertical="center"/>
      <protection locked="0"/>
    </xf>
    <xf numFmtId="166" fontId="55" fillId="6" borderId="41" xfId="0" applyNumberFormat="1" applyFont="1" applyFill="1" applyBorder="1" applyAlignment="1" applyProtection="1">
      <alignment horizontal="center" vertical="center"/>
      <protection locked="0"/>
    </xf>
    <xf numFmtId="166" fontId="55" fillId="6" borderId="87" xfId="0" applyNumberFormat="1" applyFont="1" applyFill="1" applyBorder="1" applyAlignment="1" applyProtection="1">
      <alignment horizontal="center" vertical="center"/>
      <protection locked="0"/>
    </xf>
    <xf numFmtId="166" fontId="55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5" fillId="6" borderId="12" xfId="0" applyNumberFormat="1" applyFont="1" applyFill="1" applyBorder="1" applyAlignment="1" applyProtection="1">
      <alignment horizontal="left" vertical="center"/>
      <protection locked="0"/>
    </xf>
    <xf numFmtId="166" fontId="55" fillId="6" borderId="13" xfId="0" applyNumberFormat="1" applyFont="1" applyFill="1" applyBorder="1" applyAlignment="1" applyProtection="1">
      <alignment horizontal="left" vertical="center"/>
      <protection locked="0"/>
    </xf>
    <xf numFmtId="166" fontId="55" fillId="6" borderId="85" xfId="0" applyNumberFormat="1" applyFont="1" applyFill="1" applyBorder="1" applyAlignment="1" applyProtection="1">
      <alignment horizontal="left" vertical="center"/>
      <protection locked="0"/>
    </xf>
    <xf numFmtId="166" fontId="55" fillId="6" borderId="86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6" fillId="6" borderId="0" xfId="0" applyFont="1" applyFill="1"/>
    <xf numFmtId="166" fontId="55" fillId="6" borderId="13" xfId="0" applyNumberFormat="1" applyFont="1" applyFill="1" applyBorder="1" applyAlignment="1" applyProtection="1">
      <alignment horizontal="left" vertical="center"/>
    </xf>
    <xf numFmtId="167" fontId="55" fillId="6" borderId="13" xfId="1" applyNumberFormat="1" applyFont="1" applyFill="1" applyBorder="1" applyAlignment="1" applyProtection="1">
      <alignment vertical="center"/>
      <protection locked="0"/>
    </xf>
    <xf numFmtId="166" fontId="55" fillId="6" borderId="13" xfId="0" applyNumberFormat="1" applyFont="1" applyFill="1" applyBorder="1" applyAlignment="1" applyProtection="1">
      <alignment horizontal="center" vertical="center"/>
      <protection locked="0"/>
    </xf>
    <xf numFmtId="168" fontId="55" fillId="6" borderId="13" xfId="1" applyNumberFormat="1" applyFont="1" applyFill="1" applyBorder="1" applyAlignment="1" applyProtection="1">
      <alignment vertical="center"/>
      <protection locked="0"/>
    </xf>
    <xf numFmtId="168" fontId="54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5" fillId="6" borderId="57" xfId="0" applyNumberFormat="1" applyFont="1" applyFill="1" applyBorder="1" applyAlignment="1" applyProtection="1">
      <alignment horizontal="left" vertical="center"/>
    </xf>
    <xf numFmtId="167" fontId="55" fillId="6" borderId="57" xfId="1" applyNumberFormat="1" applyFont="1" applyFill="1" applyBorder="1" applyAlignment="1" applyProtection="1">
      <alignment vertical="center"/>
    </xf>
    <xf numFmtId="166" fontId="55" fillId="6" borderId="57" xfId="0" applyNumberFormat="1" applyFont="1" applyFill="1" applyBorder="1" applyAlignment="1" applyProtection="1">
      <alignment horizontal="center" vertical="center"/>
    </xf>
    <xf numFmtId="168" fontId="54" fillId="5" borderId="90" xfId="8" applyBorder="1" applyAlignment="1">
      <alignment horizontal="right" vertical="center"/>
    </xf>
    <xf numFmtId="168" fontId="55" fillId="6" borderId="57" xfId="1" applyNumberFormat="1" applyFont="1" applyFill="1" applyBorder="1" applyAlignment="1" applyProtection="1">
      <alignment vertical="center"/>
    </xf>
    <xf numFmtId="0" fontId="66" fillId="6" borderId="0" xfId="0" applyFont="1" applyFill="1" applyBorder="1"/>
    <xf numFmtId="0" fontId="67" fillId="15" borderId="91" xfId="0" applyFont="1" applyFill="1" applyBorder="1"/>
    <xf numFmtId="0" fontId="67" fillId="15" borderId="10" xfId="0" applyFont="1" applyFill="1" applyBorder="1" applyAlignment="1">
      <alignment wrapText="1"/>
    </xf>
    <xf numFmtId="0" fontId="27" fillId="15" borderId="10" xfId="0" applyFont="1" applyFill="1" applyBorder="1" applyAlignment="1">
      <alignment wrapText="1"/>
    </xf>
    <xf numFmtId="0" fontId="0" fillId="13" borderId="92" xfId="0" applyFill="1" applyBorder="1"/>
    <xf numFmtId="0" fontId="0" fillId="13" borderId="10" xfId="0" applyFill="1" applyBorder="1"/>
    <xf numFmtId="0" fontId="6" fillId="14" borderId="7" xfId="0" applyFont="1" applyFill="1" applyBorder="1"/>
    <xf numFmtId="0" fontId="6" fillId="14" borderId="8" xfId="0" applyFont="1" applyFill="1" applyBorder="1"/>
    <xf numFmtId="0" fontId="11" fillId="2" borderId="0" xfId="0" applyFont="1" applyFill="1" applyBorder="1" applyAlignment="1">
      <alignment horizontal="center"/>
    </xf>
    <xf numFmtId="0" fontId="66" fillId="6" borderId="10" xfId="0" applyFont="1" applyFill="1" applyBorder="1"/>
    <xf numFmtId="0" fontId="0" fillId="6" borderId="8" xfId="0" applyFill="1" applyBorder="1"/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5" fillId="6" borderId="85" xfId="0" applyFont="1" applyFill="1" applyBorder="1" applyAlignment="1" applyProtection="1">
      <alignment horizontal="left" vertical="center"/>
      <protection locked="0"/>
    </xf>
    <xf numFmtId="0" fontId="55" fillId="6" borderId="86" xfId="0" applyNumberFormat="1" applyFont="1" applyFill="1" applyBorder="1" applyAlignment="1" applyProtection="1">
      <alignment horizontal="left" vertical="center"/>
      <protection locked="0"/>
    </xf>
    <xf numFmtId="166" fontId="55" fillId="6" borderId="85" xfId="0" applyNumberFormat="1" applyFont="1" applyFill="1" applyBorder="1" applyAlignment="1" applyProtection="1">
      <alignment horizontal="left" vertical="center"/>
      <protection locked="0"/>
    </xf>
    <xf numFmtId="166" fontId="55" fillId="6" borderId="86" xfId="0" applyNumberFormat="1" applyFont="1" applyFill="1" applyBorder="1" applyAlignment="1" applyProtection="1">
      <alignment horizontal="left" vertical="center"/>
      <protection locked="0"/>
    </xf>
    <xf numFmtId="166" fontId="55" fillId="6" borderId="93" xfId="0" applyNumberFormat="1" applyFont="1" applyFill="1" applyBorder="1" applyAlignment="1" applyProtection="1">
      <alignment horizontal="left" vertical="center"/>
      <protection locked="0"/>
    </xf>
    <xf numFmtId="177" fontId="55" fillId="0" borderId="94" xfId="1" applyNumberFormat="1" applyFont="1" applyFill="1" applyBorder="1" applyAlignment="1" applyProtection="1">
      <alignment vertical="center"/>
      <protection locked="0"/>
    </xf>
    <xf numFmtId="166" fontId="55" fillId="6" borderId="94" xfId="0" applyNumberFormat="1" applyFont="1" applyFill="1" applyBorder="1" applyAlignment="1" applyProtection="1">
      <alignment horizontal="center" vertical="center" wrapText="1"/>
      <protection locked="0"/>
    </xf>
    <xf numFmtId="10" fontId="55" fillId="6" borderId="94" xfId="3" applyNumberFormat="1" applyFont="1" applyFill="1" applyBorder="1" applyAlignment="1" applyProtection="1">
      <alignment horizontal="right" vertical="center"/>
      <protection locked="0"/>
    </xf>
    <xf numFmtId="168" fontId="54" fillId="5" borderId="95" xfId="8" applyBorder="1" applyAlignment="1" applyProtection="1">
      <alignment horizontal="right" vertical="center"/>
      <protection locked="0"/>
    </xf>
    <xf numFmtId="166" fontId="55" fillId="6" borderId="75" xfId="0" applyNumberFormat="1" applyFont="1" applyFill="1" applyBorder="1" applyAlignment="1" applyProtection="1">
      <alignment horizontal="left" vertical="center"/>
      <protection locked="0"/>
    </xf>
    <xf numFmtId="177" fontId="55" fillId="0" borderId="75" xfId="1" applyNumberFormat="1" applyFont="1" applyFill="1" applyBorder="1" applyAlignment="1" applyProtection="1">
      <alignment vertical="center"/>
      <protection locked="0"/>
    </xf>
    <xf numFmtId="166" fontId="55" fillId="6" borderId="75" xfId="0" applyNumberFormat="1" applyFont="1" applyFill="1" applyBorder="1" applyAlignment="1" applyProtection="1">
      <alignment horizontal="center" vertical="center" wrapText="1"/>
      <protection locked="0"/>
    </xf>
    <xf numFmtId="10" fontId="55" fillId="6" borderId="75" xfId="3" applyNumberFormat="1" applyFont="1" applyFill="1" applyBorder="1" applyAlignment="1" applyProtection="1">
      <alignment horizontal="right" vertical="center"/>
      <protection locked="0"/>
    </xf>
    <xf numFmtId="168" fontId="54" fillId="5" borderId="75" xfId="8" applyBorder="1" applyAlignment="1" applyProtection="1">
      <alignment horizontal="right" vertical="center"/>
      <protection locked="0"/>
    </xf>
    <xf numFmtId="166" fontId="55" fillId="6" borderId="85" xfId="0" applyNumberFormat="1" applyFont="1" applyFill="1" applyBorder="1" applyAlignment="1" applyProtection="1">
      <alignment vertical="center"/>
    </xf>
    <xf numFmtId="166" fontId="55" fillId="6" borderId="86" xfId="0" applyNumberFormat="1" applyFont="1" applyFill="1" applyBorder="1" applyAlignment="1" applyProtection="1">
      <alignment vertical="center"/>
      <protection locked="0"/>
    </xf>
    <xf numFmtId="177" fontId="55" fillId="0" borderId="89" xfId="1" applyNumberFormat="1" applyFont="1" applyFill="1" applyBorder="1" applyAlignment="1" applyProtection="1">
      <alignment vertical="center"/>
      <protection locked="0"/>
    </xf>
    <xf numFmtId="166" fontId="55" fillId="6" borderId="89" xfId="0" applyNumberFormat="1" applyFont="1" applyFill="1" applyBorder="1" applyAlignment="1" applyProtection="1">
      <alignment horizontal="center" vertical="center" wrapText="1"/>
      <protection locked="0"/>
    </xf>
    <xf numFmtId="166" fontId="55" fillId="6" borderId="7" xfId="0" applyNumberFormat="1" applyFont="1" applyFill="1" applyBorder="1" applyAlignment="1" applyProtection="1">
      <alignment vertical="center"/>
    </xf>
    <xf numFmtId="166" fontId="55" fillId="6" borderId="8" xfId="0" applyNumberFormat="1" applyFont="1" applyFill="1" applyBorder="1" applyAlignment="1" applyProtection="1">
      <alignment vertical="center"/>
      <protection locked="0"/>
    </xf>
    <xf numFmtId="167" fontId="55" fillId="0" borderId="94" xfId="1" applyNumberFormat="1" applyFont="1" applyFill="1" applyBorder="1" applyAlignment="1" applyProtection="1">
      <alignment vertical="center"/>
      <protection locked="0"/>
    </xf>
    <xf numFmtId="166" fontId="55" fillId="6" borderId="94" xfId="0" applyNumberFormat="1" applyFont="1" applyFill="1" applyBorder="1" applyAlignment="1" applyProtection="1">
      <alignment horizontal="center" vertical="center"/>
      <protection locked="0"/>
    </xf>
    <xf numFmtId="168" fontId="55" fillId="6" borderId="94" xfId="2" applyNumberFormat="1" applyFont="1" applyFill="1" applyBorder="1" applyAlignment="1" applyProtection="1">
      <alignment horizontal="right" vertical="center"/>
      <protection locked="0"/>
    </xf>
    <xf numFmtId="171" fontId="55" fillId="6" borderId="94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5" fillId="6" borderId="39" xfId="0" applyNumberFormat="1" applyFont="1" applyFill="1" applyBorder="1" applyAlignment="1" applyProtection="1">
      <alignment vertical="center"/>
      <protection locked="0"/>
    </xf>
    <xf numFmtId="166" fontId="55" fillId="6" borderId="40" xfId="0" applyNumberFormat="1" applyFont="1" applyFill="1" applyBorder="1" applyAlignment="1" applyProtection="1">
      <alignment vertical="center"/>
      <protection locked="0"/>
    </xf>
    <xf numFmtId="166" fontId="55" fillId="6" borderId="85" xfId="0" applyNumberFormat="1" applyFont="1" applyFill="1" applyBorder="1" applyAlignment="1" applyProtection="1">
      <alignment vertical="center"/>
      <protection locked="0"/>
    </xf>
    <xf numFmtId="0" fontId="55" fillId="6" borderId="39" xfId="0" applyFont="1" applyFill="1" applyBorder="1" applyAlignment="1" applyProtection="1">
      <alignment vertical="center"/>
      <protection locked="0"/>
    </xf>
    <xf numFmtId="0" fontId="55" fillId="6" borderId="40" xfId="0" applyFont="1" applyFill="1" applyBorder="1" applyAlignment="1" applyProtection="1">
      <alignment vertical="center" wrapText="1"/>
      <protection locked="0"/>
    </xf>
    <xf numFmtId="166" fontId="55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70" fillId="5" borderId="0" xfId="0" applyNumberFormat="1" applyFont="1" applyFill="1" applyBorder="1" applyProtection="1">
      <protection locked="0"/>
    </xf>
    <xf numFmtId="0" fontId="70" fillId="5" borderId="0" xfId="0" applyFont="1" applyFill="1" applyBorder="1" applyProtection="1">
      <protection locked="0"/>
    </xf>
    <xf numFmtId="43" fontId="70" fillId="5" borderId="0" xfId="0" applyNumberFormat="1" applyFont="1" applyFill="1" applyBorder="1" applyProtection="1">
      <protection locked="0"/>
    </xf>
    <xf numFmtId="167" fontId="70" fillId="5" borderId="0" xfId="1" applyNumberFormat="1" applyFont="1" applyFill="1" applyBorder="1" applyProtection="1">
      <protection locked="0"/>
    </xf>
    <xf numFmtId="167" fontId="70" fillId="5" borderId="96" xfId="0" applyNumberFormat="1" applyFont="1" applyFill="1" applyBorder="1" applyProtection="1">
      <protection locked="0"/>
    </xf>
    <xf numFmtId="0" fontId="72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9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9" fillId="5" borderId="31" xfId="0" applyFont="1" applyFill="1" applyBorder="1" applyAlignment="1" applyProtection="1">
      <alignment vertical="center"/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105" xfId="0" applyNumberFormat="1" applyFont="1" applyFill="1" applyBorder="1" applyProtection="1">
      <protection locked="0"/>
    </xf>
    <xf numFmtId="9" fontId="2" fillId="6" borderId="106" xfId="0" applyNumberFormat="1" applyFont="1" applyFill="1" applyBorder="1" applyProtection="1">
      <protection locked="0"/>
    </xf>
    <xf numFmtId="0" fontId="2" fillId="5" borderId="100" xfId="0" applyFont="1" applyFill="1" applyBorder="1" applyProtection="1">
      <protection locked="0"/>
    </xf>
    <xf numFmtId="0" fontId="2" fillId="5" borderId="101" xfId="0" applyFont="1" applyFill="1" applyBorder="1" applyProtection="1">
      <protection locked="0"/>
    </xf>
    <xf numFmtId="9" fontId="2" fillId="5" borderId="102" xfId="0" applyNumberFormat="1" applyFont="1" applyFill="1" applyBorder="1" applyProtection="1">
      <protection locked="0"/>
    </xf>
    <xf numFmtId="1" fontId="2" fillId="5" borderId="103" xfId="0" applyNumberFormat="1" applyFont="1" applyFill="1" applyBorder="1" applyProtection="1">
      <protection locked="0"/>
    </xf>
    <xf numFmtId="0" fontId="2" fillId="5" borderId="103" xfId="0" applyFont="1" applyFill="1" applyBorder="1" applyProtection="1">
      <protection locked="0"/>
    </xf>
    <xf numFmtId="0" fontId="2" fillId="5" borderId="104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7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1" fillId="18" borderId="0" xfId="15" applyFont="1" applyFill="1" applyProtection="1">
      <protection locked="0"/>
    </xf>
    <xf numFmtId="0" fontId="62" fillId="18" borderId="0" xfId="15" applyFont="1" applyFill="1" applyAlignment="1" applyProtection="1">
      <alignment vertical="top"/>
      <protection locked="0"/>
    </xf>
    <xf numFmtId="0" fontId="63" fillId="0" borderId="81" xfId="15" applyFont="1" applyFill="1" applyBorder="1" applyAlignment="1" applyProtection="1">
      <alignment horizontal="center" vertical="center"/>
      <protection locked="0"/>
    </xf>
    <xf numFmtId="0" fontId="24" fillId="0" borderId="81" xfId="15" applyFont="1" applyFill="1" applyBorder="1" applyAlignment="1" applyProtection="1">
      <alignment horizontal="center" vertical="center"/>
      <protection locked="0"/>
    </xf>
    <xf numFmtId="0" fontId="61" fillId="18" borderId="0" xfId="15" applyFont="1" applyFill="1" applyAlignment="1" applyProtection="1">
      <alignment vertical="center"/>
      <protection locked="0"/>
    </xf>
    <xf numFmtId="0" fontId="24" fillId="0" borderId="82" xfId="15" applyFont="1" applyFill="1" applyBorder="1" applyAlignment="1" applyProtection="1">
      <alignment horizontal="center" vertical="center"/>
      <protection locked="0"/>
    </xf>
    <xf numFmtId="0" fontId="61" fillId="0" borderId="83" xfId="15" applyFont="1" applyFill="1" applyBorder="1" applyProtection="1">
      <protection locked="0"/>
    </xf>
    <xf numFmtId="0" fontId="32" fillId="0" borderId="83" xfId="15" applyFont="1" applyFill="1" applyBorder="1" applyProtection="1">
      <protection locked="0"/>
    </xf>
    <xf numFmtId="0" fontId="61" fillId="0" borderId="84" xfId="15" applyFont="1" applyFill="1" applyBorder="1" applyProtection="1">
      <protection locked="0"/>
    </xf>
    <xf numFmtId="0" fontId="17" fillId="5" borderId="111" xfId="0" applyFont="1" applyFill="1" applyBorder="1" applyProtection="1">
      <protection locked="0"/>
    </xf>
    <xf numFmtId="0" fontId="17" fillId="5" borderId="112" xfId="0" applyFont="1" applyFill="1" applyBorder="1" applyProtection="1">
      <protection locked="0"/>
    </xf>
    <xf numFmtId="0" fontId="17" fillId="5" borderId="113" xfId="0" applyFont="1" applyFill="1" applyBorder="1" applyProtection="1">
      <protection locked="0"/>
    </xf>
    <xf numFmtId="44" fontId="70" fillId="5" borderId="112" xfId="2" applyFont="1" applyFill="1" applyBorder="1" applyProtection="1">
      <protection locked="0"/>
    </xf>
    <xf numFmtId="167" fontId="70" fillId="5" borderId="113" xfId="0" applyNumberFormat="1" applyFont="1" applyFill="1" applyBorder="1" applyProtection="1">
      <protection locked="0"/>
    </xf>
    <xf numFmtId="43" fontId="70" fillId="5" borderId="114" xfId="1" applyNumberFormat="1" applyFont="1" applyFill="1" applyBorder="1" applyProtection="1">
      <protection locked="0"/>
    </xf>
    <xf numFmtId="0" fontId="72" fillId="5" borderId="112" xfId="0" applyFont="1" applyFill="1" applyBorder="1" applyProtection="1">
      <protection locked="0"/>
    </xf>
    <xf numFmtId="0" fontId="72" fillId="5" borderId="113" xfId="0" applyFont="1" applyFill="1" applyBorder="1" applyProtection="1">
      <protection locked="0"/>
    </xf>
    <xf numFmtId="9" fontId="71" fillId="5" borderId="114" xfId="3" applyFont="1" applyFill="1" applyBorder="1" applyProtection="1">
      <protection locked="0"/>
    </xf>
    <xf numFmtId="44" fontId="73" fillId="5" borderId="97" xfId="2" applyFont="1" applyFill="1" applyBorder="1" applyProtection="1">
      <protection locked="0"/>
    </xf>
    <xf numFmtId="167" fontId="73" fillId="5" borderId="98" xfId="0" applyNumberFormat="1" applyFont="1" applyFill="1" applyBorder="1" applyProtection="1">
      <protection locked="0"/>
    </xf>
    <xf numFmtId="43" fontId="73" fillId="5" borderId="99" xfId="1" applyNumberFormat="1" applyFont="1" applyFill="1" applyBorder="1" applyProtection="1">
      <protection locked="0"/>
    </xf>
    <xf numFmtId="2" fontId="73" fillId="5" borderId="98" xfId="0" applyNumberFormat="1" applyFont="1" applyFill="1" applyBorder="1" applyProtection="1">
      <protection locked="0"/>
    </xf>
    <xf numFmtId="43" fontId="73" fillId="5" borderId="98" xfId="0" applyNumberFormat="1" applyFont="1" applyFill="1" applyBorder="1" applyProtection="1">
      <protection locked="0"/>
    </xf>
    <xf numFmtId="0" fontId="73" fillId="5" borderId="98" xfId="0" applyFont="1" applyFill="1" applyBorder="1" applyProtection="1">
      <protection locked="0"/>
    </xf>
    <xf numFmtId="167" fontId="73" fillId="5" borderId="98" xfId="1" applyNumberFormat="1" applyFont="1" applyFill="1" applyBorder="1" applyProtection="1">
      <protection locked="0"/>
    </xf>
    <xf numFmtId="167" fontId="73" fillId="5" borderId="121" xfId="0" applyNumberFormat="1" applyFont="1" applyFill="1" applyBorder="1" applyProtection="1">
      <protection locked="0"/>
    </xf>
    <xf numFmtId="44" fontId="73" fillId="5" borderId="108" xfId="2" applyFont="1" applyFill="1" applyBorder="1" applyProtection="1">
      <protection locked="0"/>
    </xf>
    <xf numFmtId="167" fontId="73" fillId="5" borderId="109" xfId="0" applyNumberFormat="1" applyFont="1" applyFill="1" applyBorder="1" applyProtection="1">
      <protection locked="0"/>
    </xf>
    <xf numFmtId="43" fontId="73" fillId="5" borderId="110" xfId="1" applyNumberFormat="1" applyFont="1" applyFill="1" applyBorder="1" applyProtection="1">
      <protection locked="0"/>
    </xf>
    <xf numFmtId="2" fontId="73" fillId="5" borderId="0" xfId="0" applyNumberFormat="1" applyFont="1" applyFill="1" applyBorder="1" applyProtection="1">
      <protection locked="0"/>
    </xf>
    <xf numFmtId="43" fontId="73" fillId="5" borderId="0" xfId="0" applyNumberFormat="1" applyFont="1" applyFill="1" applyBorder="1" applyProtection="1">
      <protection locked="0"/>
    </xf>
    <xf numFmtId="0" fontId="73" fillId="5" borderId="0" xfId="0" applyFont="1" applyFill="1" applyBorder="1" applyProtection="1">
      <protection locked="0"/>
    </xf>
    <xf numFmtId="167" fontId="73" fillId="5" borderId="0" xfId="1" applyNumberFormat="1" applyFont="1" applyFill="1" applyBorder="1" applyProtection="1">
      <protection locked="0"/>
    </xf>
    <xf numFmtId="0" fontId="74" fillId="5" borderId="31" xfId="0" applyFont="1" applyFill="1" applyBorder="1" applyProtection="1">
      <protection locked="0"/>
    </xf>
    <xf numFmtId="0" fontId="10" fillId="5" borderId="123" xfId="0" applyFont="1" applyFill="1" applyBorder="1" applyProtection="1">
      <protection locked="0"/>
    </xf>
    <xf numFmtId="167" fontId="73" fillId="5" borderId="122" xfId="0" applyNumberFormat="1" applyFont="1" applyFill="1" applyBorder="1" applyProtection="1">
      <protection locked="0"/>
    </xf>
    <xf numFmtId="44" fontId="75" fillId="0" borderId="120" xfId="2" applyFont="1" applyFill="1" applyBorder="1" applyProtection="1">
      <protection locked="0"/>
    </xf>
    <xf numFmtId="167" fontId="75" fillId="0" borderId="115" xfId="0" applyNumberFormat="1" applyFont="1" applyFill="1" applyBorder="1" applyProtection="1">
      <protection locked="0"/>
    </xf>
    <xf numFmtId="43" fontId="75" fillId="0" borderId="119" xfId="1" applyNumberFormat="1" applyFont="1" applyFill="1" applyBorder="1" applyProtection="1">
      <protection locked="0"/>
    </xf>
    <xf numFmtId="2" fontId="75" fillId="0" borderId="118" xfId="0" applyNumberFormat="1" applyFont="1" applyFill="1" applyBorder="1" applyProtection="1">
      <protection locked="0"/>
    </xf>
    <xf numFmtId="43" fontId="75" fillId="0" borderId="115" xfId="0" applyNumberFormat="1" applyFont="1" applyFill="1" applyBorder="1" applyProtection="1">
      <protection locked="0"/>
    </xf>
    <xf numFmtId="2" fontId="75" fillId="0" borderId="115" xfId="0" applyNumberFormat="1" applyFont="1" applyFill="1" applyBorder="1" applyProtection="1">
      <protection locked="0"/>
    </xf>
    <xf numFmtId="0" fontId="75" fillId="0" borderId="115" xfId="0" applyFont="1" applyFill="1" applyBorder="1" applyProtection="1">
      <protection locked="0"/>
    </xf>
    <xf numFmtId="167" fontId="75" fillId="0" borderId="115" xfId="1" applyNumberFormat="1" applyFont="1" applyFill="1" applyBorder="1" applyProtection="1">
      <protection locked="0"/>
    </xf>
    <xf numFmtId="167" fontId="75" fillId="0" borderId="116" xfId="1" applyNumberFormat="1" applyFont="1" applyFill="1" applyBorder="1" applyProtection="1">
      <protection locked="0"/>
    </xf>
    <xf numFmtId="0" fontId="75" fillId="0" borderId="116" xfId="0" applyFont="1" applyFill="1" applyBorder="1" applyProtection="1">
      <protection locked="0"/>
    </xf>
    <xf numFmtId="167" fontId="75" fillId="0" borderId="117" xfId="0" applyNumberFormat="1" applyFont="1" applyFill="1" applyBorder="1" applyProtection="1">
      <protection locked="0"/>
    </xf>
    <xf numFmtId="9" fontId="73" fillId="5" borderId="33" xfId="3" applyFont="1" applyFill="1" applyBorder="1" applyProtection="1">
      <protection locked="0"/>
    </xf>
    <xf numFmtId="0" fontId="53" fillId="16" borderId="0" xfId="0" applyNumberFormat="1" applyFont="1" applyFill="1" applyBorder="1" applyAlignment="1" applyProtection="1">
      <alignment horizontal="left" indent="1"/>
      <protection locked="0"/>
    </xf>
    <xf numFmtId="0" fontId="52" fillId="16" borderId="0" xfId="0" applyNumberFormat="1" applyFont="1" applyFill="1" applyBorder="1" applyAlignment="1" applyProtection="1">
      <alignment horizontal="left" indent="1"/>
      <protection locked="0"/>
    </xf>
    <xf numFmtId="0" fontId="53" fillId="16" borderId="0" xfId="0" applyNumberFormat="1" applyFont="1" applyFill="1" applyBorder="1" applyProtection="1">
      <protection locked="0"/>
    </xf>
    <xf numFmtId="169" fontId="53" fillId="16" borderId="0" xfId="0" applyNumberFormat="1" applyFont="1" applyFill="1" applyBorder="1" applyProtection="1">
      <protection locked="0"/>
    </xf>
    <xf numFmtId="10" fontId="53" fillId="16" borderId="0" xfId="0" applyNumberFormat="1" applyFont="1" applyFill="1" applyBorder="1" applyProtection="1">
      <protection locked="0"/>
    </xf>
    <xf numFmtId="7" fontId="53" fillId="16" borderId="0" xfId="0" applyNumberFormat="1" applyFont="1" applyFill="1" applyBorder="1" applyAlignment="1" applyProtection="1">
      <alignment horizontal="right" indent="1"/>
      <protection locked="0"/>
    </xf>
    <xf numFmtId="1" fontId="53" fillId="16" borderId="0" xfId="0" applyNumberFormat="1" applyFont="1" applyFill="1" applyBorder="1" applyProtection="1">
      <protection locked="0"/>
    </xf>
    <xf numFmtId="37" fontId="53" fillId="16" borderId="0" xfId="0" applyNumberFormat="1" applyFont="1" applyFill="1" applyBorder="1" applyProtection="1">
      <protection locked="0"/>
    </xf>
    <xf numFmtId="0" fontId="49" fillId="16" borderId="0" xfId="0" applyNumberFormat="1" applyFont="1" applyFill="1" applyBorder="1"/>
    <xf numFmtId="0" fontId="47" fillId="16" borderId="0" xfId="0" applyNumberFormat="1" applyFont="1" applyFill="1" applyBorder="1" applyAlignment="1">
      <alignment horizontal="center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9" borderId="31" xfId="0" applyFont="1" applyFill="1" applyBorder="1" applyProtection="1">
      <protection locked="0"/>
    </xf>
    <xf numFmtId="0" fontId="17" fillId="19" borderId="30" xfId="0" applyFont="1" applyFill="1" applyBorder="1" applyProtection="1">
      <protection locked="0"/>
    </xf>
    <xf numFmtId="0" fontId="17" fillId="19" borderId="32" xfId="0" applyFont="1" applyFill="1" applyBorder="1" applyProtection="1">
      <protection locked="0"/>
    </xf>
    <xf numFmtId="167" fontId="17" fillId="19" borderId="30" xfId="1" applyNumberFormat="1" applyFont="1" applyFill="1" applyBorder="1" applyProtection="1">
      <protection locked="0"/>
    </xf>
    <xf numFmtId="1" fontId="17" fillId="19" borderId="31" xfId="0" applyNumberFormat="1" applyFont="1" applyFill="1" applyBorder="1" applyProtection="1">
      <protection locked="0"/>
    </xf>
    <xf numFmtId="0" fontId="17" fillId="19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8" fillId="16" borderId="0" xfId="0" applyNumberFormat="1" applyFont="1" applyFill="1" applyBorder="1" applyProtection="1"/>
    <xf numFmtId="10" fontId="48" fillId="16" borderId="0" xfId="0" applyNumberFormat="1" applyFont="1" applyFill="1" applyBorder="1" applyProtection="1"/>
    <xf numFmtId="1" fontId="48" fillId="16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6" fillId="16" borderId="0" xfId="0" applyNumberFormat="1" applyFont="1" applyFill="1" applyBorder="1" applyProtection="1">
      <protection locked="0"/>
    </xf>
    <xf numFmtId="0" fontId="55" fillId="6" borderId="41" xfId="0" applyNumberFormat="1" applyFont="1" applyFill="1" applyBorder="1" applyAlignment="1" applyProtection="1">
      <alignment vertical="center"/>
      <protection locked="0"/>
    </xf>
    <xf numFmtId="0" fontId="49" fillId="16" borderId="0" xfId="0" applyNumberFormat="1" applyFont="1" applyFill="1" applyBorder="1" applyAlignment="1">
      <alignment horizontal="center"/>
    </xf>
    <xf numFmtId="0" fontId="70" fillId="19" borderId="32" xfId="0" applyFont="1" applyFill="1" applyBorder="1" applyAlignment="1" applyProtection="1">
      <alignment horizontal="left" vertical="center"/>
      <protection locked="0"/>
    </xf>
    <xf numFmtId="176" fontId="70" fillId="19" borderId="31" xfId="0" applyNumberFormat="1" applyFont="1" applyFill="1" applyBorder="1" applyProtection="1">
      <protection locked="0"/>
    </xf>
    <xf numFmtId="9" fontId="2" fillId="6" borderId="124" xfId="0" applyNumberFormat="1" applyFont="1" applyFill="1" applyBorder="1" applyProtection="1">
      <protection locked="0"/>
    </xf>
    <xf numFmtId="37" fontId="77" fillId="0" borderId="0" xfId="0" applyNumberFormat="1" applyFont="1" applyFill="1" applyBorder="1" applyProtection="1">
      <protection locked="0"/>
    </xf>
    <xf numFmtId="0" fontId="44" fillId="16" borderId="0" xfId="0" applyNumberFormat="1" applyFont="1" applyFill="1" applyBorder="1" applyAlignment="1" applyProtection="1">
      <alignment horizontal="left" vertical="center" indent="1"/>
      <protection locked="0"/>
    </xf>
    <xf numFmtId="167" fontId="45" fillId="16" borderId="0" xfId="0" applyNumberFormat="1" applyFont="1" applyFill="1" applyBorder="1" applyAlignment="1" applyProtection="1">
      <alignment horizontal="center"/>
      <protection locked="0"/>
    </xf>
    <xf numFmtId="169" fontId="45" fillId="16" borderId="0" xfId="0" applyNumberFormat="1" applyFont="1" applyFill="1" applyBorder="1" applyProtection="1">
      <protection locked="0"/>
    </xf>
    <xf numFmtId="9" fontId="45" fillId="16" borderId="0" xfId="0" applyNumberFormat="1" applyFont="1" applyFill="1" applyBorder="1" applyProtection="1"/>
    <xf numFmtId="7" fontId="45" fillId="16" borderId="0" xfId="0" applyNumberFormat="1" applyFont="1" applyFill="1" applyBorder="1" applyAlignment="1" applyProtection="1">
      <alignment horizontal="right" indent="1"/>
    </xf>
    <xf numFmtId="3" fontId="45" fillId="16" borderId="0" xfId="0" applyNumberFormat="1" applyFont="1" applyFill="1" applyBorder="1" applyAlignment="1" applyProtection="1">
      <alignment horizontal="right"/>
    </xf>
    <xf numFmtId="1" fontId="45" fillId="16" borderId="0" xfId="0" applyNumberFormat="1" applyFont="1" applyFill="1" applyBorder="1" applyAlignment="1" applyProtection="1">
      <alignment horizontal="left"/>
    </xf>
    <xf numFmtId="172" fontId="44" fillId="16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4" fillId="0" borderId="0" xfId="0" applyNumberFormat="1" applyFont="1" applyFill="1" applyBorder="1"/>
    <xf numFmtId="0" fontId="23" fillId="6" borderId="0" xfId="0" applyFont="1" applyFill="1" applyAlignment="1">
      <alignment horizontal="right"/>
    </xf>
    <xf numFmtId="172" fontId="50" fillId="16" borderId="0" xfId="0" applyNumberFormat="1" applyFont="1" applyFill="1" applyBorder="1"/>
    <xf numFmtId="172" fontId="78" fillId="6" borderId="0" xfId="1" applyNumberFormat="1" applyFont="1" applyFill="1"/>
    <xf numFmtId="172" fontId="78" fillId="6" borderId="0" xfId="1" applyNumberFormat="1" applyFont="1" applyFill="1" applyAlignment="1"/>
    <xf numFmtId="14" fontId="32" fillId="0" borderId="0" xfId="0" applyNumberFormat="1" applyFont="1" applyFill="1" applyBorder="1" applyProtection="1">
      <protection locked="0"/>
    </xf>
    <xf numFmtId="0" fontId="0" fillId="0" borderId="0" xfId="0" applyAlignment="1">
      <alignment wrapText="1"/>
    </xf>
    <xf numFmtId="0" fontId="11" fillId="14" borderId="10" xfId="0" applyFont="1" applyFill="1" applyBorder="1" applyAlignment="1" applyProtection="1">
      <alignment horizontal="center"/>
    </xf>
    <xf numFmtId="0" fontId="83" fillId="15" borderId="10" xfId="0" applyFont="1" applyFill="1" applyBorder="1" applyAlignment="1">
      <alignment wrapText="1"/>
    </xf>
    <xf numFmtId="169" fontId="0" fillId="15" borderId="0" xfId="0" applyNumberFormat="1" applyFill="1" applyBorder="1"/>
    <xf numFmtId="0" fontId="36" fillId="5" borderId="0" xfId="9" applyAlignment="1">
      <alignment horizontal="center" vertical="center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14" fontId="12" fillId="6" borderId="1" xfId="0" applyNumberFormat="1" applyFont="1" applyFill="1" applyBorder="1" applyAlignment="1" applyProtection="1">
      <alignment vertical="center"/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82" fillId="21" borderId="0" xfId="0" applyFont="1" applyFill="1" applyAlignment="1" applyProtection="1">
      <alignment textRotation="90"/>
      <protection locked="0"/>
    </xf>
    <xf numFmtId="0" fontId="82" fillId="0" borderId="0" xfId="0" applyFont="1" applyFill="1" applyAlignment="1" applyProtection="1">
      <alignment textRotation="90"/>
      <protection locked="0"/>
    </xf>
    <xf numFmtId="0" fontId="33" fillId="6" borderId="10" xfId="0" applyFont="1" applyFill="1" applyBorder="1" applyProtection="1">
      <protection locked="0"/>
    </xf>
    <xf numFmtId="0" fontId="0" fillId="6" borderId="0" xfId="0" applyFill="1" applyAlignment="1" applyProtection="1">
      <alignment horizontal="center"/>
      <protection locked="0"/>
    </xf>
    <xf numFmtId="0" fontId="81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9" fillId="0" borderId="8" xfId="0" applyFont="1" applyFill="1" applyBorder="1" applyProtection="1">
      <protection locked="0"/>
    </xf>
    <xf numFmtId="9" fontId="79" fillId="0" borderId="9" xfId="0" applyNumberFormat="1" applyFont="1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0" fontId="66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6" fillId="0" borderId="0" xfId="0" applyFont="1" applyFill="1" applyProtection="1">
      <protection locked="0"/>
    </xf>
    <xf numFmtId="1" fontId="66" fillId="0" borderId="0" xfId="0" applyNumberFormat="1" applyFont="1" applyFill="1" applyProtection="1">
      <protection locked="0"/>
    </xf>
    <xf numFmtId="1" fontId="66" fillId="0" borderId="0" xfId="0" applyNumberFormat="1" applyFont="1" applyFill="1" applyBorder="1" applyProtection="1">
      <protection locked="0"/>
    </xf>
    <xf numFmtId="0" fontId="66" fillId="6" borderId="124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67" fillId="0" borderId="0" xfId="0" applyFont="1" applyFill="1" applyProtection="1">
      <protection locked="0"/>
    </xf>
    <xf numFmtId="0" fontId="79" fillId="0" borderId="0" xfId="0" applyFont="1" applyFill="1" applyProtection="1">
      <protection locked="0"/>
    </xf>
    <xf numFmtId="0" fontId="79" fillId="6" borderId="124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84" fillId="21" borderId="13" xfId="0" applyFont="1" applyFill="1" applyBorder="1" applyAlignment="1" applyProtection="1">
      <alignment horizontal="center"/>
      <protection locked="0"/>
    </xf>
    <xf numFmtId="0" fontId="0" fillId="6" borderId="13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82" fillId="0" borderId="0" xfId="0" applyFont="1" applyFill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82" fillId="0" borderId="0" xfId="0" applyFont="1" applyFill="1" applyBorder="1" applyAlignment="1" applyProtection="1">
      <alignment horizontal="center"/>
      <protection locked="0"/>
    </xf>
    <xf numFmtId="1" fontId="79" fillId="0" borderId="0" xfId="0" applyNumberFormat="1" applyFont="1" applyFill="1" applyProtection="1">
      <protection locked="0"/>
    </xf>
    <xf numFmtId="1" fontId="79" fillId="0" borderId="0" xfId="0" applyNumberFormat="1" applyFont="1" applyFill="1" applyBorder="1" applyProtection="1">
      <protection locked="0"/>
    </xf>
    <xf numFmtId="0" fontId="84" fillId="0" borderId="10" xfId="0" applyFont="1" applyFill="1" applyBorder="1" applyAlignment="1" applyProtection="1">
      <alignment horizontal="center"/>
      <protection locked="0"/>
    </xf>
    <xf numFmtId="0" fontId="33" fillId="6" borderId="124" xfId="0" applyFont="1" applyFill="1" applyBorder="1" applyProtection="1"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6" fillId="0" borderId="127" xfId="0" applyFont="1" applyFill="1" applyBorder="1" applyProtection="1">
      <protection locked="0"/>
    </xf>
    <xf numFmtId="0" fontId="0" fillId="0" borderId="128" xfId="0" applyFill="1" applyBorder="1" applyProtection="1">
      <protection locked="0"/>
    </xf>
    <xf numFmtId="0" fontId="33" fillId="0" borderId="128" xfId="0" applyFont="1" applyFill="1" applyBorder="1" applyProtection="1">
      <protection locked="0"/>
    </xf>
    <xf numFmtId="0" fontId="84" fillId="0" borderId="0" xfId="0" applyFont="1" applyFill="1" applyBorder="1" applyAlignment="1" applyProtection="1">
      <alignment horizontal="center"/>
      <protection locked="0"/>
    </xf>
    <xf numFmtId="0" fontId="33" fillId="6" borderId="11" xfId="0" applyFont="1" applyFill="1" applyBorder="1" applyProtection="1">
      <protection locked="0"/>
    </xf>
    <xf numFmtId="0" fontId="33" fillId="0" borderId="10" xfId="0" applyFont="1" applyFill="1" applyBorder="1" applyProtection="1">
      <protection locked="0"/>
    </xf>
    <xf numFmtId="0" fontId="33" fillId="6" borderId="75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9" fontId="79" fillId="6" borderId="10" xfId="0" applyNumberFormat="1" applyFont="1" applyFill="1" applyBorder="1" applyProtection="1">
      <protection locked="0"/>
    </xf>
    <xf numFmtId="0" fontId="33" fillId="0" borderId="129" xfId="0" applyFont="1" applyFill="1" applyBorder="1" applyProtection="1">
      <protection locked="0"/>
    </xf>
    <xf numFmtId="9" fontId="86" fillId="0" borderId="0" xfId="0" applyNumberFormat="1" applyFont="1" applyFill="1" applyBorder="1" applyProtection="1">
      <protection locked="0"/>
    </xf>
    <xf numFmtId="9" fontId="86" fillId="0" borderId="11" xfId="0" applyNumberFormat="1" applyFont="1" applyFill="1" applyBorder="1" applyProtection="1">
      <protection locked="0"/>
    </xf>
    <xf numFmtId="0" fontId="31" fillId="0" borderId="0" xfId="0" applyFont="1" applyFill="1" applyBorder="1" applyProtection="1">
      <protection locked="0"/>
    </xf>
    <xf numFmtId="0" fontId="31" fillId="0" borderId="11" xfId="0" applyFont="1" applyFill="1" applyBorder="1" applyProtection="1">
      <protection locked="0"/>
    </xf>
    <xf numFmtId="0" fontId="33" fillId="20" borderId="8" xfId="0" applyFont="1" applyFill="1" applyBorder="1" applyAlignment="1" applyProtection="1">
      <alignment horizontal="center" vertical="center"/>
      <protection locked="0"/>
    </xf>
    <xf numFmtId="0" fontId="33" fillId="20" borderId="9" xfId="0" applyFont="1" applyFill="1" applyBorder="1" applyAlignment="1" applyProtection="1">
      <alignment horizontal="center" vertical="center"/>
      <protection locked="0"/>
    </xf>
    <xf numFmtId="0" fontId="33" fillId="20" borderId="7" xfId="0" applyFont="1" applyFill="1" applyBorder="1" applyAlignment="1" applyProtection="1">
      <alignment horizontal="center" vertical="center"/>
      <protection locked="0"/>
    </xf>
    <xf numFmtId="0" fontId="33" fillId="20" borderId="7" xfId="0" applyFont="1" applyFill="1" applyBorder="1" applyAlignment="1" applyProtection="1">
      <alignment horizontal="center"/>
      <protection locked="0"/>
    </xf>
    <xf numFmtId="0" fontId="33" fillId="20" borderId="8" xfId="0" applyFont="1" applyFill="1" applyBorder="1" applyAlignment="1" applyProtection="1">
      <alignment horizontal="center"/>
      <protection locked="0"/>
    </xf>
    <xf numFmtId="0" fontId="33" fillId="20" borderId="9" xfId="0" applyFont="1" applyFill="1" applyBorder="1" applyAlignment="1" applyProtection="1">
      <alignment horizontal="center"/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31" fillId="6" borderId="0" xfId="0" applyFont="1" applyFill="1"/>
    <xf numFmtId="3" fontId="66" fillId="15" borderId="0" xfId="0" applyNumberFormat="1" applyFont="1" applyFill="1" applyBorder="1" applyProtection="1">
      <protection locked="0"/>
    </xf>
    <xf numFmtId="0" fontId="86" fillId="6" borderId="0" xfId="0" applyFont="1" applyFill="1"/>
    <xf numFmtId="14" fontId="1" fillId="0" borderId="0" xfId="4" applyNumberFormat="1" applyProtection="1">
      <protection locked="0"/>
    </xf>
    <xf numFmtId="9" fontId="0" fillId="0" borderId="0" xfId="0" applyNumberFormat="1" applyFont="1" applyProtection="1">
      <protection locked="0"/>
    </xf>
    <xf numFmtId="0" fontId="0" fillId="6" borderId="11" xfId="0" applyFill="1" applyBorder="1"/>
    <xf numFmtId="9" fontId="86" fillId="6" borderId="10" xfId="0" applyNumberFormat="1" applyFont="1" applyFill="1" applyBorder="1" applyProtection="1">
      <protection locked="0"/>
    </xf>
    <xf numFmtId="0" fontId="87" fillId="6" borderId="0" xfId="0" applyFont="1" applyFill="1" applyBorder="1" applyAlignment="1"/>
    <xf numFmtId="14" fontId="0" fillId="0" borderId="0" xfId="0" applyNumberFormat="1"/>
    <xf numFmtId="3" fontId="66" fillId="15" borderId="65" xfId="0" applyNumberFormat="1" applyFont="1" applyFill="1" applyBorder="1" applyProtection="1">
      <protection locked="0"/>
    </xf>
    <xf numFmtId="4" fontId="0" fillId="0" borderId="0" xfId="0" applyNumberFormat="1" applyAlignment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3" fillId="13" borderId="66" xfId="0" applyFont="1" applyFill="1" applyBorder="1" applyAlignment="1">
      <alignment horizontal="center"/>
    </xf>
    <xf numFmtId="0" fontId="3" fillId="13" borderId="64" xfId="0" applyFont="1" applyFill="1" applyBorder="1" applyAlignment="1">
      <alignment horizontal="center"/>
    </xf>
    <xf numFmtId="0" fontId="42" fillId="6" borderId="78" xfId="0" applyFont="1" applyFill="1" applyBorder="1" applyAlignment="1" applyProtection="1">
      <alignment horizontal="center" vertical="center"/>
      <protection locked="0"/>
    </xf>
    <xf numFmtId="0" fontId="42" fillId="6" borderId="79" xfId="0" applyFont="1" applyFill="1" applyBorder="1" applyAlignment="1" applyProtection="1">
      <alignment horizontal="center" vertical="center"/>
      <protection locked="0"/>
    </xf>
    <xf numFmtId="0" fontId="42" fillId="6" borderId="80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125" xfId="0" applyFill="1" applyBorder="1" applyProtection="1">
      <protection locked="0"/>
    </xf>
    <xf numFmtId="0" fontId="0" fillId="6" borderId="124" xfId="0" applyFill="1" applyBorder="1" applyProtection="1">
      <protection locked="0"/>
    </xf>
    <xf numFmtId="0" fontId="0" fillId="6" borderId="126" xfId="0" applyFill="1" applyBorder="1" applyProtection="1">
      <protection locked="0"/>
    </xf>
    <xf numFmtId="166" fontId="55" fillId="6" borderId="39" xfId="0" applyNumberFormat="1" applyFont="1" applyFill="1" applyBorder="1" applyAlignment="1" applyProtection="1">
      <alignment horizontal="left" vertical="center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6" fontId="55" fillId="6" borderId="7" xfId="0" applyNumberFormat="1" applyFont="1" applyFill="1" applyBorder="1" applyAlignment="1" applyProtection="1">
      <alignment horizontal="left" vertical="center"/>
      <protection locked="0"/>
    </xf>
    <xf numFmtId="166" fontId="55" fillId="6" borderId="8" xfId="0" applyNumberFormat="1" applyFont="1" applyFill="1" applyBorder="1" applyAlignment="1" applyProtection="1">
      <alignment horizontal="left" vertic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9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5" fillId="6" borderId="85" xfId="0" applyNumberFormat="1" applyFont="1" applyFill="1" applyBorder="1" applyAlignment="1" applyProtection="1">
      <alignment horizontal="left" vertical="center"/>
      <protection locked="0"/>
    </xf>
    <xf numFmtId="166" fontId="55" fillId="6" borderId="86" xfId="0" applyNumberFormat="1" applyFont="1" applyFill="1" applyBorder="1" applyAlignment="1" applyProtection="1">
      <alignment horizontal="left" vertical="center"/>
      <protection locked="0"/>
    </xf>
    <xf numFmtId="0" fontId="55" fillId="6" borderId="39" xfId="0" applyFont="1" applyFill="1" applyBorder="1" applyAlignment="1" applyProtection="1">
      <alignment horizontal="left" vertical="center" wrapText="1"/>
      <protection locked="0"/>
    </xf>
    <xf numFmtId="0" fontId="55" fillId="6" borderId="40" xfId="0" applyFont="1" applyFill="1" applyBorder="1" applyAlignment="1" applyProtection="1">
      <alignment horizontal="left" vertical="center" wrapText="1"/>
      <protection locked="0"/>
    </xf>
    <xf numFmtId="0" fontId="55" fillId="6" borderId="39" xfId="0" applyFont="1" applyFill="1" applyBorder="1" applyAlignment="1" applyProtection="1">
      <alignment horizontal="left" vertical="center"/>
      <protection locked="0"/>
    </xf>
    <xf numFmtId="0" fontId="55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5" fillId="6" borderId="85" xfId="0" applyFont="1" applyFill="1" applyBorder="1" applyAlignment="1" applyProtection="1">
      <alignment horizontal="left" vertical="center"/>
      <protection locked="0"/>
    </xf>
    <xf numFmtId="0" fontId="55" fillId="6" borderId="86" xfId="0" applyNumberFormat="1" applyFont="1" applyFill="1" applyBorder="1" applyAlignment="1" applyProtection="1">
      <alignment horizontal="left" vertical="center"/>
      <protection locked="0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8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1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24.png"/><Relationship Id="rId1" Type="http://schemas.openxmlformats.org/officeDocument/2006/relationships/image" Target="../media/image6.png"/><Relationship Id="rId6" Type="http://schemas.openxmlformats.org/officeDocument/2006/relationships/image" Target="../media/image16.png"/><Relationship Id="rId11" Type="http://schemas.openxmlformats.org/officeDocument/2006/relationships/image" Target="../media/image19.png"/><Relationship Id="rId5" Type="http://schemas.openxmlformats.org/officeDocument/2006/relationships/image" Target="../media/image15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4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5.png"/><Relationship Id="rId7" Type="http://schemas.openxmlformats.org/officeDocument/2006/relationships/image" Target="../media/image25.png"/><Relationship Id="rId12" Type="http://schemas.openxmlformats.org/officeDocument/2006/relationships/image" Target="../media/image22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1.png"/><Relationship Id="rId5" Type="http://schemas.openxmlformats.org/officeDocument/2006/relationships/image" Target="../media/image3.png"/><Relationship Id="rId15" Type="http://schemas.openxmlformats.org/officeDocument/2006/relationships/image" Target="../media/image26.png"/><Relationship Id="rId10" Type="http://schemas.openxmlformats.org/officeDocument/2006/relationships/image" Target="../media/image20.png"/><Relationship Id="rId4" Type="http://schemas.openxmlformats.org/officeDocument/2006/relationships/image" Target="../media/image16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16.png"/><Relationship Id="rId2" Type="http://schemas.openxmlformats.org/officeDocument/2006/relationships/image" Target="../media/image28.png"/><Relationship Id="rId1" Type="http://schemas.openxmlformats.org/officeDocument/2006/relationships/image" Target="../media/image27.jpe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16.png"/><Relationship Id="rId2" Type="http://schemas.openxmlformats.org/officeDocument/2006/relationships/image" Target="../media/image38.png"/><Relationship Id="rId1" Type="http://schemas.openxmlformats.org/officeDocument/2006/relationships/image" Target="../media/image27.jpe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9.png"/><Relationship Id="rId14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534905</xdr:colOff>
      <xdr:row>10</xdr:row>
      <xdr:rowOff>93934</xdr:rowOff>
    </xdr:from>
    <xdr:to>
      <xdr:col>10</xdr:col>
      <xdr:colOff>841991</xdr:colOff>
      <xdr:row>11</xdr:row>
      <xdr:rowOff>225537</xdr:rowOff>
    </xdr:to>
    <xdr:pic macro="[0]!lessMONTHdetailCLICK">
      <xdr:nvPicPr>
        <xdr:cNvPr id="9" name="\\lessMONTHdetail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822" y="2623351"/>
          <a:ext cx="310896" cy="29818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262843</xdr:colOff>
      <xdr:row>4</xdr:row>
      <xdr:rowOff>186929</xdr:rowOff>
    </xdr:to>
    <xdr:pic macro="[0]!plusCLICK">
      <xdr:nvPicPr>
        <xdr:cNvPr id="11" name="\\Plus" hidden="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262610</xdr:colOff>
      <xdr:row>4</xdr:row>
      <xdr:rowOff>186929</xdr:rowOff>
    </xdr:to>
    <xdr:pic macro="[0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36</xdr:col>
      <xdr:colOff>15621</xdr:colOff>
      <xdr:row>10</xdr:row>
      <xdr:rowOff>93934</xdr:rowOff>
    </xdr:from>
    <xdr:to>
      <xdr:col>36</xdr:col>
      <xdr:colOff>339852</xdr:colOff>
      <xdr:row>11</xdr:row>
      <xdr:rowOff>225537</xdr:rowOff>
    </xdr:to>
    <xdr:pic macro="[0]!lessRATEdetailCLICK">
      <xdr:nvPicPr>
        <xdr:cNvPr id="15" name="\\lessRATEdetail" hidden="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11538" y="2623351"/>
          <a:ext cx="314706" cy="29818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1787650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534905</xdr:colOff>
      <xdr:row>10</xdr:row>
      <xdr:rowOff>93934</xdr:rowOff>
    </xdr:from>
    <xdr:to>
      <xdr:col>10</xdr:col>
      <xdr:colOff>841991</xdr:colOff>
      <xdr:row>11</xdr:row>
      <xdr:rowOff>225312</xdr:rowOff>
    </xdr:to>
    <xdr:pic macro="[0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822" y="2623351"/>
          <a:ext cx="310896" cy="301769"/>
        </a:xfrm>
        <a:prstGeom prst="rect">
          <a:avLst/>
        </a:prstGeom>
      </xdr:spPr>
    </xdr:pic>
    <xdr:clientData/>
  </xdr:twoCellAnchor>
  <xdr:twoCellAnchor editAs="oneCell">
    <xdr:from>
      <xdr:col>36</xdr:col>
      <xdr:colOff>15621</xdr:colOff>
      <xdr:row>10</xdr:row>
      <xdr:rowOff>93934</xdr:rowOff>
    </xdr:from>
    <xdr:to>
      <xdr:col>36</xdr:col>
      <xdr:colOff>339852</xdr:colOff>
      <xdr:row>11</xdr:row>
      <xdr:rowOff>225312</xdr:rowOff>
    </xdr:to>
    <xdr:pic macro="[0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8538" y="2623351"/>
          <a:ext cx="314706" cy="30176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34350</xdr:colOff>
      <xdr:row>12</xdr:row>
      <xdr:rowOff>225744</xdr:rowOff>
    </xdr:to>
    <xdr:pic macro="[0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303" y="1930279"/>
          <a:ext cx="928468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1581150</xdr:colOff>
      <xdr:row>14</xdr:row>
      <xdr:rowOff>42865</xdr:rowOff>
    </xdr:from>
    <xdr:to>
      <xdr:col>2</xdr:col>
      <xdr:colOff>34350</xdr:colOff>
      <xdr:row>14</xdr:row>
      <xdr:rowOff>225745</xdr:rowOff>
    </xdr:to>
    <xdr:pic macro="[0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304" y="3618403"/>
          <a:ext cx="928467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423597</xdr:colOff>
      <xdr:row>13</xdr:row>
      <xdr:rowOff>33918</xdr:rowOff>
    </xdr:to>
    <xdr:pic macro="[0]!MakeChart">
      <xdr:nvPicPr>
        <xdr:cNvPr id="22" name="Graphic 21" descr="Bar chart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1025062</xdr:colOff>
      <xdr:row>0</xdr:row>
      <xdr:rowOff>529591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37</xdr:row>
      <xdr:rowOff>42865</xdr:rowOff>
    </xdr:from>
    <xdr:ext cx="886968" cy="182880"/>
    <xdr:pic macro="[0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8975198"/>
          <a:ext cx="886968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18</xdr:row>
      <xdr:rowOff>60959</xdr:rowOff>
    </xdr:from>
    <xdr:to>
      <xdr:col>1</xdr:col>
      <xdr:colOff>1062332</xdr:colOff>
      <xdr:row>21</xdr:row>
      <xdr:rowOff>110487</xdr:rowOff>
    </xdr:to>
    <xdr:pic macro="[0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100556</xdr:colOff>
      <xdr:row>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134AE-42C7-4FD8-9CDF-C8B249020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1275" cy="64008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16</xdr:row>
      <xdr:rowOff>144780</xdr:rowOff>
    </xdr:from>
    <xdr:to>
      <xdr:col>13</xdr:col>
      <xdr:colOff>463297</xdr:colOff>
      <xdr:row>16</xdr:row>
      <xdr:rowOff>470918</xdr:rowOff>
    </xdr:to>
    <xdr:pic macro="[0]!addITEM_Click">
      <xdr:nvPicPr>
        <xdr:cNvPr id="4" name="\addItem">
          <a:extLst>
            <a:ext uri="{FF2B5EF4-FFF2-40B4-BE49-F238E27FC236}">
              <a16:creationId xmlns:a16="http://schemas.microsoft.com/office/drawing/2014/main" id="{22E2ADB9-96E3-456E-8ACB-AE743D46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5360" y="5844540"/>
          <a:ext cx="310897" cy="310897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10</xdr:row>
      <xdr:rowOff>38100</xdr:rowOff>
    </xdr:from>
    <xdr:to>
      <xdr:col>28</xdr:col>
      <xdr:colOff>387097</xdr:colOff>
      <xdr:row>11</xdr:row>
      <xdr:rowOff>173737</xdr:rowOff>
    </xdr:to>
    <xdr:pic macro="[0]!addTemp_Click">
      <xdr:nvPicPr>
        <xdr:cNvPr id="5" name="\addtemp">
          <a:extLst>
            <a:ext uri="{FF2B5EF4-FFF2-40B4-BE49-F238E27FC236}">
              <a16:creationId xmlns:a16="http://schemas.microsoft.com/office/drawing/2014/main" id="{3E26D023-CD52-48C8-B193-1504AC6A3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100" y="1866900"/>
          <a:ext cx="310897" cy="318517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619127</xdr:colOff>
      <xdr:row>0</xdr:row>
      <xdr:rowOff>0</xdr:rowOff>
    </xdr:from>
    <xdr:to>
      <xdr:col>6</xdr:col>
      <xdr:colOff>10194</xdr:colOff>
      <xdr:row>3</xdr:row>
      <xdr:rowOff>160020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0333DBF-D91F-4E03-A40B-EB9C153E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9283" y="0"/>
          <a:ext cx="2046161" cy="7315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2717A0E-948B-4FB8-8DA3-9A1696083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14500" cy="53761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F7545006-53F9-4EF0-A838-41AEC8127C0E}"/>
            </a:ext>
          </a:extLst>
        </xdr:cNvPr>
        <xdr:cNvSpPr txBox="1"/>
      </xdr:nvSpPr>
      <xdr:spPr>
        <a:xfrm>
          <a:off x="1725084" y="74084"/>
          <a:ext cx="236366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  <xdr:twoCellAnchor>
    <xdr:from>
      <xdr:col>8</xdr:col>
      <xdr:colOff>0</xdr:colOff>
      <xdr:row>12</xdr:row>
      <xdr:rowOff>49213</xdr:rowOff>
    </xdr:from>
    <xdr:to>
      <xdr:col>83</xdr:col>
      <xdr:colOff>0</xdr:colOff>
      <xdr:row>12</xdr:row>
      <xdr:rowOff>150813</xdr:rowOff>
    </xdr:to>
    <xdr:sp macro="" textlink="">
      <xdr:nvSpPr>
        <xdr:cNvPr id="15" name="\bar_1">
          <a:extLst>
            <a:ext uri="{FF2B5EF4-FFF2-40B4-BE49-F238E27FC236}">
              <a16:creationId xmlns:a16="http://schemas.microsoft.com/office/drawing/2014/main" id="{5356E90A-DCB5-4B0C-AA21-6793B195036B}"/>
            </a:ext>
          </a:extLst>
        </xdr:cNvPr>
        <xdr:cNvSpPr/>
      </xdr:nvSpPr>
      <xdr:spPr>
        <a:xfrm>
          <a:off x="4676775" y="2287588"/>
          <a:ext cx="18573750" cy="101600"/>
        </a:xfrm>
        <a:prstGeom prst="rect">
          <a:avLst/>
        </a:prstGeom>
        <a:solidFill>
          <a:srgbClr val="757171"/>
        </a:solidFill>
        <a:ln w="12700">
          <a:solidFill>
            <a:srgbClr val="75717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44450</xdr:rowOff>
    </xdr:from>
    <xdr:to>
      <xdr:col>83</xdr:col>
      <xdr:colOff>0</xdr:colOff>
      <xdr:row>11</xdr:row>
      <xdr:rowOff>146050</xdr:rowOff>
    </xdr:to>
    <xdr:sp macro="" textlink="">
      <xdr:nvSpPr>
        <xdr:cNvPr id="20" name="\bar_2">
          <a:extLst>
            <a:ext uri="{FF2B5EF4-FFF2-40B4-BE49-F238E27FC236}">
              <a16:creationId xmlns:a16="http://schemas.microsoft.com/office/drawing/2014/main" id="{BB9DA5B7-5C51-4EA1-95F1-AD0C0881A9F3}"/>
            </a:ext>
          </a:extLst>
        </xdr:cNvPr>
        <xdr:cNvSpPr/>
      </xdr:nvSpPr>
      <xdr:spPr>
        <a:xfrm>
          <a:off x="4676775" y="2092325"/>
          <a:ext cx="18573750" cy="101600"/>
        </a:xfrm>
        <a:prstGeom prst="rect">
          <a:avLst/>
        </a:prstGeom>
        <a:solidFill>
          <a:srgbClr val="757171"/>
        </a:solidFill>
        <a:ln w="12700">
          <a:solidFill>
            <a:srgbClr val="75717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FF01A-41B0-40E5-8C06-82B169372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3656" cy="64008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0]!addITEM_Click">
      <xdr:nvPicPr>
        <xdr:cNvPr id="3" name="\addItem" hidden="1">
          <a:extLst>
            <a:ext uri="{FF2B5EF4-FFF2-40B4-BE49-F238E27FC236}">
              <a16:creationId xmlns:a16="http://schemas.microsoft.com/office/drawing/2014/main" id="{E01812FF-5D1E-4FFA-A32E-C349CBDB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08992" cy="322328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0]!addTemp_Click">
      <xdr:nvPicPr>
        <xdr:cNvPr id="4" name="\addtemp">
          <a:extLst>
            <a:ext uri="{FF2B5EF4-FFF2-40B4-BE49-F238E27FC236}">
              <a16:creationId xmlns:a16="http://schemas.microsoft.com/office/drawing/2014/main" id="{91AA17E3-A434-4B40-BDB9-C13B3FBD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4350" y="1952625"/>
          <a:ext cx="310897" cy="326137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27" name="TextBox 3">
          <a:extLst>
            <a:ext uri="{FF2B5EF4-FFF2-40B4-BE49-F238E27FC236}">
              <a16:creationId xmlns:a16="http://schemas.microsoft.com/office/drawing/2014/main" id="{F9E95BC5-808E-4873-9DA2-1B2843C1FD63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0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0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0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0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0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0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0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0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0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0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0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0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0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0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0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0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0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0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0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0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0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0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0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0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0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0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0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96664</xdr:colOff>
      <xdr:row>10</xdr:row>
      <xdr:rowOff>231516</xdr:rowOff>
    </xdr:to>
    <xdr:pic macro="[0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0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44450</xdr:colOff>
      <xdr:row>11</xdr:row>
      <xdr:rowOff>15413</xdr:rowOff>
    </xdr:to>
    <xdr:pic macro="[0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201393</xdr:colOff>
      <xdr:row>1</xdr:row>
      <xdr:rowOff>53340</xdr:rowOff>
    </xdr:to>
    <xdr:sp macro="[0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201393</xdr:colOff>
      <xdr:row>1</xdr:row>
      <xdr:rowOff>53340</xdr:rowOff>
    </xdr:to>
    <xdr:sp macro="[0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201393</xdr:colOff>
      <xdr:row>1</xdr:row>
      <xdr:rowOff>53340</xdr:rowOff>
    </xdr:to>
    <xdr:sp macro="[0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400666</xdr:colOff>
      <xdr:row>9</xdr:row>
      <xdr:rowOff>129732</xdr:rowOff>
    </xdr:to>
    <xdr:pic macro="[0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396709</xdr:colOff>
      <xdr:row>9</xdr:row>
      <xdr:rowOff>94401</xdr:rowOff>
    </xdr:to>
    <xdr:pic macro="[0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0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0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0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0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0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0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0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0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0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0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35</xdr:row>
      <xdr:rowOff>17584</xdr:rowOff>
    </xdr:from>
    <xdr:ext cx="270525" cy="269631"/>
    <xdr:pic macro="[0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35</xdr:row>
      <xdr:rowOff>15240</xdr:rowOff>
    </xdr:from>
    <xdr:ext cx="279661" cy="274320"/>
    <xdr:pic macro="[0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48</xdr:row>
      <xdr:rowOff>17584</xdr:rowOff>
    </xdr:from>
    <xdr:ext cx="270525" cy="269631"/>
    <xdr:pic macro="[0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48</xdr:row>
      <xdr:rowOff>15240</xdr:rowOff>
    </xdr:from>
    <xdr:ext cx="279661" cy="274320"/>
    <xdr:pic macro="[0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51</xdr:row>
      <xdr:rowOff>17585</xdr:rowOff>
    </xdr:from>
    <xdr:ext cx="270525" cy="269631"/>
    <xdr:pic macro="[0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51</xdr:row>
      <xdr:rowOff>15241</xdr:rowOff>
    </xdr:from>
    <xdr:ext cx="279661" cy="274320"/>
    <xdr:pic macro="[0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55</xdr:row>
      <xdr:rowOff>17584</xdr:rowOff>
    </xdr:from>
    <xdr:ext cx="270525" cy="269631"/>
    <xdr:pic macro="[0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55</xdr:row>
      <xdr:rowOff>15240</xdr:rowOff>
    </xdr:from>
    <xdr:ext cx="279661" cy="274320"/>
    <xdr:pic macro="[0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65</xdr:row>
      <xdr:rowOff>17584</xdr:rowOff>
    </xdr:from>
    <xdr:ext cx="270525" cy="269631"/>
    <xdr:pic macro="[0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65</xdr:row>
      <xdr:rowOff>15240</xdr:rowOff>
    </xdr:from>
    <xdr:ext cx="279661" cy="274320"/>
    <xdr:pic macro="[0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84</xdr:row>
      <xdr:rowOff>17585</xdr:rowOff>
    </xdr:from>
    <xdr:ext cx="270525" cy="269631"/>
    <xdr:pic macro="[0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84</xdr:row>
      <xdr:rowOff>15239</xdr:rowOff>
    </xdr:from>
    <xdr:ext cx="279661" cy="274320"/>
    <xdr:pic macro="[0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106</xdr:row>
      <xdr:rowOff>15239</xdr:rowOff>
    </xdr:from>
    <xdr:ext cx="279661" cy="274320"/>
    <xdr:pic macro="[0]!less_click">
      <xdr:nvPicPr>
        <xdr:cNvPr id="25" name="\\less13">
          <a:extLst>
            <a:ext uri="{FF2B5EF4-FFF2-40B4-BE49-F238E27FC236}">
              <a16:creationId xmlns:a16="http://schemas.microsoft.com/office/drawing/2014/main" id="{A052D055-4DB4-4BA9-B457-4F5E0625A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15703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0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0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89044</xdr:colOff>
      <xdr:row>0</xdr:row>
      <xdr:rowOff>170274</xdr:rowOff>
    </xdr:to>
    <xdr:pic macro="[0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0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0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207108</xdr:colOff>
      <xdr:row>1</xdr:row>
      <xdr:rowOff>53340</xdr:rowOff>
    </xdr:to>
    <xdr:sp macro="[0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207108</xdr:colOff>
      <xdr:row>1</xdr:row>
      <xdr:rowOff>53340</xdr:rowOff>
    </xdr:to>
    <xdr:sp macro="[0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207108</xdr:colOff>
      <xdr:row>1</xdr:row>
      <xdr:rowOff>53340</xdr:rowOff>
    </xdr:to>
    <xdr:sp macro="[0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0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0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16681</xdr:rowOff>
    </xdr:to>
    <xdr:pic macro="[0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95</xdr:row>
      <xdr:rowOff>17586</xdr:rowOff>
    </xdr:from>
    <xdr:ext cx="270525" cy="269631"/>
    <xdr:pic macro="[0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95</xdr:row>
      <xdr:rowOff>15239</xdr:rowOff>
    </xdr:from>
    <xdr:ext cx="279661" cy="274320"/>
    <xdr:pic macro="[0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106</xdr:row>
      <xdr:rowOff>9525</xdr:rowOff>
    </xdr:from>
    <xdr:ext cx="270525" cy="269631"/>
    <xdr:pic macro="[0]!more_click">
      <xdr:nvPicPr>
        <xdr:cNvPr id="71" name="\\more13" hidden="1">
          <a:extLst>
            <a:ext uri="{FF2B5EF4-FFF2-40B4-BE49-F238E27FC236}">
              <a16:creationId xmlns:a16="http://schemas.microsoft.com/office/drawing/2014/main" id="{6B154F06-1151-44C0-9401-9D23793FA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1564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111</xdr:row>
      <xdr:rowOff>9525</xdr:rowOff>
    </xdr:from>
    <xdr:ext cx="270525" cy="269631"/>
    <xdr:pic macro="[0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118</xdr:row>
      <xdr:rowOff>0</xdr:rowOff>
    </xdr:from>
    <xdr:ext cx="270525" cy="269631"/>
    <xdr:pic macro="[0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123</xdr:row>
      <xdr:rowOff>0</xdr:rowOff>
    </xdr:from>
    <xdr:ext cx="270525" cy="269631"/>
    <xdr:pic macro="[0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159</xdr:row>
      <xdr:rowOff>0</xdr:rowOff>
    </xdr:from>
    <xdr:ext cx="270525" cy="269631"/>
    <xdr:pic macro="[0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172</xdr:row>
      <xdr:rowOff>0</xdr:rowOff>
    </xdr:from>
    <xdr:ext cx="270525" cy="269631"/>
    <xdr:pic macro="[0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181</xdr:row>
      <xdr:rowOff>0</xdr:rowOff>
    </xdr:from>
    <xdr:ext cx="270525" cy="269631"/>
    <xdr:pic macro="[0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111</xdr:row>
      <xdr:rowOff>0</xdr:rowOff>
    </xdr:from>
    <xdr:ext cx="279661" cy="274320"/>
    <xdr:pic macro="[0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118</xdr:row>
      <xdr:rowOff>0</xdr:rowOff>
    </xdr:from>
    <xdr:ext cx="279661" cy="274320"/>
    <xdr:pic macro="[0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123</xdr:row>
      <xdr:rowOff>0</xdr:rowOff>
    </xdr:from>
    <xdr:ext cx="279661" cy="274320"/>
    <xdr:pic macro="[0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159</xdr:row>
      <xdr:rowOff>0</xdr:rowOff>
    </xdr:from>
    <xdr:ext cx="279661" cy="274320"/>
    <xdr:pic macro="[0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172</xdr:row>
      <xdr:rowOff>0</xdr:rowOff>
    </xdr:from>
    <xdr:ext cx="279661" cy="274320"/>
    <xdr:pic macro="[0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181</xdr:row>
      <xdr:rowOff>0</xdr:rowOff>
    </xdr:from>
    <xdr:ext cx="279661" cy="274320"/>
    <xdr:pic macro="[0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187</xdr:row>
      <xdr:rowOff>0</xdr:rowOff>
    </xdr:from>
    <xdr:ext cx="279661" cy="274320"/>
    <xdr:pic macro="[0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189</xdr:row>
      <xdr:rowOff>0</xdr:rowOff>
    </xdr:from>
    <xdr:ext cx="270525" cy="269631"/>
    <xdr:pic macro="[0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189</xdr:row>
      <xdr:rowOff>0</xdr:rowOff>
    </xdr:from>
    <xdr:ext cx="279661" cy="274320"/>
    <xdr:pic macro="[0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1253325</xdr:colOff>
      <xdr:row>7</xdr:row>
      <xdr:rowOff>301226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1214644</xdr:colOff>
      <xdr:row>7</xdr:row>
      <xdr:rowOff>376817</xdr:rowOff>
    </xdr:to>
    <xdr:sp macro="[0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6896026" cy="1374141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33975</xdr:colOff>
      <xdr:row>3</xdr:row>
      <xdr:rowOff>187379</xdr:rowOff>
    </xdr:to>
    <xdr:pic macro="[0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8946" cy="18737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263115</xdr:colOff>
      <xdr:row>3</xdr:row>
      <xdr:rowOff>262666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115" cy="262666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1184465</xdr:colOff>
      <xdr:row>3</xdr:row>
      <xdr:rowOff>262666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509436" cy="2626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1451165</xdr:colOff>
      <xdr:row>3</xdr:row>
      <xdr:rowOff>262666</xdr:rowOff>
    </xdr:to>
    <xdr:sp macro="[0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76136" cy="262666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187043</xdr:colOff>
      <xdr:row>3</xdr:row>
      <xdr:rowOff>187379</xdr:rowOff>
    </xdr:to>
    <xdr:pic macro="[0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043" cy="187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231414</xdr:colOff>
      <xdr:row>3</xdr:row>
      <xdr:rowOff>229161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1414" cy="229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231419</xdr:colOff>
      <xdr:row>3</xdr:row>
      <xdr:rowOff>229161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1419" cy="229161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224429</xdr:colOff>
      <xdr:row>5</xdr:row>
      <xdr:rowOff>34701</xdr:rowOff>
    </xdr:to>
    <xdr:pic macro="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33463</xdr:rowOff>
    </xdr:from>
    <xdr:to>
      <xdr:col>4</xdr:col>
      <xdr:colOff>148860</xdr:colOff>
      <xdr:row>4</xdr:row>
      <xdr:rowOff>185969</xdr:rowOff>
    </xdr:to>
    <xdr:pic macro="[0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33463</xdr:rowOff>
    </xdr:from>
    <xdr:to>
      <xdr:col>4</xdr:col>
      <xdr:colOff>116535</xdr:colOff>
      <xdr:row>4</xdr:row>
      <xdr:rowOff>186753</xdr:rowOff>
    </xdr:to>
    <xdr:pic macro="[0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0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0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195034</xdr:colOff>
      <xdr:row>3</xdr:row>
      <xdr:rowOff>300965</xdr:rowOff>
    </xdr:to>
    <xdr:pic macro="[0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0005" cy="30096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266700</xdr:colOff>
      <xdr:row>3</xdr:row>
      <xdr:rowOff>266700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" cy="26670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1215390</xdr:colOff>
      <xdr:row>3</xdr:row>
      <xdr:rowOff>266700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540361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1482090</xdr:colOff>
      <xdr:row>3</xdr:row>
      <xdr:rowOff>266700</xdr:rowOff>
    </xdr:to>
    <xdr:sp macro="[0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807061" cy="26670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300965</xdr:colOff>
      <xdr:row>3</xdr:row>
      <xdr:rowOff>300965</xdr:rowOff>
    </xdr:to>
    <xdr:pic macro="[0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965" cy="3009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262480</xdr:colOff>
      <xdr:row>3</xdr:row>
      <xdr:rowOff>224904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480" cy="224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266761</xdr:colOff>
      <xdr:row>3</xdr:row>
      <xdr:rowOff>224904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61" cy="2249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2060575</xdr:colOff>
      <xdr:row>3</xdr:row>
      <xdr:rowOff>34925</xdr:rowOff>
    </xdr:to>
    <xdr:sp macro="[0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2385546" cy="34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15651</xdr:rowOff>
    </xdr:to>
    <xdr:pic macro="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133620</xdr:colOff>
      <xdr:row>4</xdr:row>
      <xdr:rowOff>180254</xdr:rowOff>
    </xdr:to>
    <xdr:pic macro="[0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105105</xdr:colOff>
      <xdr:row>4</xdr:row>
      <xdr:rowOff>179133</xdr:rowOff>
    </xdr:to>
    <xdr:pic macro="[0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0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0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workbookViewId="0">
      <selection activeCell="D15" sqref="D15"/>
    </sheetView>
  </sheetViews>
  <sheetFormatPr defaultColWidth="0" defaultRowHeight="14.25" zeroHeight="1" x14ac:dyDescent="0.2"/>
  <cols>
    <col min="1" max="1" width="3.7109375" style="18" customWidth="1"/>
    <col min="2" max="2" width="3.5703125" style="18" customWidth="1"/>
    <col min="3" max="3" width="19.7109375" style="18" bestFit="1" customWidth="1"/>
    <col min="4" max="4" width="19.28515625" style="18" bestFit="1" customWidth="1"/>
    <col min="5" max="5" width="42.28515625" style="18" customWidth="1"/>
    <col min="6" max="6" width="3.42578125" style="18" customWidth="1"/>
    <col min="7" max="7" width="26.28515625" style="18" bestFit="1" customWidth="1"/>
    <col min="8" max="8" width="13.42578125" style="18" bestFit="1" customWidth="1"/>
    <col min="9" max="9" width="6.28515625" style="18" customWidth="1"/>
    <col min="10" max="10" width="25.140625" style="18" bestFit="1" customWidth="1"/>
    <col min="11" max="11" width="14.85546875" style="18" bestFit="1" customWidth="1"/>
    <col min="12" max="12" width="5.42578125" style="18" bestFit="1" customWidth="1"/>
    <col min="13" max="14" width="3.7109375" style="18" customWidth="1"/>
    <col min="15" max="15" width="32.85546875" style="18" hidden="1" customWidth="1"/>
    <col min="16" max="16" width="7" style="18" hidden="1" customWidth="1"/>
    <col min="17" max="16384" width="9.140625" style="18" hidden="1"/>
  </cols>
  <sheetData>
    <row r="1" spans="1:16" ht="21.75" customHeight="1" x14ac:dyDescent="0.2">
      <c r="A1" s="383"/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</row>
    <row r="2" spans="1:16" ht="48" customHeight="1" thickBot="1" x14ac:dyDescent="0.25">
      <c r="A2" s="383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3"/>
    </row>
    <row r="3" spans="1:16" ht="15" thickTop="1" x14ac:dyDescent="0.2">
      <c r="A3" s="383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3"/>
    </row>
    <row r="4" spans="1:16" x14ac:dyDescent="0.2">
      <c r="A4" s="383"/>
      <c r="B4" s="386"/>
      <c r="C4" s="387" t="s">
        <v>220</v>
      </c>
      <c r="D4" s="692"/>
      <c r="E4" s="693"/>
      <c r="F4" s="388"/>
      <c r="G4" s="387" t="s">
        <v>213</v>
      </c>
      <c r="H4" s="11">
        <v>43327</v>
      </c>
      <c r="I4" s="388"/>
      <c r="J4" s="387" t="s">
        <v>215</v>
      </c>
      <c r="K4" s="11">
        <v>43478</v>
      </c>
      <c r="L4" s="389"/>
      <c r="M4" s="390"/>
      <c r="N4" s="383"/>
      <c r="O4" s="18" t="s">
        <v>234</v>
      </c>
      <c r="P4" s="18">
        <v>2080</v>
      </c>
    </row>
    <row r="5" spans="1:16" x14ac:dyDescent="0.2">
      <c r="A5" s="383"/>
      <c r="B5" s="386"/>
      <c r="C5" s="387" t="s">
        <v>221</v>
      </c>
      <c r="D5" s="692"/>
      <c r="E5" s="693"/>
      <c r="F5" s="388"/>
      <c r="G5" s="387" t="s">
        <v>214</v>
      </c>
      <c r="H5" s="11">
        <v>43478</v>
      </c>
      <c r="I5" s="388"/>
      <c r="J5" s="387" t="s">
        <v>216</v>
      </c>
      <c r="K5" s="11">
        <v>44004</v>
      </c>
      <c r="L5" s="389"/>
      <c r="M5" s="390"/>
      <c r="N5" s="383"/>
      <c r="O5" s="18" t="s">
        <v>235</v>
      </c>
      <c r="P5" s="18">
        <v>1760</v>
      </c>
    </row>
    <row r="6" spans="1:16" x14ac:dyDescent="0.2">
      <c r="A6" s="383"/>
      <c r="B6" s="388"/>
      <c r="C6" s="387" t="s">
        <v>223</v>
      </c>
      <c r="D6" s="692" t="s">
        <v>280</v>
      </c>
      <c r="E6" s="693"/>
      <c r="F6" s="388"/>
      <c r="G6" s="387" t="s">
        <v>9</v>
      </c>
      <c r="H6" s="591">
        <f>IF(cDateDiff("M",\pstart,\pend)&gt;0,cDateDiff("M",\pstart,\pend),0)</f>
        <v>5</v>
      </c>
      <c r="I6" s="388"/>
      <c r="J6" s="694" t="s">
        <v>9</v>
      </c>
      <c r="K6" s="591">
        <f>IF(cDateDiff("M",\cstart,\cend)&gt;0,cDateDiff("M",\cstart,\cend),0)</f>
        <v>17</v>
      </c>
      <c r="L6" s="391"/>
      <c r="M6" s="390"/>
      <c r="N6" s="383"/>
      <c r="O6" s="18" t="s">
        <v>236</v>
      </c>
      <c r="P6" s="18">
        <v>1840</v>
      </c>
    </row>
    <row r="7" spans="1:16" x14ac:dyDescent="0.2">
      <c r="A7" s="383"/>
      <c r="B7" s="386"/>
      <c r="C7" s="387" t="s">
        <v>224</v>
      </c>
      <c r="D7" s="690" t="s">
        <v>288</v>
      </c>
      <c r="E7" s="691"/>
      <c r="F7" s="388"/>
      <c r="G7" s="388"/>
      <c r="H7" s="592">
        <f>IF(cDateDiff("WW",\pstart,\pend)&gt;0,cDateDiff("WW",\pstart,\pend),0)</f>
        <v>22</v>
      </c>
      <c r="I7" s="391"/>
      <c r="J7" s="694"/>
      <c r="K7" s="592">
        <f>IF(cDateDiff("WW",\cstart,\cend)&gt;0,cDateDiff("WW",\cstart,\cend),0)</f>
        <v>75</v>
      </c>
      <c r="L7" s="391"/>
      <c r="M7" s="390"/>
      <c r="N7" s="383"/>
      <c r="O7" s="18" t="s">
        <v>266</v>
      </c>
      <c r="P7" s="18">
        <f>VLOOKUP(\vaca,\table_VACA,2,)</f>
        <v>2080</v>
      </c>
    </row>
    <row r="8" spans="1:16" x14ac:dyDescent="0.2">
      <c r="A8" s="383"/>
      <c r="B8" s="386"/>
      <c r="C8" s="388"/>
      <c r="D8" s="388"/>
      <c r="E8" s="388"/>
      <c r="F8" s="388"/>
      <c r="G8" s="388"/>
      <c r="H8" s="388"/>
      <c r="I8" s="388"/>
      <c r="J8" s="388"/>
      <c r="K8" s="388"/>
      <c r="L8" s="388"/>
      <c r="M8" s="388"/>
      <c r="N8" s="383"/>
    </row>
    <row r="9" spans="1:16" x14ac:dyDescent="0.2">
      <c r="A9" s="383"/>
      <c r="B9" s="386"/>
      <c r="C9" s="387" t="s">
        <v>226</v>
      </c>
      <c r="D9" s="12"/>
      <c r="E9" s="388"/>
      <c r="F9" s="388"/>
      <c r="G9" s="387" t="s">
        <v>510</v>
      </c>
      <c r="H9" s="15">
        <v>0.65</v>
      </c>
      <c r="I9" s="388"/>
      <c r="J9" s="387" t="s">
        <v>217</v>
      </c>
      <c r="K9" s="16"/>
      <c r="L9" s="392" t="s">
        <v>54</v>
      </c>
      <c r="M9" s="388"/>
      <c r="N9" s="383"/>
    </row>
    <row r="10" spans="1:16" x14ac:dyDescent="0.2">
      <c r="A10" s="383"/>
      <c r="B10" s="386"/>
      <c r="C10" s="387" t="s">
        <v>227</v>
      </c>
      <c r="D10" s="12"/>
      <c r="E10" s="388"/>
      <c r="F10" s="388"/>
      <c r="G10" s="387" t="s">
        <v>225</v>
      </c>
      <c r="H10" s="15">
        <v>0.45</v>
      </c>
      <c r="I10" s="388"/>
      <c r="J10" s="387" t="s">
        <v>218</v>
      </c>
      <c r="K10" s="16"/>
      <c r="L10" s="392" t="s">
        <v>212</v>
      </c>
      <c r="M10" s="388"/>
      <c r="N10" s="383"/>
    </row>
    <row r="11" spans="1:16" x14ac:dyDescent="0.2">
      <c r="A11" s="383"/>
      <c r="B11" s="386"/>
      <c r="C11" s="387" t="s">
        <v>222</v>
      </c>
      <c r="D11" s="13">
        <f ca="1">NOW()</f>
        <v>43321.535509490743</v>
      </c>
      <c r="E11" s="388"/>
      <c r="F11" s="386"/>
      <c r="G11" s="387" t="s">
        <v>228</v>
      </c>
      <c r="H11" s="15">
        <v>0.04</v>
      </c>
      <c r="I11" s="386"/>
      <c r="J11" s="388"/>
      <c r="K11" s="388"/>
      <c r="L11" s="388"/>
      <c r="M11" s="388"/>
      <c r="N11" s="383"/>
    </row>
    <row r="12" spans="1:16" x14ac:dyDescent="0.2">
      <c r="A12" s="383"/>
      <c r="B12" s="386"/>
      <c r="C12" s="386"/>
      <c r="D12" s="386"/>
      <c r="E12" s="388"/>
      <c r="F12" s="388"/>
      <c r="G12" s="387" t="s">
        <v>229</v>
      </c>
      <c r="H12" s="15">
        <v>0.09</v>
      </c>
      <c r="I12" s="388"/>
      <c r="J12" s="393" t="s">
        <v>387</v>
      </c>
      <c r="K12" s="388"/>
      <c r="L12" s="388"/>
      <c r="M12" s="388"/>
      <c r="N12" s="383"/>
    </row>
    <row r="13" spans="1:16" x14ac:dyDescent="0.2">
      <c r="A13" s="383"/>
      <c r="B13" s="386"/>
      <c r="C13" s="387" t="s">
        <v>219</v>
      </c>
      <c r="D13" s="14">
        <v>5000000</v>
      </c>
      <c r="E13" s="388"/>
      <c r="F13" s="388"/>
      <c r="G13" s="388"/>
      <c r="H13" s="388"/>
      <c r="I13" s="388"/>
      <c r="J13" s="387" t="s">
        <v>504</v>
      </c>
      <c r="K13" s="362">
        <f ca="1">\prelabor</f>
        <v>0</v>
      </c>
      <c r="L13" s="388"/>
      <c r="M13" s="388"/>
      <c r="N13" s="383"/>
    </row>
    <row r="14" spans="1:16" x14ac:dyDescent="0.2">
      <c r="A14" s="383"/>
      <c r="B14" s="386"/>
      <c r="C14" s="388"/>
      <c r="D14" s="388"/>
      <c r="E14" s="388"/>
      <c r="F14" s="388"/>
      <c r="G14" s="387" t="s">
        <v>231</v>
      </c>
      <c r="H14" s="17">
        <v>52</v>
      </c>
      <c r="I14" s="388"/>
      <c r="J14" s="387" t="s">
        <v>19</v>
      </c>
      <c r="K14" s="362">
        <f ca="1">\conlabor</f>
        <v>146965.68754395607</v>
      </c>
      <c r="L14" s="388"/>
      <c r="M14" s="388"/>
      <c r="N14" s="383"/>
    </row>
    <row r="15" spans="1:16" x14ac:dyDescent="0.2">
      <c r="A15" s="383"/>
      <c r="B15" s="386"/>
      <c r="C15" s="388"/>
      <c r="D15" s="388"/>
      <c r="E15" s="388"/>
      <c r="F15" s="388"/>
      <c r="G15" s="387" t="s">
        <v>230</v>
      </c>
      <c r="H15" s="17">
        <v>35</v>
      </c>
      <c r="I15" s="388"/>
      <c r="J15" s="387" t="s">
        <v>398</v>
      </c>
      <c r="K15" s="362">
        <f>\gctotal</f>
        <v>0</v>
      </c>
      <c r="L15" s="388"/>
      <c r="M15" s="388"/>
      <c r="N15" s="383"/>
    </row>
    <row r="16" spans="1:16" x14ac:dyDescent="0.2">
      <c r="A16" s="383"/>
      <c r="B16" s="386"/>
      <c r="C16" s="387" t="s">
        <v>233</v>
      </c>
      <c r="D16" s="692" t="s">
        <v>234</v>
      </c>
      <c r="E16" s="693"/>
      <c r="F16" s="388"/>
      <c r="G16" s="387" t="s">
        <v>232</v>
      </c>
      <c r="H16" s="17">
        <v>120</v>
      </c>
      <c r="I16" s="388"/>
      <c r="J16" s="387" t="s">
        <v>388</v>
      </c>
      <c r="K16" s="362">
        <f ca="1">\grtotal</f>
        <v>0</v>
      </c>
      <c r="L16" s="388"/>
      <c r="M16" s="388"/>
      <c r="N16" s="383"/>
    </row>
    <row r="17" spans="1:14" x14ac:dyDescent="0.2">
      <c r="A17" s="383"/>
      <c r="B17" s="386"/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3"/>
    </row>
    <row r="18" spans="1:14" x14ac:dyDescent="0.2">
      <c r="A18" s="383"/>
      <c r="B18" s="386"/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3"/>
    </row>
    <row r="19" spans="1:14" x14ac:dyDescent="0.2">
      <c r="A19" s="383"/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</row>
    <row r="20" spans="1:14" hidden="1" x14ac:dyDescent="0.2"/>
    <row r="21" spans="1:14" hidden="1" x14ac:dyDescent="0.2">
      <c r="D21" s="18" t="s">
        <v>277</v>
      </c>
      <c r="F21" s="18" t="s">
        <v>278</v>
      </c>
    </row>
    <row r="22" spans="1:14" hidden="1" x14ac:dyDescent="0.2">
      <c r="D22" s="18" t="s">
        <v>279</v>
      </c>
      <c r="F22" s="18" t="s">
        <v>280</v>
      </c>
    </row>
    <row r="23" spans="1:14" hidden="1" x14ac:dyDescent="0.2">
      <c r="D23" s="18" t="s">
        <v>281</v>
      </c>
      <c r="F23" s="18" t="s">
        <v>282</v>
      </c>
    </row>
    <row r="24" spans="1:14" hidden="1" x14ac:dyDescent="0.2">
      <c r="D24" s="18" t="s">
        <v>283</v>
      </c>
      <c r="F24" s="18" t="s">
        <v>284</v>
      </c>
    </row>
    <row r="25" spans="1:14" hidden="1" x14ac:dyDescent="0.2">
      <c r="D25" s="18" t="s">
        <v>285</v>
      </c>
      <c r="F25" s="18" t="s">
        <v>274</v>
      </c>
    </row>
    <row r="26" spans="1:14" hidden="1" x14ac:dyDescent="0.2">
      <c r="D26" s="18" t="s">
        <v>286</v>
      </c>
      <c r="F26" s="18" t="s">
        <v>287</v>
      </c>
    </row>
    <row r="27" spans="1:14" hidden="1" x14ac:dyDescent="0.2">
      <c r="D27" s="18" t="s">
        <v>288</v>
      </c>
      <c r="F27" s="18" t="s">
        <v>289</v>
      </c>
    </row>
    <row r="28" spans="1:14" hidden="1" x14ac:dyDescent="0.2">
      <c r="D28" s="18" t="s">
        <v>290</v>
      </c>
      <c r="F28" s="18" t="s">
        <v>291</v>
      </c>
    </row>
    <row r="29" spans="1:14" hidden="1" x14ac:dyDescent="0.2">
      <c r="D29" s="18" t="s">
        <v>292</v>
      </c>
      <c r="F29" s="18" t="s">
        <v>293</v>
      </c>
    </row>
    <row r="30" spans="1:14" hidden="1" x14ac:dyDescent="0.2">
      <c r="D30" s="18" t="s">
        <v>294</v>
      </c>
      <c r="F30" s="18" t="s">
        <v>295</v>
      </c>
    </row>
    <row r="31" spans="1:14" hidden="1" x14ac:dyDescent="0.2">
      <c r="D31" s="18" t="s">
        <v>296</v>
      </c>
      <c r="F31" s="18" t="s">
        <v>297</v>
      </c>
    </row>
    <row r="32" spans="1:14" hidden="1" x14ac:dyDescent="0.2">
      <c r="D32" s="18" t="s">
        <v>298</v>
      </c>
    </row>
    <row r="33" spans="4:4" hidden="1" x14ac:dyDescent="0.2">
      <c r="D33" s="18" t="s">
        <v>299</v>
      </c>
    </row>
    <row r="34" spans="4:4" hidden="1" x14ac:dyDescent="0.2">
      <c r="D34" s="18" t="s">
        <v>300</v>
      </c>
    </row>
    <row r="35" spans="4:4" hidden="1" x14ac:dyDescent="0.2">
      <c r="D35" s="18" t="s">
        <v>301</v>
      </c>
    </row>
    <row r="36" spans="4:4" hidden="1" x14ac:dyDescent="0.2">
      <c r="D36" s="18" t="s">
        <v>302</v>
      </c>
    </row>
    <row r="37" spans="4:4" hidden="1" x14ac:dyDescent="0.2">
      <c r="D37" s="18" t="s">
        <v>303</v>
      </c>
    </row>
    <row r="38" spans="4:4" hidden="1" x14ac:dyDescent="0.2">
      <c r="D38" s="18" t="s">
        <v>304</v>
      </c>
    </row>
    <row r="39" spans="4:4" hidden="1" x14ac:dyDescent="0.2">
      <c r="D39" s="18" t="s">
        <v>305</v>
      </c>
    </row>
  </sheetData>
  <sheetProtection sheet="1" objects="1" scenarios="1" selectLockedCells="1"/>
  <dataConsolidate/>
  <mergeCells count="6">
    <mergeCell ref="D7:E7"/>
    <mergeCell ref="D6:E6"/>
    <mergeCell ref="D16:E16"/>
    <mergeCell ref="J6:J7"/>
    <mergeCell ref="D4:E4"/>
    <mergeCell ref="D5:E5"/>
  </mergeCells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BL79"/>
  <sheetViews>
    <sheetView tabSelected="1" zoomScale="80" zoomScaleNormal="80" workbookViewId="0">
      <pane xSplit="12" topLeftCell="M1" activePane="topRight" state="frozen"/>
      <selection pane="topRight" activeCell="B17" sqref="B17"/>
    </sheetView>
  </sheetViews>
  <sheetFormatPr defaultColWidth="9.140625" defaultRowHeight="14.25" x14ac:dyDescent="0.2"/>
  <cols>
    <col min="1" max="1" width="3" style="18" customWidth="1"/>
    <col min="2" max="2" width="36.7109375" style="18" customWidth="1"/>
    <col min="3" max="3" width="28" style="18" customWidth="1"/>
    <col min="4" max="4" width="16.28515625" style="18" bestFit="1" customWidth="1"/>
    <col min="5" max="5" width="12.85546875" style="18" customWidth="1"/>
    <col min="6" max="6" width="5.85546875" style="18" customWidth="1"/>
    <col min="7" max="8" width="11.42578125" style="18" customWidth="1"/>
    <col min="9" max="9" width="16.28515625" style="18" customWidth="1"/>
    <col min="10" max="10" width="16" style="18" customWidth="1"/>
    <col min="11" max="11" width="13.140625" style="18" customWidth="1"/>
    <col min="12" max="12" width="2" style="18" customWidth="1"/>
    <col min="13" max="13" width="2" style="18" hidden="1" customWidth="1"/>
    <col min="14" max="14" width="8.5703125" style="18" hidden="1" customWidth="1"/>
    <col min="15" max="15" width="9.85546875" style="18" hidden="1" customWidth="1"/>
    <col min="16" max="35" width="8.5703125" style="18" hidden="1" customWidth="1"/>
    <col min="36" max="36" width="1.7109375" style="395" hidden="1" customWidth="1"/>
    <col min="37" max="37" width="13.28515625" style="18" customWidth="1"/>
    <col min="38" max="38" width="17.85546875" style="18" customWidth="1"/>
    <col min="39" max="39" width="12.140625" style="18" customWidth="1"/>
    <col min="40" max="40" width="8" style="18" hidden="1" customWidth="1"/>
    <col min="41" max="41" width="12.85546875" style="18" hidden="1" customWidth="1"/>
    <col min="42" max="43" width="11.5703125" style="18" hidden="1" customWidth="1"/>
    <col min="44" max="44" width="11.140625" style="18" hidden="1" customWidth="1"/>
    <col min="45" max="45" width="12.28515625" style="18" hidden="1" customWidth="1"/>
    <col min="46" max="46" width="12.7109375" style="18" hidden="1" customWidth="1"/>
    <col min="47" max="47" width="12.5703125" style="18" hidden="1" customWidth="1"/>
    <col min="48" max="48" width="14.7109375" style="18" hidden="1" customWidth="1"/>
    <col min="49" max="49" width="17.140625" style="18" hidden="1" customWidth="1"/>
    <col min="50" max="50" width="2.28515625" style="18" hidden="1" customWidth="1"/>
    <col min="51" max="51" width="14.42578125" style="18" hidden="1" customWidth="1"/>
    <col min="52" max="53" width="9.140625" style="52" customWidth="1"/>
    <col min="54" max="54" width="9.140625" style="18" hidden="1" customWidth="1"/>
    <col min="55" max="55" width="11.42578125" style="18" hidden="1" customWidth="1"/>
    <col min="56" max="56" width="9.140625" style="18" hidden="1" customWidth="1"/>
    <col min="57" max="57" width="11.7109375" style="18" hidden="1" customWidth="1"/>
    <col min="58" max="58" width="11.85546875" style="18" hidden="1" customWidth="1"/>
    <col min="59" max="60" width="8.5703125" style="18" hidden="1" customWidth="1"/>
    <col min="61" max="61" width="9.85546875" style="52" hidden="1" customWidth="1"/>
    <col min="62" max="63" width="9.140625" style="52" hidden="1" customWidth="1"/>
    <col min="64" max="64" width="13" style="52" customWidth="1"/>
    <col min="65" max="79" width="9.140625" style="52"/>
    <col min="80" max="126" width="13" style="52" customWidth="1"/>
    <col min="127" max="16384" width="9.140625" style="52"/>
  </cols>
  <sheetData>
    <row r="1" spans="1:64" s="384" customFormat="1" ht="48.6" customHeight="1" x14ac:dyDescent="0.2">
      <c r="N1" s="396"/>
      <c r="O1" s="396"/>
      <c r="P1" s="396"/>
      <c r="Q1" s="396"/>
      <c r="R1" s="396"/>
      <c r="T1" s="394"/>
      <c r="U1" s="394"/>
      <c r="V1" s="394"/>
      <c r="W1" s="394"/>
      <c r="X1" s="394"/>
      <c r="Y1" s="394"/>
      <c r="Z1" s="394"/>
      <c r="AA1" s="394"/>
      <c r="AB1" s="394"/>
      <c r="AC1" s="394"/>
      <c r="AD1" s="394"/>
      <c r="AE1" s="394"/>
      <c r="AF1" s="394"/>
      <c r="AG1" s="394"/>
      <c r="AH1" s="394"/>
      <c r="AI1" s="394"/>
      <c r="BB1" s="395"/>
      <c r="BC1" s="395"/>
      <c r="BD1" s="395"/>
      <c r="BE1" s="598">
        <f ca="1">MAX(OFFSET(J13,1,0):OFFSET(J14,-1,0),OFFSET(J15,1,0):OFFSET(J18,-1,0))</f>
        <v>44004</v>
      </c>
      <c r="BF1" s="598">
        <f ca="1">MIN(OFFSET(I13,1,0):OFFSET(I14,-1,0),OFFSET(I15,1,0):OFFSET(I18,-1,0))</f>
        <v>43478</v>
      </c>
      <c r="BG1" s="396"/>
      <c r="BH1" s="394"/>
    </row>
    <row r="2" spans="1:64" s="384" customFormat="1" ht="27" customHeight="1" x14ac:dyDescent="0.25">
      <c r="B2" s="699" t="str">
        <f>IF(Settings!D4&lt;&gt;0,Settings!D4,"")</f>
        <v/>
      </c>
      <c r="C2" s="699"/>
      <c r="D2" s="397"/>
      <c r="G2" s="398"/>
      <c r="AW2" s="399"/>
      <c r="BB2" s="395"/>
      <c r="BC2" s="395"/>
      <c r="BD2" s="395"/>
      <c r="BE2" s="395"/>
      <c r="BF2" s="395"/>
      <c r="BL2" s="394"/>
    </row>
    <row r="3" spans="1:64" s="384" customFormat="1" ht="22.9" customHeight="1" thickBot="1" x14ac:dyDescent="0.25">
      <c r="B3" s="700" t="str">
        <f>IF(Settings!D5&lt;&gt;0,Settings!D5,"")</f>
        <v/>
      </c>
      <c r="C3" s="700"/>
      <c r="D3" s="400"/>
      <c r="E3" s="401">
        <f ca="1">Settings!\date</f>
        <v>43321.535509490743</v>
      </c>
      <c r="AL3" s="399"/>
      <c r="AY3" s="399"/>
      <c r="BB3" s="395"/>
      <c r="BC3" s="395"/>
      <c r="BD3" s="395"/>
      <c r="BE3" s="395"/>
      <c r="BF3" s="395"/>
    </row>
    <row r="4" spans="1:64" s="384" customFormat="1" ht="12" customHeight="1" x14ac:dyDescent="0.2">
      <c r="B4" s="402"/>
      <c r="C4" s="403"/>
      <c r="D4" s="404"/>
      <c r="E4" s="404"/>
      <c r="F4" s="404"/>
      <c r="G4" s="404"/>
      <c r="H4" s="404"/>
      <c r="I4" s="404"/>
      <c r="J4" s="404"/>
      <c r="K4" s="404"/>
      <c r="L4" s="405"/>
      <c r="M4" s="406"/>
      <c r="BB4" s="395"/>
      <c r="BC4" s="395"/>
      <c r="BD4" s="395"/>
      <c r="BE4" s="395"/>
      <c r="BF4" s="395"/>
    </row>
    <row r="5" spans="1:64" s="407" customFormat="1" ht="16.899999999999999" customHeight="1" x14ac:dyDescent="0.25">
      <c r="B5" s="408" t="str">
        <f>Settings!G4</f>
        <v>PreCon Start</v>
      </c>
      <c r="C5" s="605">
        <f>Settings!H4</f>
        <v>43327</v>
      </c>
      <c r="D5" s="409" t="str">
        <f>Settings!G6</f>
        <v>Duration</v>
      </c>
      <c r="E5" s="606">
        <f>Settings!H6</f>
        <v>5</v>
      </c>
      <c r="F5" s="410"/>
      <c r="G5" s="409" t="s">
        <v>248</v>
      </c>
      <c r="H5" s="607">
        <f>Settings!H14</f>
        <v>52</v>
      </c>
      <c r="I5" s="411"/>
      <c r="J5" s="409" t="s">
        <v>510</v>
      </c>
      <c r="K5" s="608">
        <f>Settings!H9</f>
        <v>0.65</v>
      </c>
      <c r="L5" s="412"/>
      <c r="M5" s="413"/>
      <c r="BB5" s="414"/>
      <c r="BC5" s="414"/>
      <c r="BD5" s="414"/>
      <c r="BE5" s="414"/>
      <c r="BF5" s="414"/>
    </row>
    <row r="6" spans="1:64" s="407" customFormat="1" ht="16.899999999999999" customHeight="1" x14ac:dyDescent="0.2">
      <c r="B6" s="408" t="str">
        <f>Settings!G5</f>
        <v>PreCon Finish</v>
      </c>
      <c r="C6" s="605">
        <f>Settings!H5</f>
        <v>43478</v>
      </c>
      <c r="D6" s="415"/>
      <c r="E6" s="609">
        <f>Settings!H7</f>
        <v>22</v>
      </c>
      <c r="F6" s="410"/>
      <c r="G6" s="409" t="s">
        <v>249</v>
      </c>
      <c r="H6" s="607">
        <f>Settings!H15</f>
        <v>35</v>
      </c>
      <c r="I6" s="411"/>
      <c r="J6" s="409" t="s">
        <v>225</v>
      </c>
      <c r="K6" s="608">
        <f>Settings!H10</f>
        <v>0.45</v>
      </c>
      <c r="L6" s="412"/>
      <c r="M6" s="413"/>
      <c r="AJ6" s="416"/>
      <c r="AW6" s="399"/>
      <c r="BB6" s="414"/>
      <c r="BC6" s="414"/>
      <c r="BD6" s="414"/>
      <c r="BE6" s="414"/>
      <c r="BF6" s="414"/>
    </row>
    <row r="7" spans="1:64" s="407" customFormat="1" ht="16.899999999999999" customHeight="1" x14ac:dyDescent="0.25">
      <c r="B7" s="408" t="str">
        <f>Settings!J4</f>
        <v>Contruction Start</v>
      </c>
      <c r="C7" s="605">
        <f>Settings!K4</f>
        <v>43478</v>
      </c>
      <c r="D7" s="409" t="str">
        <f>Settings!J6</f>
        <v>Duration</v>
      </c>
      <c r="E7" s="606">
        <f>Settings!K6</f>
        <v>17</v>
      </c>
      <c r="F7" s="410"/>
      <c r="G7" s="409" t="s">
        <v>250</v>
      </c>
      <c r="H7" s="607">
        <f>Settings!H16</f>
        <v>120</v>
      </c>
      <c r="I7" s="411"/>
      <c r="J7" s="409" t="s">
        <v>228</v>
      </c>
      <c r="K7" s="608">
        <f>Settings!H11</f>
        <v>0.04</v>
      </c>
      <c r="L7" s="417"/>
      <c r="M7" s="418"/>
      <c r="AJ7" s="416"/>
      <c r="AW7" s="419"/>
      <c r="BB7" s="414"/>
      <c r="BC7" s="414"/>
      <c r="BD7" s="414"/>
      <c r="BE7" s="414"/>
      <c r="BF7" s="414"/>
    </row>
    <row r="8" spans="1:64" s="407" customFormat="1" ht="16.899999999999999" customHeight="1" x14ac:dyDescent="0.25">
      <c r="B8" s="408" t="str">
        <f>Settings!J5</f>
        <v>Construction Finish</v>
      </c>
      <c r="C8" s="605">
        <f>Settings!K5</f>
        <v>44004</v>
      </c>
      <c r="D8" s="415"/>
      <c r="E8" s="609">
        <f>Settings!K7</f>
        <v>75</v>
      </c>
      <c r="F8" s="410"/>
      <c r="G8" s="411"/>
      <c r="H8" s="411"/>
      <c r="I8" s="411"/>
      <c r="J8" s="409" t="s">
        <v>229</v>
      </c>
      <c r="K8" s="608">
        <f>Settings!H12</f>
        <v>0.09</v>
      </c>
      <c r="L8" s="417"/>
      <c r="M8" s="418"/>
      <c r="AJ8" s="416"/>
      <c r="AW8" s="419"/>
      <c r="BB8" s="414"/>
      <c r="BC8" s="414"/>
      <c r="BD8" s="414"/>
      <c r="BE8" s="414"/>
      <c r="BF8" s="414"/>
    </row>
    <row r="9" spans="1:64" s="384" customFormat="1" ht="12" customHeight="1" thickBot="1" x14ac:dyDescent="0.25">
      <c r="B9" s="568"/>
      <c r="C9" s="420"/>
      <c r="D9" s="420"/>
      <c r="E9" s="420"/>
      <c r="F9" s="420"/>
      <c r="G9" s="420"/>
      <c r="H9" s="420"/>
      <c r="I9" s="420"/>
      <c r="J9" s="420"/>
      <c r="K9" s="420"/>
      <c r="L9" s="421"/>
      <c r="M9" s="406"/>
      <c r="BB9" s="395"/>
      <c r="BC9" s="395"/>
      <c r="BD9" s="395"/>
      <c r="BE9" s="395"/>
      <c r="BF9" s="395"/>
    </row>
    <row r="10" spans="1:64" s="384" customFormat="1" ht="11.45" customHeight="1" thickBot="1" x14ac:dyDescent="0.25">
      <c r="I10" s="422"/>
      <c r="J10" s="422"/>
      <c r="K10" s="422"/>
      <c r="L10" s="422"/>
      <c r="M10" s="422"/>
      <c r="N10" s="422"/>
      <c r="O10" s="422"/>
      <c r="P10" s="422"/>
      <c r="Q10" s="422"/>
      <c r="R10" s="422"/>
      <c r="S10" s="422"/>
      <c r="T10" s="422"/>
      <c r="U10" s="422"/>
      <c r="V10" s="422"/>
      <c r="W10" s="422"/>
      <c r="X10" s="422"/>
      <c r="Y10" s="422"/>
      <c r="Z10" s="422"/>
      <c r="AA10" s="422"/>
      <c r="AB10" s="422"/>
      <c r="AC10" s="422"/>
      <c r="AD10" s="422"/>
      <c r="AE10" s="422"/>
      <c r="AF10" s="422"/>
      <c r="AG10" s="422"/>
      <c r="AH10" s="422"/>
      <c r="AI10" s="422"/>
      <c r="AJ10" s="422"/>
      <c r="AM10" s="422"/>
      <c r="BB10" s="423"/>
      <c r="BC10" s="423"/>
      <c r="BD10" s="423"/>
      <c r="BE10" s="423"/>
      <c r="BF10" s="423"/>
      <c r="BG10" s="422"/>
      <c r="BH10" s="422"/>
      <c r="BK10" s="384">
        <f ca="1">OFFSET(BG12,0,1)-1</f>
        <v>1</v>
      </c>
    </row>
    <row r="11" spans="1:64" ht="14.45" customHeight="1" x14ac:dyDescent="0.2">
      <c r="A11" s="52"/>
      <c r="B11" s="424"/>
      <c r="C11" s="425"/>
      <c r="D11" s="425"/>
      <c r="E11" s="701" t="s">
        <v>251</v>
      </c>
      <c r="F11" s="425"/>
      <c r="G11" s="701" t="s">
        <v>8</v>
      </c>
      <c r="H11" s="425"/>
      <c r="I11" s="701" t="s">
        <v>239</v>
      </c>
      <c r="J11" s="701" t="s">
        <v>252</v>
      </c>
      <c r="K11" s="426"/>
      <c r="L11" s="427"/>
      <c r="M11" s="428"/>
      <c r="N11" s="429">
        <f>EDATE(\pend,N12)</f>
        <v>43325</v>
      </c>
      <c r="O11" s="429">
        <f>EDATE(\pend,O12)</f>
        <v>43356</v>
      </c>
      <c r="P11" s="429">
        <f>EDATE(\pend,P12)</f>
        <v>43386</v>
      </c>
      <c r="Q11" s="429">
        <f>EDATE(\pend,Q12)</f>
        <v>43417</v>
      </c>
      <c r="R11" s="429">
        <f>EDATE(\pend,R12)</f>
        <v>43447</v>
      </c>
      <c r="S11" s="430">
        <f t="shared" ref="S11:AI11" si="0">EDATE(\cstart,S12-1)</f>
        <v>43478</v>
      </c>
      <c r="T11" s="431">
        <f t="shared" si="0"/>
        <v>43509</v>
      </c>
      <c r="U11" s="431">
        <f t="shared" si="0"/>
        <v>43537</v>
      </c>
      <c r="V11" s="431">
        <f t="shared" si="0"/>
        <v>43568</v>
      </c>
      <c r="W11" s="431">
        <f t="shared" si="0"/>
        <v>43598</v>
      </c>
      <c r="X11" s="431">
        <f t="shared" si="0"/>
        <v>43629</v>
      </c>
      <c r="Y11" s="431">
        <f t="shared" si="0"/>
        <v>43659</v>
      </c>
      <c r="Z11" s="431">
        <f t="shared" si="0"/>
        <v>43690</v>
      </c>
      <c r="AA11" s="431">
        <f t="shared" si="0"/>
        <v>43721</v>
      </c>
      <c r="AB11" s="431">
        <f t="shared" si="0"/>
        <v>43751</v>
      </c>
      <c r="AC11" s="431">
        <f t="shared" si="0"/>
        <v>43782</v>
      </c>
      <c r="AD11" s="431">
        <f t="shared" si="0"/>
        <v>43812</v>
      </c>
      <c r="AE11" s="431">
        <f t="shared" si="0"/>
        <v>43843</v>
      </c>
      <c r="AF11" s="431">
        <f t="shared" si="0"/>
        <v>43874</v>
      </c>
      <c r="AG11" s="431">
        <f t="shared" si="0"/>
        <v>43903</v>
      </c>
      <c r="AH11" s="431">
        <f t="shared" si="0"/>
        <v>43934</v>
      </c>
      <c r="AI11" s="431">
        <f t="shared" si="0"/>
        <v>43964</v>
      </c>
      <c r="AJ11" s="432"/>
      <c r="AK11" s="433"/>
      <c r="AL11" s="703" t="s">
        <v>2</v>
      </c>
      <c r="AM11" s="697" t="s">
        <v>379</v>
      </c>
      <c r="AN11" s="705" t="s">
        <v>380</v>
      </c>
      <c r="AO11" s="695" t="s">
        <v>1</v>
      </c>
      <c r="AP11" s="695" t="s">
        <v>240</v>
      </c>
      <c r="AQ11" s="695" t="s">
        <v>241</v>
      </c>
      <c r="AR11" s="695" t="s">
        <v>245</v>
      </c>
      <c r="AS11" s="695" t="s">
        <v>243</v>
      </c>
      <c r="AT11" s="695" t="s">
        <v>244</v>
      </c>
      <c r="AU11" s="695" t="s">
        <v>247</v>
      </c>
      <c r="AV11" s="695" t="s">
        <v>246</v>
      </c>
      <c r="AW11" s="695" t="s">
        <v>242</v>
      </c>
      <c r="AX11" s="434"/>
      <c r="AY11" s="435"/>
      <c r="BG11" s="429">
        <f>EDATE(\pend,BG12)</f>
        <v>43447</v>
      </c>
      <c r="BH11" s="431">
        <f>EDATE(\cstart,BH12-1)</f>
        <v>43509</v>
      </c>
    </row>
    <row r="12" spans="1:64" s="436" customFormat="1" ht="19.899999999999999" customHeight="1" x14ac:dyDescent="0.2">
      <c r="B12" s="437" t="s">
        <v>4</v>
      </c>
      <c r="C12" s="438" t="s">
        <v>5</v>
      </c>
      <c r="D12" s="438" t="s">
        <v>0</v>
      </c>
      <c r="E12" s="702"/>
      <c r="F12" s="438"/>
      <c r="G12" s="702"/>
      <c r="H12" s="438" t="s">
        <v>9</v>
      </c>
      <c r="I12" s="702"/>
      <c r="J12" s="702"/>
      <c r="K12" s="439" t="s">
        <v>238</v>
      </c>
      <c r="L12" s="440"/>
      <c r="M12" s="441">
        <v>-2</v>
      </c>
      <c r="N12" s="442">
        <v>-5</v>
      </c>
      <c r="O12" s="442">
        <v>-4</v>
      </c>
      <c r="P12" s="442">
        <v>-3</v>
      </c>
      <c r="Q12" s="442">
        <v>-2</v>
      </c>
      <c r="R12" s="442">
        <v>-1</v>
      </c>
      <c r="S12" s="443">
        <v>1</v>
      </c>
      <c r="T12" s="444">
        <v>2</v>
      </c>
      <c r="U12" s="444">
        <v>3</v>
      </c>
      <c r="V12" s="444">
        <v>4</v>
      </c>
      <c r="W12" s="444">
        <v>5</v>
      </c>
      <c r="X12" s="444">
        <v>6</v>
      </c>
      <c r="Y12" s="444">
        <v>7</v>
      </c>
      <c r="Z12" s="444">
        <v>8</v>
      </c>
      <c r="AA12" s="444">
        <v>9</v>
      </c>
      <c r="AB12" s="444">
        <v>10</v>
      </c>
      <c r="AC12" s="444">
        <v>11</v>
      </c>
      <c r="AD12" s="444">
        <v>12</v>
      </c>
      <c r="AE12" s="444">
        <v>13</v>
      </c>
      <c r="AF12" s="444">
        <v>14</v>
      </c>
      <c r="AG12" s="444">
        <v>15</v>
      </c>
      <c r="AH12" s="444">
        <v>16</v>
      </c>
      <c r="AI12" s="444">
        <v>17</v>
      </c>
      <c r="AJ12" s="445"/>
      <c r="AK12" s="446" t="s">
        <v>3</v>
      </c>
      <c r="AL12" s="704"/>
      <c r="AM12" s="698"/>
      <c r="AN12" s="706"/>
      <c r="AO12" s="696"/>
      <c r="AP12" s="696"/>
      <c r="AQ12" s="696"/>
      <c r="AR12" s="696"/>
      <c r="AS12" s="696"/>
      <c r="AT12" s="696"/>
      <c r="AU12" s="696"/>
      <c r="AV12" s="696"/>
      <c r="AW12" s="696"/>
      <c r="AX12" s="447"/>
      <c r="AY12" s="448" t="s">
        <v>2</v>
      </c>
      <c r="BB12" s="449" t="s">
        <v>313</v>
      </c>
      <c r="BC12" s="449">
        <f>COUNTA(G15:G19)</f>
        <v>2</v>
      </c>
      <c r="BD12" s="449"/>
      <c r="BE12" s="449"/>
      <c r="BF12" s="449"/>
      <c r="BG12" s="442">
        <v>-1</v>
      </c>
      <c r="BH12" s="444">
        <v>2</v>
      </c>
    </row>
    <row r="13" spans="1:64" ht="19.899999999999999" customHeight="1" x14ac:dyDescent="0.2">
      <c r="A13" s="52"/>
      <c r="B13" s="372" t="s">
        <v>237</v>
      </c>
      <c r="C13" s="373"/>
      <c r="D13" s="373"/>
      <c r="E13" s="373"/>
      <c r="F13" s="373"/>
      <c r="G13" s="450"/>
      <c r="H13" s="373"/>
      <c r="I13" s="373"/>
      <c r="J13" s="451" t="s">
        <v>306</v>
      </c>
      <c r="K13" s="452"/>
      <c r="L13" s="427"/>
      <c r="M13" s="428"/>
      <c r="N13" s="373"/>
      <c r="O13" s="373"/>
      <c r="P13" s="373"/>
      <c r="Q13" s="373"/>
      <c r="R13" s="373"/>
      <c r="S13" s="372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3"/>
      <c r="AI13" s="373"/>
      <c r="AJ13" s="432"/>
      <c r="AK13" s="372"/>
      <c r="AL13" s="373"/>
      <c r="AM13" s="452"/>
      <c r="AN13" s="373"/>
      <c r="AO13" s="373"/>
      <c r="AP13" s="373"/>
      <c r="AQ13" s="373"/>
      <c r="AR13" s="373"/>
      <c r="AS13" s="373"/>
      <c r="AT13" s="373"/>
      <c r="AU13" s="373"/>
      <c r="AV13" s="373"/>
      <c r="AW13" s="373"/>
      <c r="AX13" s="373"/>
      <c r="AY13" s="453"/>
      <c r="BB13" s="18" t="s">
        <v>502</v>
      </c>
      <c r="BC13" s="18">
        <f ca="1">SUM(AL13:AL15)</f>
        <v>0</v>
      </c>
      <c r="BG13" s="373"/>
      <c r="BH13" s="373"/>
    </row>
    <row r="14" spans="1:64" ht="19.899999999999999" customHeight="1" x14ac:dyDescent="0.2">
      <c r="A14" s="52"/>
      <c r="B14" s="379"/>
      <c r="C14" s="373"/>
      <c r="D14" s="373"/>
      <c r="E14" s="373"/>
      <c r="F14" s="373"/>
      <c r="G14" s="373"/>
      <c r="H14" s="373"/>
      <c r="I14" s="373"/>
      <c r="J14" s="535" t="s">
        <v>511</v>
      </c>
      <c r="K14" s="549"/>
      <c r="L14" s="380"/>
      <c r="M14" s="251">
        <f>$K14</f>
        <v>0</v>
      </c>
      <c r="N14" s="513"/>
      <c r="O14" s="513"/>
      <c r="P14" s="513"/>
      <c r="Q14" s="513"/>
      <c r="R14" s="513"/>
      <c r="S14" s="512"/>
      <c r="T14" s="513"/>
      <c r="U14" s="513"/>
      <c r="V14" s="513"/>
      <c r="W14" s="513"/>
      <c r="X14" s="513"/>
      <c r="Y14" s="513"/>
      <c r="Z14" s="513"/>
      <c r="AA14" s="513"/>
      <c r="AB14" s="513"/>
      <c r="AC14" s="513"/>
      <c r="AD14" s="513"/>
      <c r="AE14" s="513"/>
      <c r="AF14" s="513"/>
      <c r="AG14" s="513"/>
      <c r="AH14" s="513"/>
      <c r="AI14" s="513"/>
      <c r="AJ14" s="581"/>
      <c r="AK14" s="520"/>
      <c r="AL14" s="521">
        <f ca="1">SUMIF(AL13:OFFSET(AL14,-1,0),"&gt;0")</f>
        <v>0</v>
      </c>
      <c r="AM14" s="522">
        <f ca="1">SUMIF(AM13:OFFSET(AM14,-1,0),"&gt;0")</f>
        <v>0</v>
      </c>
      <c r="AN14" s="523"/>
      <c r="AO14" s="524">
        <f ca="1">SUMIF(AO13:OFFSET(AO14,-1,0),"&gt;0")</f>
        <v>0</v>
      </c>
      <c r="AP14" s="523" t="str">
        <f ca="1">IFERROR(AVERAGEA(AP13:OFFSET(AP14,-1,0)),"")</f>
        <v/>
      </c>
      <c r="AQ14" s="525" t="str">
        <f ca="1">IFERROR(AVERAGEA(AQ13:OFFSET(AQ14,-1,0)),"")</f>
        <v/>
      </c>
      <c r="AR14" s="523" t="str">
        <f ca="1">IFERROR(AVERAGEA(AR13:OFFSET(AR14,-1,0)),"")</f>
        <v/>
      </c>
      <c r="AS14" s="526">
        <f ca="1">SUMIF(AS13:OFFSET(AS14,-1,0),"&gt;0")</f>
        <v>0</v>
      </c>
      <c r="AT14" s="526">
        <f ca="1">SUMIF(AT13:OFFSET(AT14,-1,0),"&gt;0")</f>
        <v>0</v>
      </c>
      <c r="AU14" s="526">
        <f ca="1">SUMIF(AU13:OFFSET(AU14,-1,0),"&gt;0")</f>
        <v>0</v>
      </c>
      <c r="AV14" s="526">
        <f ca="1">SUMIF(AV13:OFFSET(AV14,-1,0),"&gt;0")</f>
        <v>0</v>
      </c>
      <c r="AW14" s="526">
        <f ca="1">SUMIF(AW13:OFFSET(AW14,-1,0),"&gt;0")</f>
        <v>0</v>
      </c>
      <c r="AX14" s="525"/>
      <c r="AY14" s="527">
        <f ca="1">SUMIF(AY13:OFFSET(AY14,-1,0),"&gt;0")</f>
        <v>0</v>
      </c>
      <c r="BG14" s="513"/>
      <c r="BH14" s="513"/>
    </row>
    <row r="15" spans="1:64" ht="19.899999999999999" customHeight="1" x14ac:dyDescent="0.2">
      <c r="A15" s="52"/>
      <c r="B15" s="372" t="s">
        <v>19</v>
      </c>
      <c r="C15" s="373"/>
      <c r="D15" s="373"/>
      <c r="E15" s="373"/>
      <c r="F15" s="373"/>
      <c r="G15" s="373"/>
      <c r="H15" s="373"/>
      <c r="I15" s="373"/>
      <c r="J15" s="373"/>
      <c r="K15" s="455"/>
      <c r="L15" s="427">
        <v>0</v>
      </c>
      <c r="M15" s="428">
        <v>0</v>
      </c>
      <c r="N15" s="381"/>
      <c r="O15" s="381"/>
      <c r="P15" s="381"/>
      <c r="Q15" s="381"/>
      <c r="R15" s="381"/>
      <c r="S15" s="511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432"/>
      <c r="AK15" s="372"/>
      <c r="AL15" s="373"/>
      <c r="AM15" s="456"/>
      <c r="AN15" s="457"/>
      <c r="AO15" s="457"/>
      <c r="AP15" s="373"/>
      <c r="AQ15" s="373"/>
      <c r="AR15" s="373"/>
      <c r="AS15" s="373"/>
      <c r="AT15" s="373"/>
      <c r="AU15" s="373"/>
      <c r="AV15" s="373"/>
      <c r="AW15" s="373"/>
      <c r="AX15" s="373"/>
      <c r="AY15" s="453"/>
      <c r="BB15" s="18" t="s">
        <v>503</v>
      </c>
      <c r="BC15" s="18">
        <f ca="1">SUM(AL15:AL19)</f>
        <v>293931.37508791214</v>
      </c>
      <c r="BG15" s="381"/>
      <c r="BH15" s="382"/>
    </row>
    <row r="16" spans="1:64" ht="16.149999999999999" customHeight="1" x14ac:dyDescent="0.2">
      <c r="A16" s="52" t="s">
        <v>963</v>
      </c>
      <c r="B16" s="179" t="s">
        <v>348</v>
      </c>
      <c r="C16" s="180"/>
      <c r="D16" s="181">
        <v>135170</v>
      </c>
      <c r="E16" s="181">
        <v>7200</v>
      </c>
      <c r="F16" s="458"/>
      <c r="G16" s="610">
        <v>1</v>
      </c>
      <c r="H16" s="611">
        <f>\duration</f>
        <v>17</v>
      </c>
      <c r="I16" s="612">
        <f>\cstart</f>
        <v>43478</v>
      </c>
      <c r="J16" s="612">
        <f>\cend</f>
        <v>44004</v>
      </c>
      <c r="K16" s="613">
        <v>0.1</v>
      </c>
      <c r="L16" s="380"/>
      <c r="M16" s="251"/>
      <c r="N16" s="246"/>
      <c r="O16" s="246"/>
      <c r="P16" s="246"/>
      <c r="Q16" s="246"/>
      <c r="R16" s="246"/>
      <c r="S16" s="247">
        <f t="shared" ref="S16:AB17" si="1">$K16</f>
        <v>0.1</v>
      </c>
      <c r="T16" s="246">
        <f t="shared" si="1"/>
        <v>0.1</v>
      </c>
      <c r="U16" s="246">
        <f t="shared" si="1"/>
        <v>0.1</v>
      </c>
      <c r="V16" s="246">
        <f t="shared" si="1"/>
        <v>0.1</v>
      </c>
      <c r="W16" s="246">
        <f t="shared" si="1"/>
        <v>0.1</v>
      </c>
      <c r="X16" s="246">
        <f t="shared" si="1"/>
        <v>0.1</v>
      </c>
      <c r="Y16" s="246">
        <f t="shared" si="1"/>
        <v>0.1</v>
      </c>
      <c r="Z16" s="246">
        <f t="shared" si="1"/>
        <v>0.1</v>
      </c>
      <c r="AA16" s="246">
        <f t="shared" si="1"/>
        <v>0.1</v>
      </c>
      <c r="AB16" s="246">
        <f t="shared" si="1"/>
        <v>0.1</v>
      </c>
      <c r="AC16" s="246">
        <f t="shared" ref="AC16:AI17" si="2">$K16</f>
        <v>0.1</v>
      </c>
      <c r="AD16" s="246">
        <f t="shared" si="2"/>
        <v>0.1</v>
      </c>
      <c r="AE16" s="246">
        <f t="shared" si="2"/>
        <v>0.1</v>
      </c>
      <c r="AF16" s="246">
        <f t="shared" si="2"/>
        <v>0.1</v>
      </c>
      <c r="AG16" s="246">
        <f t="shared" si="2"/>
        <v>0.1</v>
      </c>
      <c r="AH16" s="246">
        <f t="shared" si="2"/>
        <v>0.1</v>
      </c>
      <c r="AI16" s="246">
        <f t="shared" si="2"/>
        <v>0.1</v>
      </c>
      <c r="AJ16" s="454"/>
      <c r="AK16" s="538">
        <f ca="1">AW16/\VACAhrs</f>
        <v>108.24953468667741</v>
      </c>
      <c r="AL16" s="539">
        <f ca="1">SUM(AS16:AV16)</f>
        <v>34071.474425824177</v>
      </c>
      <c r="AM16" s="540">
        <f>AO16*K16</f>
        <v>7.5142857142857142</v>
      </c>
      <c r="AN16" s="541">
        <v>4.4999999999999991</v>
      </c>
      <c r="AO16" s="542">
        <f>(J16-I16)/7</f>
        <v>75.142857142857139</v>
      </c>
      <c r="AP16" s="543">
        <f>\IT</f>
        <v>52</v>
      </c>
      <c r="AQ16" s="544">
        <f>\iphone</f>
        <v>35</v>
      </c>
      <c r="AR16" s="543">
        <f>\gas</f>
        <v>120</v>
      </c>
      <c r="AS16" s="545">
        <f t="shared" ref="AS16:AU17" si="3">AP16*$AM16</f>
        <v>390.74285714285713</v>
      </c>
      <c r="AT16" s="545">
        <f t="shared" si="3"/>
        <v>263</v>
      </c>
      <c r="AU16" s="545">
        <f t="shared" si="3"/>
        <v>901.71428571428567</v>
      </c>
      <c r="AV16" s="545">
        <f ca="1">((D16+E16)/52*(1+\conLIT))*calcRaise(I16,J16,\conRaise)</f>
        <v>32516.017282967034</v>
      </c>
      <c r="AW16" s="546">
        <f ca="1">(((SUM(AP16:AR16)*(AO16&gt;0))+(((D16+E16)/52)*(1+\conLIT)*calcRaise(I16,J16,\conRaise,FALSE)))/(IF(AO16&gt;0,AO16,1)))*52</f>
        <v>225159.032148289</v>
      </c>
      <c r="AX16" s="547"/>
      <c r="AY16" s="548">
        <f ca="1">SUM(AS16:AV16)</f>
        <v>34071.474425824177</v>
      </c>
      <c r="BG16" s="246"/>
      <c r="BH16" s="246"/>
    </row>
    <row r="17" spans="1:60" ht="16.149999999999999" customHeight="1" x14ac:dyDescent="0.2">
      <c r="A17" s="52" t="s">
        <v>963</v>
      </c>
      <c r="B17" s="179" t="s">
        <v>349</v>
      </c>
      <c r="C17" s="180"/>
      <c r="D17" s="181">
        <v>92050</v>
      </c>
      <c r="E17" s="181"/>
      <c r="F17" s="458"/>
      <c r="G17" s="610">
        <v>1</v>
      </c>
      <c r="H17" s="611">
        <f>\duration</f>
        <v>17</v>
      </c>
      <c r="I17" s="612">
        <f>\cstart</f>
        <v>43478</v>
      </c>
      <c r="J17" s="612">
        <f>\cend</f>
        <v>44004</v>
      </c>
      <c r="K17" s="613">
        <v>0.5</v>
      </c>
      <c r="L17" s="380"/>
      <c r="M17" s="251"/>
      <c r="N17" s="246"/>
      <c r="O17" s="246"/>
      <c r="P17" s="246"/>
      <c r="Q17" s="246"/>
      <c r="R17" s="246"/>
      <c r="S17" s="247">
        <f t="shared" si="1"/>
        <v>0.5</v>
      </c>
      <c r="T17" s="246">
        <f t="shared" si="1"/>
        <v>0.5</v>
      </c>
      <c r="U17" s="246">
        <f t="shared" si="1"/>
        <v>0.5</v>
      </c>
      <c r="V17" s="246">
        <f t="shared" si="1"/>
        <v>0.5</v>
      </c>
      <c r="W17" s="246">
        <f t="shared" si="1"/>
        <v>0.5</v>
      </c>
      <c r="X17" s="246">
        <f t="shared" si="1"/>
        <v>0.5</v>
      </c>
      <c r="Y17" s="246">
        <f t="shared" si="1"/>
        <v>0.5</v>
      </c>
      <c r="Z17" s="246">
        <f t="shared" si="1"/>
        <v>0.5</v>
      </c>
      <c r="AA17" s="246">
        <f t="shared" si="1"/>
        <v>0.5</v>
      </c>
      <c r="AB17" s="246">
        <f t="shared" si="1"/>
        <v>0.5</v>
      </c>
      <c r="AC17" s="246">
        <f t="shared" si="2"/>
        <v>0.5</v>
      </c>
      <c r="AD17" s="246">
        <f t="shared" si="2"/>
        <v>0.5</v>
      </c>
      <c r="AE17" s="246">
        <f t="shared" si="2"/>
        <v>0.5</v>
      </c>
      <c r="AF17" s="246">
        <f t="shared" si="2"/>
        <v>0.5</v>
      </c>
      <c r="AG17" s="246">
        <f t="shared" si="2"/>
        <v>0.5</v>
      </c>
      <c r="AH17" s="246">
        <f t="shared" si="2"/>
        <v>0.5</v>
      </c>
      <c r="AI17" s="246">
        <f t="shared" si="2"/>
        <v>0.5</v>
      </c>
      <c r="AJ17" s="454"/>
      <c r="AK17" s="538">
        <f ca="1">AW17/\VACAhrs</f>
        <v>70.013592378985095</v>
      </c>
      <c r="AL17" s="539">
        <f ca="1">SUM(AS17:AV17)</f>
        <v>112894.21311813188</v>
      </c>
      <c r="AM17" s="540">
        <f>AO17*K17</f>
        <v>37.571428571428569</v>
      </c>
      <c r="AN17" s="541">
        <v>4.5999999999999988</v>
      </c>
      <c r="AO17" s="542">
        <f>(J17-I17)/7</f>
        <v>75.142857142857139</v>
      </c>
      <c r="AP17" s="543">
        <f>\IT</f>
        <v>52</v>
      </c>
      <c r="AQ17" s="544">
        <f>\iphone</f>
        <v>35</v>
      </c>
      <c r="AR17" s="543">
        <f>\gas</f>
        <v>120</v>
      </c>
      <c r="AS17" s="545">
        <f t="shared" si="3"/>
        <v>1953.7142857142856</v>
      </c>
      <c r="AT17" s="545">
        <f t="shared" si="3"/>
        <v>1315</v>
      </c>
      <c r="AU17" s="545">
        <f t="shared" si="3"/>
        <v>4508.5714285714284</v>
      </c>
      <c r="AV17" s="545">
        <f ca="1">((D17+E17)/52*(1+\conLIT))*calcRaise(I17,J17,\conRaise)</f>
        <v>105116.92740384617</v>
      </c>
      <c r="AW17" s="546">
        <f ca="1">(((SUM(AP17:AR17)*(AO17&gt;0))+(((D17+E17)/52)*(1+\conLIT)*calcRaise(I17,J17,\conRaise,FALSE)))/(IF(AO17&gt;0,AO17,1)))*52</f>
        <v>145628.27214828899</v>
      </c>
      <c r="AX17" s="547"/>
      <c r="AY17" s="548">
        <f ca="1">SUM(AS17:AV17)</f>
        <v>112894.21311813188</v>
      </c>
      <c r="BG17" s="246"/>
      <c r="BH17" s="246"/>
    </row>
    <row r="18" spans="1:60" ht="19.899999999999999" customHeight="1" x14ac:dyDescent="0.2">
      <c r="A18" s="52"/>
      <c r="B18" s="379"/>
      <c r="C18" s="373"/>
      <c r="D18" s="373"/>
      <c r="E18" s="373"/>
      <c r="F18" s="373"/>
      <c r="G18" s="373"/>
      <c r="H18" s="373"/>
      <c r="I18" s="373"/>
      <c r="J18" s="535" t="s">
        <v>511</v>
      </c>
      <c r="K18" s="549"/>
      <c r="L18" s="380"/>
      <c r="M18" s="251">
        <f>$K18</f>
        <v>0</v>
      </c>
      <c r="N18" s="513"/>
      <c r="O18" s="513"/>
      <c r="P18" s="513"/>
      <c r="Q18" s="513"/>
      <c r="R18" s="513"/>
      <c r="S18" s="512"/>
      <c r="T18" s="513"/>
      <c r="U18" s="513"/>
      <c r="V18" s="513"/>
      <c r="W18" s="513"/>
      <c r="X18" s="513"/>
      <c r="Y18" s="513"/>
      <c r="Z18" s="513"/>
      <c r="AA18" s="513"/>
      <c r="AB18" s="513"/>
      <c r="AC18" s="513"/>
      <c r="AD18" s="513"/>
      <c r="AE18" s="513"/>
      <c r="AF18" s="513"/>
      <c r="AG18" s="513"/>
      <c r="AH18" s="513"/>
      <c r="AI18" s="513"/>
      <c r="AJ18" s="581"/>
      <c r="AK18" s="528"/>
      <c r="AL18" s="529">
        <f ca="1">SUMIF(AL15:OFFSET(AL18,-1,0),"&gt;0")</f>
        <v>146965.68754395607</v>
      </c>
      <c r="AM18" s="530">
        <f ca="1">SUMIF(AM15:OFFSET(AM18,-1,0),"&gt;0")</f>
        <v>45.085714285714282</v>
      </c>
      <c r="AN18" s="531"/>
      <c r="AO18" s="532">
        <f ca="1">SUMIF(AO15:OFFSET(AO18,-1,0),"&gt;0")</f>
        <v>150.28571428571428</v>
      </c>
      <c r="AP18" s="531">
        <f ca="1">IFERROR(AVERAGEA(AP15:OFFSET(AP18,-1,0)),"")</f>
        <v>52</v>
      </c>
      <c r="AQ18" s="533">
        <f ca="1">IFERROR(AVERAGEA(AQ15:OFFSET(AQ18,-1,0)),"")</f>
        <v>35</v>
      </c>
      <c r="AR18" s="531">
        <f ca="1">IFERROR(AVERAGEA(AR15:OFFSET(AR18,-1,0)),"")</f>
        <v>120</v>
      </c>
      <c r="AS18" s="534">
        <f ca="1">SUMIF(AS15:OFFSET(AS18,-1,0),"&gt;0")</f>
        <v>2344.4571428571426</v>
      </c>
      <c r="AT18" s="534">
        <f ca="1">SUMIF(AT15:OFFSET(AT18,-1,0),"&gt;0")</f>
        <v>1578</v>
      </c>
      <c r="AU18" s="534">
        <f ca="1">SUMIF(AU15:OFFSET(AU18,-1,0),"&gt;0")</f>
        <v>5410.2857142857138</v>
      </c>
      <c r="AV18" s="534">
        <f ca="1">SUMIF(AV15:OFFSET(AV18,-1,0),"&gt;0")</f>
        <v>137632.94468681322</v>
      </c>
      <c r="AW18" s="534">
        <f ca="1">SUMIF(AW15:OFFSET(AW18,-1,0),"&gt;0")</f>
        <v>370787.30429657799</v>
      </c>
      <c r="AX18" s="536"/>
      <c r="AY18" s="537">
        <f ca="1">SUMIF(AY15:OFFSET(AY18,-1,0),"&gt;0")</f>
        <v>146965.68754395607</v>
      </c>
      <c r="BG18" s="513"/>
      <c r="BH18" s="513"/>
    </row>
    <row r="19" spans="1:60" ht="6.6" customHeight="1" thickBot="1" x14ac:dyDescent="0.25">
      <c r="A19" s="52"/>
      <c r="B19" s="459"/>
      <c r="C19" s="460"/>
      <c r="D19" s="460"/>
      <c r="E19" s="460"/>
      <c r="F19" s="460"/>
      <c r="G19" s="461"/>
      <c r="H19" s="462"/>
      <c r="I19" s="463"/>
      <c r="J19" s="463"/>
      <c r="K19" s="464"/>
      <c r="L19" s="465"/>
      <c r="M19" s="251"/>
      <c r="N19" s="466"/>
      <c r="O19" s="466"/>
      <c r="P19" s="466"/>
      <c r="Q19" s="466"/>
      <c r="R19" s="466"/>
      <c r="S19" s="467"/>
      <c r="T19" s="468"/>
      <c r="U19" s="468"/>
      <c r="V19" s="468"/>
      <c r="W19" s="468"/>
      <c r="X19" s="468"/>
      <c r="Y19" s="468"/>
      <c r="Z19" s="468"/>
      <c r="AA19" s="468"/>
      <c r="AB19" s="468"/>
      <c r="AC19" s="468"/>
      <c r="AD19" s="468"/>
      <c r="AE19" s="468"/>
      <c r="AF19" s="468"/>
      <c r="AG19" s="468"/>
      <c r="AH19" s="468"/>
      <c r="AI19" s="468"/>
      <c r="AJ19" s="454"/>
      <c r="AK19" s="469"/>
      <c r="AL19" s="470"/>
      <c r="AM19" s="471"/>
      <c r="AN19" s="472"/>
      <c r="AO19" s="472"/>
      <c r="AP19" s="473"/>
      <c r="AQ19" s="473"/>
      <c r="AR19" s="473"/>
      <c r="AS19" s="473"/>
      <c r="AT19" s="473"/>
      <c r="AU19" s="473"/>
      <c r="AV19" s="473"/>
      <c r="AW19" s="473"/>
      <c r="AX19" s="473"/>
      <c r="AY19" s="474"/>
      <c r="BG19" s="466"/>
      <c r="BH19" s="468"/>
    </row>
    <row r="20" spans="1:60" x14ac:dyDescent="0.2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465"/>
      <c r="L20" s="465"/>
      <c r="M20" s="465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384"/>
      <c r="AK20" s="52"/>
      <c r="AL20" s="52"/>
      <c r="AM20" s="52"/>
      <c r="AN20" s="475"/>
      <c r="AO20" s="475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BG20" s="52"/>
      <c r="BH20" s="52"/>
    </row>
    <row r="21" spans="1:60" x14ac:dyDescent="0.2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465"/>
      <c r="L21" s="465"/>
      <c r="M21" s="465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384"/>
      <c r="AK21" s="52"/>
      <c r="AL21" s="52"/>
      <c r="AM21" s="52"/>
      <c r="AN21" s="475"/>
      <c r="AO21" s="475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BG21" s="52"/>
      <c r="BH21" s="52"/>
    </row>
    <row r="22" spans="1:60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465"/>
      <c r="L22" s="465"/>
      <c r="M22" s="465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384"/>
      <c r="AK22" s="52"/>
      <c r="AL22" s="52"/>
      <c r="AM22" s="52"/>
      <c r="AN22" s="475"/>
      <c r="AO22" s="475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BG22" s="52"/>
      <c r="BH22" s="52"/>
    </row>
    <row r="23" spans="1:60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465"/>
      <c r="L23" s="465"/>
      <c r="M23" s="465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384"/>
      <c r="AK23" s="52"/>
      <c r="AL23" s="52"/>
      <c r="AM23" s="52"/>
      <c r="AN23" s="475"/>
      <c r="AO23" s="475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BG23" s="52"/>
      <c r="BH23" s="52"/>
    </row>
    <row r="24" spans="1:60" x14ac:dyDescent="0.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465"/>
      <c r="L24" s="465"/>
      <c r="M24" s="465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384"/>
      <c r="AK24" s="52"/>
      <c r="AL24" s="52"/>
      <c r="AM24" s="52"/>
      <c r="AN24" s="475"/>
      <c r="AO24" s="475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BG24" s="52"/>
      <c r="BH24" s="52"/>
    </row>
    <row r="25" spans="1:60" x14ac:dyDescent="0.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465"/>
      <c r="L25" s="465"/>
      <c r="M25" s="465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384"/>
      <c r="AK25" s="52"/>
      <c r="AL25" s="52"/>
      <c r="AM25" s="52"/>
      <c r="AN25" s="475"/>
      <c r="AO25" s="475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BG25" s="52"/>
      <c r="BH25" s="52"/>
    </row>
    <row r="26" spans="1:60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465"/>
      <c r="L26" s="465"/>
      <c r="M26" s="465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384"/>
      <c r="AK26" s="52"/>
      <c r="AL26" s="52"/>
      <c r="AM26" s="52"/>
      <c r="AN26" s="475"/>
      <c r="AO26" s="475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BG26" s="52"/>
      <c r="BH26" s="52"/>
    </row>
    <row r="27" spans="1:60" hidden="1" x14ac:dyDescent="0.2">
      <c r="A27" s="52"/>
      <c r="J27" s="52"/>
      <c r="K27" s="465"/>
      <c r="L27" s="465"/>
      <c r="M27" s="465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384"/>
      <c r="AK27" s="52"/>
      <c r="AL27" s="52"/>
      <c r="AM27" s="52"/>
      <c r="AN27" s="475"/>
      <c r="AO27" s="475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BG27" s="52"/>
      <c r="BH27" s="52"/>
    </row>
    <row r="28" spans="1:60" ht="16.149999999999999" hidden="1" customHeight="1" x14ac:dyDescent="0.2">
      <c r="A28" s="52"/>
      <c r="B28" s="179"/>
      <c r="C28" s="180"/>
      <c r="D28" s="181"/>
      <c r="E28" s="181"/>
      <c r="F28" s="458"/>
      <c r="G28" s="610">
        <f>\pdur*-1</f>
        <v>-5</v>
      </c>
      <c r="H28" s="611">
        <f>\pdur</f>
        <v>5</v>
      </c>
      <c r="I28" s="612">
        <f>\pstart</f>
        <v>43327</v>
      </c>
      <c r="J28" s="612">
        <f>\pend</f>
        <v>43478</v>
      </c>
      <c r="K28" s="613"/>
      <c r="L28" s="380"/>
      <c r="M28" s="251"/>
      <c r="N28" s="246"/>
      <c r="O28" s="246"/>
      <c r="P28" s="246"/>
      <c r="Q28" s="246"/>
      <c r="R28" s="246"/>
      <c r="S28" s="247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454"/>
      <c r="AK28" s="538">
        <f ca="1">AW28/\VACAhrs</f>
        <v>0.23990066225165563</v>
      </c>
      <c r="AL28" s="539">
        <f ca="1">SUM(AS28:AV28)</f>
        <v>0</v>
      </c>
      <c r="AM28" s="540">
        <f>AO28*K28</f>
        <v>0</v>
      </c>
      <c r="AN28" s="541"/>
      <c r="AO28" s="542">
        <f>(J28-I28)/7</f>
        <v>21.571428571428573</v>
      </c>
      <c r="AP28" s="543">
        <f>\IT</f>
        <v>52</v>
      </c>
      <c r="AQ28" s="544">
        <f>\iphone</f>
        <v>35</v>
      </c>
      <c r="AR28" s="543">
        <f>\gas</f>
        <v>120</v>
      </c>
      <c r="AS28" s="545">
        <f>AP28*$AM28</f>
        <v>0</v>
      </c>
      <c r="AT28" s="545">
        <f>AQ28*$AM28</f>
        <v>0</v>
      </c>
      <c r="AU28" s="545">
        <f>AR28*$AM28</f>
        <v>0</v>
      </c>
      <c r="AV28" s="545">
        <f ca="1">((D28+E28)/52*(1+\conLIT))*calcRaise(I28,J28,\preRaise)</f>
        <v>0</v>
      </c>
      <c r="AW28" s="546">
        <f ca="1">(((SUM(AP28:AR28)*(AO28&gt;0))+(((D28+E28)/52)*(1+\conLIT)*calcRaise(I28,J28,\preRaise,FALSE)))/(IF(AO28&gt;0,AO28,1)))*52</f>
        <v>498.99337748344368</v>
      </c>
      <c r="AX28" s="547"/>
      <c r="AY28" s="548">
        <f ca="1">SUM(AS28:AV28)</f>
        <v>0</v>
      </c>
      <c r="BG28" s="246"/>
      <c r="BH28" s="246"/>
    </row>
    <row r="29" spans="1:60" hidden="1" x14ac:dyDescent="0.2">
      <c r="A29" s="52"/>
      <c r="L29" s="52"/>
      <c r="M29" s="52"/>
      <c r="AJ29" s="384"/>
      <c r="AL29" s="476"/>
      <c r="AP29" s="476"/>
      <c r="AQ29" s="476"/>
      <c r="AR29" s="476"/>
      <c r="AS29" s="476"/>
      <c r="AT29" s="476"/>
      <c r="AU29" s="476"/>
      <c r="AV29" s="476"/>
      <c r="AW29" s="476"/>
      <c r="AX29" s="476"/>
      <c r="AY29" s="476"/>
    </row>
    <row r="30" spans="1:60" ht="16.149999999999999" hidden="1" customHeight="1" x14ac:dyDescent="0.2">
      <c r="A30" s="52"/>
      <c r="B30" s="179"/>
      <c r="C30" s="180"/>
      <c r="D30" s="181"/>
      <c r="E30" s="181"/>
      <c r="F30" s="458"/>
      <c r="G30" s="610">
        <v>1</v>
      </c>
      <c r="H30" s="611">
        <f>\duration</f>
        <v>17</v>
      </c>
      <c r="I30" s="612">
        <f>\cstart</f>
        <v>43478</v>
      </c>
      <c r="J30" s="612">
        <f>\cend</f>
        <v>44004</v>
      </c>
      <c r="K30" s="613"/>
      <c r="L30" s="380"/>
      <c r="M30" s="251"/>
      <c r="N30" s="246"/>
      <c r="O30" s="246"/>
      <c r="P30" s="246"/>
      <c r="Q30" s="246"/>
      <c r="R30" s="246"/>
      <c r="S30" s="247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454"/>
      <c r="AK30" s="538">
        <f ca="1">AW30/\VACAhrs</f>
        <v>6.8868821292775675E-2</v>
      </c>
      <c r="AL30" s="539">
        <f ca="1">SUM(AS30:AV30)</f>
        <v>0</v>
      </c>
      <c r="AM30" s="540">
        <f>AO30*K30</f>
        <v>0</v>
      </c>
      <c r="AN30" s="541"/>
      <c r="AO30" s="542">
        <f>(J30-I30)/7</f>
        <v>75.142857142857139</v>
      </c>
      <c r="AP30" s="543">
        <f>\IT</f>
        <v>52</v>
      </c>
      <c r="AQ30" s="544">
        <f>\iphone</f>
        <v>35</v>
      </c>
      <c r="AR30" s="543">
        <f>\gas</f>
        <v>120</v>
      </c>
      <c r="AS30" s="545">
        <f>AP30*$AM30</f>
        <v>0</v>
      </c>
      <c r="AT30" s="545">
        <f>AQ30*$AM30</f>
        <v>0</v>
      </c>
      <c r="AU30" s="545">
        <f>AR30*$AM30</f>
        <v>0</v>
      </c>
      <c r="AV30" s="545">
        <f ca="1">((D30+E30)/52*(1+\conLIT))*calcRaise(I30,J30,\conRaise)</f>
        <v>0</v>
      </c>
      <c r="AW30" s="546">
        <f ca="1">(((SUM(AP30:AR30)*(AO30&gt;0))+(((D30+E30)/52)*(1+\conLIT)*calcRaise(I30,J30,\conRaise,FALSE)))/(IF(AO30&gt;0,AO30,1)))*52</f>
        <v>143.24714828897339</v>
      </c>
      <c r="AX30" s="547"/>
      <c r="AY30" s="548">
        <f ca="1">SUM(AS30:AV30)</f>
        <v>0</v>
      </c>
      <c r="BG30" s="246"/>
      <c r="BH30" s="246"/>
    </row>
    <row r="31" spans="1:60" hidden="1" x14ac:dyDescent="0.2">
      <c r="A31" s="52"/>
      <c r="L31" s="52"/>
      <c r="M31" s="52"/>
      <c r="AJ31" s="384"/>
    </row>
    <row r="32" spans="1:60" ht="16.149999999999999" hidden="1" customHeight="1" x14ac:dyDescent="0.2">
      <c r="A32" s="52"/>
      <c r="B32" s="179"/>
      <c r="C32" s="180"/>
      <c r="D32" s="181"/>
      <c r="E32" s="181"/>
      <c r="F32" s="458"/>
      <c r="G32" s="610"/>
      <c r="H32" s="611"/>
      <c r="I32" s="612"/>
      <c r="J32" s="612"/>
      <c r="K32" s="613"/>
      <c r="L32" s="380"/>
      <c r="M32" s="251"/>
      <c r="N32" s="246"/>
      <c r="O32" s="246"/>
      <c r="P32" s="246"/>
      <c r="Q32" s="246"/>
      <c r="R32" s="246"/>
      <c r="S32" s="247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454"/>
      <c r="AK32" s="538">
        <f ca="1">AW32/\VACAhrs</f>
        <v>0</v>
      </c>
      <c r="AL32" s="539">
        <f ca="1">SUM(AS32:AV32)</f>
        <v>0</v>
      </c>
      <c r="AM32" s="540">
        <f>AO32*K32</f>
        <v>0</v>
      </c>
      <c r="AN32" s="541"/>
      <c r="AO32" s="542">
        <f>(J32-I32)/7</f>
        <v>0</v>
      </c>
      <c r="AP32" s="543">
        <f>\IT</f>
        <v>52</v>
      </c>
      <c r="AQ32" s="544">
        <f>\iphone</f>
        <v>35</v>
      </c>
      <c r="AR32" s="543">
        <f>\gas</f>
        <v>120</v>
      </c>
      <c r="AS32" s="545">
        <f>AP32*$AM32</f>
        <v>0</v>
      </c>
      <c r="AT32" s="545">
        <f>AQ32*$AM32</f>
        <v>0</v>
      </c>
      <c r="AU32" s="545">
        <f>AR32*$AM32</f>
        <v>0</v>
      </c>
      <c r="AV32" s="545">
        <f ca="1">((D32+E32)/52*(1+\conLIT))*calcRaise(I32,J32,\conRaise)</f>
        <v>0</v>
      </c>
      <c r="AW32" s="546">
        <f ca="1">(((SUM(AP32:AR32)*(AO32&gt;0))+(((D32+E32)/52)*(1+\conLIT)*calcRaise(I32,J32,\conRaise,FALSE)))/(IF(AO32&gt;0,AO32,1)))*52</f>
        <v>0</v>
      </c>
      <c r="AX32" s="547"/>
      <c r="AY32" s="548">
        <f ca="1">SUM(AS32:AV32)</f>
        <v>0</v>
      </c>
      <c r="BG32" s="246"/>
      <c r="BH32" s="246"/>
    </row>
    <row r="33" spans="1:60" hidden="1" x14ac:dyDescent="0.2">
      <c r="A33" s="52"/>
      <c r="AJ33" s="384"/>
    </row>
    <row r="34" spans="1:60" ht="16.149999999999999" hidden="1" customHeight="1" x14ac:dyDescent="0.2">
      <c r="A34" s="52"/>
      <c r="B34" s="179"/>
      <c r="C34" s="180"/>
      <c r="D34" s="181"/>
      <c r="E34" s="181"/>
      <c r="F34" s="458"/>
      <c r="G34" s="610">
        <f>\pdur*-1</f>
        <v>-5</v>
      </c>
      <c r="H34" s="611">
        <f>\pdur</f>
        <v>5</v>
      </c>
      <c r="I34" s="612">
        <f>\pstart</f>
        <v>43327</v>
      </c>
      <c r="J34" s="612">
        <f>\pend</f>
        <v>43478</v>
      </c>
      <c r="K34" s="613"/>
      <c r="L34" s="380"/>
      <c r="M34" s="251"/>
      <c r="N34" s="246"/>
      <c r="O34" s="246"/>
      <c r="P34" s="246"/>
      <c r="Q34" s="246"/>
      <c r="R34" s="246"/>
      <c r="S34" s="247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454"/>
      <c r="AK34" s="538">
        <f ca="1">AW34/\VACAhrs</f>
        <v>0.23990066225165563</v>
      </c>
      <c r="AL34" s="539">
        <f ca="1">SUM(AS34:AV34)</f>
        <v>0</v>
      </c>
      <c r="AM34" s="540">
        <f>AO34*K34</f>
        <v>0</v>
      </c>
      <c r="AN34" s="541"/>
      <c r="AO34" s="542">
        <f>(J34-I34)/7</f>
        <v>21.571428571428573</v>
      </c>
      <c r="AP34" s="543">
        <f>\IT</f>
        <v>52</v>
      </c>
      <c r="AQ34" s="544">
        <f>\iphone</f>
        <v>35</v>
      </c>
      <c r="AR34" s="543">
        <f>\gas</f>
        <v>120</v>
      </c>
      <c r="AS34" s="545">
        <f>AP34*$AM34</f>
        <v>0</v>
      </c>
      <c r="AT34" s="545">
        <f>AQ34*$AM34</f>
        <v>0</v>
      </c>
      <c r="AU34" s="545">
        <f>AR34*$AM34</f>
        <v>0</v>
      </c>
      <c r="AV34" s="545">
        <f ca="1">((D34+E34)/52*(1+\preLIT))*calcRaise(I34,J34,\preRaise)</f>
        <v>0</v>
      </c>
      <c r="AW34" s="546">
        <f ca="1">(((SUM(AP34:AR34)*(AO34&gt;0))+(((D34+E34)/52)*(1+\preLIT)*calcRaise(I34,J34,\preRaise,FALSE)))/(IF(AO34&gt;0,AO34,1)))*52</f>
        <v>498.99337748344368</v>
      </c>
      <c r="AX34" s="547"/>
      <c r="AY34" s="548">
        <f ca="1">SUM(AS34:AV34)</f>
        <v>0</v>
      </c>
      <c r="BG34" s="246"/>
      <c r="BH34" s="246"/>
    </row>
    <row r="35" spans="1:60" hidden="1" x14ac:dyDescent="0.2">
      <c r="A35" s="52"/>
    </row>
    <row r="36" spans="1:60" hidden="1" x14ac:dyDescent="0.2">
      <c r="A36" s="52"/>
    </row>
    <row r="37" spans="1:60" hidden="1" x14ac:dyDescent="0.2">
      <c r="A37" s="52"/>
    </row>
    <row r="38" spans="1:60" ht="19.899999999999999" hidden="1" customHeight="1" x14ac:dyDescent="0.2">
      <c r="A38" s="561" t="s">
        <v>951</v>
      </c>
      <c r="B38" s="579" t="s">
        <v>512</v>
      </c>
      <c r="C38" s="562"/>
      <c r="D38" s="562"/>
      <c r="E38" s="562"/>
      <c r="F38" s="562"/>
      <c r="G38" s="562"/>
      <c r="H38" s="562"/>
      <c r="I38" s="580" t="s">
        <v>953</v>
      </c>
      <c r="J38" s="580" t="s">
        <v>952</v>
      </c>
      <c r="K38" s="563"/>
      <c r="L38" s="427">
        <v>0</v>
      </c>
      <c r="M38" s="428">
        <v>0</v>
      </c>
      <c r="N38" s="562"/>
      <c r="O38" s="562"/>
      <c r="P38" s="562"/>
      <c r="Q38" s="562"/>
      <c r="R38" s="562"/>
      <c r="S38" s="564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/>
      <c r="AI38" s="562"/>
      <c r="AJ38" s="432"/>
      <c r="AK38" s="564"/>
      <c r="AL38" s="562"/>
      <c r="AM38" s="565"/>
      <c r="AN38" s="566"/>
      <c r="AO38" s="566"/>
      <c r="AP38" s="562"/>
      <c r="AQ38" s="562"/>
      <c r="AR38" s="562"/>
      <c r="AS38" s="562"/>
      <c r="AT38" s="562"/>
      <c r="AU38" s="562"/>
      <c r="AV38" s="562"/>
      <c r="AW38" s="562"/>
      <c r="AX38" s="562"/>
      <c r="AY38" s="567"/>
      <c r="BG38" s="562"/>
      <c r="BH38" s="562"/>
    </row>
    <row r="39" spans="1:60" ht="19.899999999999999" hidden="1" customHeight="1" x14ac:dyDescent="0.2">
      <c r="A39" s="52"/>
      <c r="B39" s="517"/>
      <c r="C39" s="513"/>
      <c r="D39" s="513"/>
      <c r="E39" s="513"/>
      <c r="F39" s="513"/>
      <c r="G39" s="513"/>
      <c r="H39" s="513"/>
      <c r="I39" s="513"/>
      <c r="J39" s="518" t="s">
        <v>511</v>
      </c>
      <c r="K39" s="519" t="str">
        <f ca="1">IFERROR(AVERAGEA(K38:OFFSET(K39,-1,0)),"")</f>
        <v/>
      </c>
      <c r="L39" s="380"/>
      <c r="M39" s="251" t="str">
        <f ca="1">$K39</f>
        <v/>
      </c>
      <c r="N39" s="513"/>
      <c r="O39" s="513"/>
      <c r="P39" s="513"/>
      <c r="Q39" s="513"/>
      <c r="R39" s="513"/>
      <c r="S39" s="512"/>
      <c r="T39" s="513"/>
      <c r="U39" s="513"/>
      <c r="V39" s="513"/>
      <c r="W39" s="513"/>
      <c r="X39" s="513"/>
      <c r="Y39" s="513"/>
      <c r="Z39" s="513"/>
      <c r="AA39" s="513"/>
      <c r="AB39" s="513"/>
      <c r="AC39" s="513"/>
      <c r="AD39" s="513"/>
      <c r="AE39" s="513"/>
      <c r="AF39" s="513"/>
      <c r="AG39" s="513"/>
      <c r="AH39" s="513"/>
      <c r="AI39" s="513"/>
      <c r="AJ39" s="454"/>
      <c r="AK39" s="514" t="str">
        <f ca="1">IFERROR(AVERAGEA(AK38:OFFSET(AK39,-1,0)),"")</f>
        <v/>
      </c>
      <c r="AL39" s="515">
        <f ca="1">SUMIF(AL38:OFFSET(AL39,-1,0),"&gt;0")</f>
        <v>0</v>
      </c>
      <c r="AM39" s="516">
        <f ca="1">SUMIF(AM38:OFFSET(AM39,-1,0),"&gt;0")</f>
        <v>0</v>
      </c>
      <c r="AN39" s="374"/>
      <c r="AO39" s="376">
        <f ca="1">SUMIF(AO38:OFFSET(AO39,-1,0),"&gt;0")</f>
        <v>0</v>
      </c>
      <c r="AP39" s="374" t="str">
        <f ca="1">IFERROR(AVERAGEA(AP38:OFFSET(AP39,-1,0)),"")</f>
        <v/>
      </c>
      <c r="AQ39" s="375" t="str">
        <f ca="1">IFERROR(AVERAGEA(AQ38:OFFSET(AQ39,-1,0)),"")</f>
        <v/>
      </c>
      <c r="AR39" s="374" t="str">
        <f ca="1">IFERROR(AVERAGEA(AR38:OFFSET(AR39,-1,0)),"")</f>
        <v/>
      </c>
      <c r="AS39" s="377">
        <f ca="1">SUMIF(AS38:OFFSET(AS39,-1,0),"&gt;0")</f>
        <v>0</v>
      </c>
      <c r="AT39" s="377">
        <f ca="1">SUMIF(AT38:OFFSET(AT39,-1,0),"&gt;0")</f>
        <v>0</v>
      </c>
      <c r="AU39" s="377">
        <f ca="1">SUMIF(AU38:OFFSET(AU39,-1,0),"&gt;0")</f>
        <v>0</v>
      </c>
      <c r="AV39" s="377">
        <f ca="1">SUMIF(AV38:OFFSET(AV39,-1,0),"&gt;0")</f>
        <v>0</v>
      </c>
      <c r="AW39" s="377">
        <f ca="1">SUMIF(AW38:OFFSET(AW39,-1,0),"&gt;0")</f>
        <v>0</v>
      </c>
      <c r="AX39" s="375">
        <f ca="1">COUNTA(AX38:OFFSET(AX39,-1,0))</f>
        <v>0</v>
      </c>
      <c r="AY39" s="378">
        <f ca="1">SUMIF(AY38:OFFSET(AY39,-1,0),"&gt;0")</f>
        <v>0</v>
      </c>
      <c r="BG39" s="513"/>
      <c r="BH39" s="513"/>
    </row>
    <row r="40" spans="1:60" hidden="1" x14ac:dyDescent="0.2">
      <c r="A40" s="52"/>
    </row>
    <row r="41" spans="1:60" hidden="1" x14ac:dyDescent="0.2">
      <c r="A41" s="52"/>
    </row>
    <row r="42" spans="1:60" s="407" customFormat="1" ht="16.899999999999999" hidden="1" customHeight="1" x14ac:dyDescent="0.25">
      <c r="B42" s="408" t="s">
        <v>954</v>
      </c>
      <c r="C42" s="605"/>
      <c r="D42" s="409">
        <f>Settings!J48</f>
        <v>0</v>
      </c>
      <c r="E42" s="606"/>
      <c r="F42" s="410"/>
      <c r="G42" s="411"/>
      <c r="H42" s="411"/>
      <c r="I42" s="411"/>
      <c r="J42" s="409"/>
      <c r="K42" s="614"/>
      <c r="L42" s="417"/>
      <c r="M42" s="418"/>
      <c r="AJ42" s="416"/>
      <c r="AW42" s="419"/>
      <c r="BB42" s="414"/>
      <c r="BC42" s="414"/>
      <c r="BD42" s="414"/>
      <c r="BE42" s="414"/>
      <c r="BF42" s="414"/>
    </row>
    <row r="43" spans="1:60" s="407" customFormat="1" ht="16.899999999999999" hidden="1" customHeight="1" x14ac:dyDescent="0.25">
      <c r="B43" s="408" t="s">
        <v>955</v>
      </c>
      <c r="C43" s="605"/>
      <c r="D43" s="415"/>
      <c r="E43" s="609"/>
      <c r="F43" s="410"/>
      <c r="G43" s="411"/>
      <c r="H43" s="411"/>
      <c r="I43" s="411"/>
      <c r="J43" s="409"/>
      <c r="K43" s="614"/>
      <c r="L43" s="417"/>
      <c r="M43" s="418"/>
      <c r="AJ43" s="416"/>
      <c r="AW43" s="419"/>
      <c r="BB43" s="414"/>
      <c r="BC43" s="414"/>
      <c r="BD43" s="414"/>
      <c r="BE43" s="414"/>
      <c r="BF43" s="414"/>
    </row>
    <row r="44" spans="1:60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384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BB44" s="52"/>
      <c r="BC44" s="52"/>
      <c r="BD44" s="52"/>
      <c r="BE44" s="52"/>
      <c r="BF44" s="52"/>
      <c r="BG44" s="52"/>
      <c r="BH44" s="52"/>
    </row>
    <row r="45" spans="1:60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384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BB45" s="52"/>
      <c r="BC45" s="52"/>
      <c r="BD45" s="52"/>
      <c r="BE45" s="52"/>
      <c r="BF45" s="52"/>
      <c r="BG45" s="52"/>
      <c r="BH45" s="52"/>
    </row>
    <row r="46" spans="1:60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384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BB46" s="52"/>
      <c r="BC46" s="52"/>
      <c r="BD46" s="52"/>
      <c r="BE46" s="52"/>
      <c r="BF46" s="52"/>
      <c r="BG46" s="52"/>
      <c r="BH46" s="52"/>
    </row>
    <row r="47" spans="1:60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384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BB47" s="52"/>
      <c r="BC47" s="52"/>
      <c r="BD47" s="52"/>
      <c r="BE47" s="52"/>
      <c r="BF47" s="52"/>
      <c r="BG47" s="52"/>
      <c r="BH47" s="52"/>
    </row>
    <row r="48" spans="1:60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384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BB48" s="52"/>
      <c r="BC48" s="52"/>
      <c r="BD48" s="52"/>
      <c r="BE48" s="52"/>
      <c r="BF48" s="52"/>
      <c r="BG48" s="52"/>
      <c r="BH48" s="52"/>
    </row>
    <row r="49" spans="1:60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384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BB49" s="52"/>
      <c r="BC49" s="52"/>
      <c r="BD49" s="52"/>
      <c r="BE49" s="52"/>
      <c r="BF49" s="52"/>
      <c r="BG49" s="52"/>
      <c r="BH49" s="52"/>
    </row>
    <row r="50" spans="1:60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384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BB50" s="52"/>
      <c r="BC50" s="52"/>
      <c r="BD50" s="52"/>
      <c r="BE50" s="52"/>
      <c r="BF50" s="52"/>
      <c r="BG50" s="52"/>
      <c r="BH50" s="52"/>
    </row>
    <row r="51" spans="1:60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384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BB51" s="52"/>
      <c r="BC51" s="52"/>
      <c r="BD51" s="52"/>
      <c r="BE51" s="52"/>
      <c r="BF51" s="52"/>
      <c r="BG51" s="52"/>
      <c r="BH51" s="52"/>
    </row>
    <row r="52" spans="1:60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384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BB52" s="52"/>
      <c r="BC52" s="52"/>
      <c r="BD52" s="52"/>
      <c r="BE52" s="52"/>
      <c r="BF52" s="52"/>
      <c r="BG52" s="52"/>
      <c r="BH52" s="52"/>
    </row>
    <row r="53" spans="1:60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384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BB53" s="52"/>
      <c r="BC53" s="52"/>
      <c r="BD53" s="52"/>
      <c r="BE53" s="52"/>
      <c r="BF53" s="52"/>
      <c r="BG53" s="52"/>
      <c r="BH53" s="52"/>
    </row>
    <row r="54" spans="1:60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384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BB54" s="52"/>
      <c r="BC54" s="52"/>
      <c r="BD54" s="52"/>
      <c r="BE54" s="52"/>
      <c r="BF54" s="52"/>
      <c r="BG54" s="52"/>
      <c r="BH54" s="52"/>
    </row>
    <row r="55" spans="1:60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384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BB55" s="52"/>
      <c r="BC55" s="52"/>
      <c r="BD55" s="52"/>
      <c r="BE55" s="52"/>
      <c r="BF55" s="52"/>
      <c r="BG55" s="52"/>
      <c r="BH55" s="52"/>
    </row>
    <row r="56" spans="1:60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384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BB56" s="52"/>
      <c r="BC56" s="52"/>
      <c r="BD56" s="52"/>
      <c r="BE56" s="52"/>
      <c r="BF56" s="52"/>
      <c r="BG56" s="52"/>
      <c r="BH56" s="52"/>
    </row>
    <row r="57" spans="1:60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384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BB57" s="52"/>
      <c r="BC57" s="52"/>
      <c r="BD57" s="52"/>
      <c r="BE57" s="52"/>
      <c r="BF57" s="52"/>
      <c r="BG57" s="52"/>
      <c r="BH57" s="52"/>
    </row>
    <row r="58" spans="1:60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384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BB58" s="52"/>
      <c r="BC58" s="52"/>
      <c r="BD58" s="52"/>
      <c r="BE58" s="52"/>
      <c r="BF58" s="52"/>
      <c r="BG58" s="52"/>
      <c r="BH58" s="52"/>
    </row>
    <row r="59" spans="1:60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384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BB59" s="52"/>
      <c r="BC59" s="52"/>
      <c r="BD59" s="52"/>
      <c r="BE59" s="52"/>
      <c r="BF59" s="52"/>
      <c r="BG59" s="52"/>
      <c r="BH59" s="52"/>
    </row>
    <row r="60" spans="1:60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384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BB60" s="52"/>
      <c r="BC60" s="52"/>
      <c r="BD60" s="52"/>
      <c r="BE60" s="52"/>
      <c r="BF60" s="52"/>
      <c r="BG60" s="52"/>
      <c r="BH60" s="52"/>
    </row>
    <row r="61" spans="1:60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384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BB61" s="52"/>
      <c r="BC61" s="52"/>
      <c r="BD61" s="52"/>
      <c r="BE61" s="52"/>
      <c r="BF61" s="52"/>
      <c r="BG61" s="52"/>
      <c r="BH61" s="52"/>
    </row>
    <row r="62" spans="1:60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384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BB62" s="52"/>
      <c r="BC62" s="52"/>
      <c r="BD62" s="52"/>
      <c r="BE62" s="52"/>
      <c r="BF62" s="52"/>
      <c r="BG62" s="52"/>
      <c r="BH62" s="52"/>
    </row>
    <row r="63" spans="1:60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384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BB63" s="52"/>
      <c r="BC63" s="52"/>
      <c r="BD63" s="52"/>
      <c r="BE63" s="52"/>
      <c r="BF63" s="52"/>
      <c r="BG63" s="52"/>
      <c r="BH63" s="52"/>
    </row>
    <row r="64" spans="1:60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384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BB64" s="52"/>
      <c r="BC64" s="52"/>
      <c r="BD64" s="52"/>
      <c r="BE64" s="52"/>
      <c r="BF64" s="52"/>
      <c r="BG64" s="52"/>
      <c r="BH64" s="52"/>
    </row>
    <row r="65" spans="1:60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384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BB65" s="52"/>
      <c r="BC65" s="52"/>
      <c r="BD65" s="52"/>
      <c r="BE65" s="52"/>
      <c r="BF65" s="52"/>
      <c r="BG65" s="52"/>
      <c r="BH65" s="52"/>
    </row>
    <row r="66" spans="1:60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384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BB66" s="52"/>
      <c r="BC66" s="52"/>
      <c r="BD66" s="52"/>
      <c r="BE66" s="52"/>
      <c r="BF66" s="52"/>
      <c r="BG66" s="52"/>
      <c r="BH66" s="52"/>
    </row>
    <row r="67" spans="1:60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384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BB67" s="52"/>
      <c r="BC67" s="52"/>
      <c r="BD67" s="52"/>
      <c r="BE67" s="52"/>
      <c r="BF67" s="52"/>
      <c r="BG67" s="52"/>
      <c r="BH67" s="52"/>
    </row>
    <row r="68" spans="1:60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384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BB68" s="52"/>
      <c r="BC68" s="52"/>
      <c r="BD68" s="52"/>
      <c r="BE68" s="52"/>
      <c r="BF68" s="52"/>
      <c r="BG68" s="52"/>
      <c r="BH68" s="52"/>
    </row>
    <row r="69" spans="1:60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384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BB69" s="52"/>
      <c r="BC69" s="52"/>
      <c r="BD69" s="52"/>
      <c r="BE69" s="52"/>
      <c r="BF69" s="52"/>
      <c r="BG69" s="52"/>
      <c r="BH69" s="52"/>
    </row>
    <row r="70" spans="1:60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384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BB70" s="52"/>
      <c r="BC70" s="52"/>
      <c r="BD70" s="52"/>
      <c r="BE70" s="52"/>
      <c r="BF70" s="52"/>
      <c r="BG70" s="52"/>
      <c r="BH70" s="52"/>
    </row>
    <row r="71" spans="1:60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384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BB71" s="52"/>
      <c r="BC71" s="52"/>
      <c r="BD71" s="52"/>
      <c r="BE71" s="52"/>
      <c r="BF71" s="52"/>
      <c r="BG71" s="52"/>
      <c r="BH71" s="52"/>
    </row>
    <row r="72" spans="1:60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384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BB72" s="52"/>
      <c r="BC72" s="52"/>
      <c r="BD72" s="52"/>
      <c r="BE72" s="52"/>
      <c r="BF72" s="52"/>
      <c r="BG72" s="52"/>
      <c r="BH72" s="52"/>
    </row>
    <row r="73" spans="1:60" x14ac:dyDescent="0.2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384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BB73" s="52"/>
      <c r="BC73" s="52"/>
      <c r="BD73" s="52"/>
      <c r="BE73" s="52"/>
      <c r="BF73" s="52"/>
      <c r="BG73" s="52"/>
      <c r="BH73" s="52"/>
    </row>
    <row r="74" spans="1:60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384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BB74" s="52"/>
      <c r="BC74" s="52"/>
      <c r="BD74" s="52"/>
      <c r="BE74" s="52"/>
      <c r="BF74" s="52"/>
      <c r="BG74" s="52"/>
      <c r="BH74" s="52"/>
    </row>
    <row r="75" spans="1:60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384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BB75" s="52"/>
      <c r="BC75" s="52"/>
      <c r="BD75" s="52"/>
      <c r="BE75" s="52"/>
      <c r="BF75" s="52"/>
      <c r="BG75" s="52"/>
      <c r="BH75" s="52"/>
    </row>
    <row r="76" spans="1:60" x14ac:dyDescent="0.2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384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BB76" s="52"/>
      <c r="BC76" s="52"/>
      <c r="BD76" s="52"/>
      <c r="BE76" s="52"/>
      <c r="BF76" s="52"/>
      <c r="BG76" s="52"/>
      <c r="BH76" s="52"/>
    </row>
    <row r="77" spans="1:60" x14ac:dyDescent="0.2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384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BB77" s="52"/>
      <c r="BC77" s="52"/>
      <c r="BD77" s="52"/>
      <c r="BE77" s="52"/>
      <c r="BF77" s="52"/>
      <c r="BG77" s="52"/>
      <c r="BH77" s="52"/>
    </row>
    <row r="78" spans="1:60" x14ac:dyDescent="0.2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384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BB78" s="52"/>
      <c r="BC78" s="52"/>
      <c r="BD78" s="52"/>
      <c r="BE78" s="52"/>
      <c r="BF78" s="52"/>
      <c r="BG78" s="52"/>
      <c r="BH78" s="52"/>
    </row>
    <row r="79" spans="1:60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384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BB79" s="52"/>
      <c r="BC79" s="52"/>
      <c r="BD79" s="52"/>
      <c r="BE79" s="52"/>
      <c r="BF79" s="52"/>
      <c r="BG79" s="52"/>
      <c r="BH79" s="52"/>
    </row>
  </sheetData>
  <sheetProtection sheet="1" scenarios="1" formatCells="0" formatColumns="0" formatRows="0" insertColumns="0" insertRows="0" insertHyperlinks="0" deleteColumns="0" deleteRows="0" sort="0" autoFilter="0" pivotTables="0"/>
  <sortState ref="A16:XFD17">
    <sortCondition ref="AN16"/>
  </sortState>
  <dataConsolidate/>
  <mergeCells count="18">
    <mergeCell ref="B2:C2"/>
    <mergeCell ref="B3:C3"/>
    <mergeCell ref="AP11:AP12"/>
    <mergeCell ref="AQ11:AQ12"/>
    <mergeCell ref="E11:E12"/>
    <mergeCell ref="G11:G12"/>
    <mergeCell ref="I11:I12"/>
    <mergeCell ref="J11:J12"/>
    <mergeCell ref="AL11:AL12"/>
    <mergeCell ref="AO11:AO12"/>
    <mergeCell ref="AN11:AN12"/>
    <mergeCell ref="AT11:AT12"/>
    <mergeCell ref="AS11:AS12"/>
    <mergeCell ref="AV11:AV12"/>
    <mergeCell ref="AW11:AW12"/>
    <mergeCell ref="AM11:AM12"/>
    <mergeCell ref="AU11:AU12"/>
    <mergeCell ref="AR11:AR12"/>
  </mergeCells>
  <pageMargins left="0.7" right="0.7" top="0.75" bottom="0.75" header="0.3" footer="0.3"/>
  <pageSetup paperSize="256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CE3C-A25A-460E-8555-DC17A7D9DD3A}">
  <sheetPr codeName="Sheet11"/>
  <dimension ref="B1:AR24"/>
  <sheetViews>
    <sheetView zoomScale="80" zoomScaleNormal="80" workbookViewId="0">
      <selection activeCell="B13" sqref="B13:B27"/>
    </sheetView>
  </sheetViews>
  <sheetFormatPr defaultColWidth="9.140625" defaultRowHeight="15" x14ac:dyDescent="0.25"/>
  <cols>
    <col min="1" max="1" width="9.7109375" style="10" customWidth="1"/>
    <col min="2" max="2" width="9.140625" style="10" customWidth="1"/>
    <col min="3" max="3" width="10.28515625" style="10" customWidth="1"/>
    <col min="4" max="4" width="9.140625" style="10" customWidth="1"/>
    <col min="5" max="5" width="11.42578125" style="10" bestFit="1" customWidth="1"/>
    <col min="6" max="6" width="8.85546875" style="10" bestFit="1" customWidth="1"/>
    <col min="7" max="7" width="10.140625" style="10" customWidth="1"/>
    <col min="8" max="8" width="13.42578125" style="10" customWidth="1"/>
    <col min="9" max="9" width="11.42578125" style="10" bestFit="1" customWidth="1"/>
    <col min="10" max="10" width="8.85546875" style="10" customWidth="1"/>
    <col min="11" max="11" width="9.28515625" style="10" customWidth="1"/>
    <col min="12" max="12" width="14.42578125" style="10" customWidth="1"/>
    <col min="13" max="13" width="11.42578125" style="10" bestFit="1" customWidth="1"/>
    <col min="14" max="14" width="7.42578125" style="10" bestFit="1" customWidth="1"/>
    <col min="15" max="15" width="8.5703125" style="10" customWidth="1"/>
    <col min="16" max="16" width="14.28515625" style="10" customWidth="1"/>
    <col min="17" max="17" width="11.42578125" style="10" bestFit="1" customWidth="1"/>
    <col min="18" max="18" width="7.42578125" style="10" bestFit="1" customWidth="1"/>
    <col min="19" max="19" width="10.85546875" style="10" customWidth="1"/>
    <col min="20" max="20" width="14.42578125" style="10" customWidth="1"/>
    <col min="21" max="21" width="11.42578125" style="10" bestFit="1" customWidth="1"/>
    <col min="22" max="22" width="7.42578125" style="10" bestFit="1" customWidth="1"/>
    <col min="23" max="23" width="8.85546875" style="10" customWidth="1"/>
    <col min="24" max="24" width="13.7109375" style="10" customWidth="1"/>
    <col min="25" max="25" width="11.42578125" style="10" customWidth="1"/>
    <col min="26" max="28" width="9.140625" style="10" customWidth="1"/>
    <col min="29" max="39" width="9.140625" style="10"/>
    <col min="40" max="40" width="9" style="10" customWidth="1"/>
    <col min="41" max="41" width="11.42578125" style="10" hidden="1" customWidth="1"/>
    <col min="42" max="44" width="9.140625" style="10" hidden="1" customWidth="1"/>
    <col min="45" max="45" width="9.140625" style="10" customWidth="1"/>
    <col min="46" max="16384" width="9.140625" style="10"/>
  </cols>
  <sheetData>
    <row r="1" spans="2:44" x14ac:dyDescent="0.25">
      <c r="Y1" s="712"/>
      <c r="Z1" s="712"/>
      <c r="AA1" s="712"/>
      <c r="AB1" s="712"/>
      <c r="AO1" s="712"/>
      <c r="AP1" s="712"/>
      <c r="AQ1" s="712"/>
      <c r="AR1" s="712"/>
    </row>
    <row r="10" spans="2:44" ht="15.75" thickBot="1" x14ac:dyDescent="0.3">
      <c r="M10" s="236"/>
    </row>
    <row r="11" spans="2:44" x14ac:dyDescent="0.25">
      <c r="B11" s="60"/>
      <c r="C11" s="330"/>
      <c r="D11" s="331"/>
      <c r="E11" s="713" t="s">
        <v>369</v>
      </c>
      <c r="F11" s="713"/>
      <c r="G11" s="713"/>
      <c r="H11" s="713"/>
      <c r="I11" s="714" t="s">
        <v>371</v>
      </c>
      <c r="J11" s="714"/>
      <c r="K11" s="714"/>
      <c r="L11" s="714"/>
      <c r="M11" s="714" t="s">
        <v>372</v>
      </c>
      <c r="N11" s="714"/>
      <c r="O11" s="714"/>
      <c r="P11" s="714"/>
      <c r="Q11" s="714" t="s">
        <v>373</v>
      </c>
      <c r="R11" s="714"/>
      <c r="S11" s="714"/>
      <c r="T11" s="714"/>
      <c r="U11" s="714" t="s">
        <v>374</v>
      </c>
      <c r="V11" s="714"/>
      <c r="W11" s="714"/>
      <c r="X11" s="714"/>
      <c r="Y11" s="714" t="s">
        <v>82</v>
      </c>
      <c r="Z11" s="714"/>
      <c r="AA11" s="714"/>
      <c r="AB11" s="714"/>
      <c r="AC11" s="59"/>
      <c r="AO11" s="714" t="s">
        <v>384</v>
      </c>
      <c r="AP11" s="714"/>
      <c r="AQ11" s="714"/>
      <c r="AR11" s="714"/>
    </row>
    <row r="12" spans="2:44" x14ac:dyDescent="0.25">
      <c r="B12" s="60"/>
      <c r="C12" s="600" t="s">
        <v>386</v>
      </c>
      <c r="D12" s="62" t="s">
        <v>368</v>
      </c>
      <c r="E12" s="57" t="s">
        <v>370</v>
      </c>
      <c r="F12" s="57" t="s">
        <v>375</v>
      </c>
      <c r="G12" s="57" t="s">
        <v>327</v>
      </c>
      <c r="H12" s="57" t="s">
        <v>253</v>
      </c>
      <c r="I12" s="56" t="s">
        <v>370</v>
      </c>
      <c r="J12" s="56" t="s">
        <v>375</v>
      </c>
      <c r="K12" s="56" t="s">
        <v>327</v>
      </c>
      <c r="L12" s="56" t="s">
        <v>253</v>
      </c>
      <c r="M12" s="56" t="s">
        <v>370</v>
      </c>
      <c r="N12" s="56" t="s">
        <v>375</v>
      </c>
      <c r="O12" s="56" t="s">
        <v>327</v>
      </c>
      <c r="P12" s="56" t="s">
        <v>253</v>
      </c>
      <c r="Q12" s="56" t="s">
        <v>370</v>
      </c>
      <c r="R12" s="56" t="s">
        <v>375</v>
      </c>
      <c r="S12" s="56" t="s">
        <v>327</v>
      </c>
      <c r="T12" s="56" t="s">
        <v>253</v>
      </c>
      <c r="U12" s="56" t="s">
        <v>370</v>
      </c>
      <c r="V12" s="56" t="s">
        <v>375</v>
      </c>
      <c r="W12" s="56" t="s">
        <v>327</v>
      </c>
      <c r="X12" s="332" t="s">
        <v>253</v>
      </c>
      <c r="Y12" s="56" t="s">
        <v>370</v>
      </c>
      <c r="Z12" s="56" t="s">
        <v>375</v>
      </c>
      <c r="AA12" s="56" t="s">
        <v>327</v>
      </c>
      <c r="AB12" s="56" t="s">
        <v>253</v>
      </c>
      <c r="AC12" s="59"/>
      <c r="AO12" s="56" t="s">
        <v>370</v>
      </c>
      <c r="AP12" s="56" t="s">
        <v>375</v>
      </c>
      <c r="AQ12" s="56" t="s">
        <v>327</v>
      </c>
      <c r="AR12" s="56" t="s">
        <v>253</v>
      </c>
    </row>
    <row r="13" spans="2:44" x14ac:dyDescent="0.25">
      <c r="B13" s="60"/>
      <c r="C13" s="325" t="s">
        <v>419</v>
      </c>
      <c r="D13" s="63"/>
      <c r="E13" s="225">
        <f ca="1">SUMIF(E12:OFFSET(E13,-1,0),"&gt;=0")</f>
        <v>0</v>
      </c>
      <c r="F13" s="226">
        <f ca="1">SUMIF(F12:OFFSET(F13,-1,0),"&gt;=0")</f>
        <v>0</v>
      </c>
      <c r="G13" s="227">
        <f ca="1">IFERROR(H13/F13,0)</f>
        <v>0</v>
      </c>
      <c r="H13" s="228">
        <f ca="1">SUMIF(H12:OFFSET(H13,-1,0),"&gt;=0")</f>
        <v>0</v>
      </c>
      <c r="I13" s="226">
        <f ca="1">SUMIF(I12:OFFSET(I13,-1,0),"&gt;=0")</f>
        <v>0</v>
      </c>
      <c r="J13" s="226">
        <f ca="1">SUMIF(J12:OFFSET(J13,-1,0),"&gt;=0")</f>
        <v>0</v>
      </c>
      <c r="K13" s="227">
        <f ca="1">IFERROR(L13/J13,0)</f>
        <v>0</v>
      </c>
      <c r="L13" s="228">
        <f ca="1">SUMIF(L12:OFFSET(L13,-1,0),"&gt;=0")</f>
        <v>0</v>
      </c>
      <c r="M13" s="226">
        <f ca="1">SUMIF(M12:OFFSET(M13,-1,0),"&gt;=0")</f>
        <v>0</v>
      </c>
      <c r="N13" s="226">
        <f ca="1">SUMIF(N12:OFFSET(N13,-1,0),"&gt;=0")</f>
        <v>0</v>
      </c>
      <c r="O13" s="227">
        <f ca="1">IFERROR(P13/N13,0)</f>
        <v>0</v>
      </c>
      <c r="P13" s="227">
        <f ca="1">SUMIF(P12:OFFSET(P13,-1,0),"&gt;=0")</f>
        <v>0</v>
      </c>
      <c r="Q13" s="226">
        <f ca="1">SUMIF(Q12:OFFSET(Q13,-1,0),"&gt;=0")</f>
        <v>0</v>
      </c>
      <c r="R13" s="226">
        <f ca="1">SUMIF(R12:OFFSET(R13,-1,0),"&gt;=0")</f>
        <v>0</v>
      </c>
      <c r="S13" s="227">
        <f ca="1">IFERROR(T13/R13,0)</f>
        <v>0</v>
      </c>
      <c r="T13" s="228">
        <f ca="1">SUMIF(T12:OFFSET(T13,-1,0),"&gt;=0")</f>
        <v>0</v>
      </c>
      <c r="U13" s="226">
        <f ca="1">SUMIF(U12:OFFSET(U13,-1,0),"&gt;=0")</f>
        <v>0</v>
      </c>
      <c r="V13" s="226">
        <f ca="1">SUMIF(V12:OFFSET(V13,-1,0),"&gt;=0")</f>
        <v>0</v>
      </c>
      <c r="W13" s="227">
        <f ca="1">IFERROR(X13/V13,0)</f>
        <v>0</v>
      </c>
      <c r="X13" s="228">
        <f ca="1">SUMIF(X12:OFFSET(X13,-1,0),"&gt;=0")</f>
        <v>0</v>
      </c>
      <c r="Y13" s="226">
        <f ca="1">SUMIF(Y12:OFFSET(Y13,-1,0),"&gt;=0")</f>
        <v>0</v>
      </c>
      <c r="Z13" s="226">
        <f ca="1">SUMIF(Z12:OFFSET(Z13,-1,0),"&gt;=0")</f>
        <v>0</v>
      </c>
      <c r="AA13" s="227">
        <f ca="1">IFERROR(AB13/Z13,0)</f>
        <v>0</v>
      </c>
      <c r="AB13" s="228">
        <f ca="1">SUMIF(AB12:OFFSET(AB13,-1,0),"&gt;=0")</f>
        <v>0</v>
      </c>
      <c r="AC13" s="59"/>
      <c r="AO13" s="226">
        <f ca="1">SUMIF(AO12:OFFSET(AO13,-1,0),"&gt;=0")</f>
        <v>0</v>
      </c>
      <c r="AP13" s="226">
        <f ca="1">SUMIF(AP12:OFFSET(AP13,-1,0),"&gt;=0")</f>
        <v>0</v>
      </c>
      <c r="AQ13" s="227">
        <f ca="1">IFERROR(AR13/AP13,0)</f>
        <v>0</v>
      </c>
      <c r="AR13" s="228">
        <f ca="1">SUMIF(AR12:OFFSET(AR13,-1,0),"&gt;=0")</f>
        <v>0</v>
      </c>
    </row>
    <row r="14" spans="2:44" s="311" customFormat="1" x14ac:dyDescent="0.25">
      <c r="B14" s="324"/>
      <c r="C14" s="326" t="s">
        <v>424</v>
      </c>
      <c r="D14" s="222"/>
      <c r="E14" s="222">
        <v>0.2</v>
      </c>
      <c r="F14" s="253">
        <f ca="1">E14*F13</f>
        <v>0</v>
      </c>
      <c r="G14" s="224"/>
      <c r="H14" s="255">
        <f ca="1">H13*E14</f>
        <v>0</v>
      </c>
      <c r="I14" s="254">
        <v>0.25</v>
      </c>
      <c r="J14" s="224">
        <f ca="1">I14*J13</f>
        <v>0</v>
      </c>
      <c r="K14" s="224"/>
      <c r="L14" s="255">
        <f ca="1">I14*L13</f>
        <v>0</v>
      </c>
      <c r="M14" s="254">
        <v>0.25</v>
      </c>
      <c r="N14" s="223">
        <f ca="1">M14*N13</f>
        <v>0</v>
      </c>
      <c r="O14" s="224"/>
      <c r="P14" s="255">
        <f ca="1">M14*P13</f>
        <v>0</v>
      </c>
      <c r="Q14" s="254">
        <v>0.2</v>
      </c>
      <c r="R14" s="223">
        <f ca="1">R13*D14</f>
        <v>0</v>
      </c>
      <c r="S14" s="255"/>
      <c r="T14" s="255">
        <f ca="1">Q14*T13</f>
        <v>0</v>
      </c>
      <c r="U14" s="254">
        <v>0.2</v>
      </c>
      <c r="V14" s="223">
        <f ca="1">V13*D14</f>
        <v>0</v>
      </c>
      <c r="W14" s="255"/>
      <c r="X14" s="255">
        <f ca="1">X13*U14</f>
        <v>0</v>
      </c>
      <c r="Y14" s="254">
        <v>0.2</v>
      </c>
      <c r="Z14" s="224">
        <f ca="1">Z13*Y14</f>
        <v>0</v>
      </c>
      <c r="AA14" s="255"/>
      <c r="AB14" s="255">
        <f ca="1">Y14*AB13</f>
        <v>0</v>
      </c>
      <c r="AC14" s="333"/>
      <c r="AO14" s="254">
        <v>0.2</v>
      </c>
      <c r="AP14" s="224">
        <f ca="1">AP13*AO14</f>
        <v>0</v>
      </c>
      <c r="AQ14" s="255"/>
      <c r="AR14" s="255">
        <f ca="1">AO14*AR13</f>
        <v>0</v>
      </c>
    </row>
    <row r="15" spans="2:44" ht="30.75" customHeight="1" thickBot="1" x14ac:dyDescent="0.3">
      <c r="B15" s="60"/>
      <c r="C15" s="327" t="s">
        <v>387</v>
      </c>
      <c r="D15" s="168"/>
      <c r="E15" s="64"/>
      <c r="F15" s="169"/>
      <c r="G15" s="64"/>
      <c r="H15" s="64"/>
      <c r="I15" s="64"/>
      <c r="J15" s="64"/>
      <c r="K15" s="64"/>
      <c r="L15" s="64"/>
      <c r="M15" s="64"/>
      <c r="N15" s="169"/>
      <c r="O15" s="64"/>
      <c r="P15" s="167"/>
      <c r="Q15" s="64"/>
      <c r="R15" s="169"/>
      <c r="S15" s="64"/>
      <c r="T15" s="64"/>
      <c r="U15" s="64"/>
      <c r="V15" s="169"/>
      <c r="W15" s="64"/>
      <c r="X15" s="64"/>
      <c r="Y15" s="64"/>
      <c r="Z15" s="64"/>
      <c r="AA15" s="64"/>
      <c r="AB15" s="64"/>
      <c r="AC15" s="59"/>
      <c r="AO15" s="64"/>
      <c r="AP15" s="64"/>
      <c r="AQ15" s="64"/>
      <c r="AR15" s="64"/>
    </row>
    <row r="16" spans="2:44" ht="36" customHeight="1" x14ac:dyDescent="0.25">
      <c r="B16" s="60"/>
      <c r="C16" s="328"/>
      <c r="D16" s="65"/>
      <c r="E16" s="707" t="s">
        <v>385</v>
      </c>
      <c r="F16" s="707"/>
      <c r="G16" s="707"/>
      <c r="H16" s="707"/>
      <c r="I16" s="707"/>
      <c r="J16" s="65"/>
      <c r="K16" s="65"/>
      <c r="L16" s="708" t="s">
        <v>9</v>
      </c>
      <c r="M16" s="708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59"/>
      <c r="AO16" s="65"/>
      <c r="AP16" s="65"/>
      <c r="AQ16" s="65"/>
      <c r="AR16" s="65"/>
    </row>
    <row r="17" spans="2:44" ht="47.25" customHeight="1" x14ac:dyDescent="0.25">
      <c r="B17" s="60"/>
      <c r="C17" s="329"/>
      <c r="D17" s="58"/>
      <c r="E17" s="709"/>
      <c r="F17" s="710"/>
      <c r="G17" s="710"/>
      <c r="H17" s="710"/>
      <c r="I17" s="711"/>
      <c r="J17" s="58"/>
      <c r="K17" s="58"/>
      <c r="L17" s="709"/>
      <c r="M17" s="711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61"/>
      <c r="Y17" s="61"/>
      <c r="Z17" s="61"/>
      <c r="AA17" s="61"/>
      <c r="AB17" s="61"/>
      <c r="AC17" s="59"/>
      <c r="AO17" s="61"/>
      <c r="AP17" s="61"/>
      <c r="AQ17" s="61"/>
      <c r="AR17" s="61"/>
    </row>
    <row r="18" spans="2:44" ht="15" customHeight="1" x14ac:dyDescent="0.25">
      <c r="B18" s="60"/>
      <c r="C18" s="329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61"/>
      <c r="Y18" s="61"/>
      <c r="Z18" s="61"/>
      <c r="AA18" s="61"/>
      <c r="AB18" s="61"/>
      <c r="AC18" s="59"/>
      <c r="AO18" s="61"/>
      <c r="AP18" s="61"/>
      <c r="AQ18" s="61"/>
      <c r="AR18" s="61"/>
    </row>
    <row r="19" spans="2:44" ht="15" customHeight="1" x14ac:dyDescent="0.25">
      <c r="B19" s="60"/>
      <c r="C19" s="329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61"/>
      <c r="Y19" s="61"/>
      <c r="Z19" s="61"/>
      <c r="AA19" s="61"/>
      <c r="AB19" s="61"/>
      <c r="AC19" s="59"/>
      <c r="AO19" s="61"/>
      <c r="AP19" s="61"/>
      <c r="AQ19" s="61"/>
      <c r="AR19" s="61"/>
    </row>
    <row r="20" spans="2:44" ht="15.75" thickBot="1" x14ac:dyDescent="0.3">
      <c r="B20" s="60"/>
      <c r="C20" s="329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59"/>
      <c r="AO20" s="61"/>
      <c r="AP20" s="61"/>
      <c r="AQ20" s="61"/>
      <c r="AR20" s="61"/>
    </row>
    <row r="21" spans="2:44" x14ac:dyDescent="0.25">
      <c r="C21" s="334"/>
      <c r="D21" s="334"/>
      <c r="E21" s="334"/>
      <c r="F21" s="334"/>
      <c r="G21" s="334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4"/>
      <c r="AA21" s="334"/>
      <c r="AB21" s="334"/>
      <c r="AO21" s="334"/>
      <c r="AP21" s="334"/>
      <c r="AQ21" s="334"/>
      <c r="AR21" s="334"/>
    </row>
    <row r="22" spans="2:44" x14ac:dyDescent="0.25"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</row>
    <row r="24" spans="2:44" ht="15.75" hidden="1" thickBot="1" x14ac:dyDescent="0.3">
      <c r="B24" s="229"/>
      <c r="C24" s="230">
        <f ca="1">IFERROR(OFFSET(C24,-1,0)+1,1)</f>
        <v>1</v>
      </c>
      <c r="D24" s="231">
        <f ca="1">IFERROR(OFFSET(D24,-1,0)+7,Settings!\cstart)</f>
        <v>7</v>
      </c>
      <c r="E24" s="232"/>
      <c r="F24" s="233"/>
      <c r="G24" s="234"/>
      <c r="H24" s="235">
        <f>F24*G24</f>
        <v>0</v>
      </c>
      <c r="I24" s="233"/>
      <c r="J24" s="233"/>
      <c r="K24" s="234"/>
      <c r="L24" s="235">
        <f>J24*K24</f>
        <v>0</v>
      </c>
      <c r="M24" s="233"/>
      <c r="N24" s="233"/>
      <c r="O24" s="234"/>
      <c r="P24" s="235">
        <f>N24*O24</f>
        <v>0</v>
      </c>
      <c r="Q24" s="233"/>
      <c r="R24" s="233"/>
      <c r="S24" s="234"/>
      <c r="T24" s="235">
        <f>R24*S24</f>
        <v>0</v>
      </c>
      <c r="U24" s="233"/>
      <c r="V24" s="233"/>
      <c r="W24" s="234"/>
      <c r="X24" s="235">
        <f>V24*W24</f>
        <v>0</v>
      </c>
      <c r="Y24" s="233"/>
      <c r="Z24" s="233"/>
      <c r="AA24" s="234"/>
      <c r="AB24" s="235">
        <f>Z24*AA24</f>
        <v>0</v>
      </c>
      <c r="AC24" s="59"/>
      <c r="AO24" s="233"/>
      <c r="AP24" s="233"/>
      <c r="AQ24" s="234"/>
      <c r="AR24" s="235">
        <f>AP24*AQ24</f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E16:I16"/>
    <mergeCell ref="L16:M16"/>
    <mergeCell ref="E17:I17"/>
    <mergeCell ref="L17:M17"/>
    <mergeCell ref="AO1:AR1"/>
    <mergeCell ref="E11:H11"/>
    <mergeCell ref="I11:L11"/>
    <mergeCell ref="M11:P11"/>
    <mergeCell ref="Q11:T11"/>
    <mergeCell ref="U11:X11"/>
    <mergeCell ref="AO11:AR11"/>
    <mergeCell ref="Y1:AB1"/>
    <mergeCell ref="Y11:AB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9825-D9DB-43BB-99EC-F764BCB7505C}">
  <sheetPr codeName="Sheet5"/>
  <dimension ref="A1:CH202"/>
  <sheetViews>
    <sheetView zoomScale="115" zoomScaleNormal="115" workbookViewId="0">
      <selection activeCell="M19" sqref="M19"/>
    </sheetView>
  </sheetViews>
  <sheetFormatPr defaultColWidth="4.7109375" defaultRowHeight="15" zeroHeight="1" x14ac:dyDescent="0.25"/>
  <cols>
    <col min="1" max="1" width="4.28515625" style="236" customWidth="1"/>
    <col min="2" max="2" width="21.140625" style="236" bestFit="1" customWidth="1"/>
    <col min="3" max="3" width="1.5703125" style="236" customWidth="1"/>
    <col min="4" max="4" width="10.7109375" style="236" bestFit="1" customWidth="1"/>
    <col min="5" max="5" width="9.140625" style="236" customWidth="1"/>
    <col min="6" max="6" width="12.28515625" style="236" customWidth="1"/>
    <col min="7" max="7" width="6.7109375" style="236" customWidth="1"/>
    <col min="8" max="8" width="4.28515625" style="236" customWidth="1"/>
    <col min="9" max="83" width="3.7109375" style="236" customWidth="1"/>
    <col min="84" max="85" width="4.7109375" style="616" customWidth="1"/>
    <col min="86" max="86" width="3.7109375" style="236" hidden="1" customWidth="1"/>
    <col min="87" max="16384" width="4.7109375" style="616"/>
  </cols>
  <sheetData>
    <row r="1" spans="1:86" x14ac:dyDescent="0.25">
      <c r="I1" s="715">
        <f>'Staff Detail'!\cstart+('Labor Gantt'!I7*7)</f>
        <v>43485</v>
      </c>
      <c r="J1" s="715"/>
      <c r="K1" s="715"/>
      <c r="L1" s="715"/>
      <c r="M1" s="715">
        <f>'Staff Detail'!\cstart+('Labor Gantt'!M7*7)</f>
        <v>43513</v>
      </c>
      <c r="N1" s="715"/>
      <c r="O1" s="715"/>
      <c r="P1" s="715"/>
      <c r="Q1" s="715">
        <f>'Staff Detail'!\cstart+('Labor Gantt'!Q7*7)</f>
        <v>43541</v>
      </c>
      <c r="R1" s="715"/>
      <c r="S1" s="715"/>
      <c r="T1" s="715"/>
      <c r="U1" s="715">
        <f>'Staff Detail'!\cstart+('Labor Gantt'!U7*7)</f>
        <v>43569</v>
      </c>
      <c r="V1" s="715"/>
      <c r="W1" s="715"/>
      <c r="X1" s="715"/>
      <c r="Y1" s="615">
        <f>'Staff Detail'!\cstart+('Labor Gantt'!Y7*7)</f>
        <v>43597</v>
      </c>
      <c r="Z1" s="615">
        <f>'Staff Detail'!\cstart+('Labor Gantt'!Z7*7)</f>
        <v>43604</v>
      </c>
      <c r="AA1" s="615">
        <f>'Staff Detail'!\cstart+('Labor Gantt'!AA7*7)</f>
        <v>43611</v>
      </c>
      <c r="AB1" s="615">
        <f>'Staff Detail'!\cstart+('Labor Gantt'!AB7*7)</f>
        <v>43618</v>
      </c>
      <c r="AC1" s="615">
        <f>'Staff Detail'!\cstart+('Labor Gantt'!AC7*7)</f>
        <v>43625</v>
      </c>
      <c r="AD1" s="615">
        <f>'Staff Detail'!\cstart+('Labor Gantt'!AD7*7)</f>
        <v>43632</v>
      </c>
      <c r="AE1" s="615">
        <f>'Staff Detail'!\cstart+('Labor Gantt'!AE7*7)</f>
        <v>43639</v>
      </c>
      <c r="AF1" s="615">
        <f>'Staff Detail'!\cstart+('Labor Gantt'!AF7*7)</f>
        <v>43646</v>
      </c>
      <c r="AG1" s="615">
        <f>'Staff Detail'!\cstart+('Labor Gantt'!AG7*7)</f>
        <v>43653</v>
      </c>
      <c r="AH1" s="615">
        <f>'Staff Detail'!\cstart+('Labor Gantt'!AH7*7)</f>
        <v>43660</v>
      </c>
      <c r="AI1" s="615">
        <f>'Staff Detail'!\cstart+('Labor Gantt'!AI7*7)</f>
        <v>43667</v>
      </c>
      <c r="AJ1" s="615">
        <f>'Staff Detail'!\cstart+('Labor Gantt'!AJ7*7)</f>
        <v>43674</v>
      </c>
      <c r="AK1" s="615">
        <f>'Staff Detail'!\cstart+('Labor Gantt'!AK7*7)</f>
        <v>43681</v>
      </c>
      <c r="AL1" s="615">
        <f>'Staff Detail'!\cstart+('Labor Gantt'!AL7*7)</f>
        <v>43688</v>
      </c>
      <c r="AM1" s="615">
        <f>'Staff Detail'!\cstart+('Labor Gantt'!AM7*7)</f>
        <v>43695</v>
      </c>
      <c r="AN1" s="615">
        <f>'Staff Detail'!\cstart+('Labor Gantt'!AN7*7)</f>
        <v>43702</v>
      </c>
      <c r="AO1" s="615">
        <f>'Staff Detail'!\cstart+('Labor Gantt'!AO7*7)</f>
        <v>43709</v>
      </c>
      <c r="AP1" s="615">
        <f>'Staff Detail'!\cstart+('Labor Gantt'!AP7*7)</f>
        <v>43716</v>
      </c>
      <c r="AQ1" s="615">
        <f>'Staff Detail'!\cstart+('Labor Gantt'!AQ7*7)</f>
        <v>43723</v>
      </c>
      <c r="AR1" s="615">
        <f>'Staff Detail'!\cstart+('Labor Gantt'!AR7*7)</f>
        <v>43730</v>
      </c>
      <c r="AS1" s="615">
        <f>'Staff Detail'!\cstart+('Labor Gantt'!AS7*7)</f>
        <v>43737</v>
      </c>
      <c r="AT1" s="615">
        <f>'Staff Detail'!\cstart+('Labor Gantt'!AT7*7)</f>
        <v>43744</v>
      </c>
      <c r="AU1" s="615">
        <f>'Staff Detail'!\cstart+('Labor Gantt'!AU7*7)</f>
        <v>43751</v>
      </c>
      <c r="AV1" s="615">
        <f>'Staff Detail'!\cstart+('Labor Gantt'!AV7*7)</f>
        <v>43758</v>
      </c>
      <c r="AW1" s="615">
        <f>'Staff Detail'!\cstart+('Labor Gantt'!AW7*7)</f>
        <v>43765</v>
      </c>
      <c r="AX1" s="615">
        <f>'Staff Detail'!\cstart+('Labor Gantt'!AX7*7)</f>
        <v>43772</v>
      </c>
      <c r="AY1" s="615">
        <f>'Staff Detail'!\cstart+('Labor Gantt'!AY7*7)</f>
        <v>43779</v>
      </c>
      <c r="AZ1" s="615">
        <f>'Staff Detail'!\cstart+('Labor Gantt'!AZ7*7)</f>
        <v>43786</v>
      </c>
      <c r="BA1" s="615">
        <f>'Staff Detail'!\cstart+('Labor Gantt'!BA7*7)</f>
        <v>43793</v>
      </c>
      <c r="BB1" s="615">
        <f>'Staff Detail'!\cstart+('Labor Gantt'!BB7*7)</f>
        <v>43800</v>
      </c>
      <c r="BC1" s="615">
        <f>'Staff Detail'!\cstart+('Labor Gantt'!BC7*7)</f>
        <v>43807</v>
      </c>
      <c r="BD1" s="615">
        <f>'Staff Detail'!\cstart+('Labor Gantt'!BD7*7)</f>
        <v>43814</v>
      </c>
      <c r="BE1" s="615">
        <f>'Staff Detail'!\cstart+('Labor Gantt'!BE7*7)</f>
        <v>43821</v>
      </c>
      <c r="BF1" s="615">
        <f>'Staff Detail'!\cstart+('Labor Gantt'!BF7*7)</f>
        <v>43828</v>
      </c>
      <c r="BG1" s="615">
        <f>'Staff Detail'!\cstart+('Labor Gantt'!BG7*7)</f>
        <v>43835</v>
      </c>
    </row>
    <row r="2" spans="1:86" x14ac:dyDescent="0.25"/>
    <row r="3" spans="1:86" x14ac:dyDescent="0.25"/>
    <row r="4" spans="1:86" x14ac:dyDescent="0.25"/>
    <row r="5" spans="1:86" x14ac:dyDescent="0.25"/>
    <row r="6" spans="1:86" ht="15.75" thickBot="1" x14ac:dyDescent="0.3">
      <c r="I6" s="617"/>
      <c r="AE6" s="618"/>
    </row>
    <row r="7" spans="1:86" ht="15.75" thickBot="1" x14ac:dyDescent="0.3">
      <c r="B7" s="652"/>
      <c r="C7" s="653"/>
      <c r="D7" s="671" t="s">
        <v>958</v>
      </c>
      <c r="E7" s="669" t="s">
        <v>9</v>
      </c>
      <c r="F7" s="669" t="s">
        <v>966</v>
      </c>
      <c r="G7" s="670" t="s">
        <v>965</v>
      </c>
      <c r="H7" s="619"/>
      <c r="I7" s="641">
        <f t="shared" ref="I7:BT7" si="0">H7+1</f>
        <v>1</v>
      </c>
      <c r="J7" s="642">
        <f t="shared" si="0"/>
        <v>2</v>
      </c>
      <c r="K7" s="642">
        <f t="shared" si="0"/>
        <v>3</v>
      </c>
      <c r="L7" s="642">
        <f t="shared" si="0"/>
        <v>4</v>
      </c>
      <c r="M7" s="642">
        <f t="shared" si="0"/>
        <v>5</v>
      </c>
      <c r="N7" s="642">
        <f t="shared" si="0"/>
        <v>6</v>
      </c>
      <c r="O7" s="642">
        <f t="shared" si="0"/>
        <v>7</v>
      </c>
      <c r="P7" s="642">
        <f t="shared" si="0"/>
        <v>8</v>
      </c>
      <c r="Q7" s="642">
        <f t="shared" si="0"/>
        <v>9</v>
      </c>
      <c r="R7" s="642">
        <f t="shared" si="0"/>
        <v>10</v>
      </c>
      <c r="S7" s="642">
        <f t="shared" si="0"/>
        <v>11</v>
      </c>
      <c r="T7" s="642">
        <f t="shared" si="0"/>
        <v>12</v>
      </c>
      <c r="U7" s="642">
        <f t="shared" si="0"/>
        <v>13</v>
      </c>
      <c r="V7" s="642">
        <f t="shared" si="0"/>
        <v>14</v>
      </c>
      <c r="W7" s="642">
        <f t="shared" si="0"/>
        <v>15</v>
      </c>
      <c r="X7" s="642">
        <f t="shared" si="0"/>
        <v>16</v>
      </c>
      <c r="Y7" s="642">
        <f t="shared" si="0"/>
        <v>17</v>
      </c>
      <c r="Z7" s="642">
        <f t="shared" si="0"/>
        <v>18</v>
      </c>
      <c r="AA7" s="642">
        <f t="shared" si="0"/>
        <v>19</v>
      </c>
      <c r="AB7" s="642">
        <f t="shared" si="0"/>
        <v>20</v>
      </c>
      <c r="AC7" s="642">
        <f t="shared" si="0"/>
        <v>21</v>
      </c>
      <c r="AD7" s="642">
        <f t="shared" si="0"/>
        <v>22</v>
      </c>
      <c r="AE7" s="642">
        <f t="shared" si="0"/>
        <v>23</v>
      </c>
      <c r="AF7" s="642">
        <f t="shared" si="0"/>
        <v>24</v>
      </c>
      <c r="AG7" s="642">
        <f t="shared" si="0"/>
        <v>25</v>
      </c>
      <c r="AH7" s="642">
        <f t="shared" si="0"/>
        <v>26</v>
      </c>
      <c r="AI7" s="642">
        <f t="shared" si="0"/>
        <v>27</v>
      </c>
      <c r="AJ7" s="642">
        <f t="shared" si="0"/>
        <v>28</v>
      </c>
      <c r="AK7" s="642">
        <f t="shared" si="0"/>
        <v>29</v>
      </c>
      <c r="AL7" s="642">
        <f t="shared" si="0"/>
        <v>30</v>
      </c>
      <c r="AM7" s="642">
        <f t="shared" si="0"/>
        <v>31</v>
      </c>
      <c r="AN7" s="642">
        <f t="shared" si="0"/>
        <v>32</v>
      </c>
      <c r="AO7" s="642">
        <f t="shared" si="0"/>
        <v>33</v>
      </c>
      <c r="AP7" s="642">
        <f t="shared" si="0"/>
        <v>34</v>
      </c>
      <c r="AQ7" s="642">
        <f t="shared" si="0"/>
        <v>35</v>
      </c>
      <c r="AR7" s="642">
        <f t="shared" si="0"/>
        <v>36</v>
      </c>
      <c r="AS7" s="642">
        <f t="shared" si="0"/>
        <v>37</v>
      </c>
      <c r="AT7" s="642">
        <f t="shared" si="0"/>
        <v>38</v>
      </c>
      <c r="AU7" s="642">
        <f t="shared" si="0"/>
        <v>39</v>
      </c>
      <c r="AV7" s="642">
        <f t="shared" si="0"/>
        <v>40</v>
      </c>
      <c r="AW7" s="642">
        <f t="shared" si="0"/>
        <v>41</v>
      </c>
      <c r="AX7" s="642">
        <f t="shared" si="0"/>
        <v>42</v>
      </c>
      <c r="AY7" s="642">
        <f t="shared" si="0"/>
        <v>43</v>
      </c>
      <c r="AZ7" s="642">
        <f t="shared" si="0"/>
        <v>44</v>
      </c>
      <c r="BA7" s="642">
        <f t="shared" si="0"/>
        <v>45</v>
      </c>
      <c r="BB7" s="642">
        <f t="shared" si="0"/>
        <v>46</v>
      </c>
      <c r="BC7" s="642">
        <f t="shared" si="0"/>
        <v>47</v>
      </c>
      <c r="BD7" s="642">
        <f t="shared" si="0"/>
        <v>48</v>
      </c>
      <c r="BE7" s="642">
        <f t="shared" si="0"/>
        <v>49</v>
      </c>
      <c r="BF7" s="642">
        <f t="shared" si="0"/>
        <v>50</v>
      </c>
      <c r="BG7" s="642">
        <f t="shared" si="0"/>
        <v>51</v>
      </c>
      <c r="BH7" s="642">
        <f t="shared" si="0"/>
        <v>52</v>
      </c>
      <c r="BI7" s="642">
        <f t="shared" si="0"/>
        <v>53</v>
      </c>
      <c r="BJ7" s="642">
        <f t="shared" si="0"/>
        <v>54</v>
      </c>
      <c r="BK7" s="642">
        <f t="shared" si="0"/>
        <v>55</v>
      </c>
      <c r="BL7" s="642">
        <f t="shared" si="0"/>
        <v>56</v>
      </c>
      <c r="BM7" s="642">
        <f t="shared" si="0"/>
        <v>57</v>
      </c>
      <c r="BN7" s="642">
        <f t="shared" si="0"/>
        <v>58</v>
      </c>
      <c r="BO7" s="642">
        <f t="shared" si="0"/>
        <v>59</v>
      </c>
      <c r="BP7" s="642">
        <f t="shared" si="0"/>
        <v>60</v>
      </c>
      <c r="BQ7" s="642">
        <f t="shared" si="0"/>
        <v>61</v>
      </c>
      <c r="BR7" s="642">
        <f t="shared" si="0"/>
        <v>62</v>
      </c>
      <c r="BS7" s="642">
        <f t="shared" si="0"/>
        <v>63</v>
      </c>
      <c r="BT7" s="642">
        <f t="shared" si="0"/>
        <v>64</v>
      </c>
      <c r="BU7" s="642">
        <f t="shared" ref="BU7:CE7" si="1">BT7+1</f>
        <v>65</v>
      </c>
      <c r="BV7" s="642">
        <f t="shared" si="1"/>
        <v>66</v>
      </c>
      <c r="BW7" s="642">
        <f t="shared" si="1"/>
        <v>67</v>
      </c>
      <c r="BX7" s="642">
        <f t="shared" si="1"/>
        <v>68</v>
      </c>
      <c r="BY7" s="642">
        <f t="shared" si="1"/>
        <v>69</v>
      </c>
      <c r="BZ7" s="642">
        <f t="shared" si="1"/>
        <v>70</v>
      </c>
      <c r="CA7" s="642">
        <f t="shared" si="1"/>
        <v>71</v>
      </c>
      <c r="CB7" s="642">
        <f t="shared" si="1"/>
        <v>72</v>
      </c>
      <c r="CC7" s="642">
        <f t="shared" si="1"/>
        <v>73</v>
      </c>
      <c r="CD7" s="642">
        <f t="shared" si="1"/>
        <v>74</v>
      </c>
      <c r="CE7" s="642">
        <f t="shared" si="1"/>
        <v>75</v>
      </c>
      <c r="CH7" s="620">
        <f>CG7+1</f>
        <v>1</v>
      </c>
    </row>
    <row r="8" spans="1:86" ht="15.75" thickBot="1" x14ac:dyDescent="0.3">
      <c r="B8" s="655" t="s">
        <v>964</v>
      </c>
      <c r="C8" s="656"/>
      <c r="D8" s="657"/>
      <c r="E8" s="657"/>
      <c r="F8" s="657"/>
      <c r="G8" s="664"/>
      <c r="H8" s="651"/>
      <c r="I8" s="650"/>
      <c r="J8" s="644"/>
      <c r="K8" s="644"/>
      <c r="L8" s="644"/>
      <c r="M8" s="644"/>
      <c r="N8" s="644"/>
      <c r="O8" s="644"/>
      <c r="P8" s="644"/>
      <c r="Q8" s="644"/>
      <c r="R8" s="644"/>
      <c r="S8" s="644"/>
      <c r="T8" s="644"/>
      <c r="U8" s="644"/>
      <c r="V8" s="644"/>
      <c r="W8" s="644"/>
      <c r="X8" s="644"/>
      <c r="Y8" s="644"/>
      <c r="Z8" s="644"/>
      <c r="AA8" s="644"/>
      <c r="AB8" s="644"/>
      <c r="AC8" s="644"/>
      <c r="AD8" s="644"/>
      <c r="AE8" s="645"/>
      <c r="AF8" s="644"/>
      <c r="AG8" s="644"/>
      <c r="AH8" s="644"/>
      <c r="AI8" s="644"/>
      <c r="AJ8" s="644"/>
      <c r="AK8" s="644"/>
      <c r="AL8" s="644"/>
      <c r="AM8" s="644"/>
      <c r="AN8" s="644"/>
      <c r="AO8" s="644"/>
      <c r="AP8" s="644"/>
      <c r="AQ8" s="644"/>
      <c r="AR8" s="644"/>
      <c r="AS8" s="644"/>
      <c r="AT8" s="644"/>
      <c r="AU8" s="644"/>
      <c r="AV8" s="644"/>
      <c r="AW8" s="644"/>
      <c r="AX8" s="644"/>
      <c r="AY8" s="644"/>
      <c r="AZ8" s="644"/>
      <c r="BA8" s="644"/>
      <c r="BB8" s="644"/>
      <c r="BC8" s="644"/>
      <c r="BD8" s="644"/>
      <c r="BE8" s="644"/>
      <c r="BF8" s="644"/>
      <c r="BG8" s="644"/>
      <c r="BH8" s="644"/>
      <c r="BI8" s="644"/>
      <c r="BJ8" s="644"/>
      <c r="BK8" s="644"/>
      <c r="BL8" s="644"/>
      <c r="BM8" s="644"/>
      <c r="BN8" s="644"/>
      <c r="BO8" s="644"/>
      <c r="BP8" s="644"/>
      <c r="BQ8" s="644"/>
      <c r="BR8" s="644"/>
      <c r="BS8" s="644"/>
      <c r="BT8" s="644"/>
      <c r="BU8" s="644"/>
      <c r="BV8" s="644"/>
      <c r="BW8" s="644"/>
      <c r="BX8" s="644"/>
      <c r="BY8" s="644"/>
      <c r="BZ8" s="644"/>
      <c r="CA8" s="644"/>
      <c r="CB8" s="644"/>
      <c r="CC8" s="644"/>
      <c r="CD8" s="644"/>
      <c r="CE8" s="644"/>
      <c r="CF8" s="626"/>
      <c r="CH8" s="620"/>
    </row>
    <row r="9" spans="1:86" ht="4.5" customHeight="1" thickBot="1" x14ac:dyDescent="0.3">
      <c r="A9" s="616"/>
      <c r="B9" s="627"/>
      <c r="C9" s="627"/>
      <c r="D9" s="661"/>
      <c r="E9" s="661"/>
      <c r="F9" s="661"/>
      <c r="G9" s="662"/>
      <c r="H9" s="659"/>
      <c r="I9" s="650"/>
      <c r="J9" s="646"/>
      <c r="K9" s="646"/>
      <c r="L9" s="646"/>
      <c r="M9" s="646"/>
      <c r="N9" s="646"/>
      <c r="O9" s="646"/>
      <c r="P9" s="646"/>
      <c r="Q9" s="646"/>
      <c r="R9" s="646"/>
      <c r="S9" s="646"/>
      <c r="T9" s="646"/>
      <c r="U9" s="646"/>
      <c r="V9" s="646"/>
      <c r="W9" s="646"/>
      <c r="X9" s="646"/>
      <c r="Y9" s="646"/>
      <c r="Z9" s="646"/>
      <c r="AA9" s="646"/>
      <c r="AB9" s="646"/>
      <c r="AC9" s="646"/>
      <c r="AD9" s="646"/>
      <c r="AE9" s="647"/>
      <c r="AF9" s="646"/>
      <c r="AG9" s="646"/>
      <c r="AH9" s="646"/>
      <c r="AI9" s="646"/>
      <c r="AJ9" s="646"/>
      <c r="AK9" s="646"/>
      <c r="AL9" s="646"/>
      <c r="AM9" s="646"/>
      <c r="AN9" s="646"/>
      <c r="AO9" s="646"/>
      <c r="AP9" s="646"/>
      <c r="AQ9" s="646"/>
      <c r="AR9" s="646"/>
      <c r="AS9" s="646"/>
      <c r="AT9" s="646"/>
      <c r="AU9" s="646"/>
      <c r="AV9" s="646"/>
      <c r="AW9" s="646"/>
      <c r="AX9" s="646"/>
      <c r="AY9" s="646"/>
      <c r="AZ9" s="646"/>
      <c r="BA9" s="646"/>
      <c r="BB9" s="646"/>
      <c r="BC9" s="646"/>
      <c r="BD9" s="646"/>
      <c r="BE9" s="646"/>
      <c r="BF9" s="646"/>
      <c r="BG9" s="646"/>
      <c r="BH9" s="646"/>
      <c r="BI9" s="646"/>
      <c r="BJ9" s="646"/>
      <c r="BK9" s="646"/>
      <c r="BL9" s="646"/>
      <c r="BM9" s="646"/>
      <c r="BN9" s="646"/>
      <c r="BO9" s="646"/>
      <c r="BP9" s="646"/>
      <c r="BQ9" s="646"/>
      <c r="BR9" s="646"/>
      <c r="BS9" s="646"/>
      <c r="BT9" s="646"/>
      <c r="BU9" s="646"/>
      <c r="BV9" s="646"/>
      <c r="BW9" s="646"/>
      <c r="BX9" s="646"/>
      <c r="BY9" s="646"/>
      <c r="BZ9" s="646"/>
      <c r="CA9" s="646"/>
      <c r="CB9" s="646"/>
      <c r="CC9" s="646"/>
      <c r="CD9" s="646"/>
      <c r="CE9" s="646"/>
      <c r="CF9" s="626"/>
      <c r="CH9" s="620"/>
    </row>
    <row r="10" spans="1:86" ht="19.5" customHeight="1" thickBot="1" x14ac:dyDescent="0.3">
      <c r="A10" s="616"/>
      <c r="B10" s="636"/>
      <c r="D10" s="672" t="s">
        <v>958</v>
      </c>
      <c r="E10" s="673" t="s">
        <v>9</v>
      </c>
      <c r="F10" s="674" t="s">
        <v>967</v>
      </c>
      <c r="G10" s="660"/>
      <c r="H10" s="659"/>
      <c r="I10" s="658"/>
      <c r="J10" s="646"/>
      <c r="K10" s="646"/>
      <c r="L10" s="646"/>
      <c r="M10" s="646"/>
      <c r="N10" s="646"/>
      <c r="O10" s="646"/>
      <c r="P10" s="646"/>
      <c r="Q10" s="646"/>
      <c r="R10" s="646"/>
      <c r="S10" s="646"/>
      <c r="T10" s="646"/>
      <c r="U10" s="646"/>
      <c r="V10" s="646"/>
      <c r="W10" s="646"/>
      <c r="X10" s="646"/>
      <c r="Y10" s="646"/>
      <c r="Z10" s="646"/>
      <c r="AA10" s="646"/>
      <c r="AB10" s="646"/>
      <c r="AC10" s="646"/>
      <c r="AD10" s="646"/>
      <c r="AE10" s="647"/>
      <c r="AF10" s="646"/>
      <c r="AG10" s="646"/>
      <c r="AH10" s="646"/>
      <c r="AI10" s="646"/>
      <c r="AJ10" s="646"/>
      <c r="AK10" s="646"/>
      <c r="AL10" s="646"/>
      <c r="AM10" s="646"/>
      <c r="AN10" s="646"/>
      <c r="AO10" s="646"/>
      <c r="AP10" s="646"/>
      <c r="AQ10" s="646"/>
      <c r="AR10" s="646"/>
      <c r="AS10" s="646"/>
      <c r="AT10" s="646"/>
      <c r="AU10" s="646"/>
      <c r="AV10" s="646"/>
      <c r="AW10" s="646"/>
      <c r="AX10" s="646"/>
      <c r="AY10" s="646"/>
      <c r="AZ10" s="646"/>
      <c r="BA10" s="646"/>
      <c r="BB10" s="646"/>
      <c r="BC10" s="646"/>
      <c r="BD10" s="646"/>
      <c r="BE10" s="646"/>
      <c r="BF10" s="646"/>
      <c r="BG10" s="646"/>
      <c r="BH10" s="646"/>
      <c r="BI10" s="646"/>
      <c r="BJ10" s="646"/>
      <c r="BK10" s="646"/>
      <c r="BL10" s="646"/>
      <c r="BM10" s="646"/>
      <c r="BN10" s="646"/>
      <c r="BO10" s="646"/>
      <c r="BP10" s="646"/>
      <c r="BQ10" s="646"/>
      <c r="BR10" s="646"/>
      <c r="BS10" s="646"/>
      <c r="BT10" s="646"/>
      <c r="BU10" s="646"/>
      <c r="BV10" s="646"/>
      <c r="BW10" s="646"/>
      <c r="BX10" s="646"/>
      <c r="BY10" s="646"/>
      <c r="BZ10" s="646"/>
      <c r="CA10" s="646"/>
      <c r="CB10" s="646"/>
      <c r="CC10" s="646"/>
      <c r="CD10" s="646"/>
      <c r="CE10" s="646"/>
      <c r="CF10" s="626"/>
      <c r="CH10" s="620"/>
    </row>
    <row r="11" spans="1:86" x14ac:dyDescent="0.25">
      <c r="B11" s="621" t="str">
        <f>'Staff Detail'!B15</f>
        <v>Construction</v>
      </c>
      <c r="C11" s="622"/>
      <c r="D11" s="623" t="e">
        <f>IF(DATEDIF('Staff Detail'!\cstart,'Staff Detail'!I15,"D")/7 = 0,1,DATEDIF('Staff Detail'!\cstart,'Staff Detail'!I15,"D")/7)</f>
        <v>#NUM!</v>
      </c>
      <c r="E11" s="624">
        <f>DATEDIF('Staff Detail'!I15,'Staff Detail'!J15,"D")/7</f>
        <v>0</v>
      </c>
      <c r="F11" s="625">
        <f>'Staff Detail'!K15</f>
        <v>0</v>
      </c>
      <c r="G11" s="663"/>
      <c r="H11" s="654"/>
      <c r="I11" s="643"/>
      <c r="J11" s="643"/>
      <c r="K11" s="643"/>
      <c r="L11" s="643"/>
      <c r="M11" s="643"/>
      <c r="N11" s="643"/>
      <c r="O11" s="643"/>
      <c r="P11" s="643"/>
      <c r="Q11" s="643"/>
      <c r="R11" s="643"/>
      <c r="S11" s="643"/>
      <c r="T11" s="643"/>
      <c r="U11" s="643"/>
      <c r="V11" s="643"/>
      <c r="W11" s="643"/>
      <c r="X11" s="643"/>
      <c r="Y11" s="643"/>
      <c r="Z11" s="643"/>
      <c r="AA11" s="643"/>
      <c r="AB11" s="643"/>
      <c r="AC11" s="643"/>
      <c r="AD11" s="643"/>
      <c r="AE11" s="643"/>
      <c r="AF11" s="643"/>
      <c r="AG11" s="643"/>
      <c r="AH11" s="643"/>
      <c r="AI11" s="643"/>
      <c r="AJ11" s="643"/>
      <c r="AK11" s="643"/>
      <c r="AL11" s="643"/>
      <c r="AM11" s="643"/>
      <c r="AN11" s="643"/>
      <c r="AO11" s="643"/>
      <c r="AP11" s="643"/>
      <c r="AQ11" s="643"/>
      <c r="AR11" s="643"/>
      <c r="AS11" s="643"/>
      <c r="AT11" s="643"/>
      <c r="AU11" s="643"/>
      <c r="AV11" s="643"/>
      <c r="AW11" s="643"/>
      <c r="AX11" s="643"/>
      <c r="AY11" s="643"/>
      <c r="AZ11" s="643"/>
      <c r="BA11" s="643"/>
      <c r="BB11" s="643"/>
      <c r="BC11" s="643"/>
      <c r="BD11" s="643"/>
      <c r="BE11" s="643"/>
      <c r="BF11" s="643"/>
      <c r="BG11" s="643"/>
      <c r="BH11" s="643"/>
      <c r="BI11" s="643"/>
      <c r="BJ11" s="643"/>
      <c r="BK11" s="643"/>
      <c r="BL11" s="643"/>
      <c r="BM11" s="643"/>
      <c r="BN11" s="643"/>
      <c r="BO11" s="643"/>
      <c r="BP11" s="643"/>
      <c r="BQ11" s="643"/>
      <c r="BR11" s="643"/>
      <c r="BS11" s="643"/>
      <c r="BT11" s="643"/>
      <c r="BU11" s="643"/>
      <c r="BV11" s="643"/>
      <c r="BW11" s="643"/>
      <c r="BX11" s="643"/>
      <c r="BY11" s="643"/>
      <c r="BZ11" s="643"/>
      <c r="CA11" s="643"/>
      <c r="CB11" s="643"/>
      <c r="CC11" s="643"/>
      <c r="CD11" s="643"/>
      <c r="CE11" s="643"/>
      <c r="CF11" s="626"/>
      <c r="CH11" s="622"/>
    </row>
    <row r="12" spans="1:86" x14ac:dyDescent="0.25">
      <c r="A12" s="630"/>
      <c r="B12" s="631" t="str">
        <f>'Staff Detail'!B16</f>
        <v>Safety Manager 2</v>
      </c>
      <c r="C12" s="632"/>
      <c r="D12" s="633">
        <f>IF(DATEDIF('Staff Detail'!\cstart,'Staff Detail'!I16,"D")/7 = 0,1,DATEDIF('Staff Detail'!\cstart,'Staff Detail'!I16,"D")/7)</f>
        <v>1</v>
      </c>
      <c r="E12" s="634">
        <f>DATEDIF('Staff Detail'!I16,'Staff Detail'!J16,"D")/7</f>
        <v>75.142857142857139</v>
      </c>
      <c r="F12" s="665">
        <f>'Staff Detail'!K16</f>
        <v>0.1</v>
      </c>
      <c r="G12" s="685"/>
      <c r="H12" s="630"/>
      <c r="I12" s="636"/>
      <c r="J12" s="636"/>
      <c r="K12" s="636"/>
      <c r="L12" s="636"/>
      <c r="M12" s="636"/>
      <c r="N12" s="636"/>
      <c r="O12" s="636"/>
      <c r="P12" s="636"/>
      <c r="Q12" s="636"/>
      <c r="R12" s="636"/>
      <c r="S12" s="636"/>
      <c r="T12" s="636"/>
      <c r="U12" s="636"/>
      <c r="V12" s="636"/>
      <c r="W12" s="636"/>
      <c r="X12" s="636"/>
      <c r="Y12" s="636"/>
      <c r="Z12" s="636"/>
      <c r="AA12" s="636"/>
      <c r="AB12" s="636"/>
      <c r="AC12" s="636"/>
      <c r="AD12" s="636"/>
      <c r="AE12" s="636"/>
      <c r="AF12" s="636"/>
      <c r="AG12" s="636"/>
      <c r="AH12" s="636"/>
      <c r="AI12" s="636"/>
      <c r="AJ12" s="636"/>
      <c r="AK12" s="636"/>
      <c r="AL12" s="636"/>
      <c r="AM12" s="636"/>
      <c r="AN12" s="636"/>
      <c r="AO12" s="636"/>
      <c r="AP12" s="636"/>
      <c r="AQ12" s="636"/>
      <c r="AR12" s="636"/>
      <c r="AS12" s="636"/>
      <c r="AT12" s="636"/>
      <c r="AU12" s="636"/>
      <c r="AV12" s="636"/>
      <c r="AW12" s="636"/>
      <c r="AX12" s="636"/>
      <c r="AY12" s="636"/>
      <c r="AZ12" s="636"/>
      <c r="BA12" s="636"/>
      <c r="BB12" s="636"/>
      <c r="BC12" s="636"/>
      <c r="BD12" s="636"/>
      <c r="BE12" s="636"/>
      <c r="BF12" s="636"/>
      <c r="BG12" s="636"/>
      <c r="BH12" s="636"/>
      <c r="BI12" s="636"/>
      <c r="BJ12" s="636"/>
      <c r="BK12" s="636"/>
      <c r="BL12" s="636"/>
      <c r="BM12" s="636"/>
      <c r="BN12" s="636"/>
      <c r="BO12" s="636"/>
      <c r="BP12" s="636"/>
      <c r="BQ12" s="636"/>
      <c r="BR12" s="636"/>
      <c r="BS12" s="636"/>
      <c r="BT12" s="636"/>
      <c r="BU12" s="636"/>
      <c r="BV12" s="636"/>
      <c r="BW12" s="636"/>
      <c r="BX12" s="636"/>
      <c r="BY12" s="636"/>
      <c r="BZ12" s="636"/>
      <c r="CA12" s="636"/>
      <c r="CB12" s="636"/>
      <c r="CC12" s="636"/>
      <c r="CD12" s="636"/>
      <c r="CE12" s="636"/>
      <c r="CF12" s="626"/>
      <c r="CH12" s="636"/>
    </row>
    <row r="13" spans="1:86" ht="15.75" thickBot="1" x14ac:dyDescent="0.3">
      <c r="A13" s="630"/>
      <c r="B13" s="631" t="str">
        <f>'Staff Detail'!B17</f>
        <v>Safety Manager 1</v>
      </c>
      <c r="C13" s="632"/>
      <c r="D13" s="633">
        <f>IF(DATEDIF('Staff Detail'!\cstart,'Staff Detail'!I17,"D")/7 = 0,1,DATEDIF('Staff Detail'!\cstart,'Staff Detail'!I17,"D")/7)</f>
        <v>1</v>
      </c>
      <c r="E13" s="634">
        <f>DATEDIF('Staff Detail'!I17,'Staff Detail'!J17,"D")/7</f>
        <v>75.142857142857139</v>
      </c>
      <c r="F13" s="665">
        <f>'Staff Detail'!K17</f>
        <v>0.5</v>
      </c>
      <c r="G13" s="685"/>
      <c r="H13" s="630"/>
      <c r="I13" s="636"/>
      <c r="J13" s="636"/>
      <c r="K13" s="636"/>
      <c r="L13" s="636"/>
      <c r="M13" s="636"/>
      <c r="N13" s="636"/>
      <c r="O13" s="636"/>
      <c r="P13" s="636"/>
      <c r="Q13" s="636"/>
      <c r="R13" s="636"/>
      <c r="S13" s="636"/>
      <c r="T13" s="636"/>
      <c r="U13" s="636"/>
      <c r="V13" s="636"/>
      <c r="W13" s="636"/>
      <c r="X13" s="636"/>
      <c r="Y13" s="636"/>
      <c r="Z13" s="636"/>
      <c r="AA13" s="636"/>
      <c r="AB13" s="636"/>
      <c r="AC13" s="636"/>
      <c r="AD13" s="636"/>
      <c r="AE13" s="636"/>
      <c r="AF13" s="636"/>
      <c r="AG13" s="636"/>
      <c r="AH13" s="636"/>
      <c r="AI13" s="636"/>
      <c r="AJ13" s="636"/>
      <c r="AK13" s="636"/>
      <c r="AL13" s="636"/>
      <c r="AM13" s="636"/>
      <c r="AN13" s="636"/>
      <c r="AO13" s="636"/>
      <c r="AP13" s="636"/>
      <c r="AQ13" s="636"/>
      <c r="AR13" s="636"/>
      <c r="AS13" s="636"/>
      <c r="AT13" s="636"/>
      <c r="AU13" s="636"/>
      <c r="AV13" s="636"/>
      <c r="AW13" s="636"/>
      <c r="AX13" s="636"/>
      <c r="AY13" s="636"/>
      <c r="AZ13" s="636"/>
      <c r="BA13" s="636"/>
      <c r="BB13" s="636"/>
      <c r="BC13" s="636"/>
      <c r="BD13" s="636"/>
      <c r="BE13" s="636"/>
      <c r="BF13" s="636"/>
      <c r="BG13" s="636"/>
      <c r="BH13" s="636"/>
      <c r="BI13" s="636"/>
      <c r="BJ13" s="636"/>
      <c r="BK13" s="636"/>
      <c r="BL13" s="636"/>
      <c r="BM13" s="636"/>
      <c r="BN13" s="636"/>
      <c r="BO13" s="636"/>
      <c r="BP13" s="636"/>
      <c r="BQ13" s="636"/>
      <c r="BR13" s="636"/>
      <c r="BS13" s="636"/>
      <c r="BT13" s="636"/>
      <c r="BU13" s="636"/>
      <c r="BV13" s="636"/>
      <c r="BW13" s="636"/>
      <c r="BX13" s="636"/>
      <c r="BY13" s="636"/>
      <c r="BZ13" s="636"/>
      <c r="CA13" s="636"/>
      <c r="CB13" s="636"/>
      <c r="CC13" s="636"/>
      <c r="CD13" s="636"/>
      <c r="CE13" s="636"/>
      <c r="CF13" s="626"/>
      <c r="CH13" s="636"/>
    </row>
    <row r="14" spans="1:86" x14ac:dyDescent="0.25">
      <c r="B14" s="627"/>
      <c r="C14" s="627"/>
      <c r="D14" s="627"/>
      <c r="E14" s="627"/>
      <c r="F14" s="627"/>
      <c r="G14" s="616"/>
      <c r="I14" s="622"/>
      <c r="J14" s="627"/>
      <c r="K14" s="627"/>
      <c r="L14" s="627"/>
      <c r="M14" s="627"/>
      <c r="N14" s="627"/>
      <c r="O14" s="627"/>
      <c r="P14" s="627"/>
      <c r="Q14" s="627"/>
      <c r="R14" s="627"/>
      <c r="S14" s="627"/>
      <c r="T14" s="627"/>
      <c r="U14" s="627"/>
      <c r="V14" s="627"/>
      <c r="W14" s="627"/>
      <c r="X14" s="627"/>
      <c r="Y14" s="627"/>
      <c r="Z14" s="627"/>
      <c r="AA14" s="627"/>
      <c r="AB14" s="627"/>
      <c r="AC14" s="627"/>
      <c r="AD14" s="627"/>
      <c r="AE14" s="627"/>
      <c r="AF14" s="627"/>
      <c r="AG14" s="627"/>
      <c r="AH14" s="627"/>
      <c r="AI14" s="627"/>
      <c r="AJ14" s="627"/>
      <c r="AK14" s="627"/>
      <c r="AL14" s="627"/>
      <c r="AM14" s="627"/>
      <c r="AN14" s="627"/>
      <c r="AO14" s="627"/>
      <c r="AP14" s="627"/>
      <c r="AQ14" s="627"/>
      <c r="AR14" s="627"/>
      <c r="AS14" s="627"/>
      <c r="AT14" s="627"/>
      <c r="AU14" s="627"/>
      <c r="AV14" s="627"/>
      <c r="AW14" s="627"/>
      <c r="AX14" s="627"/>
      <c r="AY14" s="627"/>
      <c r="AZ14" s="627"/>
      <c r="BA14" s="627"/>
      <c r="BB14" s="627"/>
      <c r="BC14" s="627"/>
      <c r="BD14" s="627"/>
      <c r="BE14" s="627"/>
      <c r="BF14" s="627"/>
      <c r="BG14" s="627"/>
      <c r="BH14" s="627"/>
      <c r="BI14" s="627"/>
      <c r="BJ14" s="627"/>
      <c r="BK14" s="627"/>
      <c r="BL14" s="627"/>
      <c r="BM14" s="627"/>
      <c r="BN14" s="627"/>
      <c r="BO14" s="627"/>
      <c r="BP14" s="627"/>
      <c r="BQ14" s="627"/>
      <c r="BR14" s="627"/>
      <c r="BS14" s="627"/>
      <c r="BT14" s="627"/>
      <c r="BU14" s="627"/>
      <c r="BV14" s="627"/>
      <c r="BW14" s="627"/>
      <c r="BX14" s="627"/>
      <c r="BY14" s="627"/>
      <c r="BZ14" s="627"/>
      <c r="CA14" s="627"/>
      <c r="CB14" s="627"/>
      <c r="CC14" s="627"/>
      <c r="CD14" s="627"/>
      <c r="CE14" s="627"/>
      <c r="CH14" s="627"/>
    </row>
    <row r="15" spans="1:86" x14ac:dyDescent="0.25"/>
    <row r="16" spans="1:86" x14ac:dyDescent="0.25"/>
    <row r="17" spans="1:86" x14ac:dyDescent="0.25"/>
    <row r="18" spans="1:86" x14ac:dyDescent="0.25">
      <c r="D18" s="628"/>
    </row>
    <row r="19" spans="1:86" x14ac:dyDescent="0.25">
      <c r="D19" s="629"/>
    </row>
    <row r="20" spans="1:86" x14ac:dyDescent="0.25"/>
    <row r="21" spans="1:86" x14ac:dyDescent="0.25"/>
    <row r="22" spans="1:86" x14ac:dyDescent="0.25"/>
    <row r="23" spans="1:86" x14ac:dyDescent="0.25"/>
    <row r="24" spans="1:86" x14ac:dyDescent="0.25"/>
    <row r="25" spans="1:86" x14ac:dyDescent="0.25"/>
    <row r="26" spans="1:86" x14ac:dyDescent="0.25"/>
    <row r="27" spans="1:86" x14ac:dyDescent="0.25"/>
    <row r="28" spans="1:86" x14ac:dyDescent="0.25"/>
    <row r="29" spans="1:86" x14ac:dyDescent="0.25"/>
    <row r="30" spans="1:86" x14ac:dyDescent="0.25"/>
    <row r="31" spans="1:86" x14ac:dyDescent="0.25"/>
    <row r="32" spans="1:86" hidden="1" x14ac:dyDescent="0.25">
      <c r="A32" s="630"/>
      <c r="B32" s="631"/>
      <c r="C32" s="632"/>
      <c r="D32" s="633"/>
      <c r="E32" s="634"/>
      <c r="F32" s="665"/>
      <c r="G32" s="666"/>
      <c r="H32" s="635"/>
      <c r="I32" s="636"/>
      <c r="J32" s="636"/>
      <c r="K32" s="636"/>
      <c r="L32" s="636"/>
      <c r="M32" s="636"/>
      <c r="N32" s="636"/>
      <c r="O32" s="636"/>
      <c r="P32" s="636"/>
      <c r="Q32" s="636"/>
      <c r="R32" s="636"/>
      <c r="S32" s="636"/>
      <c r="T32" s="636"/>
      <c r="U32" s="636"/>
      <c r="V32" s="636"/>
      <c r="W32" s="636"/>
      <c r="X32" s="636"/>
      <c r="Y32" s="636"/>
      <c r="Z32" s="636"/>
      <c r="AA32" s="636"/>
      <c r="AB32" s="636"/>
      <c r="AC32" s="636"/>
      <c r="AD32" s="636"/>
      <c r="AE32" s="636"/>
      <c r="AF32" s="636"/>
      <c r="AG32" s="636"/>
      <c r="AH32" s="636"/>
      <c r="AI32" s="636"/>
      <c r="AJ32" s="636"/>
      <c r="AK32" s="636"/>
      <c r="AL32" s="636"/>
      <c r="AM32" s="636"/>
      <c r="AN32" s="636"/>
      <c r="AO32" s="636"/>
      <c r="AP32" s="636"/>
      <c r="AQ32" s="636"/>
      <c r="AR32" s="636"/>
      <c r="AS32" s="636"/>
      <c r="AT32" s="636"/>
      <c r="AU32" s="636"/>
      <c r="AV32" s="636"/>
      <c r="AW32" s="636"/>
      <c r="AX32" s="636"/>
      <c r="AY32" s="636"/>
      <c r="AZ32" s="636"/>
      <c r="BA32" s="636"/>
      <c r="BB32" s="636"/>
      <c r="BC32" s="636"/>
      <c r="BD32" s="636"/>
      <c r="BE32" s="636"/>
      <c r="BF32" s="636"/>
      <c r="BG32" s="636"/>
      <c r="BH32" s="636"/>
      <c r="BI32" s="636"/>
      <c r="BJ32" s="636"/>
      <c r="BK32" s="636"/>
      <c r="BL32" s="636"/>
      <c r="BM32" s="636"/>
      <c r="BN32" s="636"/>
      <c r="BO32" s="636"/>
      <c r="BP32" s="636"/>
      <c r="BQ32" s="636"/>
      <c r="BR32" s="636"/>
      <c r="BS32" s="636"/>
      <c r="BT32" s="636"/>
      <c r="BU32" s="636"/>
      <c r="BV32" s="636"/>
      <c r="BW32" s="636"/>
      <c r="BX32" s="636"/>
      <c r="BY32" s="636"/>
      <c r="BZ32" s="636"/>
      <c r="CA32" s="636"/>
      <c r="CB32" s="636"/>
      <c r="CC32" s="636"/>
      <c r="CD32" s="636"/>
      <c r="CE32" s="636"/>
      <c r="CF32" s="626"/>
      <c r="CH32" s="636"/>
    </row>
    <row r="33" spans="1:86" hidden="1" x14ac:dyDescent="0.25">
      <c r="A33" s="640"/>
      <c r="B33" s="637"/>
      <c r="C33" s="638"/>
      <c r="D33" s="648"/>
      <c r="E33" s="649"/>
      <c r="F33" s="667"/>
      <c r="G33" s="668"/>
      <c r="H33" s="639"/>
      <c r="I33" s="636"/>
      <c r="J33" s="636"/>
      <c r="K33" s="636"/>
      <c r="L33" s="636"/>
      <c r="M33" s="636"/>
      <c r="N33" s="636"/>
      <c r="O33" s="636"/>
      <c r="P33" s="636"/>
      <c r="Q33" s="636"/>
      <c r="R33" s="636"/>
      <c r="S33" s="636"/>
      <c r="T33" s="636"/>
      <c r="U33" s="636"/>
      <c r="V33" s="636"/>
      <c r="W33" s="636"/>
      <c r="X33" s="636"/>
      <c r="Y33" s="636"/>
      <c r="Z33" s="636"/>
      <c r="AA33" s="636"/>
      <c r="AB33" s="636"/>
      <c r="AC33" s="636"/>
      <c r="AD33" s="636"/>
      <c r="AE33" s="636"/>
      <c r="AF33" s="636"/>
      <c r="AG33" s="636"/>
      <c r="AH33" s="636"/>
      <c r="AI33" s="636"/>
      <c r="AJ33" s="636"/>
      <c r="AK33" s="636"/>
      <c r="AL33" s="636"/>
      <c r="AM33" s="636"/>
      <c r="AN33" s="636"/>
      <c r="AO33" s="636"/>
      <c r="AP33" s="636"/>
      <c r="AQ33" s="636"/>
      <c r="AR33" s="636"/>
      <c r="AS33" s="636"/>
      <c r="AT33" s="636"/>
      <c r="AU33" s="636"/>
      <c r="AV33" s="636"/>
      <c r="AW33" s="636"/>
      <c r="AX33" s="636"/>
      <c r="AY33" s="636"/>
      <c r="AZ33" s="636"/>
      <c r="BA33" s="636"/>
      <c r="BB33" s="636"/>
      <c r="BC33" s="636"/>
      <c r="BD33" s="636"/>
      <c r="BE33" s="636"/>
      <c r="BF33" s="636"/>
      <c r="BG33" s="636"/>
      <c r="BH33" s="636"/>
      <c r="BI33" s="636"/>
      <c r="BJ33" s="636"/>
      <c r="BK33" s="636"/>
      <c r="BL33" s="636"/>
      <c r="BM33" s="636"/>
      <c r="BN33" s="636"/>
      <c r="BO33" s="636"/>
      <c r="BP33" s="636"/>
      <c r="BQ33" s="636"/>
      <c r="BR33" s="636"/>
      <c r="BS33" s="636"/>
      <c r="BT33" s="636"/>
      <c r="BU33" s="636"/>
      <c r="BV33" s="636"/>
      <c r="BW33" s="636"/>
      <c r="BX33" s="636"/>
      <c r="BY33" s="636"/>
      <c r="BZ33" s="636"/>
      <c r="CA33" s="636"/>
      <c r="CB33" s="636"/>
      <c r="CC33" s="636"/>
      <c r="CD33" s="636"/>
      <c r="CE33" s="636"/>
      <c r="CF33" s="626"/>
      <c r="CH33" s="636"/>
    </row>
    <row r="34" spans="1:86" hidden="1" x14ac:dyDescent="0.25">
      <c r="A34" s="640" t="s">
        <v>951</v>
      </c>
      <c r="B34" s="637"/>
      <c r="C34" s="638"/>
      <c r="D34" s="675"/>
      <c r="E34" s="676"/>
      <c r="F34" s="677"/>
      <c r="G34" s="678"/>
      <c r="H34" s="639"/>
      <c r="I34" s="636"/>
      <c r="J34" s="636"/>
      <c r="K34" s="636"/>
      <c r="L34" s="636"/>
      <c r="M34" s="636"/>
      <c r="N34" s="636"/>
      <c r="O34" s="636"/>
      <c r="P34" s="636"/>
      <c r="Q34" s="636"/>
      <c r="R34" s="636"/>
      <c r="S34" s="636"/>
      <c r="T34" s="636"/>
      <c r="U34" s="636"/>
      <c r="V34" s="636"/>
      <c r="W34" s="636"/>
      <c r="X34" s="636"/>
      <c r="Y34" s="636"/>
      <c r="Z34" s="636"/>
      <c r="AA34" s="636"/>
      <c r="AB34" s="636"/>
      <c r="AC34" s="636"/>
      <c r="AD34" s="636"/>
      <c r="AE34" s="636"/>
      <c r="AF34" s="636"/>
      <c r="AG34" s="636"/>
      <c r="AH34" s="636"/>
      <c r="AI34" s="636"/>
      <c r="AJ34" s="636"/>
      <c r="AK34" s="636"/>
      <c r="AL34" s="636"/>
      <c r="AM34" s="636"/>
      <c r="AN34" s="636"/>
      <c r="AO34" s="636"/>
      <c r="AP34" s="636"/>
      <c r="AQ34" s="636"/>
      <c r="AR34" s="636"/>
      <c r="AS34" s="636"/>
      <c r="AT34" s="636"/>
      <c r="AU34" s="636"/>
      <c r="AV34" s="636"/>
      <c r="AW34" s="636"/>
      <c r="AX34" s="636"/>
      <c r="AY34" s="636"/>
      <c r="AZ34" s="636"/>
      <c r="BA34" s="636"/>
      <c r="BB34" s="636"/>
      <c r="BC34" s="636"/>
      <c r="BD34" s="636"/>
      <c r="BE34" s="636"/>
      <c r="BF34" s="636"/>
      <c r="BG34" s="636"/>
      <c r="BH34" s="636"/>
      <c r="BI34" s="636"/>
      <c r="BJ34" s="636"/>
      <c r="BK34" s="636"/>
      <c r="BL34" s="636"/>
      <c r="BM34" s="636"/>
      <c r="BN34" s="636"/>
      <c r="BO34" s="636"/>
      <c r="BP34" s="636"/>
      <c r="BQ34" s="636"/>
      <c r="BR34" s="636"/>
      <c r="BS34" s="636"/>
      <c r="BT34" s="636"/>
      <c r="BU34" s="636"/>
      <c r="BV34" s="636"/>
      <c r="BW34" s="636"/>
      <c r="BX34" s="636"/>
      <c r="BY34" s="636"/>
      <c r="BZ34" s="636"/>
      <c r="CA34" s="636"/>
      <c r="CB34" s="636"/>
      <c r="CC34" s="636"/>
      <c r="CD34" s="636"/>
      <c r="CE34" s="636"/>
      <c r="CF34" s="626"/>
      <c r="CH34" s="636"/>
    </row>
    <row r="35" spans="1:86" x14ac:dyDescent="0.25"/>
    <row r="36" spans="1:86" x14ac:dyDescent="0.25"/>
    <row r="37" spans="1:86" x14ac:dyDescent="0.25"/>
    <row r="38" spans="1:86" x14ac:dyDescent="0.25"/>
    <row r="39" spans="1:86" x14ac:dyDescent="0.25"/>
    <row r="40" spans="1:86" x14ac:dyDescent="0.25"/>
    <row r="41" spans="1:86" x14ac:dyDescent="0.25"/>
    <row r="42" spans="1:86" x14ac:dyDescent="0.25"/>
    <row r="43" spans="1:86" x14ac:dyDescent="0.25"/>
    <row r="44" spans="1:86" x14ac:dyDescent="0.25"/>
    <row r="45" spans="1:86" x14ac:dyDescent="0.25"/>
    <row r="46" spans="1:86" x14ac:dyDescent="0.25"/>
    <row r="47" spans="1:86" x14ac:dyDescent="0.25"/>
    <row r="48" spans="1:8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</sheetData>
  <sheetProtection sheet="1" scenarios="1"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4 F8" xr:uid="{A99E1E28-38B9-438A-BD37-DF2642E32F8A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43FD-5178-4FEC-8BCA-6D6DB637E107}">
  <sheetPr codeName="Sheet9"/>
  <dimension ref="A1:AM94"/>
  <sheetViews>
    <sheetView zoomScaleNormal="100" workbookViewId="0">
      <selection activeCell="H28" sqref="H28"/>
    </sheetView>
  </sheetViews>
  <sheetFormatPr defaultColWidth="9.140625" defaultRowHeight="15" x14ac:dyDescent="0.25"/>
  <cols>
    <col min="1" max="1" width="4.7109375" style="679" customWidth="1"/>
    <col min="2" max="2" width="9.7109375" style="10" customWidth="1"/>
    <col min="3" max="3" width="9.140625" style="10" customWidth="1"/>
    <col min="4" max="4" width="10.28515625" style="10" customWidth="1"/>
    <col min="5" max="5" width="9.5703125" style="10" bestFit="1" customWidth="1"/>
    <col min="6" max="6" width="11" style="10" customWidth="1"/>
    <col min="7" max="7" width="8" style="10" customWidth="1"/>
    <col min="8" max="8" width="13.140625" style="10" bestFit="1" customWidth="1"/>
    <col min="9" max="9" width="11.42578125" style="10" bestFit="1" customWidth="1"/>
    <col min="10" max="10" width="7.42578125" style="10" customWidth="1"/>
    <col min="11" max="11" width="12.5703125" style="10" customWidth="1"/>
    <col min="12" max="12" width="11.42578125" style="10" bestFit="1" customWidth="1"/>
    <col min="13" max="13" width="8.5703125" style="10" customWidth="1"/>
    <col min="14" max="14" width="12" style="10" customWidth="1"/>
    <col min="15" max="15" width="11.42578125" style="10" bestFit="1" customWidth="1"/>
    <col min="16" max="16" width="7" style="10" customWidth="1"/>
    <col min="17" max="17" width="12.28515625" style="10" customWidth="1"/>
    <col min="18" max="18" width="11.42578125" style="10" bestFit="1" customWidth="1"/>
    <col min="19" max="19" width="7.42578125" style="10" customWidth="1"/>
    <col min="20" max="20" width="12.28515625" style="10" customWidth="1"/>
    <col min="21" max="21" width="11.42578125" style="10" customWidth="1"/>
    <col min="22" max="22" width="7.140625" style="10" customWidth="1"/>
    <col min="23" max="23" width="12.7109375" style="10" customWidth="1"/>
    <col min="24" max="34" width="9.140625" style="10"/>
    <col min="35" max="35" width="9" style="10" customWidth="1"/>
    <col min="36" max="36" width="11.42578125" style="10" customWidth="1"/>
    <col min="37" max="37" width="7.85546875" style="10" customWidth="1"/>
    <col min="38" max="38" width="7.28515625" style="10" customWidth="1"/>
    <col min="39" max="40" width="9.140625" style="10" customWidth="1"/>
    <col min="41" max="16384" width="9.140625" style="10"/>
  </cols>
  <sheetData>
    <row r="1" spans="3:39" x14ac:dyDescent="0.25">
      <c r="U1" s="712"/>
      <c r="V1" s="712"/>
      <c r="W1" s="712"/>
      <c r="AJ1" s="712"/>
      <c r="AK1" s="712"/>
      <c r="AL1" s="712"/>
      <c r="AM1" s="712"/>
    </row>
    <row r="6" spans="3:39" x14ac:dyDescent="0.25">
      <c r="H6" s="686"/>
      <c r="I6" s="60"/>
      <c r="J6" s="60"/>
    </row>
    <row r="10" spans="3:39" ht="15.75" thickBot="1" x14ac:dyDescent="0.3">
      <c r="L10" s="236"/>
    </row>
    <row r="11" spans="3:39" x14ac:dyDescent="0.25">
      <c r="C11" s="60"/>
      <c r="D11" s="330"/>
      <c r="E11" s="331"/>
      <c r="F11" s="713" t="s">
        <v>969</v>
      </c>
      <c r="G11" s="713"/>
      <c r="H11" s="713"/>
      <c r="I11" s="714" t="s">
        <v>486</v>
      </c>
      <c r="J11" s="714"/>
      <c r="K11" s="714"/>
      <c r="L11" s="714" t="s">
        <v>372</v>
      </c>
      <c r="M11" s="714"/>
      <c r="N11" s="714"/>
      <c r="O11" s="714" t="s">
        <v>970</v>
      </c>
      <c r="P11" s="714"/>
      <c r="Q11" s="714"/>
      <c r="R11" s="714" t="s">
        <v>971</v>
      </c>
      <c r="S11" s="714"/>
      <c r="T11" s="714"/>
      <c r="U11" s="714" t="s">
        <v>82</v>
      </c>
      <c r="V11" s="714"/>
      <c r="W11" s="714"/>
      <c r="X11" s="59"/>
      <c r="AJ11" s="714" t="s">
        <v>384</v>
      </c>
      <c r="AK11" s="714"/>
      <c r="AL11" s="714"/>
      <c r="AM11" s="714"/>
    </row>
    <row r="12" spans="3:39" ht="15.75" thickBot="1" x14ac:dyDescent="0.3">
      <c r="C12" s="60"/>
      <c r="D12" s="600" t="s">
        <v>386</v>
      </c>
      <c r="E12" s="62" t="s">
        <v>368</v>
      </c>
      <c r="F12" s="57" t="s">
        <v>370</v>
      </c>
      <c r="G12" s="57" t="s">
        <v>972</v>
      </c>
      <c r="H12" s="57" t="s">
        <v>253</v>
      </c>
      <c r="I12" s="56" t="s">
        <v>370</v>
      </c>
      <c r="J12" s="57" t="s">
        <v>972</v>
      </c>
      <c r="K12" s="56" t="s">
        <v>253</v>
      </c>
      <c r="L12" s="56" t="s">
        <v>370</v>
      </c>
      <c r="M12" s="57" t="s">
        <v>972</v>
      </c>
      <c r="N12" s="56" t="s">
        <v>253</v>
      </c>
      <c r="O12" s="56" t="s">
        <v>370</v>
      </c>
      <c r="P12" s="57" t="s">
        <v>972</v>
      </c>
      <c r="Q12" s="56" t="s">
        <v>253</v>
      </c>
      <c r="R12" s="56" t="s">
        <v>370</v>
      </c>
      <c r="S12" s="57" t="s">
        <v>972</v>
      </c>
      <c r="T12" s="332" t="s">
        <v>253</v>
      </c>
      <c r="U12" s="56" t="s">
        <v>370</v>
      </c>
      <c r="V12" s="57" t="s">
        <v>972</v>
      </c>
      <c r="W12" s="56" t="s">
        <v>253</v>
      </c>
      <c r="X12" s="59"/>
      <c r="AJ12" s="56" t="s">
        <v>370</v>
      </c>
      <c r="AK12" s="56" t="s">
        <v>3</v>
      </c>
      <c r="AL12" s="57" t="s">
        <v>972</v>
      </c>
      <c r="AM12" s="56" t="s">
        <v>253</v>
      </c>
    </row>
    <row r="13" spans="3:39" x14ac:dyDescent="0.25">
      <c r="C13" s="716"/>
      <c r="D13" s="230">
        <f t="shared" ref="D13:D76" ca="1" si="0">IFERROR(OFFSET(D13,-1,0)+1,1)</f>
        <v>1</v>
      </c>
      <c r="E13" s="231">
        <f ca="1">IFERROR(OFFSET(E13,-1,0)+7,Settings!\cstart)</f>
        <v>43478</v>
      </c>
      <c r="F13" s="232">
        <v>1</v>
      </c>
      <c r="G13" s="683">
        <v>0.2</v>
      </c>
      <c r="H13" s="235">
        <f ca="1">IFERROR(INDEX('Rate Tables'!$B$5:$D$8,MATCH($E13,'Rate Tables'!$B$5:$B$8,-1),2),INDEX('Rate Tables'!$B$5:$D$8,1,2))*40*F13+((40*G13)*IFERROR(INDEX('Rate Tables'!$B$5:$D$8,MATCH($E13,'Rate Tables'!$B$5:$B$8,-1),3),INDEX('Rate Tables'!$B$5:$D$8,1,3)))</f>
        <v>5167.4832000000006</v>
      </c>
      <c r="I13" s="233">
        <f ca="1">(IF(AND(F13&gt;0,F13&lt;=1),F13,IF(F13&gt;1,1,0))*40*IFERROR(INDEX('Rate Tables'!$B$12:$D$15,MATCH($E13,'Rate Tables'!$B$12:$B$15,-1),2),INDEX('Rate Tables'!$B$12:$D$15,1,2))) + G13*40*IFERROR(INDEX('Rate Tables'!$B$12:$D$15,MATCH($E13,'Rate Tables'!$B$12:$B$15,-1),3),INDEX('Rate Tables'!$B$12:$D$15,1,3))</f>
        <v>5474.4624000000003</v>
      </c>
      <c r="J13" s="683">
        <v>0.25</v>
      </c>
      <c r="K13" s="235">
        <f ca="1">IFERROR(INDEX('Rate Tables'!$B$19:$D$22,MATCH($E13,'Rate Tables'!$B$19:$B$22,-1),2),INDEX('Rate Tables'!$B$19:$D$22,1,2))*40*I13+((40*J13)*IFERROR(INDEX('Rate Tables'!$B$19:$D$22,MATCH($E13,'Rate Tables'!$B$19:$B$22,-1),3),INDEX('Rate Tables'!$B$19:$D$22,1,3)))</f>
        <v>27474635.450160004</v>
      </c>
      <c r="L13" s="233"/>
      <c r="M13" s="683"/>
      <c r="N13" s="235">
        <f>INDEX('Rate Tables'!$B$33:$D$33,1,2)*40*L13+((40*M13)*INDEX('Rate Tables'!$B$33:$D$33,1,3))</f>
        <v>0</v>
      </c>
      <c r="O13" s="233"/>
      <c r="P13" s="683"/>
      <c r="Q13" s="235">
        <f ca="1">IFERROR(INDEX('Rate Tables'!$B$37:$D$40,MATCH($E13,'Rate Tables'!$B$37:$B$40,-1),2),INDEX('Rate Tables'!$B$37:$D$40,1,2))*40*O13+((40*P13)*IFERROR(INDEX('Rate Tables'!$B$37:$D$40,MATCH($E13,'Rate Tables'!$B$37:$B$40,-1),3),INDEX('Rate Tables'!$B$37:$D$40,1,3)))</f>
        <v>0</v>
      </c>
      <c r="R13" s="233"/>
      <c r="S13" s="683"/>
      <c r="T13" s="235">
        <f ca="1">IFERROR(INDEX('Rate Tables'!$B$44:$D$47,MATCH($E13,'Rate Tables'!$B$44:$B$47,-1),2),INDEX('Rate Tables'!$B$44:$D$47,1,2))*40*R13+((40*S13)*IFERROR(INDEX('Rate Tables'!$B$44:$D$47,MATCH($E13,'Rate Tables'!$B$44:$B$47,-1),3),INDEX('Rate Tables'!$B$44:$D$47,1,3)))</f>
        <v>0</v>
      </c>
      <c r="U13" s="233"/>
      <c r="V13" s="683"/>
      <c r="W13" s="235">
        <f>INDEX('Rate Tables'!$B$51:$D$51,1,2)*40*U13+((40*V13)*INDEX('Rate Tables'!$B$51:$D$51,1,3))</f>
        <v>0</v>
      </c>
      <c r="X13" s="59"/>
      <c r="AJ13" s="233"/>
      <c r="AK13" s="233"/>
      <c r="AL13" s="683"/>
      <c r="AM13" s="235">
        <f t="shared" ref="AM13:AM76" si="1">(AJ13*AK13*40)+(AL13*40*1.27*AK13)</f>
        <v>0</v>
      </c>
    </row>
    <row r="14" spans="3:39" x14ac:dyDescent="0.25">
      <c r="C14" s="717"/>
      <c r="D14" s="230">
        <f t="shared" ca="1" si="0"/>
        <v>2</v>
      </c>
      <c r="E14" s="231">
        <f ca="1">IFERROR(OFFSET(E14,-1,0)+7,Settings!\cstart)</f>
        <v>43485</v>
      </c>
      <c r="F14" s="232">
        <v>1</v>
      </c>
      <c r="G14" s="683">
        <v>0.2</v>
      </c>
      <c r="H14" s="235">
        <f ca="1">IFERROR(INDEX('Rate Tables'!$B$5:$D$8,MATCH($E14,'Rate Tables'!$B$5:$B$8,-1),2),INDEX('Rate Tables'!$B$5:$D$8,1,2))*40*F14+((40*G14)*IFERROR(INDEX('Rate Tables'!$B$5:$D$8,MATCH($E14,'Rate Tables'!$B$5:$B$8,-1),3),INDEX('Rate Tables'!$B$5:$D$8,1,3)))</f>
        <v>5167.4832000000006</v>
      </c>
      <c r="I14" s="233">
        <f ca="1">(IF(AND(F14&gt;0,F14&lt;=1),F14,IF(F14&gt;1,1,0))*40*IFERROR(INDEX('Rate Tables'!$B$12:$D$15,MATCH($E14,'Rate Tables'!$B$12:$B$15,-1),2),INDEX('Rate Tables'!$B$12:$D$15,1,2))) + G14*40*IFERROR(INDEX('Rate Tables'!$B$12:$D$15,MATCH($E14,'Rate Tables'!$B$12:$B$15,-1),3),INDEX('Rate Tables'!$B$12:$D$15,1,3))</f>
        <v>5474.4624000000003</v>
      </c>
      <c r="J14" s="683">
        <v>0.25</v>
      </c>
      <c r="K14" s="235">
        <f ca="1">IFERROR(INDEX('Rate Tables'!$B$19:$D$22,MATCH($E14,'Rate Tables'!$B$19:$B$22,-1),2),INDEX('Rate Tables'!$B$19:$D$22,1,2))*40*I14+((40*J14)*IFERROR(INDEX('Rate Tables'!$B$19:$D$22,MATCH($E14,'Rate Tables'!$B$19:$B$22,-1),3),INDEX('Rate Tables'!$B$19:$D$22,1,3)))</f>
        <v>27474635.450160004</v>
      </c>
      <c r="L14" s="233"/>
      <c r="M14" s="683"/>
      <c r="N14" s="235">
        <f>INDEX('Rate Tables'!$B$33:$D$33,1,2)*40*L14+((40*M14)*INDEX('Rate Tables'!$B$33:$D$33,1,3))</f>
        <v>0</v>
      </c>
      <c r="O14" s="233"/>
      <c r="P14" s="683"/>
      <c r="Q14" s="235">
        <f ca="1">IFERROR(INDEX('Rate Tables'!$B$37:$D$40,MATCH($E14,'Rate Tables'!$B$37:$B$40,-1),2),INDEX('Rate Tables'!$B$37:$D$40,1,2))*40*O14+((40*P14)*IFERROR(INDEX('Rate Tables'!$B$37:$D$40,MATCH($E14,'Rate Tables'!$B$37:$B$40,-1),3),INDEX('Rate Tables'!$B$37:$D$40,1,3)))</f>
        <v>0</v>
      </c>
      <c r="R14" s="233"/>
      <c r="S14" s="683"/>
      <c r="T14" s="235">
        <f ca="1">IFERROR(INDEX('Rate Tables'!$B$44:$D$47,MATCH($E14,'Rate Tables'!$B$44:$B$47,-1),2),INDEX('Rate Tables'!$B$44:$D$47,1,2))*40*R14+((40*S14)*IFERROR(INDEX('Rate Tables'!$B$44:$D$47,MATCH($E14,'Rate Tables'!$B$44:$B$47,-1),3),INDEX('Rate Tables'!$B$44:$D$47,1,3)))</f>
        <v>0</v>
      </c>
      <c r="U14" s="233"/>
      <c r="V14" s="683"/>
      <c r="W14" s="235">
        <f>INDEX('Rate Tables'!$B$51:$D$51,1,2)*40*U14+((40*V14)*INDEX('Rate Tables'!$B$51:$D$51,1,3))</f>
        <v>0</v>
      </c>
      <c r="X14" s="59"/>
      <c r="AJ14" s="233"/>
      <c r="AK14" s="233"/>
      <c r="AL14" s="683"/>
      <c r="AM14" s="235">
        <f t="shared" si="1"/>
        <v>0</v>
      </c>
    </row>
    <row r="15" spans="3:39" x14ac:dyDescent="0.25">
      <c r="C15" s="717"/>
      <c r="D15" s="230">
        <f t="shared" ca="1" si="0"/>
        <v>3</v>
      </c>
      <c r="E15" s="231">
        <f ca="1">IFERROR(OFFSET(E15,-1,0)+7,Settings!\cstart)</f>
        <v>43492</v>
      </c>
      <c r="F15" s="232">
        <v>1</v>
      </c>
      <c r="G15" s="683">
        <v>0.2</v>
      </c>
      <c r="H15" s="235">
        <f ca="1">IFERROR(INDEX('Rate Tables'!$B$5:$D$8,MATCH($E15,'Rate Tables'!$B$5:$B$8,-1),2),INDEX('Rate Tables'!$B$5:$D$8,1,2))*40*F15+((40*G15)*IFERROR(INDEX('Rate Tables'!$B$5:$D$8,MATCH($E15,'Rate Tables'!$B$5:$B$8,-1),3),INDEX('Rate Tables'!$B$5:$D$8,1,3)))</f>
        <v>5167.4832000000006</v>
      </c>
      <c r="I15" s="233">
        <f ca="1">(IF(AND(F15&gt;0,F15&lt;=1),F15,IF(F15&gt;1,1,0))*40*IFERROR(INDEX('Rate Tables'!$B$12:$D$15,MATCH($E15,'Rate Tables'!$B$12:$B$15,-1),2),INDEX('Rate Tables'!$B$12:$D$15,1,2))) + G15*40*IFERROR(INDEX('Rate Tables'!$B$12:$D$15,MATCH($E15,'Rate Tables'!$B$12:$B$15,-1),3),INDEX('Rate Tables'!$B$12:$D$15,1,3))</f>
        <v>5474.4624000000003</v>
      </c>
      <c r="J15" s="683">
        <v>0.25</v>
      </c>
      <c r="K15" s="235">
        <f ca="1">IFERROR(INDEX('Rate Tables'!$B$19:$D$22,MATCH($E15,'Rate Tables'!$B$19:$B$22,-1),2),INDEX('Rate Tables'!$B$19:$D$22,1,2))*40*I15+((40*J15)*IFERROR(INDEX('Rate Tables'!$B$19:$D$22,MATCH($E15,'Rate Tables'!$B$19:$B$22,-1),3),INDEX('Rate Tables'!$B$19:$D$22,1,3)))</f>
        <v>27474635.450160004</v>
      </c>
      <c r="L15" s="233"/>
      <c r="M15" s="683"/>
      <c r="N15" s="235">
        <f>INDEX('Rate Tables'!$B$33:$D$33,1,2)*40*L15+((40*M15)*INDEX('Rate Tables'!$B$33:$D$33,1,3))</f>
        <v>0</v>
      </c>
      <c r="O15" s="233"/>
      <c r="P15" s="683"/>
      <c r="Q15" s="235">
        <f ca="1">IFERROR(INDEX('Rate Tables'!$B$37:$D$40,MATCH($E15,'Rate Tables'!$B$37:$B$40,-1),2),INDEX('Rate Tables'!$B$37:$D$40,1,2))*40*O15+((40*P15)*IFERROR(INDEX('Rate Tables'!$B$37:$D$40,MATCH($E15,'Rate Tables'!$B$37:$B$40,-1),3),INDEX('Rate Tables'!$B$37:$D$40,1,3)))</f>
        <v>0</v>
      </c>
      <c r="R15" s="233"/>
      <c r="S15" s="683"/>
      <c r="T15" s="235">
        <f ca="1">IFERROR(INDEX('Rate Tables'!$B$44:$D$47,MATCH($E15,'Rate Tables'!$B$44:$B$47,-1),2),INDEX('Rate Tables'!$B$44:$D$47,1,2))*40*R15+((40*S15)*IFERROR(INDEX('Rate Tables'!$B$44:$D$47,MATCH($E15,'Rate Tables'!$B$44:$B$47,-1),3),INDEX('Rate Tables'!$B$44:$D$47,1,3)))</f>
        <v>0</v>
      </c>
      <c r="U15" s="233"/>
      <c r="V15" s="683"/>
      <c r="W15" s="235">
        <f>INDEX('Rate Tables'!$B$51:$D$51,1,2)*40*U15+((40*V15)*INDEX('Rate Tables'!$B$51:$D$51,1,3))</f>
        <v>0</v>
      </c>
      <c r="X15" s="59"/>
      <c r="AJ15" s="233"/>
      <c r="AK15" s="233"/>
      <c r="AL15" s="683"/>
      <c r="AM15" s="235">
        <f t="shared" si="1"/>
        <v>0</v>
      </c>
    </row>
    <row r="16" spans="3:39" x14ac:dyDescent="0.25">
      <c r="C16" s="717"/>
      <c r="D16" s="230">
        <f t="shared" ca="1" si="0"/>
        <v>4</v>
      </c>
      <c r="E16" s="231">
        <f ca="1">IFERROR(OFFSET(E16,-1,0)+7,Settings!\cstart)</f>
        <v>43499</v>
      </c>
      <c r="F16" s="232">
        <v>1</v>
      </c>
      <c r="G16" s="683">
        <v>0.2</v>
      </c>
      <c r="H16" s="235">
        <f ca="1">IFERROR(INDEX('Rate Tables'!$B$5:$D$8,MATCH($E16,'Rate Tables'!$B$5:$B$8,-1),2),INDEX('Rate Tables'!$B$5:$D$8,1,2))*40*F16+((40*G16)*IFERROR(INDEX('Rate Tables'!$B$5:$D$8,MATCH($E16,'Rate Tables'!$B$5:$B$8,-1),3),INDEX('Rate Tables'!$B$5:$D$8,1,3)))</f>
        <v>5167.4832000000006</v>
      </c>
      <c r="I16" s="233">
        <f ca="1">(IF(AND(F16&gt;0,F16&lt;=1),F16,IF(F16&gt;1,1,0))*40*IFERROR(INDEX('Rate Tables'!$B$12:$D$15,MATCH($E16,'Rate Tables'!$B$12:$B$15,-1),2),INDEX('Rate Tables'!$B$12:$D$15,1,2))) + G16*40*IFERROR(INDEX('Rate Tables'!$B$12:$D$15,MATCH($E16,'Rate Tables'!$B$12:$B$15,-1),3),INDEX('Rate Tables'!$B$12:$D$15,1,3))</f>
        <v>5474.4624000000003</v>
      </c>
      <c r="J16" s="683">
        <v>0.25</v>
      </c>
      <c r="K16" s="235">
        <f ca="1">IFERROR(INDEX('Rate Tables'!$B$19:$D$22,MATCH($E16,'Rate Tables'!$B$19:$B$22,-1),2),INDEX('Rate Tables'!$B$19:$D$22,1,2))*40*I16+((40*J16)*IFERROR(INDEX('Rate Tables'!$B$19:$D$22,MATCH($E16,'Rate Tables'!$B$19:$B$22,-1),3),INDEX('Rate Tables'!$B$19:$D$22,1,3)))</f>
        <v>27474635.450160004</v>
      </c>
      <c r="L16" s="233"/>
      <c r="M16" s="683"/>
      <c r="N16" s="235">
        <f>INDEX('Rate Tables'!$B$33:$D$33,1,2)*40*L16+((40*M16)*INDEX('Rate Tables'!$B$33:$D$33,1,3))</f>
        <v>0</v>
      </c>
      <c r="O16" s="233"/>
      <c r="P16" s="683"/>
      <c r="Q16" s="235">
        <f ca="1">IFERROR(INDEX('Rate Tables'!$B$37:$D$40,MATCH($E16,'Rate Tables'!$B$37:$B$40,-1),2),INDEX('Rate Tables'!$B$37:$D$40,1,2))*40*O16+((40*P16)*IFERROR(INDEX('Rate Tables'!$B$37:$D$40,MATCH($E16,'Rate Tables'!$B$37:$B$40,-1),3),INDEX('Rate Tables'!$B$37:$D$40,1,3)))</f>
        <v>0</v>
      </c>
      <c r="R16" s="233"/>
      <c r="S16" s="683"/>
      <c r="T16" s="235">
        <f ca="1">IFERROR(INDEX('Rate Tables'!$B$44:$D$47,MATCH($E16,'Rate Tables'!$B$44:$B$47,-1),2),INDEX('Rate Tables'!$B$44:$D$47,1,2))*40*R16+((40*S16)*IFERROR(INDEX('Rate Tables'!$B$44:$D$47,MATCH($E16,'Rate Tables'!$B$44:$B$47,-1),3),INDEX('Rate Tables'!$B$44:$D$47,1,3)))</f>
        <v>0</v>
      </c>
      <c r="U16" s="233"/>
      <c r="V16" s="683"/>
      <c r="W16" s="235">
        <f>INDEX('Rate Tables'!$B$51:$D$51,1,2)*40*U16+((40*V16)*INDEX('Rate Tables'!$B$51:$D$51,1,3))</f>
        <v>0</v>
      </c>
      <c r="X16" s="59"/>
      <c r="AJ16" s="233"/>
      <c r="AK16" s="233"/>
      <c r="AL16" s="683"/>
      <c r="AM16" s="235">
        <f t="shared" si="1"/>
        <v>0</v>
      </c>
    </row>
    <row r="17" spans="3:39" x14ac:dyDescent="0.25">
      <c r="C17" s="717"/>
      <c r="D17" s="230">
        <f t="shared" ca="1" si="0"/>
        <v>5</v>
      </c>
      <c r="E17" s="231">
        <f ca="1">IFERROR(OFFSET(E17,-1,0)+7,Settings!\cstart)</f>
        <v>43506</v>
      </c>
      <c r="F17" s="232">
        <v>1</v>
      </c>
      <c r="G17" s="683">
        <v>0.2</v>
      </c>
      <c r="H17" s="235">
        <f ca="1">IFERROR(INDEX('Rate Tables'!$B$5:$D$8,MATCH($E17,'Rate Tables'!$B$5:$B$8,-1),2),INDEX('Rate Tables'!$B$5:$D$8,1,2))*40*F17+((40*G17)*IFERROR(INDEX('Rate Tables'!$B$5:$D$8,MATCH($E17,'Rate Tables'!$B$5:$B$8,-1),3),INDEX('Rate Tables'!$B$5:$D$8,1,3)))</f>
        <v>5167.4832000000006</v>
      </c>
      <c r="I17" s="233">
        <f ca="1">(IF(AND(F17&gt;0,F17&lt;=1),F17,IF(F17&gt;1,1,0))*40*IFERROR(INDEX('Rate Tables'!$B$12:$D$15,MATCH($E17,'Rate Tables'!$B$12:$B$15,-1),2),INDEX('Rate Tables'!$B$12:$D$15,1,2))) + G17*40*IFERROR(INDEX('Rate Tables'!$B$12:$D$15,MATCH($E17,'Rate Tables'!$B$12:$B$15,-1),3),INDEX('Rate Tables'!$B$12:$D$15,1,3))</f>
        <v>5474.4624000000003</v>
      </c>
      <c r="J17" s="683">
        <v>0.25</v>
      </c>
      <c r="K17" s="235">
        <f ca="1">IFERROR(INDEX('Rate Tables'!$B$19:$D$22,MATCH($E17,'Rate Tables'!$B$19:$B$22,-1),2),INDEX('Rate Tables'!$B$19:$D$22,1,2))*40*I17+((40*J17)*IFERROR(INDEX('Rate Tables'!$B$19:$D$22,MATCH($E17,'Rate Tables'!$B$19:$B$22,-1),3),INDEX('Rate Tables'!$B$19:$D$22,1,3)))</f>
        <v>27474635.450160004</v>
      </c>
      <c r="L17" s="233"/>
      <c r="M17" s="683"/>
      <c r="N17" s="235">
        <f>INDEX('Rate Tables'!$B$33:$D$33,1,2)*40*L17+((40*M17)*INDEX('Rate Tables'!$B$33:$D$33,1,3))</f>
        <v>0</v>
      </c>
      <c r="O17" s="233"/>
      <c r="P17" s="683"/>
      <c r="Q17" s="235">
        <f ca="1">IFERROR(INDEX('Rate Tables'!$B$37:$D$40,MATCH($E17,'Rate Tables'!$B$37:$B$40,-1),2),INDEX('Rate Tables'!$B$37:$D$40,1,2))*40*O17+((40*P17)*IFERROR(INDEX('Rate Tables'!$B$37:$D$40,MATCH($E17,'Rate Tables'!$B$37:$B$40,-1),3),INDEX('Rate Tables'!$B$37:$D$40,1,3)))</f>
        <v>0</v>
      </c>
      <c r="R17" s="233"/>
      <c r="S17" s="683"/>
      <c r="T17" s="235">
        <f ca="1">IFERROR(INDEX('Rate Tables'!$B$44:$D$47,MATCH($E17,'Rate Tables'!$B$44:$B$47,-1),2),INDEX('Rate Tables'!$B$44:$D$47,1,2))*40*R17+((40*S17)*IFERROR(INDEX('Rate Tables'!$B$44:$D$47,MATCH($E17,'Rate Tables'!$B$44:$B$47,-1),3),INDEX('Rate Tables'!$B$44:$D$47,1,3)))</f>
        <v>0</v>
      </c>
      <c r="U17" s="233"/>
      <c r="V17" s="683"/>
      <c r="W17" s="235">
        <f>INDEX('Rate Tables'!$B$51:$D$51,1,2)*40*U17+((40*V17)*INDEX('Rate Tables'!$B$51:$D$51,1,3))</f>
        <v>0</v>
      </c>
      <c r="X17" s="59"/>
      <c r="AJ17" s="233"/>
      <c r="AK17" s="233"/>
      <c r="AL17" s="683"/>
      <c r="AM17" s="235">
        <f t="shared" si="1"/>
        <v>0</v>
      </c>
    </row>
    <row r="18" spans="3:39" x14ac:dyDescent="0.25">
      <c r="C18" s="717"/>
      <c r="D18" s="230">
        <f t="shared" ca="1" si="0"/>
        <v>6</v>
      </c>
      <c r="E18" s="231">
        <f ca="1">IFERROR(OFFSET(E18,-1,0)+7,Settings!\cstart)</f>
        <v>43513</v>
      </c>
      <c r="F18" s="232">
        <v>1</v>
      </c>
      <c r="G18" s="683">
        <v>0.2</v>
      </c>
      <c r="H18" s="235">
        <f ca="1">IFERROR(INDEX('Rate Tables'!$B$5:$D$8,MATCH($E18,'Rate Tables'!$B$5:$B$8,-1),2),INDEX('Rate Tables'!$B$5:$D$8,1,2))*40*F18+((40*G18)*IFERROR(INDEX('Rate Tables'!$B$5:$D$8,MATCH($E18,'Rate Tables'!$B$5:$B$8,-1),3),INDEX('Rate Tables'!$B$5:$D$8,1,3)))</f>
        <v>5167.4832000000006</v>
      </c>
      <c r="I18" s="233">
        <f ca="1">(IF(AND(F18&gt;0,F18&lt;=1),F18,IF(F18&gt;1,1,0))*40*IFERROR(INDEX('Rate Tables'!$B$12:$D$15,MATCH($E18,'Rate Tables'!$B$12:$B$15,-1),2),INDEX('Rate Tables'!$B$12:$D$15,1,2))) + G18*40*IFERROR(INDEX('Rate Tables'!$B$12:$D$15,MATCH($E18,'Rate Tables'!$B$12:$B$15,-1),3),INDEX('Rate Tables'!$B$12:$D$15,1,3))</f>
        <v>5474.4624000000003</v>
      </c>
      <c r="J18" s="683">
        <v>0.25</v>
      </c>
      <c r="K18" s="235">
        <f ca="1">IFERROR(INDEX('Rate Tables'!$B$19:$D$22,MATCH($E18,'Rate Tables'!$B$19:$B$22,-1),2),INDEX('Rate Tables'!$B$19:$D$22,1,2))*40*I18+((40*J18)*IFERROR(INDEX('Rate Tables'!$B$19:$D$22,MATCH($E18,'Rate Tables'!$B$19:$B$22,-1),3),INDEX('Rate Tables'!$B$19:$D$22,1,3)))</f>
        <v>27474635.450160004</v>
      </c>
      <c r="L18" s="233"/>
      <c r="M18" s="683"/>
      <c r="N18" s="235">
        <f>INDEX('Rate Tables'!$B$33:$D$33,1,2)*40*L18+((40*M18)*INDEX('Rate Tables'!$B$33:$D$33,1,3))</f>
        <v>0</v>
      </c>
      <c r="O18" s="233"/>
      <c r="P18" s="683"/>
      <c r="Q18" s="235">
        <f ca="1">IFERROR(INDEX('Rate Tables'!$B$37:$D$40,MATCH($E18,'Rate Tables'!$B$37:$B$40,-1),2),INDEX('Rate Tables'!$B$37:$D$40,1,2))*40*O18+((40*P18)*IFERROR(INDEX('Rate Tables'!$B$37:$D$40,MATCH($E18,'Rate Tables'!$B$37:$B$40,-1),3),INDEX('Rate Tables'!$B$37:$D$40,1,3)))</f>
        <v>0</v>
      </c>
      <c r="R18" s="233"/>
      <c r="S18" s="683"/>
      <c r="T18" s="235">
        <f ca="1">IFERROR(INDEX('Rate Tables'!$B$44:$D$47,MATCH($E18,'Rate Tables'!$B$44:$B$47,-1),2),INDEX('Rate Tables'!$B$44:$D$47,1,2))*40*R18+((40*S18)*IFERROR(INDEX('Rate Tables'!$B$44:$D$47,MATCH($E18,'Rate Tables'!$B$44:$B$47,-1),3),INDEX('Rate Tables'!$B$44:$D$47,1,3)))</f>
        <v>0</v>
      </c>
      <c r="U18" s="233"/>
      <c r="V18" s="683"/>
      <c r="W18" s="235">
        <f>INDEX('Rate Tables'!$B$51:$D$51,1,2)*40*U18+((40*V18)*INDEX('Rate Tables'!$B$51:$D$51,1,3))</f>
        <v>0</v>
      </c>
      <c r="X18" s="59"/>
      <c r="AJ18" s="233"/>
      <c r="AK18" s="233"/>
      <c r="AL18" s="683"/>
      <c r="AM18" s="235">
        <f t="shared" si="1"/>
        <v>0</v>
      </c>
    </row>
    <row r="19" spans="3:39" x14ac:dyDescent="0.25">
      <c r="C19" s="717"/>
      <c r="D19" s="230">
        <f t="shared" ca="1" si="0"/>
        <v>7</v>
      </c>
      <c r="E19" s="231">
        <f ca="1">IFERROR(OFFSET(E19,-1,0)+7,Settings!\cstart)</f>
        <v>43520</v>
      </c>
      <c r="F19" s="232">
        <v>1</v>
      </c>
      <c r="G19" s="683">
        <v>0.2</v>
      </c>
      <c r="H19" s="235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5167.4832000000006</v>
      </c>
      <c r="I19" s="233">
        <f ca="1">(IF(AND(F19&gt;0,F19&lt;=1),F19,IF(F19&gt;1,1,0))*40*IFERROR(INDEX('Rate Tables'!$B$12:$D$15,MATCH($E19,'Rate Tables'!$B$12:$B$15,-1),2),INDEX('Rate Tables'!$B$12:$D$15,1,2))) + G19*40*IFERROR(INDEX('Rate Tables'!$B$12:$D$15,MATCH($E19,'Rate Tables'!$B$12:$B$15,-1),3),INDEX('Rate Tables'!$B$12:$D$15,1,3))</f>
        <v>5474.4624000000003</v>
      </c>
      <c r="J19" s="683">
        <v>0.25</v>
      </c>
      <c r="K19" s="235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27474635.450160004</v>
      </c>
      <c r="L19" s="233"/>
      <c r="M19" s="683"/>
      <c r="N19" s="235">
        <f>INDEX('Rate Tables'!$B$33:$D$33,1,2)*40*L19+((40*M19)*INDEX('Rate Tables'!$B$33:$D$33,1,3))</f>
        <v>0</v>
      </c>
      <c r="O19" s="233"/>
      <c r="P19" s="683"/>
      <c r="Q19" s="235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233"/>
      <c r="S19" s="683"/>
      <c r="T19" s="235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233"/>
      <c r="V19" s="683"/>
      <c r="W19" s="235">
        <f>INDEX('Rate Tables'!$B$51:$D$51,1,2)*40*U19+((40*V19)*INDEX('Rate Tables'!$B$51:$D$51,1,3))</f>
        <v>0</v>
      </c>
      <c r="X19" s="59"/>
      <c r="AJ19" s="233"/>
      <c r="AK19" s="233"/>
      <c r="AL19" s="683"/>
      <c r="AM19" s="235">
        <f t="shared" si="1"/>
        <v>0</v>
      </c>
    </row>
    <row r="20" spans="3:39" x14ac:dyDescent="0.25">
      <c r="C20" s="717"/>
      <c r="D20" s="230">
        <f t="shared" ca="1" si="0"/>
        <v>8</v>
      </c>
      <c r="E20" s="231">
        <f ca="1">IFERROR(OFFSET(E20,-1,0)+7,Settings!\cstart)</f>
        <v>43527</v>
      </c>
      <c r="F20" s="232">
        <v>1</v>
      </c>
      <c r="G20" s="683">
        <v>0.2</v>
      </c>
      <c r="H20" s="235">
        <f ca="1">IFERROR(INDEX('Rate Tables'!$B$5:$D$8,MATCH($E20,'Rate Tables'!$B$5:$B$8,-1),2),INDEX('Rate Tables'!$B$5:$D$8,1,2))*40*F20+((40*G20)*IFERROR(INDEX('Rate Tables'!$B$5:$D$8,MATCH($E20,'Rate Tables'!$B$5:$B$8,-1),3),INDEX('Rate Tables'!$B$5:$D$8,1,3)))</f>
        <v>5167.4832000000006</v>
      </c>
      <c r="I20" s="233">
        <f ca="1">(IF(AND(F20&gt;0,F20&lt;=1),F20,IF(F20&gt;1,1,0))*40*IFERROR(INDEX('Rate Tables'!$B$12:$D$15,MATCH($E20,'Rate Tables'!$B$12:$B$15,-1),2),INDEX('Rate Tables'!$B$12:$D$15,1,2))) + G20*40*IFERROR(INDEX('Rate Tables'!$B$12:$D$15,MATCH($E20,'Rate Tables'!$B$12:$B$15,-1),3),INDEX('Rate Tables'!$B$12:$D$15,1,3))</f>
        <v>5474.4624000000003</v>
      </c>
      <c r="J20" s="683">
        <v>0.25</v>
      </c>
      <c r="K20" s="235">
        <f ca="1">IFERROR(INDEX('Rate Tables'!$B$19:$D$22,MATCH($E20,'Rate Tables'!$B$19:$B$22,-1),2),INDEX('Rate Tables'!$B$19:$D$22,1,2))*40*I20+((40*J20)*IFERROR(INDEX('Rate Tables'!$B$19:$D$22,MATCH($E20,'Rate Tables'!$B$19:$B$22,-1),3),INDEX('Rate Tables'!$B$19:$D$22,1,3)))</f>
        <v>27474635.450160004</v>
      </c>
      <c r="L20" s="233"/>
      <c r="M20" s="683"/>
      <c r="N20" s="235">
        <f>INDEX('Rate Tables'!$B$33:$D$33,1,2)*40*L20+((40*M20)*INDEX('Rate Tables'!$B$33:$D$33,1,3))</f>
        <v>0</v>
      </c>
      <c r="O20" s="233"/>
      <c r="P20" s="683"/>
      <c r="Q20" s="235">
        <f ca="1">IFERROR(INDEX('Rate Tables'!$B$37:$D$40,MATCH($E20,'Rate Tables'!$B$37:$B$40,-1),2),INDEX('Rate Tables'!$B$37:$D$40,1,2))*40*O20+((40*P20)*IFERROR(INDEX('Rate Tables'!$B$37:$D$40,MATCH($E20,'Rate Tables'!$B$37:$B$40,-1),3),INDEX('Rate Tables'!$B$37:$D$40,1,3)))</f>
        <v>0</v>
      </c>
      <c r="R20" s="233"/>
      <c r="S20" s="683"/>
      <c r="T20" s="235">
        <f ca="1">IFERROR(INDEX('Rate Tables'!$B$44:$D$47,MATCH($E20,'Rate Tables'!$B$44:$B$47,-1),2),INDEX('Rate Tables'!$B$44:$D$47,1,2))*40*R20+((40*S20)*IFERROR(INDEX('Rate Tables'!$B$44:$D$47,MATCH($E20,'Rate Tables'!$B$44:$B$47,-1),3),INDEX('Rate Tables'!$B$44:$D$47,1,3)))</f>
        <v>0</v>
      </c>
      <c r="U20" s="233"/>
      <c r="V20" s="683"/>
      <c r="W20" s="235">
        <f>INDEX('Rate Tables'!$B$51:$D$51,1,2)*40*U20+((40*V20)*INDEX('Rate Tables'!$B$51:$D$51,1,3))</f>
        <v>0</v>
      </c>
      <c r="X20" s="59"/>
      <c r="AJ20" s="233"/>
      <c r="AK20" s="233"/>
      <c r="AL20" s="683"/>
      <c r="AM20" s="235">
        <f t="shared" si="1"/>
        <v>0</v>
      </c>
    </row>
    <row r="21" spans="3:39" x14ac:dyDescent="0.25">
      <c r="C21" s="717"/>
      <c r="D21" s="230">
        <f t="shared" ca="1" si="0"/>
        <v>9</v>
      </c>
      <c r="E21" s="231">
        <f ca="1">IFERROR(OFFSET(E21,-1,0)+7,Settings!\cstart)</f>
        <v>43534</v>
      </c>
      <c r="F21" s="232">
        <v>1</v>
      </c>
      <c r="G21" s="683">
        <v>0.2</v>
      </c>
      <c r="H21" s="235">
        <f ca="1">IFERROR(INDEX('Rate Tables'!$B$5:$D$8,MATCH($E21,'Rate Tables'!$B$5:$B$8,-1),2),INDEX('Rate Tables'!$B$5:$D$8,1,2))*40*F21+((40*G21)*IFERROR(INDEX('Rate Tables'!$B$5:$D$8,MATCH($E21,'Rate Tables'!$B$5:$B$8,-1),3),INDEX('Rate Tables'!$B$5:$D$8,1,3)))</f>
        <v>5167.4832000000006</v>
      </c>
      <c r="I21" s="233">
        <f ca="1">(IF(AND(F21&gt;0,F21&lt;=1),F21,IF(F21&gt;1,1,0))*40*IFERROR(INDEX('Rate Tables'!$B$12:$D$15,MATCH($E21,'Rate Tables'!$B$12:$B$15,-1),2),INDEX('Rate Tables'!$B$12:$D$15,1,2))) + G21*40*IFERROR(INDEX('Rate Tables'!$B$12:$D$15,MATCH($E21,'Rate Tables'!$B$12:$B$15,-1),3),INDEX('Rate Tables'!$B$12:$D$15,1,3))</f>
        <v>5474.4624000000003</v>
      </c>
      <c r="J21" s="683">
        <v>0.25</v>
      </c>
      <c r="K21" s="235">
        <f ca="1">IFERROR(INDEX('Rate Tables'!$B$19:$D$22,MATCH($E21,'Rate Tables'!$B$19:$B$22,-1),2),INDEX('Rate Tables'!$B$19:$D$22,1,2))*40*I21+((40*J21)*IFERROR(INDEX('Rate Tables'!$B$19:$D$22,MATCH($E21,'Rate Tables'!$B$19:$B$22,-1),3),INDEX('Rate Tables'!$B$19:$D$22,1,3)))</f>
        <v>27474635.450160004</v>
      </c>
      <c r="L21" s="233"/>
      <c r="M21" s="683"/>
      <c r="N21" s="235">
        <f>INDEX('Rate Tables'!$B$33:$D$33,1,2)*40*L21+((40*M21)*INDEX('Rate Tables'!$B$33:$D$33,1,3))</f>
        <v>0</v>
      </c>
      <c r="O21" s="233"/>
      <c r="P21" s="683"/>
      <c r="Q21" s="235">
        <f ca="1">IFERROR(INDEX('Rate Tables'!$B$37:$D$40,MATCH($E21,'Rate Tables'!$B$37:$B$40,-1),2),INDEX('Rate Tables'!$B$37:$D$40,1,2))*40*O21+((40*P21)*IFERROR(INDEX('Rate Tables'!$B$37:$D$40,MATCH($E21,'Rate Tables'!$B$37:$B$40,-1),3),INDEX('Rate Tables'!$B$37:$D$40,1,3)))</f>
        <v>0</v>
      </c>
      <c r="R21" s="233"/>
      <c r="S21" s="683"/>
      <c r="T21" s="235">
        <f ca="1">IFERROR(INDEX('Rate Tables'!$B$44:$D$47,MATCH($E21,'Rate Tables'!$B$44:$B$47,-1),2),INDEX('Rate Tables'!$B$44:$D$47,1,2))*40*R21+((40*S21)*IFERROR(INDEX('Rate Tables'!$B$44:$D$47,MATCH($E21,'Rate Tables'!$B$44:$B$47,-1),3),INDEX('Rate Tables'!$B$44:$D$47,1,3)))</f>
        <v>0</v>
      </c>
      <c r="U21" s="233"/>
      <c r="V21" s="683"/>
      <c r="W21" s="235">
        <f>INDEX('Rate Tables'!$B$51:$D$51,1,2)*40*U21+((40*V21)*INDEX('Rate Tables'!$B$51:$D$51,1,3))</f>
        <v>0</v>
      </c>
      <c r="X21" s="59"/>
      <c r="AJ21" s="233"/>
      <c r="AK21" s="233"/>
      <c r="AL21" s="683"/>
      <c r="AM21" s="235">
        <f t="shared" si="1"/>
        <v>0</v>
      </c>
    </row>
    <row r="22" spans="3:39" x14ac:dyDescent="0.25">
      <c r="C22" s="717"/>
      <c r="D22" s="230">
        <f t="shared" ca="1" si="0"/>
        <v>10</v>
      </c>
      <c r="E22" s="231">
        <f ca="1">IFERROR(OFFSET(E22,-1,0)+7,Settings!\cstart)</f>
        <v>43541</v>
      </c>
      <c r="F22" s="232">
        <v>1</v>
      </c>
      <c r="G22" s="683">
        <v>0.2</v>
      </c>
      <c r="H22" s="235">
        <f ca="1">IFERROR(INDEX('Rate Tables'!$B$5:$D$8,MATCH($E22,'Rate Tables'!$B$5:$B$8,-1),2),INDEX('Rate Tables'!$B$5:$D$8,1,2))*40*F22+((40*G22)*IFERROR(INDEX('Rate Tables'!$B$5:$D$8,MATCH($E22,'Rate Tables'!$B$5:$B$8,-1),3),INDEX('Rate Tables'!$B$5:$D$8,1,3)))</f>
        <v>5167.4832000000006</v>
      </c>
      <c r="I22" s="233">
        <f ca="1">(IF(AND(F22&gt;0,F22&lt;=1),F22,IF(F22&gt;1,1,0))*40*IFERROR(INDEX('Rate Tables'!$B$12:$D$15,MATCH($E22,'Rate Tables'!$B$12:$B$15,-1),2),INDEX('Rate Tables'!$B$12:$D$15,1,2))) + G22*40*IFERROR(INDEX('Rate Tables'!$B$12:$D$15,MATCH($E22,'Rate Tables'!$B$12:$B$15,-1),3),INDEX('Rate Tables'!$B$12:$D$15,1,3))</f>
        <v>5474.4624000000003</v>
      </c>
      <c r="J22" s="683">
        <v>0.25</v>
      </c>
      <c r="K22" s="235">
        <f ca="1">IFERROR(INDEX('Rate Tables'!$B$19:$D$22,MATCH($E22,'Rate Tables'!$B$19:$B$22,-1),2),INDEX('Rate Tables'!$B$19:$D$22,1,2))*40*I22+((40*J22)*IFERROR(INDEX('Rate Tables'!$B$19:$D$22,MATCH($E22,'Rate Tables'!$B$19:$B$22,-1),3),INDEX('Rate Tables'!$B$19:$D$22,1,3)))</f>
        <v>27474635.450160004</v>
      </c>
      <c r="L22" s="233"/>
      <c r="M22" s="683"/>
      <c r="N22" s="235">
        <f>INDEX('Rate Tables'!$B$33:$D$33,1,2)*40*L22+((40*M22)*INDEX('Rate Tables'!$B$33:$D$33,1,3))</f>
        <v>0</v>
      </c>
      <c r="O22" s="233"/>
      <c r="P22" s="683"/>
      <c r="Q22" s="235">
        <f ca="1">IFERROR(INDEX('Rate Tables'!$B$37:$D$40,MATCH($E22,'Rate Tables'!$B$37:$B$40,-1),2),INDEX('Rate Tables'!$B$37:$D$40,1,2))*40*O22+((40*P22)*IFERROR(INDEX('Rate Tables'!$B$37:$D$40,MATCH($E22,'Rate Tables'!$B$37:$B$40,-1),3),INDEX('Rate Tables'!$B$37:$D$40,1,3)))</f>
        <v>0</v>
      </c>
      <c r="R22" s="233"/>
      <c r="S22" s="683"/>
      <c r="T22" s="235">
        <f ca="1">IFERROR(INDEX('Rate Tables'!$B$44:$D$47,MATCH($E22,'Rate Tables'!$B$44:$B$47,-1),2),INDEX('Rate Tables'!$B$44:$D$47,1,2))*40*R22+((40*S22)*IFERROR(INDEX('Rate Tables'!$B$44:$D$47,MATCH($E22,'Rate Tables'!$B$44:$B$47,-1),3),INDEX('Rate Tables'!$B$44:$D$47,1,3)))</f>
        <v>0</v>
      </c>
      <c r="U22" s="233"/>
      <c r="V22" s="683"/>
      <c r="W22" s="235">
        <f>INDEX('Rate Tables'!$B$51:$D$51,1,2)*40*U22+((40*V22)*INDEX('Rate Tables'!$B$51:$D$51,1,3))</f>
        <v>0</v>
      </c>
      <c r="X22" s="59"/>
      <c r="AJ22" s="233"/>
      <c r="AK22" s="233"/>
      <c r="AL22" s="683"/>
      <c r="AM22" s="235">
        <f t="shared" si="1"/>
        <v>0</v>
      </c>
    </row>
    <row r="23" spans="3:39" x14ac:dyDescent="0.25">
      <c r="C23" s="717"/>
      <c r="D23" s="230">
        <f t="shared" ca="1" si="0"/>
        <v>11</v>
      </c>
      <c r="E23" s="231">
        <f ca="1">IFERROR(OFFSET(E23,-1,0)+7,Settings!\cstart)</f>
        <v>43548</v>
      </c>
      <c r="F23" s="232">
        <v>1</v>
      </c>
      <c r="G23" s="683">
        <v>0.2</v>
      </c>
      <c r="H23" s="235">
        <f ca="1">IFERROR(INDEX('Rate Tables'!$B$5:$D$8,MATCH($E23,'Rate Tables'!$B$5:$B$8,-1),2),INDEX('Rate Tables'!$B$5:$D$8,1,2))*40*F23+((40*G23)*IFERROR(INDEX('Rate Tables'!$B$5:$D$8,MATCH($E23,'Rate Tables'!$B$5:$B$8,-1),3),INDEX('Rate Tables'!$B$5:$D$8,1,3)))</f>
        <v>5167.4832000000006</v>
      </c>
      <c r="I23" s="233">
        <f ca="1">(IF(AND(F23&gt;0,F23&lt;=1),F23,IF(F23&gt;1,1,0))*40*IFERROR(INDEX('Rate Tables'!$B$12:$D$15,MATCH($E23,'Rate Tables'!$B$12:$B$15,-1),2),INDEX('Rate Tables'!$B$12:$D$15,1,2))) + G23*40*IFERROR(INDEX('Rate Tables'!$B$12:$D$15,MATCH($E23,'Rate Tables'!$B$12:$B$15,-1),3),INDEX('Rate Tables'!$B$12:$D$15,1,3))</f>
        <v>5474.4624000000003</v>
      </c>
      <c r="J23" s="683">
        <v>0.25</v>
      </c>
      <c r="K23" s="235">
        <f ca="1">IFERROR(INDEX('Rate Tables'!$B$19:$D$22,MATCH($E23,'Rate Tables'!$B$19:$B$22,-1),2),INDEX('Rate Tables'!$B$19:$D$22,1,2))*40*I23+((40*J23)*IFERROR(INDEX('Rate Tables'!$B$19:$D$22,MATCH($E23,'Rate Tables'!$B$19:$B$22,-1),3),INDEX('Rate Tables'!$B$19:$D$22,1,3)))</f>
        <v>27474635.450160004</v>
      </c>
      <c r="L23" s="233"/>
      <c r="M23" s="683"/>
      <c r="N23" s="235">
        <f>INDEX('Rate Tables'!$B$33:$D$33,1,2)*40*L23+((40*M23)*INDEX('Rate Tables'!$B$33:$D$33,1,3))</f>
        <v>0</v>
      </c>
      <c r="O23" s="233"/>
      <c r="P23" s="683"/>
      <c r="Q23" s="235">
        <f ca="1">IFERROR(INDEX('Rate Tables'!$B$37:$D$40,MATCH($E23,'Rate Tables'!$B$37:$B$40,-1),2),INDEX('Rate Tables'!$B$37:$D$40,1,2))*40*O23+((40*P23)*IFERROR(INDEX('Rate Tables'!$B$37:$D$40,MATCH($E23,'Rate Tables'!$B$37:$B$40,-1),3),INDEX('Rate Tables'!$B$37:$D$40,1,3)))</f>
        <v>0</v>
      </c>
      <c r="R23" s="233"/>
      <c r="S23" s="683"/>
      <c r="T23" s="235">
        <f ca="1">IFERROR(INDEX('Rate Tables'!$B$44:$D$47,MATCH($E23,'Rate Tables'!$B$44:$B$47,-1),2),INDEX('Rate Tables'!$B$44:$D$47,1,2))*40*R23+((40*S23)*IFERROR(INDEX('Rate Tables'!$B$44:$D$47,MATCH($E23,'Rate Tables'!$B$44:$B$47,-1),3),INDEX('Rate Tables'!$B$44:$D$47,1,3)))</f>
        <v>0</v>
      </c>
      <c r="U23" s="233"/>
      <c r="V23" s="683"/>
      <c r="W23" s="235">
        <f>INDEX('Rate Tables'!$B$51:$D$51,1,2)*40*U23+((40*V23)*INDEX('Rate Tables'!$B$51:$D$51,1,3))</f>
        <v>0</v>
      </c>
      <c r="X23" s="59"/>
      <c r="AJ23" s="233"/>
      <c r="AK23" s="233"/>
      <c r="AL23" s="683"/>
      <c r="AM23" s="235">
        <f t="shared" si="1"/>
        <v>0</v>
      </c>
    </row>
    <row r="24" spans="3:39" x14ac:dyDescent="0.25">
      <c r="C24" s="717"/>
      <c r="D24" s="230">
        <f t="shared" ca="1" si="0"/>
        <v>12</v>
      </c>
      <c r="E24" s="231">
        <f ca="1">IFERROR(OFFSET(E24,-1,0)+7,Settings!\cstart)</f>
        <v>43555</v>
      </c>
      <c r="F24" s="232">
        <v>1</v>
      </c>
      <c r="G24" s="683">
        <v>0.2</v>
      </c>
      <c r="H24" s="235">
        <f ca="1">IFERROR(INDEX('Rate Tables'!$B$5:$D$8,MATCH($E24,'Rate Tables'!$B$5:$B$8,-1),2),INDEX('Rate Tables'!$B$5:$D$8,1,2))*40*F24+((40*G24)*IFERROR(INDEX('Rate Tables'!$B$5:$D$8,MATCH($E24,'Rate Tables'!$B$5:$B$8,-1),3),INDEX('Rate Tables'!$B$5:$D$8,1,3)))</f>
        <v>5167.4832000000006</v>
      </c>
      <c r="I24" s="233">
        <f ca="1">(IF(AND(F24&gt;0,F24&lt;=1),F24,IF(F24&gt;1,1,0))*40*IFERROR(INDEX('Rate Tables'!$B$12:$D$15,MATCH($E24,'Rate Tables'!$B$12:$B$15,-1),2),INDEX('Rate Tables'!$B$12:$D$15,1,2))) + G24*40*IFERROR(INDEX('Rate Tables'!$B$12:$D$15,MATCH($E24,'Rate Tables'!$B$12:$B$15,-1),3),INDEX('Rate Tables'!$B$12:$D$15,1,3))</f>
        <v>5474.4624000000003</v>
      </c>
      <c r="J24" s="683">
        <v>0.25</v>
      </c>
      <c r="K24" s="235">
        <f ca="1">IFERROR(INDEX('Rate Tables'!$B$19:$D$22,MATCH($E24,'Rate Tables'!$B$19:$B$22,-1),2),INDEX('Rate Tables'!$B$19:$D$22,1,2))*40*I24+((40*J24)*IFERROR(INDEX('Rate Tables'!$B$19:$D$22,MATCH($E24,'Rate Tables'!$B$19:$B$22,-1),3),INDEX('Rate Tables'!$B$19:$D$22,1,3)))</f>
        <v>27474635.450160004</v>
      </c>
      <c r="L24" s="233"/>
      <c r="M24" s="683"/>
      <c r="N24" s="235">
        <f>INDEX('Rate Tables'!$B$33:$D$33,1,2)*40*L24+((40*M24)*INDEX('Rate Tables'!$B$33:$D$33,1,3))</f>
        <v>0</v>
      </c>
      <c r="O24" s="233"/>
      <c r="P24" s="683"/>
      <c r="Q24" s="235">
        <f ca="1">IFERROR(INDEX('Rate Tables'!$B$37:$D$40,MATCH($E24,'Rate Tables'!$B$37:$B$40,-1),2),INDEX('Rate Tables'!$B$37:$D$40,1,2))*40*O24+((40*P24)*IFERROR(INDEX('Rate Tables'!$B$37:$D$40,MATCH($E24,'Rate Tables'!$B$37:$B$40,-1),3),INDEX('Rate Tables'!$B$37:$D$40,1,3)))</f>
        <v>0</v>
      </c>
      <c r="R24" s="233"/>
      <c r="S24" s="683"/>
      <c r="T24" s="235">
        <f ca="1">IFERROR(INDEX('Rate Tables'!$B$44:$D$47,MATCH($E24,'Rate Tables'!$B$44:$B$47,-1),2),INDEX('Rate Tables'!$B$44:$D$47,1,2))*40*R24+((40*S24)*IFERROR(INDEX('Rate Tables'!$B$44:$D$47,MATCH($E24,'Rate Tables'!$B$44:$B$47,-1),3),INDEX('Rate Tables'!$B$44:$D$47,1,3)))</f>
        <v>0</v>
      </c>
      <c r="U24" s="233"/>
      <c r="V24" s="683"/>
      <c r="W24" s="235">
        <f>INDEX('Rate Tables'!$B$51:$D$51,1,2)*40*U24+((40*V24)*INDEX('Rate Tables'!$B$51:$D$51,1,3))</f>
        <v>0</v>
      </c>
      <c r="X24" s="59"/>
      <c r="AJ24" s="233"/>
      <c r="AK24" s="233"/>
      <c r="AL24" s="683"/>
      <c r="AM24" s="235">
        <f t="shared" si="1"/>
        <v>0</v>
      </c>
    </row>
    <row r="25" spans="3:39" x14ac:dyDescent="0.25">
      <c r="C25" s="717"/>
      <c r="D25" s="230">
        <f t="shared" ca="1" si="0"/>
        <v>13</v>
      </c>
      <c r="E25" s="231">
        <f ca="1">IFERROR(OFFSET(E25,-1,0)+7,Settings!\cstart)</f>
        <v>43562</v>
      </c>
      <c r="F25" s="232">
        <v>1</v>
      </c>
      <c r="G25" s="683">
        <v>0.2</v>
      </c>
      <c r="H25" s="235">
        <f ca="1">IFERROR(INDEX('Rate Tables'!$B$5:$D$8,MATCH($E25,'Rate Tables'!$B$5:$B$8,-1),2),INDEX('Rate Tables'!$B$5:$D$8,1,2))*40*F25+((40*G25)*IFERROR(INDEX('Rate Tables'!$B$5:$D$8,MATCH($E25,'Rate Tables'!$B$5:$B$8,-1),3),INDEX('Rate Tables'!$B$5:$D$8,1,3)))</f>
        <v>5167.4832000000006</v>
      </c>
      <c r="I25" s="233">
        <f ca="1">(IF(AND(F25&gt;0,F25&lt;=1),F25,IF(F25&gt;1,1,0))*40*IFERROR(INDEX('Rate Tables'!$B$12:$D$15,MATCH($E25,'Rate Tables'!$B$12:$B$15,-1),2),INDEX('Rate Tables'!$B$12:$D$15,1,2))) + G25*40*IFERROR(INDEX('Rate Tables'!$B$12:$D$15,MATCH($E25,'Rate Tables'!$B$12:$B$15,-1),3),INDEX('Rate Tables'!$B$12:$D$15,1,3))</f>
        <v>5474.4624000000003</v>
      </c>
      <c r="J25" s="683">
        <v>0.25</v>
      </c>
      <c r="K25" s="235">
        <f ca="1">IFERROR(INDEX('Rate Tables'!$B$19:$D$22,MATCH($E25,'Rate Tables'!$B$19:$B$22,-1),2),INDEX('Rate Tables'!$B$19:$D$22,1,2))*40*I25+((40*J25)*IFERROR(INDEX('Rate Tables'!$B$19:$D$22,MATCH($E25,'Rate Tables'!$B$19:$B$22,-1),3),INDEX('Rate Tables'!$B$19:$D$22,1,3)))</f>
        <v>27474635.450160004</v>
      </c>
      <c r="L25" s="233"/>
      <c r="M25" s="683"/>
      <c r="N25" s="235">
        <f>INDEX('Rate Tables'!$B$33:$D$33,1,2)*40*L25+((40*M25)*INDEX('Rate Tables'!$B$33:$D$33,1,3))</f>
        <v>0</v>
      </c>
      <c r="O25" s="233"/>
      <c r="P25" s="683"/>
      <c r="Q25" s="235">
        <f ca="1">IFERROR(INDEX('Rate Tables'!$B$37:$D$40,MATCH($E25,'Rate Tables'!$B$37:$B$40,-1),2),INDEX('Rate Tables'!$B$37:$D$40,1,2))*40*O25+((40*P25)*IFERROR(INDEX('Rate Tables'!$B$37:$D$40,MATCH($E25,'Rate Tables'!$B$37:$B$40,-1),3),INDEX('Rate Tables'!$B$37:$D$40,1,3)))</f>
        <v>0</v>
      </c>
      <c r="R25" s="233"/>
      <c r="S25" s="683"/>
      <c r="T25" s="235">
        <f ca="1">IFERROR(INDEX('Rate Tables'!$B$44:$D$47,MATCH($E25,'Rate Tables'!$B$44:$B$47,-1),2),INDEX('Rate Tables'!$B$44:$D$47,1,2))*40*R25+((40*S25)*IFERROR(INDEX('Rate Tables'!$B$44:$D$47,MATCH($E25,'Rate Tables'!$B$44:$B$47,-1),3),INDEX('Rate Tables'!$B$44:$D$47,1,3)))</f>
        <v>0</v>
      </c>
      <c r="U25" s="233"/>
      <c r="V25" s="683"/>
      <c r="W25" s="235">
        <f>INDEX('Rate Tables'!$B$51:$D$51,1,2)*40*U25+((40*V25)*INDEX('Rate Tables'!$B$51:$D$51,1,3))</f>
        <v>0</v>
      </c>
      <c r="X25" s="59"/>
      <c r="AJ25" s="233"/>
      <c r="AK25" s="233"/>
      <c r="AL25" s="683"/>
      <c r="AM25" s="235">
        <f t="shared" si="1"/>
        <v>0</v>
      </c>
    </row>
    <row r="26" spans="3:39" x14ac:dyDescent="0.25">
      <c r="C26" s="717"/>
      <c r="D26" s="230">
        <f t="shared" ca="1" si="0"/>
        <v>14</v>
      </c>
      <c r="E26" s="231">
        <f ca="1">IFERROR(OFFSET(E26,-1,0)+7,Settings!\cstart)</f>
        <v>43569</v>
      </c>
      <c r="F26" s="232">
        <v>1</v>
      </c>
      <c r="G26" s="683">
        <v>0.2</v>
      </c>
      <c r="H26" s="235">
        <f ca="1">IFERROR(INDEX('Rate Tables'!$B$5:$D$8,MATCH($E26,'Rate Tables'!$B$5:$B$8,-1),2),INDEX('Rate Tables'!$B$5:$D$8,1,2))*40*F26+((40*G26)*IFERROR(INDEX('Rate Tables'!$B$5:$D$8,MATCH($E26,'Rate Tables'!$B$5:$B$8,-1),3),INDEX('Rate Tables'!$B$5:$D$8,1,3)))</f>
        <v>5167.4832000000006</v>
      </c>
      <c r="I26" s="233">
        <f ca="1">(IF(AND(F26&gt;0,F26&lt;=1),F26,IF(F26&gt;1,1,0))*40*IFERROR(INDEX('Rate Tables'!$B$12:$D$15,MATCH($E26,'Rate Tables'!$B$12:$B$15,-1),2),INDEX('Rate Tables'!$B$12:$D$15,1,2))) + G26*40*IFERROR(INDEX('Rate Tables'!$B$12:$D$15,MATCH($E26,'Rate Tables'!$B$12:$B$15,-1),3),INDEX('Rate Tables'!$B$12:$D$15,1,3))</f>
        <v>5474.4624000000003</v>
      </c>
      <c r="J26" s="683">
        <v>0.25</v>
      </c>
      <c r="K26" s="235">
        <f ca="1">IFERROR(INDEX('Rate Tables'!$B$19:$D$22,MATCH($E26,'Rate Tables'!$B$19:$B$22,-1),2),INDEX('Rate Tables'!$B$19:$D$22,1,2))*40*I26+((40*J26)*IFERROR(INDEX('Rate Tables'!$B$19:$D$22,MATCH($E26,'Rate Tables'!$B$19:$B$22,-1),3),INDEX('Rate Tables'!$B$19:$D$22,1,3)))</f>
        <v>27474635.450160004</v>
      </c>
      <c r="L26" s="233"/>
      <c r="M26" s="683"/>
      <c r="N26" s="235">
        <f>INDEX('Rate Tables'!$B$33:$D$33,1,2)*40*L26+((40*M26)*INDEX('Rate Tables'!$B$33:$D$33,1,3))</f>
        <v>0</v>
      </c>
      <c r="O26" s="233"/>
      <c r="P26" s="683"/>
      <c r="Q26" s="235">
        <f ca="1">IFERROR(INDEX('Rate Tables'!$B$37:$D$40,MATCH($E26,'Rate Tables'!$B$37:$B$40,-1),2),INDEX('Rate Tables'!$B$37:$D$40,1,2))*40*O26+((40*P26)*IFERROR(INDEX('Rate Tables'!$B$37:$D$40,MATCH($E26,'Rate Tables'!$B$37:$B$40,-1),3),INDEX('Rate Tables'!$B$37:$D$40,1,3)))</f>
        <v>0</v>
      </c>
      <c r="R26" s="233"/>
      <c r="S26" s="683"/>
      <c r="T26" s="235">
        <f ca="1">IFERROR(INDEX('Rate Tables'!$B$44:$D$47,MATCH($E26,'Rate Tables'!$B$44:$B$47,-1),2),INDEX('Rate Tables'!$B$44:$D$47,1,2))*40*R26+((40*S26)*IFERROR(INDEX('Rate Tables'!$B$44:$D$47,MATCH($E26,'Rate Tables'!$B$44:$B$47,-1),3),INDEX('Rate Tables'!$B$44:$D$47,1,3)))</f>
        <v>0</v>
      </c>
      <c r="U26" s="233"/>
      <c r="V26" s="683"/>
      <c r="W26" s="235">
        <f>INDEX('Rate Tables'!$B$51:$D$51,1,2)*40*U26+((40*V26)*INDEX('Rate Tables'!$B$51:$D$51,1,3))</f>
        <v>0</v>
      </c>
      <c r="X26" s="59"/>
      <c r="AJ26" s="233"/>
      <c r="AK26" s="233"/>
      <c r="AL26" s="683"/>
      <c r="AM26" s="235">
        <f t="shared" si="1"/>
        <v>0</v>
      </c>
    </row>
    <row r="27" spans="3:39" x14ac:dyDescent="0.25">
      <c r="C27" s="717"/>
      <c r="D27" s="230">
        <f t="shared" ca="1" si="0"/>
        <v>15</v>
      </c>
      <c r="E27" s="231">
        <f ca="1">IFERROR(OFFSET(E27,-1,0)+7,Settings!\cstart)</f>
        <v>43576</v>
      </c>
      <c r="F27" s="232">
        <v>1</v>
      </c>
      <c r="G27" s="683">
        <v>0.2</v>
      </c>
      <c r="H27" s="235">
        <f ca="1">IFERROR(INDEX('Rate Tables'!$B$5:$D$8,MATCH($E27,'Rate Tables'!$B$5:$B$8,-1),2),INDEX('Rate Tables'!$B$5:$D$8,1,2))*40*F27+((40*G27)*IFERROR(INDEX('Rate Tables'!$B$5:$D$8,MATCH($E27,'Rate Tables'!$B$5:$B$8,-1),3),INDEX('Rate Tables'!$B$5:$D$8,1,3)))</f>
        <v>5167.4832000000006</v>
      </c>
      <c r="I27" s="233">
        <f ca="1">(IF(AND(F27&gt;0,F27&lt;=1),F27,IF(F27&gt;1,1,0))*40*IFERROR(INDEX('Rate Tables'!$B$12:$D$15,MATCH($E27,'Rate Tables'!$B$12:$B$15,-1),2),INDEX('Rate Tables'!$B$12:$D$15,1,2))) + G27*40*IFERROR(INDEX('Rate Tables'!$B$12:$D$15,MATCH($E27,'Rate Tables'!$B$12:$B$15,-1),3),INDEX('Rate Tables'!$B$12:$D$15,1,3))</f>
        <v>5474.4624000000003</v>
      </c>
      <c r="J27" s="683">
        <v>0.25</v>
      </c>
      <c r="K27" s="235">
        <f ca="1">IFERROR(INDEX('Rate Tables'!$B$19:$D$22,MATCH($E27,'Rate Tables'!$B$19:$B$22,-1),2),INDEX('Rate Tables'!$B$19:$D$22,1,2))*40*I27+((40*J27)*IFERROR(INDEX('Rate Tables'!$B$19:$D$22,MATCH($E27,'Rate Tables'!$B$19:$B$22,-1),3),INDEX('Rate Tables'!$B$19:$D$22,1,3)))</f>
        <v>27474635.450160004</v>
      </c>
      <c r="L27" s="233"/>
      <c r="M27" s="683"/>
      <c r="N27" s="235">
        <f>INDEX('Rate Tables'!$B$33:$D$33,1,2)*40*L27+((40*M27)*INDEX('Rate Tables'!$B$33:$D$33,1,3))</f>
        <v>0</v>
      </c>
      <c r="O27" s="233"/>
      <c r="P27" s="683"/>
      <c r="Q27" s="235">
        <f ca="1">IFERROR(INDEX('Rate Tables'!$B$37:$D$40,MATCH($E27,'Rate Tables'!$B$37:$B$40,-1),2),INDEX('Rate Tables'!$B$37:$D$40,1,2))*40*O27+((40*P27)*IFERROR(INDEX('Rate Tables'!$B$37:$D$40,MATCH($E27,'Rate Tables'!$B$37:$B$40,-1),3),INDEX('Rate Tables'!$B$37:$D$40,1,3)))</f>
        <v>0</v>
      </c>
      <c r="R27" s="233"/>
      <c r="S27" s="683"/>
      <c r="T27" s="235">
        <f ca="1">IFERROR(INDEX('Rate Tables'!$B$44:$D$47,MATCH($E27,'Rate Tables'!$B$44:$B$47,-1),2),INDEX('Rate Tables'!$B$44:$D$47,1,2))*40*R27+((40*S27)*IFERROR(INDEX('Rate Tables'!$B$44:$D$47,MATCH($E27,'Rate Tables'!$B$44:$B$47,-1),3),INDEX('Rate Tables'!$B$44:$D$47,1,3)))</f>
        <v>0</v>
      </c>
      <c r="U27" s="233"/>
      <c r="V27" s="683"/>
      <c r="W27" s="235">
        <f>INDEX('Rate Tables'!$B$51:$D$51,1,2)*40*U27+((40*V27)*INDEX('Rate Tables'!$B$51:$D$51,1,3))</f>
        <v>0</v>
      </c>
      <c r="X27" s="59"/>
      <c r="AJ27" s="233"/>
      <c r="AK27" s="233"/>
      <c r="AL27" s="683"/>
      <c r="AM27" s="235">
        <f t="shared" si="1"/>
        <v>0</v>
      </c>
    </row>
    <row r="28" spans="3:39" x14ac:dyDescent="0.25">
      <c r="C28" s="717"/>
      <c r="D28" s="230">
        <f t="shared" ca="1" si="0"/>
        <v>16</v>
      </c>
      <c r="E28" s="231">
        <f ca="1">IFERROR(OFFSET(E28,-1,0)+7,Settings!\cstart)</f>
        <v>43583</v>
      </c>
      <c r="F28" s="232">
        <v>1</v>
      </c>
      <c r="G28" s="683">
        <v>0.2</v>
      </c>
      <c r="H28" s="235">
        <f ca="1">IFERROR(INDEX('Rate Tables'!$B$5:$D$8,MATCH($E28,'Rate Tables'!$B$5:$B$8,-1),2),INDEX('Rate Tables'!$B$5:$D$8,1,2))*40*F28+((40*G28)*IFERROR(INDEX('Rate Tables'!$B$5:$D$8,MATCH($E28,'Rate Tables'!$B$5:$B$8,-1),3),INDEX('Rate Tables'!$B$5:$D$8,1,3)))</f>
        <v>5167.4832000000006</v>
      </c>
      <c r="I28" s="233">
        <f ca="1">(IF(AND(F28&gt;0,F28&lt;=1),F28,IF(F28&gt;1,1,0))*40*IFERROR(INDEX('Rate Tables'!$B$12:$D$15,MATCH($E28,'Rate Tables'!$B$12:$B$15,-1),2),INDEX('Rate Tables'!$B$12:$D$15,1,2))) + G28*40*IFERROR(INDEX('Rate Tables'!$B$12:$D$15,MATCH($E28,'Rate Tables'!$B$12:$B$15,-1),3),INDEX('Rate Tables'!$B$12:$D$15,1,3))</f>
        <v>5474.4624000000003</v>
      </c>
      <c r="J28" s="683">
        <v>0.25</v>
      </c>
      <c r="K28" s="235">
        <f ca="1">IFERROR(INDEX('Rate Tables'!$B$19:$D$22,MATCH($E28,'Rate Tables'!$B$19:$B$22,-1),2),INDEX('Rate Tables'!$B$19:$D$22,1,2))*40*I28+((40*J28)*IFERROR(INDEX('Rate Tables'!$B$19:$D$22,MATCH($E28,'Rate Tables'!$B$19:$B$22,-1),3),INDEX('Rate Tables'!$B$19:$D$22,1,3)))</f>
        <v>27474635.450160004</v>
      </c>
      <c r="L28" s="233"/>
      <c r="M28" s="683"/>
      <c r="N28" s="235">
        <f>INDEX('Rate Tables'!$B$33:$D$33,1,2)*40*L28+((40*M28)*INDEX('Rate Tables'!$B$33:$D$33,1,3))</f>
        <v>0</v>
      </c>
      <c r="O28" s="233"/>
      <c r="P28" s="683"/>
      <c r="Q28" s="235">
        <f ca="1">IFERROR(INDEX('Rate Tables'!$B$37:$D$40,MATCH($E28,'Rate Tables'!$B$37:$B$40,-1),2),INDEX('Rate Tables'!$B$37:$D$40,1,2))*40*O28+((40*P28)*IFERROR(INDEX('Rate Tables'!$B$37:$D$40,MATCH($E28,'Rate Tables'!$B$37:$B$40,-1),3),INDEX('Rate Tables'!$B$37:$D$40,1,3)))</f>
        <v>0</v>
      </c>
      <c r="R28" s="233"/>
      <c r="S28" s="683"/>
      <c r="T28" s="235">
        <f ca="1">IFERROR(INDEX('Rate Tables'!$B$44:$D$47,MATCH($E28,'Rate Tables'!$B$44:$B$47,-1),2),INDEX('Rate Tables'!$B$44:$D$47,1,2))*40*R28+((40*S28)*IFERROR(INDEX('Rate Tables'!$B$44:$D$47,MATCH($E28,'Rate Tables'!$B$44:$B$47,-1),3),INDEX('Rate Tables'!$B$44:$D$47,1,3)))</f>
        <v>0</v>
      </c>
      <c r="U28" s="233"/>
      <c r="V28" s="683"/>
      <c r="W28" s="235">
        <f>INDEX('Rate Tables'!$B$51:$D$51,1,2)*40*U28+((40*V28)*INDEX('Rate Tables'!$B$51:$D$51,1,3))</f>
        <v>0</v>
      </c>
      <c r="X28" s="59"/>
      <c r="AJ28" s="233"/>
      <c r="AK28" s="233"/>
      <c r="AL28" s="683"/>
      <c r="AM28" s="235">
        <f t="shared" si="1"/>
        <v>0</v>
      </c>
    </row>
    <row r="29" spans="3:39" x14ac:dyDescent="0.25">
      <c r="C29" s="717"/>
      <c r="D29" s="230">
        <f t="shared" ca="1" si="0"/>
        <v>17</v>
      </c>
      <c r="E29" s="231">
        <f ca="1">IFERROR(OFFSET(E29,-1,0)+7,Settings!\cstart)</f>
        <v>43590</v>
      </c>
      <c r="F29" s="232">
        <v>1</v>
      </c>
      <c r="G29" s="683">
        <v>0.2</v>
      </c>
      <c r="H29" s="235">
        <f ca="1">IFERROR(INDEX('Rate Tables'!$B$5:$D$8,MATCH($E29,'Rate Tables'!$B$5:$B$8,-1),2),INDEX('Rate Tables'!$B$5:$D$8,1,2))*40*F29+((40*G29)*IFERROR(INDEX('Rate Tables'!$B$5:$D$8,MATCH($E29,'Rate Tables'!$B$5:$B$8,-1),3),INDEX('Rate Tables'!$B$5:$D$8,1,3)))</f>
        <v>5167.4832000000006</v>
      </c>
      <c r="I29" s="233">
        <f ca="1">(IF(AND(F29&gt;0,F29&lt;=1),F29,IF(F29&gt;1,1,0))*40*IFERROR(INDEX('Rate Tables'!$B$12:$D$15,MATCH($E29,'Rate Tables'!$B$12:$B$15,-1),2),INDEX('Rate Tables'!$B$12:$D$15,1,2))) + G29*40*IFERROR(INDEX('Rate Tables'!$B$12:$D$15,MATCH($E29,'Rate Tables'!$B$12:$B$15,-1),3),INDEX('Rate Tables'!$B$12:$D$15,1,3))</f>
        <v>5474.4624000000003</v>
      </c>
      <c r="J29" s="683">
        <v>0.25</v>
      </c>
      <c r="K29" s="235">
        <f ca="1">IFERROR(INDEX('Rate Tables'!$B$19:$D$22,MATCH($E29,'Rate Tables'!$B$19:$B$22,-1),2),INDEX('Rate Tables'!$B$19:$D$22,1,2))*40*I29+((40*J29)*IFERROR(INDEX('Rate Tables'!$B$19:$D$22,MATCH($E29,'Rate Tables'!$B$19:$B$22,-1),3),INDEX('Rate Tables'!$B$19:$D$22,1,3)))</f>
        <v>27474635.450160004</v>
      </c>
      <c r="L29" s="233"/>
      <c r="M29" s="683"/>
      <c r="N29" s="235">
        <f>INDEX('Rate Tables'!$B$33:$D$33,1,2)*40*L29+((40*M29)*INDEX('Rate Tables'!$B$33:$D$33,1,3))</f>
        <v>0</v>
      </c>
      <c r="O29" s="233"/>
      <c r="P29" s="683"/>
      <c r="Q29" s="235">
        <f ca="1">IFERROR(INDEX('Rate Tables'!$B$37:$D$40,MATCH($E29,'Rate Tables'!$B$37:$B$40,-1),2),INDEX('Rate Tables'!$B$37:$D$40,1,2))*40*O29+((40*P29)*IFERROR(INDEX('Rate Tables'!$B$37:$D$40,MATCH($E29,'Rate Tables'!$B$37:$B$40,-1),3),INDEX('Rate Tables'!$B$37:$D$40,1,3)))</f>
        <v>0</v>
      </c>
      <c r="R29" s="233"/>
      <c r="S29" s="683"/>
      <c r="T29" s="235">
        <f ca="1">IFERROR(INDEX('Rate Tables'!$B$44:$D$47,MATCH($E29,'Rate Tables'!$B$44:$B$47,-1),2),INDEX('Rate Tables'!$B$44:$D$47,1,2))*40*R29+((40*S29)*IFERROR(INDEX('Rate Tables'!$B$44:$D$47,MATCH($E29,'Rate Tables'!$B$44:$B$47,-1),3),INDEX('Rate Tables'!$B$44:$D$47,1,3)))</f>
        <v>0</v>
      </c>
      <c r="U29" s="233"/>
      <c r="V29" s="683"/>
      <c r="W29" s="235">
        <f>INDEX('Rate Tables'!$B$51:$D$51,1,2)*40*U29+((40*V29)*INDEX('Rate Tables'!$B$51:$D$51,1,3))</f>
        <v>0</v>
      </c>
      <c r="X29" s="59"/>
      <c r="AJ29" s="233"/>
      <c r="AK29" s="233"/>
      <c r="AL29" s="683"/>
      <c r="AM29" s="235">
        <f t="shared" si="1"/>
        <v>0</v>
      </c>
    </row>
    <row r="30" spans="3:39" x14ac:dyDescent="0.25">
      <c r="C30" s="717"/>
      <c r="D30" s="230">
        <f t="shared" ca="1" si="0"/>
        <v>18</v>
      </c>
      <c r="E30" s="231">
        <f ca="1">IFERROR(OFFSET(E30,-1,0)+7,Settings!\cstart)</f>
        <v>43597</v>
      </c>
      <c r="F30" s="232">
        <v>1</v>
      </c>
      <c r="G30" s="683">
        <v>0.2</v>
      </c>
      <c r="H30" s="235">
        <f ca="1">IFERROR(INDEX('Rate Tables'!$B$5:$D$8,MATCH($E30,'Rate Tables'!$B$5:$B$8,-1),2),INDEX('Rate Tables'!$B$5:$D$8,1,2))*40*F30+((40*G30)*IFERROR(INDEX('Rate Tables'!$B$5:$D$8,MATCH($E30,'Rate Tables'!$B$5:$B$8,-1),3),INDEX('Rate Tables'!$B$5:$D$8,1,3)))</f>
        <v>5167.4832000000006</v>
      </c>
      <c r="I30" s="233">
        <f ca="1">(IF(AND(F30&gt;0,F30&lt;=1),F30,IF(F30&gt;1,1,0))*40*IFERROR(INDEX('Rate Tables'!$B$12:$D$15,MATCH($E30,'Rate Tables'!$B$12:$B$15,-1),2),INDEX('Rate Tables'!$B$12:$D$15,1,2))) + G30*40*IFERROR(INDEX('Rate Tables'!$B$12:$D$15,MATCH($E30,'Rate Tables'!$B$12:$B$15,-1),3),INDEX('Rate Tables'!$B$12:$D$15,1,3))</f>
        <v>5474.4624000000003</v>
      </c>
      <c r="J30" s="683">
        <v>0.25</v>
      </c>
      <c r="K30" s="235">
        <f ca="1">IFERROR(INDEX('Rate Tables'!$B$19:$D$22,MATCH($E30,'Rate Tables'!$B$19:$B$22,-1),2),INDEX('Rate Tables'!$B$19:$D$22,1,2))*40*I30+((40*J30)*IFERROR(INDEX('Rate Tables'!$B$19:$D$22,MATCH($E30,'Rate Tables'!$B$19:$B$22,-1),3),INDEX('Rate Tables'!$B$19:$D$22,1,3)))</f>
        <v>27474635.450160004</v>
      </c>
      <c r="L30" s="233"/>
      <c r="M30" s="683"/>
      <c r="N30" s="235">
        <f>INDEX('Rate Tables'!$B$33:$D$33,1,2)*40*L30+((40*M30)*INDEX('Rate Tables'!$B$33:$D$33,1,3))</f>
        <v>0</v>
      </c>
      <c r="O30" s="233"/>
      <c r="P30" s="683"/>
      <c r="Q30" s="235">
        <f ca="1">IFERROR(INDEX('Rate Tables'!$B$37:$D$40,MATCH($E30,'Rate Tables'!$B$37:$B$40,-1),2),INDEX('Rate Tables'!$B$37:$D$40,1,2))*40*O30+((40*P30)*IFERROR(INDEX('Rate Tables'!$B$37:$D$40,MATCH($E30,'Rate Tables'!$B$37:$B$40,-1),3),INDEX('Rate Tables'!$B$37:$D$40,1,3)))</f>
        <v>0</v>
      </c>
      <c r="R30" s="233"/>
      <c r="S30" s="683"/>
      <c r="T30" s="235">
        <f ca="1">IFERROR(INDEX('Rate Tables'!$B$44:$D$47,MATCH($E30,'Rate Tables'!$B$44:$B$47,-1),2),INDEX('Rate Tables'!$B$44:$D$47,1,2))*40*R30+((40*S30)*IFERROR(INDEX('Rate Tables'!$B$44:$D$47,MATCH($E30,'Rate Tables'!$B$44:$B$47,-1),3),INDEX('Rate Tables'!$B$44:$D$47,1,3)))</f>
        <v>0</v>
      </c>
      <c r="U30" s="233"/>
      <c r="V30" s="683"/>
      <c r="W30" s="235">
        <f>INDEX('Rate Tables'!$B$51:$D$51,1,2)*40*U30+((40*V30)*INDEX('Rate Tables'!$B$51:$D$51,1,3))</f>
        <v>0</v>
      </c>
      <c r="X30" s="59"/>
      <c r="AJ30" s="233"/>
      <c r="AK30" s="233"/>
      <c r="AL30" s="683"/>
      <c r="AM30" s="235">
        <f t="shared" si="1"/>
        <v>0</v>
      </c>
    </row>
    <row r="31" spans="3:39" x14ac:dyDescent="0.25">
      <c r="C31" s="717"/>
      <c r="D31" s="230">
        <f t="shared" ca="1" si="0"/>
        <v>19</v>
      </c>
      <c r="E31" s="231">
        <f ca="1">IFERROR(OFFSET(E31,-1,0)+7,Settings!\cstart)</f>
        <v>43604</v>
      </c>
      <c r="F31" s="232">
        <v>1</v>
      </c>
      <c r="G31" s="683">
        <v>0.2</v>
      </c>
      <c r="H31" s="235">
        <f ca="1">IFERROR(INDEX('Rate Tables'!$B$5:$D$8,MATCH($E31,'Rate Tables'!$B$5:$B$8,-1),2),INDEX('Rate Tables'!$B$5:$D$8,1,2))*40*F31+((40*G31)*IFERROR(INDEX('Rate Tables'!$B$5:$D$8,MATCH($E31,'Rate Tables'!$B$5:$B$8,-1),3),INDEX('Rate Tables'!$B$5:$D$8,1,3)))</f>
        <v>5167.4832000000006</v>
      </c>
      <c r="I31" s="233">
        <f ca="1">(IF(AND(F31&gt;0,F31&lt;=1),F31,IF(F31&gt;1,1,0))*40*IFERROR(INDEX('Rate Tables'!$B$12:$D$15,MATCH($E31,'Rate Tables'!$B$12:$B$15,-1),2),INDEX('Rate Tables'!$B$12:$D$15,1,2))) + G31*40*IFERROR(INDEX('Rate Tables'!$B$12:$D$15,MATCH($E31,'Rate Tables'!$B$12:$B$15,-1),3),INDEX('Rate Tables'!$B$12:$D$15,1,3))</f>
        <v>5474.4624000000003</v>
      </c>
      <c r="J31" s="683">
        <v>0.25</v>
      </c>
      <c r="K31" s="235">
        <f ca="1">IFERROR(INDEX('Rate Tables'!$B$19:$D$22,MATCH($E31,'Rate Tables'!$B$19:$B$22,-1),2),INDEX('Rate Tables'!$B$19:$D$22,1,2))*40*I31+((40*J31)*IFERROR(INDEX('Rate Tables'!$B$19:$D$22,MATCH($E31,'Rate Tables'!$B$19:$B$22,-1),3),INDEX('Rate Tables'!$B$19:$D$22,1,3)))</f>
        <v>27474635.450160004</v>
      </c>
      <c r="L31" s="233"/>
      <c r="M31" s="683"/>
      <c r="N31" s="235">
        <f>INDEX('Rate Tables'!$B$33:$D$33,1,2)*40*L31+((40*M31)*INDEX('Rate Tables'!$B$33:$D$33,1,3))</f>
        <v>0</v>
      </c>
      <c r="O31" s="233"/>
      <c r="P31" s="683"/>
      <c r="Q31" s="235">
        <f ca="1">IFERROR(INDEX('Rate Tables'!$B$37:$D$40,MATCH($E31,'Rate Tables'!$B$37:$B$40,-1),2),INDEX('Rate Tables'!$B$37:$D$40,1,2))*40*O31+((40*P31)*IFERROR(INDEX('Rate Tables'!$B$37:$D$40,MATCH($E31,'Rate Tables'!$B$37:$B$40,-1),3),INDEX('Rate Tables'!$B$37:$D$40,1,3)))</f>
        <v>0</v>
      </c>
      <c r="R31" s="233"/>
      <c r="S31" s="683"/>
      <c r="T31" s="235">
        <f ca="1">IFERROR(INDEX('Rate Tables'!$B$44:$D$47,MATCH($E31,'Rate Tables'!$B$44:$B$47,-1),2),INDEX('Rate Tables'!$B$44:$D$47,1,2))*40*R31+((40*S31)*IFERROR(INDEX('Rate Tables'!$B$44:$D$47,MATCH($E31,'Rate Tables'!$B$44:$B$47,-1),3),INDEX('Rate Tables'!$B$44:$D$47,1,3)))</f>
        <v>0</v>
      </c>
      <c r="U31" s="233"/>
      <c r="V31" s="683"/>
      <c r="W31" s="235">
        <f>INDEX('Rate Tables'!$B$51:$D$51,1,2)*40*U31+((40*V31)*INDEX('Rate Tables'!$B$51:$D$51,1,3))</f>
        <v>0</v>
      </c>
      <c r="X31" s="59"/>
      <c r="AJ31" s="233"/>
      <c r="AK31" s="233"/>
      <c r="AL31" s="683"/>
      <c r="AM31" s="235">
        <f t="shared" si="1"/>
        <v>0</v>
      </c>
    </row>
    <row r="32" spans="3:39" x14ac:dyDescent="0.25">
      <c r="C32" s="717"/>
      <c r="D32" s="230">
        <f t="shared" ca="1" si="0"/>
        <v>20</v>
      </c>
      <c r="E32" s="231">
        <f ca="1">IFERROR(OFFSET(E32,-1,0)+7,Settings!\cstart)</f>
        <v>43611</v>
      </c>
      <c r="F32" s="232">
        <v>1</v>
      </c>
      <c r="G32" s="683">
        <v>0.2</v>
      </c>
      <c r="H32" s="235">
        <f ca="1">IFERROR(INDEX('Rate Tables'!$B$5:$D$8,MATCH($E32,'Rate Tables'!$B$5:$B$8,-1),2),INDEX('Rate Tables'!$B$5:$D$8,1,2))*40*F32+((40*G32)*IFERROR(INDEX('Rate Tables'!$B$5:$D$8,MATCH($E32,'Rate Tables'!$B$5:$B$8,-1),3),INDEX('Rate Tables'!$B$5:$D$8,1,3)))</f>
        <v>5167.4832000000006</v>
      </c>
      <c r="I32" s="233">
        <f ca="1">(IF(AND(F32&gt;0,F32&lt;=1),F32,IF(F32&gt;1,1,0))*40*IFERROR(INDEX('Rate Tables'!$B$12:$D$15,MATCH($E32,'Rate Tables'!$B$12:$B$15,-1),2),INDEX('Rate Tables'!$B$12:$D$15,1,2))) + G32*40*IFERROR(INDEX('Rate Tables'!$B$12:$D$15,MATCH($E32,'Rate Tables'!$B$12:$B$15,-1),3),INDEX('Rate Tables'!$B$12:$D$15,1,3))</f>
        <v>5474.4624000000003</v>
      </c>
      <c r="J32" s="683">
        <v>0.25</v>
      </c>
      <c r="K32" s="235">
        <f ca="1">IFERROR(INDEX('Rate Tables'!$B$19:$D$22,MATCH($E32,'Rate Tables'!$B$19:$B$22,-1),2),INDEX('Rate Tables'!$B$19:$D$22,1,2))*40*I32+((40*J32)*IFERROR(INDEX('Rate Tables'!$B$19:$D$22,MATCH($E32,'Rate Tables'!$B$19:$B$22,-1),3),INDEX('Rate Tables'!$B$19:$D$22,1,3)))</f>
        <v>27474635.450160004</v>
      </c>
      <c r="L32" s="233"/>
      <c r="M32" s="683"/>
      <c r="N32" s="235">
        <f>INDEX('Rate Tables'!$B$33:$D$33,1,2)*40*L32+((40*M32)*INDEX('Rate Tables'!$B$33:$D$33,1,3))</f>
        <v>0</v>
      </c>
      <c r="O32" s="233"/>
      <c r="P32" s="683"/>
      <c r="Q32" s="235">
        <f ca="1">IFERROR(INDEX('Rate Tables'!$B$37:$D$40,MATCH($E32,'Rate Tables'!$B$37:$B$40,-1),2),INDEX('Rate Tables'!$B$37:$D$40,1,2))*40*O32+((40*P32)*IFERROR(INDEX('Rate Tables'!$B$37:$D$40,MATCH($E32,'Rate Tables'!$B$37:$B$40,-1),3),INDEX('Rate Tables'!$B$37:$D$40,1,3)))</f>
        <v>0</v>
      </c>
      <c r="R32" s="233"/>
      <c r="S32" s="683"/>
      <c r="T32" s="235">
        <f ca="1">IFERROR(INDEX('Rate Tables'!$B$44:$D$47,MATCH($E32,'Rate Tables'!$B$44:$B$47,-1),2),INDEX('Rate Tables'!$B$44:$D$47,1,2))*40*R32+((40*S32)*IFERROR(INDEX('Rate Tables'!$B$44:$D$47,MATCH($E32,'Rate Tables'!$B$44:$B$47,-1),3),INDEX('Rate Tables'!$B$44:$D$47,1,3)))</f>
        <v>0</v>
      </c>
      <c r="U32" s="233"/>
      <c r="V32" s="683"/>
      <c r="W32" s="235">
        <f>INDEX('Rate Tables'!$B$51:$D$51,1,2)*40*U32+((40*V32)*INDEX('Rate Tables'!$B$51:$D$51,1,3))</f>
        <v>0</v>
      </c>
      <c r="X32" s="59"/>
      <c r="AJ32" s="233"/>
      <c r="AK32" s="233"/>
      <c r="AL32" s="683"/>
      <c r="AM32" s="235">
        <f t="shared" si="1"/>
        <v>0</v>
      </c>
    </row>
    <row r="33" spans="3:39" x14ac:dyDescent="0.25">
      <c r="C33" s="717"/>
      <c r="D33" s="230">
        <f t="shared" ca="1" si="0"/>
        <v>21</v>
      </c>
      <c r="E33" s="231">
        <f ca="1">IFERROR(OFFSET(E33,-1,0)+7,Settings!\cstart)</f>
        <v>43618</v>
      </c>
      <c r="F33" s="232">
        <v>1</v>
      </c>
      <c r="G33" s="683">
        <v>0.2</v>
      </c>
      <c r="H33" s="235">
        <f ca="1">IFERROR(INDEX('Rate Tables'!$B$5:$D$8,MATCH($E33,'Rate Tables'!$B$5:$B$8,-1),2),INDEX('Rate Tables'!$B$5:$D$8,1,2))*40*F33+((40*G33)*IFERROR(INDEX('Rate Tables'!$B$5:$D$8,MATCH($E33,'Rate Tables'!$B$5:$B$8,-1),3),INDEX('Rate Tables'!$B$5:$D$8,1,3)))</f>
        <v>5167.4832000000006</v>
      </c>
      <c r="I33" s="233">
        <f ca="1">(IF(AND(F33&gt;0,F33&lt;=1),F33,IF(F33&gt;1,1,0))*40*IFERROR(INDEX('Rate Tables'!$B$12:$D$15,MATCH($E33,'Rate Tables'!$B$12:$B$15,-1),2),INDEX('Rate Tables'!$B$12:$D$15,1,2))) + G33*40*IFERROR(INDEX('Rate Tables'!$B$12:$D$15,MATCH($E33,'Rate Tables'!$B$12:$B$15,-1),3),INDEX('Rate Tables'!$B$12:$D$15,1,3))</f>
        <v>5474.4624000000003</v>
      </c>
      <c r="J33" s="683">
        <v>0.25</v>
      </c>
      <c r="K33" s="235">
        <f ca="1">IFERROR(INDEX('Rate Tables'!$B$19:$D$22,MATCH($E33,'Rate Tables'!$B$19:$B$22,-1),2),INDEX('Rate Tables'!$B$19:$D$22,1,2))*40*I33+((40*J33)*IFERROR(INDEX('Rate Tables'!$B$19:$D$22,MATCH($E33,'Rate Tables'!$B$19:$B$22,-1),3),INDEX('Rate Tables'!$B$19:$D$22,1,3)))</f>
        <v>27474635.450160004</v>
      </c>
      <c r="L33" s="233"/>
      <c r="M33" s="683"/>
      <c r="N33" s="235">
        <f>INDEX('Rate Tables'!$B$33:$D$33,1,2)*40*L33+((40*M33)*INDEX('Rate Tables'!$B$33:$D$33,1,3))</f>
        <v>0</v>
      </c>
      <c r="O33" s="233"/>
      <c r="P33" s="683"/>
      <c r="Q33" s="235">
        <f ca="1">IFERROR(INDEX('Rate Tables'!$B$37:$D$40,MATCH($E33,'Rate Tables'!$B$37:$B$40,-1),2),INDEX('Rate Tables'!$B$37:$D$40,1,2))*40*O33+((40*P33)*IFERROR(INDEX('Rate Tables'!$B$37:$D$40,MATCH($E33,'Rate Tables'!$B$37:$B$40,-1),3),INDEX('Rate Tables'!$B$37:$D$40,1,3)))</f>
        <v>0</v>
      </c>
      <c r="R33" s="233"/>
      <c r="S33" s="683"/>
      <c r="T33" s="235">
        <f ca="1">IFERROR(INDEX('Rate Tables'!$B$44:$D$47,MATCH($E33,'Rate Tables'!$B$44:$B$47,-1),2),INDEX('Rate Tables'!$B$44:$D$47,1,2))*40*R33+((40*S33)*IFERROR(INDEX('Rate Tables'!$B$44:$D$47,MATCH($E33,'Rate Tables'!$B$44:$B$47,-1),3),INDEX('Rate Tables'!$B$44:$D$47,1,3)))</f>
        <v>0</v>
      </c>
      <c r="U33" s="233"/>
      <c r="V33" s="683"/>
      <c r="W33" s="235">
        <f>INDEX('Rate Tables'!$B$51:$D$51,1,2)*40*U33+((40*V33)*INDEX('Rate Tables'!$B$51:$D$51,1,3))</f>
        <v>0</v>
      </c>
      <c r="X33" s="59"/>
      <c r="AJ33" s="233"/>
      <c r="AK33" s="233"/>
      <c r="AL33" s="683"/>
      <c r="AM33" s="235">
        <f t="shared" si="1"/>
        <v>0</v>
      </c>
    </row>
    <row r="34" spans="3:39" x14ac:dyDescent="0.25">
      <c r="C34" s="717"/>
      <c r="D34" s="230">
        <f t="shared" ca="1" si="0"/>
        <v>22</v>
      </c>
      <c r="E34" s="231">
        <f ca="1">IFERROR(OFFSET(E34,-1,0)+7,Settings!\cstart)</f>
        <v>43625</v>
      </c>
      <c r="F34" s="232">
        <v>1</v>
      </c>
      <c r="G34" s="683">
        <v>0.2</v>
      </c>
      <c r="H34" s="235">
        <f ca="1">IFERROR(INDEX('Rate Tables'!$B$5:$D$8,MATCH($E34,'Rate Tables'!$B$5:$B$8,-1),2),INDEX('Rate Tables'!$B$5:$D$8,1,2))*40*F34+((40*G34)*IFERROR(INDEX('Rate Tables'!$B$5:$D$8,MATCH($E34,'Rate Tables'!$B$5:$B$8,-1),3),INDEX('Rate Tables'!$B$5:$D$8,1,3)))</f>
        <v>5167.4832000000006</v>
      </c>
      <c r="I34" s="233">
        <f ca="1">(IF(AND(F34&gt;0,F34&lt;=1),F34,IF(F34&gt;1,1,0))*40*IFERROR(INDEX('Rate Tables'!$B$12:$D$15,MATCH($E34,'Rate Tables'!$B$12:$B$15,-1),2),INDEX('Rate Tables'!$B$12:$D$15,1,2))) + G34*40*IFERROR(INDEX('Rate Tables'!$B$12:$D$15,MATCH($E34,'Rate Tables'!$B$12:$B$15,-1),3),INDEX('Rate Tables'!$B$12:$D$15,1,3))</f>
        <v>5474.4624000000003</v>
      </c>
      <c r="J34" s="683">
        <v>0.25</v>
      </c>
      <c r="K34" s="235">
        <f ca="1">IFERROR(INDEX('Rate Tables'!$B$19:$D$22,MATCH($E34,'Rate Tables'!$B$19:$B$22,-1),2),INDEX('Rate Tables'!$B$19:$D$22,1,2))*40*I34+((40*J34)*IFERROR(INDEX('Rate Tables'!$B$19:$D$22,MATCH($E34,'Rate Tables'!$B$19:$B$22,-1),3),INDEX('Rate Tables'!$B$19:$D$22,1,3)))</f>
        <v>27474635.450160004</v>
      </c>
      <c r="L34" s="233"/>
      <c r="M34" s="683"/>
      <c r="N34" s="235">
        <f>INDEX('Rate Tables'!$B$33:$D$33,1,2)*40*L34+((40*M34)*INDEX('Rate Tables'!$B$33:$D$33,1,3))</f>
        <v>0</v>
      </c>
      <c r="O34" s="233"/>
      <c r="P34" s="683"/>
      <c r="Q34" s="235">
        <f ca="1">IFERROR(INDEX('Rate Tables'!$B$37:$D$40,MATCH($E34,'Rate Tables'!$B$37:$B$40,-1),2),INDEX('Rate Tables'!$B$37:$D$40,1,2))*40*O34+((40*P34)*IFERROR(INDEX('Rate Tables'!$B$37:$D$40,MATCH($E34,'Rate Tables'!$B$37:$B$40,-1),3),INDEX('Rate Tables'!$B$37:$D$40,1,3)))</f>
        <v>0</v>
      </c>
      <c r="R34" s="233"/>
      <c r="S34" s="683"/>
      <c r="T34" s="235">
        <f ca="1">IFERROR(INDEX('Rate Tables'!$B$44:$D$47,MATCH($E34,'Rate Tables'!$B$44:$B$47,-1),2),INDEX('Rate Tables'!$B$44:$D$47,1,2))*40*R34+((40*S34)*IFERROR(INDEX('Rate Tables'!$B$44:$D$47,MATCH($E34,'Rate Tables'!$B$44:$B$47,-1),3),INDEX('Rate Tables'!$B$44:$D$47,1,3)))</f>
        <v>0</v>
      </c>
      <c r="U34" s="233"/>
      <c r="V34" s="683"/>
      <c r="W34" s="235">
        <f>INDEX('Rate Tables'!$B$51:$D$51,1,2)*40*U34+((40*V34)*INDEX('Rate Tables'!$B$51:$D$51,1,3))</f>
        <v>0</v>
      </c>
      <c r="X34" s="59"/>
      <c r="AJ34" s="233"/>
      <c r="AK34" s="233"/>
      <c r="AL34" s="683"/>
      <c r="AM34" s="235">
        <f t="shared" si="1"/>
        <v>0</v>
      </c>
    </row>
    <row r="35" spans="3:39" x14ac:dyDescent="0.25">
      <c r="C35" s="717"/>
      <c r="D35" s="230">
        <f t="shared" ca="1" si="0"/>
        <v>23</v>
      </c>
      <c r="E35" s="231">
        <f ca="1">IFERROR(OFFSET(E35,-1,0)+7,Settings!\cstart)</f>
        <v>43632</v>
      </c>
      <c r="F35" s="232">
        <v>1</v>
      </c>
      <c r="G35" s="683">
        <v>0.2</v>
      </c>
      <c r="H35" s="235">
        <f ca="1">IFERROR(INDEX('Rate Tables'!$B$5:$D$8,MATCH($E35,'Rate Tables'!$B$5:$B$8,-1),2),INDEX('Rate Tables'!$B$5:$D$8,1,2))*40*F35+((40*G35)*IFERROR(INDEX('Rate Tables'!$B$5:$D$8,MATCH($E35,'Rate Tables'!$B$5:$B$8,-1),3),INDEX('Rate Tables'!$B$5:$D$8,1,3)))</f>
        <v>5167.4832000000006</v>
      </c>
      <c r="I35" s="233">
        <f ca="1">(IF(AND(F35&gt;0,F35&lt;=1),F35,IF(F35&gt;1,1,0))*40*IFERROR(INDEX('Rate Tables'!$B$12:$D$15,MATCH($E35,'Rate Tables'!$B$12:$B$15,-1),2),INDEX('Rate Tables'!$B$12:$D$15,1,2))) + G35*40*IFERROR(INDEX('Rate Tables'!$B$12:$D$15,MATCH($E35,'Rate Tables'!$B$12:$B$15,-1),3),INDEX('Rate Tables'!$B$12:$D$15,1,3))</f>
        <v>5474.4624000000003</v>
      </c>
      <c r="J35" s="683">
        <v>0.25</v>
      </c>
      <c r="K35" s="235">
        <f ca="1">IFERROR(INDEX('Rate Tables'!$B$19:$D$22,MATCH($E35,'Rate Tables'!$B$19:$B$22,-1),2),INDEX('Rate Tables'!$B$19:$D$22,1,2))*40*I35+((40*J35)*IFERROR(INDEX('Rate Tables'!$B$19:$D$22,MATCH($E35,'Rate Tables'!$B$19:$B$22,-1),3),INDEX('Rate Tables'!$B$19:$D$22,1,3)))</f>
        <v>27474635.450160004</v>
      </c>
      <c r="L35" s="233"/>
      <c r="M35" s="683"/>
      <c r="N35" s="235">
        <f>INDEX('Rate Tables'!$B$33:$D$33,1,2)*40*L35+((40*M35)*INDEX('Rate Tables'!$B$33:$D$33,1,3))</f>
        <v>0</v>
      </c>
      <c r="O35" s="233"/>
      <c r="P35" s="683"/>
      <c r="Q35" s="235">
        <f ca="1">IFERROR(INDEX('Rate Tables'!$B$37:$D$40,MATCH($E35,'Rate Tables'!$B$37:$B$40,-1),2),INDEX('Rate Tables'!$B$37:$D$40,1,2))*40*O35+((40*P35)*IFERROR(INDEX('Rate Tables'!$B$37:$D$40,MATCH($E35,'Rate Tables'!$B$37:$B$40,-1),3),INDEX('Rate Tables'!$B$37:$D$40,1,3)))</f>
        <v>0</v>
      </c>
      <c r="R35" s="233"/>
      <c r="S35" s="683"/>
      <c r="T35" s="235">
        <f ca="1">IFERROR(INDEX('Rate Tables'!$B$44:$D$47,MATCH($E35,'Rate Tables'!$B$44:$B$47,-1),2),INDEX('Rate Tables'!$B$44:$D$47,1,2))*40*R35+((40*S35)*IFERROR(INDEX('Rate Tables'!$B$44:$D$47,MATCH($E35,'Rate Tables'!$B$44:$B$47,-1),3),INDEX('Rate Tables'!$B$44:$D$47,1,3)))</f>
        <v>0</v>
      </c>
      <c r="U35" s="233"/>
      <c r="V35" s="683"/>
      <c r="W35" s="235">
        <f>INDEX('Rate Tables'!$B$51:$D$51,1,2)*40*U35+((40*V35)*INDEX('Rate Tables'!$B$51:$D$51,1,3))</f>
        <v>0</v>
      </c>
      <c r="X35" s="59"/>
      <c r="AJ35" s="233"/>
      <c r="AK35" s="233"/>
      <c r="AL35" s="683"/>
      <c r="AM35" s="235">
        <f t="shared" si="1"/>
        <v>0</v>
      </c>
    </row>
    <row r="36" spans="3:39" x14ac:dyDescent="0.25">
      <c r="C36" s="717"/>
      <c r="D36" s="230">
        <f t="shared" ca="1" si="0"/>
        <v>24</v>
      </c>
      <c r="E36" s="231">
        <f ca="1">IFERROR(OFFSET(E36,-1,0)+7,Settings!\cstart)</f>
        <v>43639</v>
      </c>
      <c r="F36" s="232">
        <v>1</v>
      </c>
      <c r="G36" s="683">
        <v>0.2</v>
      </c>
      <c r="H36" s="235">
        <f ca="1">IFERROR(INDEX('Rate Tables'!$B$5:$D$8,MATCH($E36,'Rate Tables'!$B$5:$B$8,-1),2),INDEX('Rate Tables'!$B$5:$D$8,1,2))*40*F36+((40*G36)*IFERROR(INDEX('Rate Tables'!$B$5:$D$8,MATCH($E36,'Rate Tables'!$B$5:$B$8,-1),3),INDEX('Rate Tables'!$B$5:$D$8,1,3)))</f>
        <v>5167.4832000000006</v>
      </c>
      <c r="I36" s="233">
        <f ca="1">(IF(AND(F36&gt;0,F36&lt;=1),F36,IF(F36&gt;1,1,0))*40*IFERROR(INDEX('Rate Tables'!$B$12:$D$15,MATCH($E36,'Rate Tables'!$B$12:$B$15,-1),2),INDEX('Rate Tables'!$B$12:$D$15,1,2))) + G36*40*IFERROR(INDEX('Rate Tables'!$B$12:$D$15,MATCH($E36,'Rate Tables'!$B$12:$B$15,-1),3),INDEX('Rate Tables'!$B$12:$D$15,1,3))</f>
        <v>5474.4624000000003</v>
      </c>
      <c r="J36" s="683">
        <v>0.25</v>
      </c>
      <c r="K36" s="235">
        <f ca="1">IFERROR(INDEX('Rate Tables'!$B$19:$D$22,MATCH($E36,'Rate Tables'!$B$19:$B$22,-1),2),INDEX('Rate Tables'!$B$19:$D$22,1,2))*40*I36+((40*J36)*IFERROR(INDEX('Rate Tables'!$B$19:$D$22,MATCH($E36,'Rate Tables'!$B$19:$B$22,-1),3),INDEX('Rate Tables'!$B$19:$D$22,1,3)))</f>
        <v>27474635.450160004</v>
      </c>
      <c r="L36" s="233"/>
      <c r="M36" s="683"/>
      <c r="N36" s="235">
        <f>INDEX('Rate Tables'!$B$33:$D$33,1,2)*40*L36+((40*M36)*INDEX('Rate Tables'!$B$33:$D$33,1,3))</f>
        <v>0</v>
      </c>
      <c r="O36" s="233"/>
      <c r="P36" s="683"/>
      <c r="Q36" s="235">
        <f ca="1">IFERROR(INDEX('Rate Tables'!$B$37:$D$40,MATCH($E36,'Rate Tables'!$B$37:$B$40,-1),2),INDEX('Rate Tables'!$B$37:$D$40,1,2))*40*O36+((40*P36)*IFERROR(INDEX('Rate Tables'!$B$37:$D$40,MATCH($E36,'Rate Tables'!$B$37:$B$40,-1),3),INDEX('Rate Tables'!$B$37:$D$40,1,3)))</f>
        <v>0</v>
      </c>
      <c r="R36" s="233"/>
      <c r="S36" s="683"/>
      <c r="T36" s="235">
        <f ca="1">IFERROR(INDEX('Rate Tables'!$B$44:$D$47,MATCH($E36,'Rate Tables'!$B$44:$B$47,-1),2),INDEX('Rate Tables'!$B$44:$D$47,1,2))*40*R36+((40*S36)*IFERROR(INDEX('Rate Tables'!$B$44:$D$47,MATCH($E36,'Rate Tables'!$B$44:$B$47,-1),3),INDEX('Rate Tables'!$B$44:$D$47,1,3)))</f>
        <v>0</v>
      </c>
      <c r="U36" s="233"/>
      <c r="V36" s="683"/>
      <c r="W36" s="235">
        <f>INDEX('Rate Tables'!$B$51:$D$51,1,2)*40*U36+((40*V36)*INDEX('Rate Tables'!$B$51:$D$51,1,3))</f>
        <v>0</v>
      </c>
      <c r="X36" s="59"/>
      <c r="AJ36" s="233"/>
      <c r="AK36" s="233"/>
      <c r="AL36" s="683"/>
      <c r="AM36" s="235">
        <f t="shared" si="1"/>
        <v>0</v>
      </c>
    </row>
    <row r="37" spans="3:39" x14ac:dyDescent="0.25">
      <c r="C37" s="717"/>
      <c r="D37" s="230">
        <f t="shared" ca="1" si="0"/>
        <v>25</v>
      </c>
      <c r="E37" s="231">
        <f ca="1">IFERROR(OFFSET(E37,-1,0)+7,Settings!\cstart)</f>
        <v>43646</v>
      </c>
      <c r="F37" s="232">
        <v>1</v>
      </c>
      <c r="G37" s="683">
        <v>0.2</v>
      </c>
      <c r="H37" s="235">
        <f ca="1">IFERROR(INDEX('Rate Tables'!$B$5:$D$8,MATCH($E37,'Rate Tables'!$B$5:$B$8,-1),2),INDEX('Rate Tables'!$B$5:$D$8,1,2))*40*F37+((40*G37)*IFERROR(INDEX('Rate Tables'!$B$5:$D$8,MATCH($E37,'Rate Tables'!$B$5:$B$8,-1),3),INDEX('Rate Tables'!$B$5:$D$8,1,3)))</f>
        <v>5167.4832000000006</v>
      </c>
      <c r="I37" s="233">
        <f ca="1">(IF(AND(F37&gt;0,F37&lt;=1),F37,IF(F37&gt;1,1,0))*40*IFERROR(INDEX('Rate Tables'!$B$12:$D$15,MATCH($E37,'Rate Tables'!$B$12:$B$15,-1),2),INDEX('Rate Tables'!$B$12:$D$15,1,2))) + G37*40*IFERROR(INDEX('Rate Tables'!$B$12:$D$15,MATCH($E37,'Rate Tables'!$B$12:$B$15,-1),3),INDEX('Rate Tables'!$B$12:$D$15,1,3))</f>
        <v>5474.4624000000003</v>
      </c>
      <c r="J37" s="683">
        <v>0.25</v>
      </c>
      <c r="K37" s="235">
        <f ca="1">IFERROR(INDEX('Rate Tables'!$B$19:$D$22,MATCH($E37,'Rate Tables'!$B$19:$B$22,-1),2),INDEX('Rate Tables'!$B$19:$D$22,1,2))*40*I37+((40*J37)*IFERROR(INDEX('Rate Tables'!$B$19:$D$22,MATCH($E37,'Rate Tables'!$B$19:$B$22,-1),3),INDEX('Rate Tables'!$B$19:$D$22,1,3)))</f>
        <v>27474635.450160004</v>
      </c>
      <c r="L37" s="233"/>
      <c r="M37" s="683"/>
      <c r="N37" s="235">
        <f>INDEX('Rate Tables'!$B$33:$D$33,1,2)*40*L37+((40*M37)*INDEX('Rate Tables'!$B$33:$D$33,1,3))</f>
        <v>0</v>
      </c>
      <c r="O37" s="233"/>
      <c r="P37" s="683"/>
      <c r="Q37" s="235">
        <f ca="1">IFERROR(INDEX('Rate Tables'!$B$37:$D$40,MATCH($E37,'Rate Tables'!$B$37:$B$40,-1),2),INDEX('Rate Tables'!$B$37:$D$40,1,2))*40*O37+((40*P37)*IFERROR(INDEX('Rate Tables'!$B$37:$D$40,MATCH($E37,'Rate Tables'!$B$37:$B$40,-1),3),INDEX('Rate Tables'!$B$37:$D$40,1,3)))</f>
        <v>0</v>
      </c>
      <c r="R37" s="233"/>
      <c r="S37" s="683"/>
      <c r="T37" s="235">
        <f ca="1">IFERROR(INDEX('Rate Tables'!$B$44:$D$47,MATCH($E37,'Rate Tables'!$B$44:$B$47,-1),2),INDEX('Rate Tables'!$B$44:$D$47,1,2))*40*R37+((40*S37)*IFERROR(INDEX('Rate Tables'!$B$44:$D$47,MATCH($E37,'Rate Tables'!$B$44:$B$47,-1),3),INDEX('Rate Tables'!$B$44:$D$47,1,3)))</f>
        <v>0</v>
      </c>
      <c r="U37" s="233"/>
      <c r="V37" s="683"/>
      <c r="W37" s="235">
        <f>INDEX('Rate Tables'!$B$51:$D$51,1,2)*40*U37+((40*V37)*INDEX('Rate Tables'!$B$51:$D$51,1,3))</f>
        <v>0</v>
      </c>
      <c r="X37" s="59"/>
      <c r="AJ37" s="233"/>
      <c r="AK37" s="233"/>
      <c r="AL37" s="683"/>
      <c r="AM37" s="235">
        <f t="shared" si="1"/>
        <v>0</v>
      </c>
    </row>
    <row r="38" spans="3:39" x14ac:dyDescent="0.25">
      <c r="C38" s="717"/>
      <c r="D38" s="230">
        <f t="shared" ca="1" si="0"/>
        <v>26</v>
      </c>
      <c r="E38" s="231">
        <f ca="1">IFERROR(OFFSET(E38,-1,0)+7,Settings!\cstart)</f>
        <v>43653</v>
      </c>
      <c r="F38" s="232">
        <v>1</v>
      </c>
      <c r="G38" s="683">
        <v>0.2</v>
      </c>
      <c r="H38" s="235">
        <f ca="1">IFERROR(INDEX('Rate Tables'!$B$5:$D$8,MATCH($E38,'Rate Tables'!$B$5:$B$8,-1),2),INDEX('Rate Tables'!$B$5:$D$8,1,2))*40*F38+((40*G38)*IFERROR(INDEX('Rate Tables'!$B$5:$D$8,MATCH($E38,'Rate Tables'!$B$5:$B$8,-1),3),INDEX('Rate Tables'!$B$5:$D$8,1,3)))</f>
        <v>5167.4832000000006</v>
      </c>
      <c r="I38" s="233">
        <f ca="1">(IF(AND(F38&gt;0,F38&lt;=1),F38,IF(F38&gt;1,1,0))*40*IFERROR(INDEX('Rate Tables'!$B$12:$D$15,MATCH($E38,'Rate Tables'!$B$12:$B$15,-1),2),INDEX('Rate Tables'!$B$12:$D$15,1,2))) + G38*40*IFERROR(INDEX('Rate Tables'!$B$12:$D$15,MATCH($E38,'Rate Tables'!$B$12:$B$15,-1),3),INDEX('Rate Tables'!$B$12:$D$15,1,3))</f>
        <v>5474.4624000000003</v>
      </c>
      <c r="J38" s="683">
        <v>0.25</v>
      </c>
      <c r="K38" s="235">
        <f ca="1">IFERROR(INDEX('Rate Tables'!$B$19:$D$22,MATCH($E38,'Rate Tables'!$B$19:$B$22,-1),2),INDEX('Rate Tables'!$B$19:$D$22,1,2))*40*I38+((40*J38)*IFERROR(INDEX('Rate Tables'!$B$19:$D$22,MATCH($E38,'Rate Tables'!$B$19:$B$22,-1),3),INDEX('Rate Tables'!$B$19:$D$22,1,3)))</f>
        <v>27474635.450160004</v>
      </c>
      <c r="L38" s="233"/>
      <c r="M38" s="683"/>
      <c r="N38" s="235">
        <f>INDEX('Rate Tables'!$B$33:$D$33,1,2)*40*L38+((40*M38)*INDEX('Rate Tables'!$B$33:$D$33,1,3))</f>
        <v>0</v>
      </c>
      <c r="O38" s="233"/>
      <c r="P38" s="683"/>
      <c r="Q38" s="235">
        <f ca="1">IFERROR(INDEX('Rate Tables'!$B$37:$D$40,MATCH($E38,'Rate Tables'!$B$37:$B$40,-1),2),INDEX('Rate Tables'!$B$37:$D$40,1,2))*40*O38+((40*P38)*IFERROR(INDEX('Rate Tables'!$B$37:$D$40,MATCH($E38,'Rate Tables'!$B$37:$B$40,-1),3),INDEX('Rate Tables'!$B$37:$D$40,1,3)))</f>
        <v>0</v>
      </c>
      <c r="R38" s="233"/>
      <c r="S38" s="683"/>
      <c r="T38" s="235">
        <f ca="1">IFERROR(INDEX('Rate Tables'!$B$44:$D$47,MATCH($E38,'Rate Tables'!$B$44:$B$47,-1),2),INDEX('Rate Tables'!$B$44:$D$47,1,2))*40*R38+((40*S38)*IFERROR(INDEX('Rate Tables'!$B$44:$D$47,MATCH($E38,'Rate Tables'!$B$44:$B$47,-1),3),INDEX('Rate Tables'!$B$44:$D$47,1,3)))</f>
        <v>0</v>
      </c>
      <c r="U38" s="233"/>
      <c r="V38" s="683"/>
      <c r="W38" s="235">
        <f>INDEX('Rate Tables'!$B$51:$D$51,1,2)*40*U38+((40*V38)*INDEX('Rate Tables'!$B$51:$D$51,1,3))</f>
        <v>0</v>
      </c>
      <c r="X38" s="59"/>
      <c r="AJ38" s="233"/>
      <c r="AK38" s="233"/>
      <c r="AL38" s="683"/>
      <c r="AM38" s="235">
        <f t="shared" si="1"/>
        <v>0</v>
      </c>
    </row>
    <row r="39" spans="3:39" x14ac:dyDescent="0.25">
      <c r="C39" s="717"/>
      <c r="D39" s="230">
        <f t="shared" ca="1" si="0"/>
        <v>27</v>
      </c>
      <c r="E39" s="231">
        <f ca="1">IFERROR(OFFSET(E39,-1,0)+7,Settings!\cstart)</f>
        <v>43660</v>
      </c>
      <c r="F39" s="232">
        <v>1</v>
      </c>
      <c r="G39" s="683">
        <v>0.2</v>
      </c>
      <c r="H39" s="235">
        <f ca="1">IFERROR(INDEX('Rate Tables'!$B$5:$D$8,MATCH($E39,'Rate Tables'!$B$5:$B$8,-1),2),INDEX('Rate Tables'!$B$5:$D$8,1,2))*40*F39+((40*G39)*IFERROR(INDEX('Rate Tables'!$B$5:$D$8,MATCH($E39,'Rate Tables'!$B$5:$B$8,-1),3),INDEX('Rate Tables'!$B$5:$D$8,1,3)))</f>
        <v>5167.4832000000006</v>
      </c>
      <c r="I39" s="233">
        <f ca="1">(IF(AND(F39&gt;0,F39&lt;=1),F39,IF(F39&gt;1,1,0))*40*IFERROR(INDEX('Rate Tables'!$B$12:$D$15,MATCH($E39,'Rate Tables'!$B$12:$B$15,-1),2),INDEX('Rate Tables'!$B$12:$D$15,1,2))) + G39*40*IFERROR(INDEX('Rate Tables'!$B$12:$D$15,MATCH($E39,'Rate Tables'!$B$12:$B$15,-1),3),INDEX('Rate Tables'!$B$12:$D$15,1,3))</f>
        <v>5474.4624000000003</v>
      </c>
      <c r="J39" s="683"/>
      <c r="K39" s="235">
        <f ca="1">IFERROR(INDEX('Rate Tables'!$B$19:$D$22,MATCH($E39,'Rate Tables'!$B$19:$B$22,-1),2),INDEX('Rate Tables'!$B$19:$D$22,1,2))*40*I39+((40*J39)*IFERROR(INDEX('Rate Tables'!$B$19:$D$22,MATCH($E39,'Rate Tables'!$B$19:$B$22,-1),3),INDEX('Rate Tables'!$B$19:$D$22,1,3)))</f>
        <v>27473042.108160004</v>
      </c>
      <c r="L39" s="233"/>
      <c r="M39" s="683"/>
      <c r="N39" s="235">
        <f>INDEX('Rate Tables'!$B$33:$D$33,1,2)*40*L39+((40*M39)*INDEX('Rate Tables'!$B$33:$D$33,1,3))</f>
        <v>0</v>
      </c>
      <c r="O39" s="233"/>
      <c r="P39" s="683"/>
      <c r="Q39" s="235">
        <f ca="1">IFERROR(INDEX('Rate Tables'!$B$37:$D$40,MATCH($E39,'Rate Tables'!$B$37:$B$40,-1),2),INDEX('Rate Tables'!$B$37:$D$40,1,2))*40*O39+((40*P39)*IFERROR(INDEX('Rate Tables'!$B$37:$D$40,MATCH($E39,'Rate Tables'!$B$37:$B$40,-1),3),INDEX('Rate Tables'!$B$37:$D$40,1,3)))</f>
        <v>0</v>
      </c>
      <c r="R39" s="233"/>
      <c r="S39" s="683"/>
      <c r="T39" s="235">
        <f ca="1">IFERROR(INDEX('Rate Tables'!$B$44:$D$47,MATCH($E39,'Rate Tables'!$B$44:$B$47,-1),2),INDEX('Rate Tables'!$B$44:$D$47,1,2))*40*R39+((40*S39)*IFERROR(INDEX('Rate Tables'!$B$44:$D$47,MATCH($E39,'Rate Tables'!$B$44:$B$47,-1),3),INDEX('Rate Tables'!$B$44:$D$47,1,3)))</f>
        <v>0</v>
      </c>
      <c r="U39" s="233"/>
      <c r="V39" s="683"/>
      <c r="W39" s="235">
        <f>INDEX('Rate Tables'!$B$51:$D$51,1,2)*40*U39+((40*V39)*INDEX('Rate Tables'!$B$51:$D$51,1,3))</f>
        <v>0</v>
      </c>
      <c r="X39" s="59"/>
      <c r="AJ39" s="233"/>
      <c r="AK39" s="233"/>
      <c r="AL39" s="683"/>
      <c r="AM39" s="235">
        <f t="shared" si="1"/>
        <v>0</v>
      </c>
    </row>
    <row r="40" spans="3:39" x14ac:dyDescent="0.25">
      <c r="C40" s="717"/>
      <c r="D40" s="230">
        <f t="shared" ca="1" si="0"/>
        <v>28</v>
      </c>
      <c r="E40" s="231">
        <f ca="1">IFERROR(OFFSET(E40,-1,0)+7,Settings!\cstart)</f>
        <v>43667</v>
      </c>
      <c r="F40" s="232">
        <v>1</v>
      </c>
      <c r="G40" s="683">
        <v>0.2</v>
      </c>
      <c r="H40" s="235">
        <f ca="1">IFERROR(INDEX('Rate Tables'!$B$5:$D$8,MATCH($E40,'Rate Tables'!$B$5:$B$8,-1),2),INDEX('Rate Tables'!$B$5:$D$8,1,2))*40*F40+((40*G40)*IFERROR(INDEX('Rate Tables'!$B$5:$D$8,MATCH($E40,'Rate Tables'!$B$5:$B$8,-1),3),INDEX('Rate Tables'!$B$5:$D$8,1,3)))</f>
        <v>5167.4832000000006</v>
      </c>
      <c r="I40" s="233">
        <f ca="1">(IF(AND(F40&gt;0,F40&lt;=1),F40,IF(F40&gt;1,1,0))*40*IFERROR(INDEX('Rate Tables'!$B$12:$D$15,MATCH($E40,'Rate Tables'!$B$12:$B$15,-1),2),INDEX('Rate Tables'!$B$12:$D$15,1,2))) + G40*40*IFERROR(INDEX('Rate Tables'!$B$12:$D$15,MATCH($E40,'Rate Tables'!$B$12:$B$15,-1),3),INDEX('Rate Tables'!$B$12:$D$15,1,3))</f>
        <v>5474.4624000000003</v>
      </c>
      <c r="J40" s="683"/>
      <c r="K40" s="235">
        <f ca="1">IFERROR(INDEX('Rate Tables'!$B$19:$D$22,MATCH($E40,'Rate Tables'!$B$19:$B$22,-1),2),INDEX('Rate Tables'!$B$19:$D$22,1,2))*40*I40+((40*J40)*IFERROR(INDEX('Rate Tables'!$B$19:$D$22,MATCH($E40,'Rate Tables'!$B$19:$B$22,-1),3),INDEX('Rate Tables'!$B$19:$D$22,1,3)))</f>
        <v>27473042.108160004</v>
      </c>
      <c r="L40" s="233"/>
      <c r="M40" s="683"/>
      <c r="N40" s="235">
        <f>INDEX('Rate Tables'!$B$33:$D$33,1,2)*40*L40+((40*M40)*INDEX('Rate Tables'!$B$33:$D$33,1,3))</f>
        <v>0</v>
      </c>
      <c r="O40" s="233"/>
      <c r="P40" s="683"/>
      <c r="Q40" s="235">
        <f ca="1">IFERROR(INDEX('Rate Tables'!$B$37:$D$40,MATCH($E40,'Rate Tables'!$B$37:$B$40,-1),2),INDEX('Rate Tables'!$B$37:$D$40,1,2))*40*O40+((40*P40)*IFERROR(INDEX('Rate Tables'!$B$37:$D$40,MATCH($E40,'Rate Tables'!$B$37:$B$40,-1),3),INDEX('Rate Tables'!$B$37:$D$40,1,3)))</f>
        <v>0</v>
      </c>
      <c r="R40" s="233"/>
      <c r="S40" s="683"/>
      <c r="T40" s="235">
        <f ca="1">IFERROR(INDEX('Rate Tables'!$B$44:$D$47,MATCH($E40,'Rate Tables'!$B$44:$B$47,-1),2),INDEX('Rate Tables'!$B$44:$D$47,1,2))*40*R40+((40*S40)*IFERROR(INDEX('Rate Tables'!$B$44:$D$47,MATCH($E40,'Rate Tables'!$B$44:$B$47,-1),3),INDEX('Rate Tables'!$B$44:$D$47,1,3)))</f>
        <v>0</v>
      </c>
      <c r="U40" s="233"/>
      <c r="V40" s="683"/>
      <c r="W40" s="235">
        <f>INDEX('Rate Tables'!$B$51:$D$51,1,2)*40*U40+((40*V40)*INDEX('Rate Tables'!$B$51:$D$51,1,3))</f>
        <v>0</v>
      </c>
      <c r="X40" s="59"/>
      <c r="AJ40" s="233"/>
      <c r="AK40" s="233"/>
      <c r="AL40" s="683"/>
      <c r="AM40" s="235">
        <f t="shared" si="1"/>
        <v>0</v>
      </c>
    </row>
    <row r="41" spans="3:39" x14ac:dyDescent="0.25">
      <c r="C41" s="717"/>
      <c r="D41" s="230">
        <f t="shared" ca="1" si="0"/>
        <v>29</v>
      </c>
      <c r="E41" s="231">
        <f ca="1">IFERROR(OFFSET(E41,-1,0)+7,Settings!\cstart)</f>
        <v>43674</v>
      </c>
      <c r="F41" s="232">
        <v>1</v>
      </c>
      <c r="G41" s="683">
        <v>0.2</v>
      </c>
      <c r="H41" s="235">
        <f ca="1">IFERROR(INDEX('Rate Tables'!$B$5:$D$8,MATCH($E41,'Rate Tables'!$B$5:$B$8,-1),2),INDEX('Rate Tables'!$B$5:$D$8,1,2))*40*F41+((40*G41)*IFERROR(INDEX('Rate Tables'!$B$5:$D$8,MATCH($E41,'Rate Tables'!$B$5:$B$8,-1),3),INDEX('Rate Tables'!$B$5:$D$8,1,3)))</f>
        <v>5167.4832000000006</v>
      </c>
      <c r="I41" s="233">
        <f ca="1">(IF(AND(F41&gt;0,F41&lt;=1),F41,IF(F41&gt;1,1,0))*40*IFERROR(INDEX('Rate Tables'!$B$12:$D$15,MATCH($E41,'Rate Tables'!$B$12:$B$15,-1),2),INDEX('Rate Tables'!$B$12:$D$15,1,2))) + G41*40*IFERROR(INDEX('Rate Tables'!$B$12:$D$15,MATCH($E41,'Rate Tables'!$B$12:$B$15,-1),3),INDEX('Rate Tables'!$B$12:$D$15,1,3))</f>
        <v>5474.4624000000003</v>
      </c>
      <c r="J41" s="683"/>
      <c r="K41" s="235">
        <f ca="1">IFERROR(INDEX('Rate Tables'!$B$19:$D$22,MATCH($E41,'Rate Tables'!$B$19:$B$22,-1),2),INDEX('Rate Tables'!$B$19:$D$22,1,2))*40*I41+((40*J41)*IFERROR(INDEX('Rate Tables'!$B$19:$D$22,MATCH($E41,'Rate Tables'!$B$19:$B$22,-1),3),INDEX('Rate Tables'!$B$19:$D$22,1,3)))</f>
        <v>27473042.108160004</v>
      </c>
      <c r="L41" s="233"/>
      <c r="M41" s="683"/>
      <c r="N41" s="235">
        <f>INDEX('Rate Tables'!$B$33:$D$33,1,2)*40*L41+((40*M41)*INDEX('Rate Tables'!$B$33:$D$33,1,3))</f>
        <v>0</v>
      </c>
      <c r="O41" s="233"/>
      <c r="P41" s="683"/>
      <c r="Q41" s="235">
        <f ca="1">IFERROR(INDEX('Rate Tables'!$B$37:$D$40,MATCH($E41,'Rate Tables'!$B$37:$B$40,-1),2),INDEX('Rate Tables'!$B$37:$D$40,1,2))*40*O41+((40*P41)*IFERROR(INDEX('Rate Tables'!$B$37:$D$40,MATCH($E41,'Rate Tables'!$B$37:$B$40,-1),3),INDEX('Rate Tables'!$B$37:$D$40,1,3)))</f>
        <v>0</v>
      </c>
      <c r="R41" s="233"/>
      <c r="S41" s="683"/>
      <c r="T41" s="235">
        <f ca="1">IFERROR(INDEX('Rate Tables'!$B$44:$D$47,MATCH($E41,'Rate Tables'!$B$44:$B$47,-1),2),INDEX('Rate Tables'!$B$44:$D$47,1,2))*40*R41+((40*S41)*IFERROR(INDEX('Rate Tables'!$B$44:$D$47,MATCH($E41,'Rate Tables'!$B$44:$B$47,-1),3),INDEX('Rate Tables'!$B$44:$D$47,1,3)))</f>
        <v>0</v>
      </c>
      <c r="U41" s="233"/>
      <c r="V41" s="683"/>
      <c r="W41" s="235">
        <f>INDEX('Rate Tables'!$B$51:$D$51,1,2)*40*U41+((40*V41)*INDEX('Rate Tables'!$B$51:$D$51,1,3))</f>
        <v>0</v>
      </c>
      <c r="X41" s="59"/>
      <c r="AJ41" s="233"/>
      <c r="AK41" s="233"/>
      <c r="AL41" s="683"/>
      <c r="AM41" s="235">
        <f t="shared" si="1"/>
        <v>0</v>
      </c>
    </row>
    <row r="42" spans="3:39" x14ac:dyDescent="0.25">
      <c r="C42" s="717"/>
      <c r="D42" s="230">
        <f t="shared" ca="1" si="0"/>
        <v>30</v>
      </c>
      <c r="E42" s="231">
        <f ca="1">IFERROR(OFFSET(E42,-1,0)+7,Settings!\cstart)</f>
        <v>43681</v>
      </c>
      <c r="F42" s="232">
        <v>1</v>
      </c>
      <c r="G42" s="683">
        <v>0.2</v>
      </c>
      <c r="H42" s="235">
        <f ca="1">IFERROR(INDEX('Rate Tables'!$B$5:$D$8,MATCH($E42,'Rate Tables'!$B$5:$B$8,-1),2),INDEX('Rate Tables'!$B$5:$D$8,1,2))*40*F42+((40*G42)*IFERROR(INDEX('Rate Tables'!$B$5:$D$8,MATCH($E42,'Rate Tables'!$B$5:$B$8,-1),3),INDEX('Rate Tables'!$B$5:$D$8,1,3)))</f>
        <v>5167.4832000000006</v>
      </c>
      <c r="I42" s="233">
        <f ca="1">(IF(AND(F42&gt;0,F42&lt;=1),F42,IF(F42&gt;1,1,0))*40*IFERROR(INDEX('Rate Tables'!$B$12:$D$15,MATCH($E42,'Rate Tables'!$B$12:$B$15,-1),2),INDEX('Rate Tables'!$B$12:$D$15,1,2))) + G42*40*IFERROR(INDEX('Rate Tables'!$B$12:$D$15,MATCH($E42,'Rate Tables'!$B$12:$B$15,-1),3),INDEX('Rate Tables'!$B$12:$D$15,1,3))</f>
        <v>5474.4624000000003</v>
      </c>
      <c r="J42" s="683"/>
      <c r="K42" s="235">
        <f ca="1">IFERROR(INDEX('Rate Tables'!$B$19:$D$22,MATCH($E42,'Rate Tables'!$B$19:$B$22,-1),2),INDEX('Rate Tables'!$B$19:$D$22,1,2))*40*I42+((40*J42)*IFERROR(INDEX('Rate Tables'!$B$19:$D$22,MATCH($E42,'Rate Tables'!$B$19:$B$22,-1),3),INDEX('Rate Tables'!$B$19:$D$22,1,3)))</f>
        <v>27473042.108160004</v>
      </c>
      <c r="L42" s="233"/>
      <c r="M42" s="683"/>
      <c r="N42" s="235">
        <f>INDEX('Rate Tables'!$B$33:$D$33,1,2)*40*L42+((40*M42)*INDEX('Rate Tables'!$B$33:$D$33,1,3))</f>
        <v>0</v>
      </c>
      <c r="O42" s="233"/>
      <c r="P42" s="683"/>
      <c r="Q42" s="235">
        <f ca="1">IFERROR(INDEX('Rate Tables'!$B$37:$D$40,MATCH($E42,'Rate Tables'!$B$37:$B$40,-1),2),INDEX('Rate Tables'!$B$37:$D$40,1,2))*40*O42+((40*P42)*IFERROR(INDEX('Rate Tables'!$B$37:$D$40,MATCH($E42,'Rate Tables'!$B$37:$B$40,-1),3),INDEX('Rate Tables'!$B$37:$D$40,1,3)))</f>
        <v>0</v>
      </c>
      <c r="R42" s="233"/>
      <c r="S42" s="683"/>
      <c r="T42" s="235">
        <f ca="1">IFERROR(INDEX('Rate Tables'!$B$44:$D$47,MATCH($E42,'Rate Tables'!$B$44:$B$47,-1),2),INDEX('Rate Tables'!$B$44:$D$47,1,2))*40*R42+((40*S42)*IFERROR(INDEX('Rate Tables'!$B$44:$D$47,MATCH($E42,'Rate Tables'!$B$44:$B$47,-1),3),INDEX('Rate Tables'!$B$44:$D$47,1,3)))</f>
        <v>0</v>
      </c>
      <c r="U42" s="233"/>
      <c r="V42" s="683"/>
      <c r="W42" s="235">
        <f>INDEX('Rate Tables'!$B$51:$D$51,1,2)*40*U42+((40*V42)*INDEX('Rate Tables'!$B$51:$D$51,1,3))</f>
        <v>0</v>
      </c>
      <c r="X42" s="59"/>
      <c r="AJ42" s="233"/>
      <c r="AK42" s="233"/>
      <c r="AL42" s="683"/>
      <c r="AM42" s="235">
        <f t="shared" si="1"/>
        <v>0</v>
      </c>
    </row>
    <row r="43" spans="3:39" x14ac:dyDescent="0.25">
      <c r="C43" s="717"/>
      <c r="D43" s="230">
        <f t="shared" ca="1" si="0"/>
        <v>31</v>
      </c>
      <c r="E43" s="231">
        <f ca="1">IFERROR(OFFSET(E43,-1,0)+7,Settings!\cstart)</f>
        <v>43688</v>
      </c>
      <c r="F43" s="232">
        <v>1</v>
      </c>
      <c r="G43" s="683">
        <v>0.2</v>
      </c>
      <c r="H43" s="235">
        <f ca="1">IFERROR(INDEX('Rate Tables'!$B$5:$D$8,MATCH($E43,'Rate Tables'!$B$5:$B$8,-1),2),INDEX('Rate Tables'!$B$5:$D$8,1,2))*40*F43+((40*G43)*IFERROR(INDEX('Rate Tables'!$B$5:$D$8,MATCH($E43,'Rate Tables'!$B$5:$B$8,-1),3),INDEX('Rate Tables'!$B$5:$D$8,1,3)))</f>
        <v>5167.4832000000006</v>
      </c>
      <c r="I43" s="233">
        <f ca="1">(IF(AND(F43&gt;0,F43&lt;=1),F43,IF(F43&gt;1,1,0))*40*IFERROR(INDEX('Rate Tables'!$B$12:$D$15,MATCH($E43,'Rate Tables'!$B$12:$B$15,-1),2),INDEX('Rate Tables'!$B$12:$D$15,1,2))) + G43*40*IFERROR(INDEX('Rate Tables'!$B$12:$D$15,MATCH($E43,'Rate Tables'!$B$12:$B$15,-1),3),INDEX('Rate Tables'!$B$12:$D$15,1,3))</f>
        <v>5474.4624000000003</v>
      </c>
      <c r="J43" s="683"/>
      <c r="K43" s="235">
        <f ca="1">IFERROR(INDEX('Rate Tables'!$B$19:$D$22,MATCH($E43,'Rate Tables'!$B$19:$B$22,-1),2),INDEX('Rate Tables'!$B$19:$D$22,1,2))*40*I43+((40*J43)*IFERROR(INDEX('Rate Tables'!$B$19:$D$22,MATCH($E43,'Rate Tables'!$B$19:$B$22,-1),3),INDEX('Rate Tables'!$B$19:$D$22,1,3)))</f>
        <v>27473042.108160004</v>
      </c>
      <c r="L43" s="233"/>
      <c r="M43" s="683"/>
      <c r="N43" s="235">
        <f>INDEX('Rate Tables'!$B$33:$D$33,1,2)*40*L43+((40*M43)*INDEX('Rate Tables'!$B$33:$D$33,1,3))</f>
        <v>0</v>
      </c>
      <c r="O43" s="233"/>
      <c r="P43" s="683"/>
      <c r="Q43" s="235">
        <f ca="1">IFERROR(INDEX('Rate Tables'!$B$37:$D$40,MATCH($E43,'Rate Tables'!$B$37:$B$40,-1),2),INDEX('Rate Tables'!$B$37:$D$40,1,2))*40*O43+((40*P43)*IFERROR(INDEX('Rate Tables'!$B$37:$D$40,MATCH($E43,'Rate Tables'!$B$37:$B$40,-1),3),INDEX('Rate Tables'!$B$37:$D$40,1,3)))</f>
        <v>0</v>
      </c>
      <c r="R43" s="233"/>
      <c r="S43" s="683"/>
      <c r="T43" s="235">
        <f ca="1">IFERROR(INDEX('Rate Tables'!$B$44:$D$47,MATCH($E43,'Rate Tables'!$B$44:$B$47,-1),2),INDEX('Rate Tables'!$B$44:$D$47,1,2))*40*R43+((40*S43)*IFERROR(INDEX('Rate Tables'!$B$44:$D$47,MATCH($E43,'Rate Tables'!$B$44:$B$47,-1),3),INDEX('Rate Tables'!$B$44:$D$47,1,3)))</f>
        <v>0</v>
      </c>
      <c r="U43" s="233"/>
      <c r="V43" s="683"/>
      <c r="W43" s="235">
        <f>INDEX('Rate Tables'!$B$51:$D$51,1,2)*40*U43+((40*V43)*INDEX('Rate Tables'!$B$51:$D$51,1,3))</f>
        <v>0</v>
      </c>
      <c r="X43" s="59"/>
      <c r="AJ43" s="233"/>
      <c r="AK43" s="233"/>
      <c r="AL43" s="683"/>
      <c r="AM43" s="235">
        <f t="shared" si="1"/>
        <v>0</v>
      </c>
    </row>
    <row r="44" spans="3:39" x14ac:dyDescent="0.25">
      <c r="C44" s="717"/>
      <c r="D44" s="230">
        <f t="shared" ca="1" si="0"/>
        <v>32</v>
      </c>
      <c r="E44" s="231">
        <f ca="1">IFERROR(OFFSET(E44,-1,0)+7,Settings!\cstart)</f>
        <v>43695</v>
      </c>
      <c r="F44" s="232">
        <v>1</v>
      </c>
      <c r="G44" s="683">
        <v>0.2</v>
      </c>
      <c r="H44" s="235">
        <f ca="1">IFERROR(INDEX('Rate Tables'!$B$5:$D$8,MATCH($E44,'Rate Tables'!$B$5:$B$8,-1),2),INDEX('Rate Tables'!$B$5:$D$8,1,2))*40*F44+((40*G44)*IFERROR(INDEX('Rate Tables'!$B$5:$D$8,MATCH($E44,'Rate Tables'!$B$5:$B$8,-1),3),INDEX('Rate Tables'!$B$5:$D$8,1,3)))</f>
        <v>5167.4832000000006</v>
      </c>
      <c r="I44" s="233">
        <f ca="1">(IF(AND(F44&gt;0,F44&lt;=1),F44,IF(F44&gt;1,1,0))*40*IFERROR(INDEX('Rate Tables'!$B$12:$D$15,MATCH($E44,'Rate Tables'!$B$12:$B$15,-1),2),INDEX('Rate Tables'!$B$12:$D$15,1,2))) + G44*40*IFERROR(INDEX('Rate Tables'!$B$12:$D$15,MATCH($E44,'Rate Tables'!$B$12:$B$15,-1),3),INDEX('Rate Tables'!$B$12:$D$15,1,3))</f>
        <v>5474.4624000000003</v>
      </c>
      <c r="J44" s="683"/>
      <c r="K44" s="235">
        <f ca="1">IFERROR(INDEX('Rate Tables'!$B$19:$D$22,MATCH($E44,'Rate Tables'!$B$19:$B$22,-1),2),INDEX('Rate Tables'!$B$19:$D$22,1,2))*40*I44+((40*J44)*IFERROR(INDEX('Rate Tables'!$B$19:$D$22,MATCH($E44,'Rate Tables'!$B$19:$B$22,-1),3),INDEX('Rate Tables'!$B$19:$D$22,1,3)))</f>
        <v>27473042.108160004</v>
      </c>
      <c r="L44" s="233"/>
      <c r="M44" s="683"/>
      <c r="N44" s="235">
        <f>INDEX('Rate Tables'!$B$33:$D$33,1,2)*40*L44+((40*M44)*INDEX('Rate Tables'!$B$33:$D$33,1,3))</f>
        <v>0</v>
      </c>
      <c r="O44" s="233"/>
      <c r="P44" s="683"/>
      <c r="Q44" s="235">
        <f ca="1">IFERROR(INDEX('Rate Tables'!$B$37:$D$40,MATCH($E44,'Rate Tables'!$B$37:$B$40,-1),2),INDEX('Rate Tables'!$B$37:$D$40,1,2))*40*O44+((40*P44)*IFERROR(INDEX('Rate Tables'!$B$37:$D$40,MATCH($E44,'Rate Tables'!$B$37:$B$40,-1),3),INDEX('Rate Tables'!$B$37:$D$40,1,3)))</f>
        <v>0</v>
      </c>
      <c r="R44" s="233"/>
      <c r="S44" s="683"/>
      <c r="T44" s="235">
        <f ca="1">IFERROR(INDEX('Rate Tables'!$B$44:$D$47,MATCH($E44,'Rate Tables'!$B$44:$B$47,-1),2),INDEX('Rate Tables'!$B$44:$D$47,1,2))*40*R44+((40*S44)*IFERROR(INDEX('Rate Tables'!$B$44:$D$47,MATCH($E44,'Rate Tables'!$B$44:$B$47,-1),3),INDEX('Rate Tables'!$B$44:$D$47,1,3)))</f>
        <v>0</v>
      </c>
      <c r="U44" s="233"/>
      <c r="V44" s="683"/>
      <c r="W44" s="235">
        <f>INDEX('Rate Tables'!$B$51:$D$51,1,2)*40*U44+((40*V44)*INDEX('Rate Tables'!$B$51:$D$51,1,3))</f>
        <v>0</v>
      </c>
      <c r="X44" s="59"/>
      <c r="AJ44" s="233"/>
      <c r="AK44" s="233"/>
      <c r="AL44" s="683"/>
      <c r="AM44" s="235">
        <f t="shared" si="1"/>
        <v>0</v>
      </c>
    </row>
    <row r="45" spans="3:39" x14ac:dyDescent="0.25">
      <c r="C45" s="717"/>
      <c r="D45" s="230">
        <f t="shared" ca="1" si="0"/>
        <v>33</v>
      </c>
      <c r="E45" s="231">
        <f ca="1">IFERROR(OFFSET(E45,-1,0)+7,Settings!\cstart)</f>
        <v>43702</v>
      </c>
      <c r="F45" s="232">
        <v>1</v>
      </c>
      <c r="G45" s="683">
        <v>0.2</v>
      </c>
      <c r="H45" s="235">
        <f ca="1">IFERROR(INDEX('Rate Tables'!$B$5:$D$8,MATCH($E45,'Rate Tables'!$B$5:$B$8,-1),2),INDEX('Rate Tables'!$B$5:$D$8,1,2))*40*F45+((40*G45)*IFERROR(INDEX('Rate Tables'!$B$5:$D$8,MATCH($E45,'Rate Tables'!$B$5:$B$8,-1),3),INDEX('Rate Tables'!$B$5:$D$8,1,3)))</f>
        <v>5167.4832000000006</v>
      </c>
      <c r="I45" s="233">
        <f ca="1">(IF(AND(F45&gt;0,F45&lt;=1),F45,IF(F45&gt;1,1,0))*40*IFERROR(INDEX('Rate Tables'!$B$12:$D$15,MATCH($E45,'Rate Tables'!$B$12:$B$15,-1),2),INDEX('Rate Tables'!$B$12:$D$15,1,2))) + G45*40*IFERROR(INDEX('Rate Tables'!$B$12:$D$15,MATCH($E45,'Rate Tables'!$B$12:$B$15,-1),3),INDEX('Rate Tables'!$B$12:$D$15,1,3))</f>
        <v>5474.4624000000003</v>
      </c>
      <c r="J45" s="683"/>
      <c r="K45" s="235">
        <f ca="1">IFERROR(INDEX('Rate Tables'!$B$19:$D$22,MATCH($E45,'Rate Tables'!$B$19:$B$22,-1),2),INDEX('Rate Tables'!$B$19:$D$22,1,2))*40*I45+((40*J45)*IFERROR(INDEX('Rate Tables'!$B$19:$D$22,MATCH($E45,'Rate Tables'!$B$19:$B$22,-1),3),INDEX('Rate Tables'!$B$19:$D$22,1,3)))</f>
        <v>27473042.108160004</v>
      </c>
      <c r="L45" s="233"/>
      <c r="M45" s="683"/>
      <c r="N45" s="235">
        <f>INDEX('Rate Tables'!$B$33:$D$33,1,2)*40*L45+((40*M45)*INDEX('Rate Tables'!$B$33:$D$33,1,3))</f>
        <v>0</v>
      </c>
      <c r="O45" s="233"/>
      <c r="P45" s="683"/>
      <c r="Q45" s="235">
        <f ca="1">IFERROR(INDEX('Rate Tables'!$B$37:$D$40,MATCH($E45,'Rate Tables'!$B$37:$B$40,-1),2),INDEX('Rate Tables'!$B$37:$D$40,1,2))*40*O45+((40*P45)*IFERROR(INDEX('Rate Tables'!$B$37:$D$40,MATCH($E45,'Rate Tables'!$B$37:$B$40,-1),3),INDEX('Rate Tables'!$B$37:$D$40,1,3)))</f>
        <v>0</v>
      </c>
      <c r="R45" s="233"/>
      <c r="S45" s="683"/>
      <c r="T45" s="235">
        <f ca="1">IFERROR(INDEX('Rate Tables'!$B$44:$D$47,MATCH($E45,'Rate Tables'!$B$44:$B$47,-1),2),INDEX('Rate Tables'!$B$44:$D$47,1,2))*40*R45+((40*S45)*IFERROR(INDEX('Rate Tables'!$B$44:$D$47,MATCH($E45,'Rate Tables'!$B$44:$B$47,-1),3),INDEX('Rate Tables'!$B$44:$D$47,1,3)))</f>
        <v>0</v>
      </c>
      <c r="U45" s="233"/>
      <c r="V45" s="683"/>
      <c r="W45" s="235">
        <f>INDEX('Rate Tables'!$B$51:$D$51,1,2)*40*U45+((40*V45)*INDEX('Rate Tables'!$B$51:$D$51,1,3))</f>
        <v>0</v>
      </c>
      <c r="X45" s="59"/>
      <c r="AJ45" s="233"/>
      <c r="AK45" s="233"/>
      <c r="AL45" s="683"/>
      <c r="AM45" s="235">
        <f t="shared" si="1"/>
        <v>0</v>
      </c>
    </row>
    <row r="46" spans="3:39" x14ac:dyDescent="0.25">
      <c r="C46" s="717"/>
      <c r="D46" s="230">
        <f t="shared" ca="1" si="0"/>
        <v>34</v>
      </c>
      <c r="E46" s="231">
        <f ca="1">IFERROR(OFFSET(E46,-1,0)+7,Settings!\cstart)</f>
        <v>43709</v>
      </c>
      <c r="F46" s="232">
        <v>1</v>
      </c>
      <c r="G46" s="683">
        <v>0.2</v>
      </c>
      <c r="H46" s="235">
        <f ca="1">IFERROR(INDEX('Rate Tables'!$B$5:$D$8,MATCH($E46,'Rate Tables'!$B$5:$B$8,-1),2),INDEX('Rate Tables'!$B$5:$D$8,1,2))*40*F46+((40*G46)*IFERROR(INDEX('Rate Tables'!$B$5:$D$8,MATCH($E46,'Rate Tables'!$B$5:$B$8,-1),3),INDEX('Rate Tables'!$B$5:$D$8,1,3)))</f>
        <v>5167.4832000000006</v>
      </c>
      <c r="I46" s="233">
        <f ca="1">(IF(AND(F46&gt;0,F46&lt;=1),F46,IF(F46&gt;1,1,0))*40*IFERROR(INDEX('Rate Tables'!$B$12:$D$15,MATCH($E46,'Rate Tables'!$B$12:$B$15,-1),2),INDEX('Rate Tables'!$B$12:$D$15,1,2))) + G46*40*IFERROR(INDEX('Rate Tables'!$B$12:$D$15,MATCH($E46,'Rate Tables'!$B$12:$B$15,-1),3),INDEX('Rate Tables'!$B$12:$D$15,1,3))</f>
        <v>5474.4624000000003</v>
      </c>
      <c r="J46" s="683"/>
      <c r="K46" s="235">
        <f ca="1">IFERROR(INDEX('Rate Tables'!$B$19:$D$22,MATCH($E46,'Rate Tables'!$B$19:$B$22,-1),2),INDEX('Rate Tables'!$B$19:$D$22,1,2))*40*I46+((40*J46)*IFERROR(INDEX('Rate Tables'!$B$19:$D$22,MATCH($E46,'Rate Tables'!$B$19:$B$22,-1),3),INDEX('Rate Tables'!$B$19:$D$22,1,3)))</f>
        <v>27473042.108160004</v>
      </c>
      <c r="L46" s="233"/>
      <c r="M46" s="683"/>
      <c r="N46" s="235">
        <f>INDEX('Rate Tables'!$B$33:$D$33,1,2)*40*L46+((40*M46)*INDEX('Rate Tables'!$B$33:$D$33,1,3))</f>
        <v>0</v>
      </c>
      <c r="O46" s="233"/>
      <c r="P46" s="683"/>
      <c r="Q46" s="235">
        <f ca="1">IFERROR(INDEX('Rate Tables'!$B$37:$D$40,MATCH($E46,'Rate Tables'!$B$37:$B$40,-1),2),INDEX('Rate Tables'!$B$37:$D$40,1,2))*40*O46+((40*P46)*IFERROR(INDEX('Rate Tables'!$B$37:$D$40,MATCH($E46,'Rate Tables'!$B$37:$B$40,-1),3),INDEX('Rate Tables'!$B$37:$D$40,1,3)))</f>
        <v>0</v>
      </c>
      <c r="R46" s="233"/>
      <c r="S46" s="683"/>
      <c r="T46" s="235">
        <f ca="1">IFERROR(INDEX('Rate Tables'!$B$44:$D$47,MATCH($E46,'Rate Tables'!$B$44:$B$47,-1),2),INDEX('Rate Tables'!$B$44:$D$47,1,2))*40*R46+((40*S46)*IFERROR(INDEX('Rate Tables'!$B$44:$D$47,MATCH($E46,'Rate Tables'!$B$44:$B$47,-1),3),INDEX('Rate Tables'!$B$44:$D$47,1,3)))</f>
        <v>0</v>
      </c>
      <c r="U46" s="233"/>
      <c r="V46" s="683"/>
      <c r="W46" s="235">
        <f>INDEX('Rate Tables'!$B$51:$D$51,1,2)*40*U46+((40*V46)*INDEX('Rate Tables'!$B$51:$D$51,1,3))</f>
        <v>0</v>
      </c>
      <c r="X46" s="59"/>
      <c r="AJ46" s="233"/>
      <c r="AK46" s="233"/>
      <c r="AL46" s="683"/>
      <c r="AM46" s="235">
        <f t="shared" si="1"/>
        <v>0</v>
      </c>
    </row>
    <row r="47" spans="3:39" x14ac:dyDescent="0.25">
      <c r="C47" s="717"/>
      <c r="D47" s="230">
        <f t="shared" ca="1" si="0"/>
        <v>35</v>
      </c>
      <c r="E47" s="231">
        <f ca="1">IFERROR(OFFSET(E47,-1,0)+7,Settings!\cstart)</f>
        <v>43716</v>
      </c>
      <c r="F47" s="232">
        <v>1</v>
      </c>
      <c r="G47" s="683">
        <v>0.2</v>
      </c>
      <c r="H47" s="235">
        <f ca="1">IFERROR(INDEX('Rate Tables'!$B$5:$D$8,MATCH($E47,'Rate Tables'!$B$5:$B$8,-1),2),INDEX('Rate Tables'!$B$5:$D$8,1,2))*40*F47+((40*G47)*IFERROR(INDEX('Rate Tables'!$B$5:$D$8,MATCH($E47,'Rate Tables'!$B$5:$B$8,-1),3),INDEX('Rate Tables'!$B$5:$D$8,1,3)))</f>
        <v>5167.4832000000006</v>
      </c>
      <c r="I47" s="233">
        <f ca="1">(IF(AND(F47&gt;0,F47&lt;=1),F47,IF(F47&gt;1,1,0))*40*IFERROR(INDEX('Rate Tables'!$B$12:$D$15,MATCH($E47,'Rate Tables'!$B$12:$B$15,-1),2),INDEX('Rate Tables'!$B$12:$D$15,1,2))) + G47*40*IFERROR(INDEX('Rate Tables'!$B$12:$D$15,MATCH($E47,'Rate Tables'!$B$12:$B$15,-1),3),INDEX('Rate Tables'!$B$12:$D$15,1,3))</f>
        <v>5474.4624000000003</v>
      </c>
      <c r="J47" s="683"/>
      <c r="K47" s="235">
        <f ca="1">IFERROR(INDEX('Rate Tables'!$B$19:$D$22,MATCH($E47,'Rate Tables'!$B$19:$B$22,-1),2),INDEX('Rate Tables'!$B$19:$D$22,1,2))*40*I47+((40*J47)*IFERROR(INDEX('Rate Tables'!$B$19:$D$22,MATCH($E47,'Rate Tables'!$B$19:$B$22,-1),3),INDEX('Rate Tables'!$B$19:$D$22,1,3)))</f>
        <v>27473042.108160004</v>
      </c>
      <c r="L47" s="233"/>
      <c r="M47" s="683"/>
      <c r="N47" s="235">
        <f>INDEX('Rate Tables'!$B$33:$D$33,1,2)*40*L47+((40*M47)*INDEX('Rate Tables'!$B$33:$D$33,1,3))</f>
        <v>0</v>
      </c>
      <c r="O47" s="233"/>
      <c r="P47" s="683"/>
      <c r="Q47" s="235">
        <f ca="1">IFERROR(INDEX('Rate Tables'!$B$37:$D$40,MATCH($E47,'Rate Tables'!$B$37:$B$40,-1),2),INDEX('Rate Tables'!$B$37:$D$40,1,2))*40*O47+((40*P47)*IFERROR(INDEX('Rate Tables'!$B$37:$D$40,MATCH($E47,'Rate Tables'!$B$37:$B$40,-1),3),INDEX('Rate Tables'!$B$37:$D$40,1,3)))</f>
        <v>0</v>
      </c>
      <c r="R47" s="233"/>
      <c r="S47" s="683"/>
      <c r="T47" s="235">
        <f ca="1">IFERROR(INDEX('Rate Tables'!$B$44:$D$47,MATCH($E47,'Rate Tables'!$B$44:$B$47,-1),2),INDEX('Rate Tables'!$B$44:$D$47,1,2))*40*R47+((40*S47)*IFERROR(INDEX('Rate Tables'!$B$44:$D$47,MATCH($E47,'Rate Tables'!$B$44:$B$47,-1),3),INDEX('Rate Tables'!$B$44:$D$47,1,3)))</f>
        <v>0</v>
      </c>
      <c r="U47" s="233"/>
      <c r="V47" s="683"/>
      <c r="W47" s="235">
        <f>INDEX('Rate Tables'!$B$51:$D$51,1,2)*40*U47+((40*V47)*INDEX('Rate Tables'!$B$51:$D$51,1,3))</f>
        <v>0</v>
      </c>
      <c r="X47" s="59"/>
      <c r="AJ47" s="233"/>
      <c r="AK47" s="233"/>
      <c r="AL47" s="683"/>
      <c r="AM47" s="235">
        <f t="shared" si="1"/>
        <v>0</v>
      </c>
    </row>
    <row r="48" spans="3:39" x14ac:dyDescent="0.25">
      <c r="C48" s="717"/>
      <c r="D48" s="230">
        <f t="shared" ca="1" si="0"/>
        <v>36</v>
      </c>
      <c r="E48" s="231">
        <f ca="1">IFERROR(OFFSET(E48,-1,0)+7,Settings!\cstart)</f>
        <v>43723</v>
      </c>
      <c r="F48" s="232">
        <v>1</v>
      </c>
      <c r="G48" s="683">
        <v>0.2</v>
      </c>
      <c r="H48" s="235">
        <f ca="1">IFERROR(INDEX('Rate Tables'!$B$5:$D$8,MATCH($E48,'Rate Tables'!$B$5:$B$8,-1),2),INDEX('Rate Tables'!$B$5:$D$8,1,2))*40*F48+((40*G48)*IFERROR(INDEX('Rate Tables'!$B$5:$D$8,MATCH($E48,'Rate Tables'!$B$5:$B$8,-1),3),INDEX('Rate Tables'!$B$5:$D$8,1,3)))</f>
        <v>5167.4832000000006</v>
      </c>
      <c r="I48" s="233">
        <f ca="1">(IF(AND(F48&gt;0,F48&lt;=1),F48,IF(F48&gt;1,1,0))*40*IFERROR(INDEX('Rate Tables'!$B$12:$D$15,MATCH($E48,'Rate Tables'!$B$12:$B$15,-1),2),INDEX('Rate Tables'!$B$12:$D$15,1,2))) + G48*40*IFERROR(INDEX('Rate Tables'!$B$12:$D$15,MATCH($E48,'Rate Tables'!$B$12:$B$15,-1),3),INDEX('Rate Tables'!$B$12:$D$15,1,3))</f>
        <v>5474.4624000000003</v>
      </c>
      <c r="J48" s="683"/>
      <c r="K48" s="235">
        <f ca="1">IFERROR(INDEX('Rate Tables'!$B$19:$D$22,MATCH($E48,'Rate Tables'!$B$19:$B$22,-1),2),INDEX('Rate Tables'!$B$19:$D$22,1,2))*40*I48+((40*J48)*IFERROR(INDEX('Rate Tables'!$B$19:$D$22,MATCH($E48,'Rate Tables'!$B$19:$B$22,-1),3),INDEX('Rate Tables'!$B$19:$D$22,1,3)))</f>
        <v>27473042.108160004</v>
      </c>
      <c r="L48" s="233"/>
      <c r="M48" s="683"/>
      <c r="N48" s="235">
        <f>INDEX('Rate Tables'!$B$33:$D$33,1,2)*40*L48+((40*M48)*INDEX('Rate Tables'!$B$33:$D$33,1,3))</f>
        <v>0</v>
      </c>
      <c r="O48" s="233"/>
      <c r="P48" s="683"/>
      <c r="Q48" s="235">
        <f ca="1">IFERROR(INDEX('Rate Tables'!$B$37:$D$40,MATCH($E48,'Rate Tables'!$B$37:$B$40,-1),2),INDEX('Rate Tables'!$B$37:$D$40,1,2))*40*O48+((40*P48)*IFERROR(INDEX('Rate Tables'!$B$37:$D$40,MATCH($E48,'Rate Tables'!$B$37:$B$40,-1),3),INDEX('Rate Tables'!$B$37:$D$40,1,3)))</f>
        <v>0</v>
      </c>
      <c r="R48" s="233"/>
      <c r="S48" s="683"/>
      <c r="T48" s="235">
        <f ca="1">IFERROR(INDEX('Rate Tables'!$B$44:$D$47,MATCH($E48,'Rate Tables'!$B$44:$B$47,-1),2),INDEX('Rate Tables'!$B$44:$D$47,1,2))*40*R48+((40*S48)*IFERROR(INDEX('Rate Tables'!$B$44:$D$47,MATCH($E48,'Rate Tables'!$B$44:$B$47,-1),3),INDEX('Rate Tables'!$B$44:$D$47,1,3)))</f>
        <v>0</v>
      </c>
      <c r="U48" s="233"/>
      <c r="V48" s="683"/>
      <c r="W48" s="235">
        <f>INDEX('Rate Tables'!$B$51:$D$51,1,2)*40*U48+((40*V48)*INDEX('Rate Tables'!$B$51:$D$51,1,3))</f>
        <v>0</v>
      </c>
      <c r="X48" s="59"/>
      <c r="AJ48" s="233"/>
      <c r="AK48" s="233"/>
      <c r="AL48" s="683"/>
      <c r="AM48" s="235">
        <f t="shared" si="1"/>
        <v>0</v>
      </c>
    </row>
    <row r="49" spans="3:39" x14ac:dyDescent="0.25">
      <c r="C49" s="717"/>
      <c r="D49" s="230">
        <f t="shared" ca="1" si="0"/>
        <v>37</v>
      </c>
      <c r="E49" s="231">
        <f ca="1">IFERROR(OFFSET(E49,-1,0)+7,Settings!\cstart)</f>
        <v>43730</v>
      </c>
      <c r="F49" s="232">
        <v>1</v>
      </c>
      <c r="G49" s="683">
        <v>0.2</v>
      </c>
      <c r="H49" s="235">
        <f ca="1">IFERROR(INDEX('Rate Tables'!$B$5:$D$8,MATCH($E49,'Rate Tables'!$B$5:$B$8,-1),2),INDEX('Rate Tables'!$B$5:$D$8,1,2))*40*F49+((40*G49)*IFERROR(INDEX('Rate Tables'!$B$5:$D$8,MATCH($E49,'Rate Tables'!$B$5:$B$8,-1),3),INDEX('Rate Tables'!$B$5:$D$8,1,3)))</f>
        <v>5167.4832000000006</v>
      </c>
      <c r="I49" s="233">
        <f ca="1">(IF(AND(F49&gt;0,F49&lt;=1),F49,IF(F49&gt;1,1,0))*40*IFERROR(INDEX('Rate Tables'!$B$12:$D$15,MATCH($E49,'Rate Tables'!$B$12:$B$15,-1),2),INDEX('Rate Tables'!$B$12:$D$15,1,2))) + G49*40*IFERROR(INDEX('Rate Tables'!$B$12:$D$15,MATCH($E49,'Rate Tables'!$B$12:$B$15,-1),3),INDEX('Rate Tables'!$B$12:$D$15,1,3))</f>
        <v>5474.4624000000003</v>
      </c>
      <c r="J49" s="683"/>
      <c r="K49" s="235">
        <f ca="1">IFERROR(INDEX('Rate Tables'!$B$19:$D$22,MATCH($E49,'Rate Tables'!$B$19:$B$22,-1),2),INDEX('Rate Tables'!$B$19:$D$22,1,2))*40*I49+((40*J49)*IFERROR(INDEX('Rate Tables'!$B$19:$D$22,MATCH($E49,'Rate Tables'!$B$19:$B$22,-1),3),INDEX('Rate Tables'!$B$19:$D$22,1,3)))</f>
        <v>27473042.108160004</v>
      </c>
      <c r="L49" s="233"/>
      <c r="M49" s="683"/>
      <c r="N49" s="235">
        <f>INDEX('Rate Tables'!$B$33:$D$33,1,2)*40*L49+((40*M49)*INDEX('Rate Tables'!$B$33:$D$33,1,3))</f>
        <v>0</v>
      </c>
      <c r="O49" s="233"/>
      <c r="P49" s="683"/>
      <c r="Q49" s="235">
        <f ca="1">IFERROR(INDEX('Rate Tables'!$B$37:$D$40,MATCH($E49,'Rate Tables'!$B$37:$B$40,-1),2),INDEX('Rate Tables'!$B$37:$D$40,1,2))*40*O49+((40*P49)*IFERROR(INDEX('Rate Tables'!$B$37:$D$40,MATCH($E49,'Rate Tables'!$B$37:$B$40,-1),3),INDEX('Rate Tables'!$B$37:$D$40,1,3)))</f>
        <v>0</v>
      </c>
      <c r="R49" s="233"/>
      <c r="S49" s="683"/>
      <c r="T49" s="235">
        <f ca="1">IFERROR(INDEX('Rate Tables'!$B$44:$D$47,MATCH($E49,'Rate Tables'!$B$44:$B$47,-1),2),INDEX('Rate Tables'!$B$44:$D$47,1,2))*40*R49+((40*S49)*IFERROR(INDEX('Rate Tables'!$B$44:$D$47,MATCH($E49,'Rate Tables'!$B$44:$B$47,-1),3),INDEX('Rate Tables'!$B$44:$D$47,1,3)))</f>
        <v>0</v>
      </c>
      <c r="U49" s="233"/>
      <c r="V49" s="683"/>
      <c r="W49" s="235">
        <f>INDEX('Rate Tables'!$B$51:$D$51,1,2)*40*U49+((40*V49)*INDEX('Rate Tables'!$B$51:$D$51,1,3))</f>
        <v>0</v>
      </c>
      <c r="X49" s="59"/>
      <c r="AJ49" s="233"/>
      <c r="AK49" s="233"/>
      <c r="AL49" s="683"/>
      <c r="AM49" s="235">
        <f t="shared" si="1"/>
        <v>0</v>
      </c>
    </row>
    <row r="50" spans="3:39" x14ac:dyDescent="0.25">
      <c r="C50" s="717"/>
      <c r="D50" s="230">
        <f t="shared" ca="1" si="0"/>
        <v>38</v>
      </c>
      <c r="E50" s="231">
        <f ca="1">IFERROR(OFFSET(E50,-1,0)+7,Settings!\cstart)</f>
        <v>43737</v>
      </c>
      <c r="F50" s="232">
        <v>1</v>
      </c>
      <c r="G50" s="683">
        <v>0.2</v>
      </c>
      <c r="H50" s="235">
        <f ca="1">IFERROR(INDEX('Rate Tables'!$B$5:$D$8,MATCH($E50,'Rate Tables'!$B$5:$B$8,-1),2),INDEX('Rate Tables'!$B$5:$D$8,1,2))*40*F50+((40*G50)*IFERROR(INDEX('Rate Tables'!$B$5:$D$8,MATCH($E50,'Rate Tables'!$B$5:$B$8,-1),3),INDEX('Rate Tables'!$B$5:$D$8,1,3)))</f>
        <v>5167.4832000000006</v>
      </c>
      <c r="I50" s="233">
        <f ca="1">(IF(AND(F50&gt;0,F50&lt;=1),F50,IF(F50&gt;1,1,0))*40*IFERROR(INDEX('Rate Tables'!$B$12:$D$15,MATCH($E50,'Rate Tables'!$B$12:$B$15,-1),2),INDEX('Rate Tables'!$B$12:$D$15,1,2))) + G50*40*IFERROR(INDEX('Rate Tables'!$B$12:$D$15,MATCH($E50,'Rate Tables'!$B$12:$B$15,-1),3),INDEX('Rate Tables'!$B$12:$D$15,1,3))</f>
        <v>5474.4624000000003</v>
      </c>
      <c r="J50" s="683"/>
      <c r="K50" s="235">
        <f ca="1">IFERROR(INDEX('Rate Tables'!$B$19:$D$22,MATCH($E50,'Rate Tables'!$B$19:$B$22,-1),2),INDEX('Rate Tables'!$B$19:$D$22,1,2))*40*I50+((40*J50)*IFERROR(INDEX('Rate Tables'!$B$19:$D$22,MATCH($E50,'Rate Tables'!$B$19:$B$22,-1),3),INDEX('Rate Tables'!$B$19:$D$22,1,3)))</f>
        <v>27473042.108160004</v>
      </c>
      <c r="L50" s="233"/>
      <c r="M50" s="683"/>
      <c r="N50" s="235">
        <f>INDEX('Rate Tables'!$B$33:$D$33,1,2)*40*L50+((40*M50)*INDEX('Rate Tables'!$B$33:$D$33,1,3))</f>
        <v>0</v>
      </c>
      <c r="O50" s="233"/>
      <c r="P50" s="683"/>
      <c r="Q50" s="235">
        <f ca="1">IFERROR(INDEX('Rate Tables'!$B$37:$D$40,MATCH($E50,'Rate Tables'!$B$37:$B$40,-1),2),INDEX('Rate Tables'!$B$37:$D$40,1,2))*40*O50+((40*P50)*IFERROR(INDEX('Rate Tables'!$B$37:$D$40,MATCH($E50,'Rate Tables'!$B$37:$B$40,-1),3),INDEX('Rate Tables'!$B$37:$D$40,1,3)))</f>
        <v>0</v>
      </c>
      <c r="R50" s="233"/>
      <c r="S50" s="683"/>
      <c r="T50" s="235">
        <f ca="1">IFERROR(INDEX('Rate Tables'!$B$44:$D$47,MATCH($E50,'Rate Tables'!$B$44:$B$47,-1),2),INDEX('Rate Tables'!$B$44:$D$47,1,2))*40*R50+((40*S50)*IFERROR(INDEX('Rate Tables'!$B$44:$D$47,MATCH($E50,'Rate Tables'!$B$44:$B$47,-1),3),INDEX('Rate Tables'!$B$44:$D$47,1,3)))</f>
        <v>0</v>
      </c>
      <c r="U50" s="233"/>
      <c r="V50" s="683"/>
      <c r="W50" s="235">
        <f>INDEX('Rate Tables'!$B$51:$D$51,1,2)*40*U50+((40*V50)*INDEX('Rate Tables'!$B$51:$D$51,1,3))</f>
        <v>0</v>
      </c>
      <c r="X50" s="59"/>
      <c r="AJ50" s="233"/>
      <c r="AK50" s="233"/>
      <c r="AL50" s="683"/>
      <c r="AM50" s="235">
        <f t="shared" si="1"/>
        <v>0</v>
      </c>
    </row>
    <row r="51" spans="3:39" x14ac:dyDescent="0.25">
      <c r="C51" s="717"/>
      <c r="D51" s="230">
        <f t="shared" ca="1" si="0"/>
        <v>39</v>
      </c>
      <c r="E51" s="231">
        <f ca="1">IFERROR(OFFSET(E51,-1,0)+7,Settings!\cstart)</f>
        <v>43744</v>
      </c>
      <c r="F51" s="232">
        <v>1</v>
      </c>
      <c r="G51" s="683">
        <v>0.2</v>
      </c>
      <c r="H51" s="235">
        <f ca="1">IFERROR(INDEX('Rate Tables'!$B$5:$D$8,MATCH($E51,'Rate Tables'!$B$5:$B$8,-1),2),INDEX('Rate Tables'!$B$5:$D$8,1,2))*40*F51+((40*G51)*IFERROR(INDEX('Rate Tables'!$B$5:$D$8,MATCH($E51,'Rate Tables'!$B$5:$B$8,-1),3),INDEX('Rate Tables'!$B$5:$D$8,1,3)))</f>
        <v>5167.4832000000006</v>
      </c>
      <c r="I51" s="233">
        <f ca="1">(IF(AND(F51&gt;0,F51&lt;=1),F51,IF(F51&gt;1,1,0))*40*IFERROR(INDEX('Rate Tables'!$B$12:$D$15,MATCH($E51,'Rate Tables'!$B$12:$B$15,-1),2),INDEX('Rate Tables'!$B$12:$D$15,1,2))) + G51*40*IFERROR(INDEX('Rate Tables'!$B$12:$D$15,MATCH($E51,'Rate Tables'!$B$12:$B$15,-1),3),INDEX('Rate Tables'!$B$12:$D$15,1,3))</f>
        <v>5474.4624000000003</v>
      </c>
      <c r="J51" s="683"/>
      <c r="K51" s="235">
        <f ca="1">IFERROR(INDEX('Rate Tables'!$B$19:$D$22,MATCH($E51,'Rate Tables'!$B$19:$B$22,-1),2),INDEX('Rate Tables'!$B$19:$D$22,1,2))*40*I51+((40*J51)*IFERROR(INDEX('Rate Tables'!$B$19:$D$22,MATCH($E51,'Rate Tables'!$B$19:$B$22,-1),3),INDEX('Rate Tables'!$B$19:$D$22,1,3)))</f>
        <v>27473042.108160004</v>
      </c>
      <c r="L51" s="233"/>
      <c r="M51" s="683"/>
      <c r="N51" s="235">
        <f>INDEX('Rate Tables'!$B$33:$D$33,1,2)*40*L51+((40*M51)*INDEX('Rate Tables'!$B$33:$D$33,1,3))</f>
        <v>0</v>
      </c>
      <c r="O51" s="233"/>
      <c r="P51" s="683"/>
      <c r="Q51" s="235">
        <f ca="1">IFERROR(INDEX('Rate Tables'!$B$37:$D$40,MATCH($E51,'Rate Tables'!$B$37:$B$40,-1),2),INDEX('Rate Tables'!$B$37:$D$40,1,2))*40*O51+((40*P51)*IFERROR(INDEX('Rate Tables'!$B$37:$D$40,MATCH($E51,'Rate Tables'!$B$37:$B$40,-1),3),INDEX('Rate Tables'!$B$37:$D$40,1,3)))</f>
        <v>0</v>
      </c>
      <c r="R51" s="233"/>
      <c r="S51" s="683"/>
      <c r="T51" s="235">
        <f ca="1">IFERROR(INDEX('Rate Tables'!$B$44:$D$47,MATCH($E51,'Rate Tables'!$B$44:$B$47,-1),2),INDEX('Rate Tables'!$B$44:$D$47,1,2))*40*R51+((40*S51)*IFERROR(INDEX('Rate Tables'!$B$44:$D$47,MATCH($E51,'Rate Tables'!$B$44:$B$47,-1),3),INDEX('Rate Tables'!$B$44:$D$47,1,3)))</f>
        <v>0</v>
      </c>
      <c r="U51" s="233"/>
      <c r="V51" s="683"/>
      <c r="W51" s="235">
        <f>INDEX('Rate Tables'!$B$51:$D$51,1,2)*40*U51+((40*V51)*INDEX('Rate Tables'!$B$51:$D$51,1,3))</f>
        <v>0</v>
      </c>
      <c r="X51" s="59"/>
      <c r="AJ51" s="233"/>
      <c r="AK51" s="233"/>
      <c r="AL51" s="683"/>
      <c r="AM51" s="235">
        <f t="shared" si="1"/>
        <v>0</v>
      </c>
    </row>
    <row r="52" spans="3:39" x14ac:dyDescent="0.25">
      <c r="C52" s="717"/>
      <c r="D52" s="230">
        <f t="shared" ca="1" si="0"/>
        <v>40</v>
      </c>
      <c r="E52" s="231">
        <f ca="1">IFERROR(OFFSET(E52,-1,0)+7,Settings!\cstart)</f>
        <v>43751</v>
      </c>
      <c r="F52" s="232">
        <v>1</v>
      </c>
      <c r="G52" s="683">
        <v>0.2</v>
      </c>
      <c r="H52" s="235">
        <f ca="1">IFERROR(INDEX('Rate Tables'!$B$5:$D$8,MATCH($E52,'Rate Tables'!$B$5:$B$8,-1),2),INDEX('Rate Tables'!$B$5:$D$8,1,2))*40*F52+((40*G52)*IFERROR(INDEX('Rate Tables'!$B$5:$D$8,MATCH($E52,'Rate Tables'!$B$5:$B$8,-1),3),INDEX('Rate Tables'!$B$5:$D$8,1,3)))</f>
        <v>5167.4832000000006</v>
      </c>
      <c r="I52" s="233">
        <f ca="1">(IF(AND(F52&gt;0,F52&lt;=1),F52,IF(F52&gt;1,1,0))*40*IFERROR(INDEX('Rate Tables'!$B$12:$D$15,MATCH($E52,'Rate Tables'!$B$12:$B$15,-1),2),INDEX('Rate Tables'!$B$12:$D$15,1,2))) + G52*40*IFERROR(INDEX('Rate Tables'!$B$12:$D$15,MATCH($E52,'Rate Tables'!$B$12:$B$15,-1),3),INDEX('Rate Tables'!$B$12:$D$15,1,3))</f>
        <v>5474.4624000000003</v>
      </c>
      <c r="J52" s="683"/>
      <c r="K52" s="235">
        <f ca="1">IFERROR(INDEX('Rate Tables'!$B$19:$D$22,MATCH($E52,'Rate Tables'!$B$19:$B$22,-1),2),INDEX('Rate Tables'!$B$19:$D$22,1,2))*40*I52+((40*J52)*IFERROR(INDEX('Rate Tables'!$B$19:$D$22,MATCH($E52,'Rate Tables'!$B$19:$B$22,-1),3),INDEX('Rate Tables'!$B$19:$D$22,1,3)))</f>
        <v>27473042.108160004</v>
      </c>
      <c r="L52" s="233"/>
      <c r="M52" s="683"/>
      <c r="N52" s="235">
        <f>INDEX('Rate Tables'!$B$33:$D$33,1,2)*40*L52+((40*M52)*INDEX('Rate Tables'!$B$33:$D$33,1,3))</f>
        <v>0</v>
      </c>
      <c r="O52" s="233"/>
      <c r="P52" s="683"/>
      <c r="Q52" s="235">
        <f ca="1">IFERROR(INDEX('Rate Tables'!$B$37:$D$40,MATCH($E52,'Rate Tables'!$B$37:$B$40,-1),2),INDEX('Rate Tables'!$B$37:$D$40,1,2))*40*O52+((40*P52)*IFERROR(INDEX('Rate Tables'!$B$37:$D$40,MATCH($E52,'Rate Tables'!$B$37:$B$40,-1),3),INDEX('Rate Tables'!$B$37:$D$40,1,3)))</f>
        <v>0</v>
      </c>
      <c r="R52" s="233"/>
      <c r="S52" s="683"/>
      <c r="T52" s="235">
        <f ca="1">IFERROR(INDEX('Rate Tables'!$B$44:$D$47,MATCH($E52,'Rate Tables'!$B$44:$B$47,-1),2),INDEX('Rate Tables'!$B$44:$D$47,1,2))*40*R52+((40*S52)*IFERROR(INDEX('Rate Tables'!$B$44:$D$47,MATCH($E52,'Rate Tables'!$B$44:$B$47,-1),3),INDEX('Rate Tables'!$B$44:$D$47,1,3)))</f>
        <v>0</v>
      </c>
      <c r="U52" s="233"/>
      <c r="V52" s="683"/>
      <c r="W52" s="235">
        <f>INDEX('Rate Tables'!$B$51:$D$51,1,2)*40*U52+((40*V52)*INDEX('Rate Tables'!$B$51:$D$51,1,3))</f>
        <v>0</v>
      </c>
      <c r="X52" s="59"/>
      <c r="AJ52" s="233"/>
      <c r="AK52" s="233"/>
      <c r="AL52" s="683"/>
      <c r="AM52" s="235">
        <f t="shared" si="1"/>
        <v>0</v>
      </c>
    </row>
    <row r="53" spans="3:39" x14ac:dyDescent="0.25">
      <c r="C53" s="717"/>
      <c r="D53" s="230">
        <f t="shared" ca="1" si="0"/>
        <v>41</v>
      </c>
      <c r="E53" s="231">
        <f ca="1">IFERROR(OFFSET(E53,-1,0)+7,Settings!\cstart)</f>
        <v>43758</v>
      </c>
      <c r="F53" s="232">
        <v>1</v>
      </c>
      <c r="G53" s="683">
        <v>0.2</v>
      </c>
      <c r="H53" s="235">
        <f ca="1">IFERROR(INDEX('Rate Tables'!$B$5:$D$8,MATCH($E53,'Rate Tables'!$B$5:$B$8,-1),2),INDEX('Rate Tables'!$B$5:$D$8,1,2))*40*F53+((40*G53)*IFERROR(INDEX('Rate Tables'!$B$5:$D$8,MATCH($E53,'Rate Tables'!$B$5:$B$8,-1),3),INDEX('Rate Tables'!$B$5:$D$8,1,3)))</f>
        <v>5167.4832000000006</v>
      </c>
      <c r="I53" s="233">
        <f ca="1">(IF(AND(F53&gt;0,F53&lt;=1),F53,IF(F53&gt;1,1,0))*40*IFERROR(INDEX('Rate Tables'!$B$12:$D$15,MATCH($E53,'Rate Tables'!$B$12:$B$15,-1),2),INDEX('Rate Tables'!$B$12:$D$15,1,2))) + G53*40*IFERROR(INDEX('Rate Tables'!$B$12:$D$15,MATCH($E53,'Rate Tables'!$B$12:$B$15,-1),3),INDEX('Rate Tables'!$B$12:$D$15,1,3))</f>
        <v>5474.4624000000003</v>
      </c>
      <c r="J53" s="683"/>
      <c r="K53" s="235">
        <f ca="1">IFERROR(INDEX('Rate Tables'!$B$19:$D$22,MATCH($E53,'Rate Tables'!$B$19:$B$22,-1),2),INDEX('Rate Tables'!$B$19:$D$22,1,2))*40*I53+((40*J53)*IFERROR(INDEX('Rate Tables'!$B$19:$D$22,MATCH($E53,'Rate Tables'!$B$19:$B$22,-1),3),INDEX('Rate Tables'!$B$19:$D$22,1,3)))</f>
        <v>27473042.108160004</v>
      </c>
      <c r="L53" s="233"/>
      <c r="M53" s="683"/>
      <c r="N53" s="235">
        <f>INDEX('Rate Tables'!$B$33:$D$33,1,2)*40*L53+((40*M53)*INDEX('Rate Tables'!$B$33:$D$33,1,3))</f>
        <v>0</v>
      </c>
      <c r="O53" s="233"/>
      <c r="P53" s="683"/>
      <c r="Q53" s="235">
        <f ca="1">IFERROR(INDEX('Rate Tables'!$B$37:$D$40,MATCH($E53,'Rate Tables'!$B$37:$B$40,-1),2),INDEX('Rate Tables'!$B$37:$D$40,1,2))*40*O53+((40*P53)*IFERROR(INDEX('Rate Tables'!$B$37:$D$40,MATCH($E53,'Rate Tables'!$B$37:$B$40,-1),3),INDEX('Rate Tables'!$B$37:$D$40,1,3)))</f>
        <v>0</v>
      </c>
      <c r="R53" s="233"/>
      <c r="S53" s="683"/>
      <c r="T53" s="235">
        <f ca="1">IFERROR(INDEX('Rate Tables'!$B$44:$D$47,MATCH($E53,'Rate Tables'!$B$44:$B$47,-1),2),INDEX('Rate Tables'!$B$44:$D$47,1,2))*40*R53+((40*S53)*IFERROR(INDEX('Rate Tables'!$B$44:$D$47,MATCH($E53,'Rate Tables'!$B$44:$B$47,-1),3),INDEX('Rate Tables'!$B$44:$D$47,1,3)))</f>
        <v>0</v>
      </c>
      <c r="U53" s="233"/>
      <c r="V53" s="683"/>
      <c r="W53" s="235">
        <f>INDEX('Rate Tables'!$B$51:$D$51,1,2)*40*U53+((40*V53)*INDEX('Rate Tables'!$B$51:$D$51,1,3))</f>
        <v>0</v>
      </c>
      <c r="X53" s="59"/>
      <c r="AJ53" s="233"/>
      <c r="AK53" s="233"/>
      <c r="AL53" s="683"/>
      <c r="AM53" s="235">
        <f t="shared" si="1"/>
        <v>0</v>
      </c>
    </row>
    <row r="54" spans="3:39" x14ac:dyDescent="0.25">
      <c r="C54" s="717"/>
      <c r="D54" s="230">
        <f t="shared" ca="1" si="0"/>
        <v>42</v>
      </c>
      <c r="E54" s="231">
        <f ca="1">IFERROR(OFFSET(E54,-1,0)+7,Settings!\cstart)</f>
        <v>43765</v>
      </c>
      <c r="F54" s="232">
        <v>1</v>
      </c>
      <c r="G54" s="683">
        <v>0.2</v>
      </c>
      <c r="H54" s="235">
        <f ca="1">IFERROR(INDEX('Rate Tables'!$B$5:$D$8,MATCH($E54,'Rate Tables'!$B$5:$B$8,-1),2),INDEX('Rate Tables'!$B$5:$D$8,1,2))*40*F54+((40*G54)*IFERROR(INDEX('Rate Tables'!$B$5:$D$8,MATCH($E54,'Rate Tables'!$B$5:$B$8,-1),3),INDEX('Rate Tables'!$B$5:$D$8,1,3)))</f>
        <v>5167.4832000000006</v>
      </c>
      <c r="I54" s="233">
        <f ca="1">(IF(AND(F54&gt;0,F54&lt;=1),F54,IF(F54&gt;1,1,0))*40*IFERROR(INDEX('Rate Tables'!$B$12:$D$15,MATCH($E54,'Rate Tables'!$B$12:$B$15,-1),2),INDEX('Rate Tables'!$B$12:$D$15,1,2))) + G54*40*IFERROR(INDEX('Rate Tables'!$B$12:$D$15,MATCH($E54,'Rate Tables'!$B$12:$B$15,-1),3),INDEX('Rate Tables'!$B$12:$D$15,1,3))</f>
        <v>5474.4624000000003</v>
      </c>
      <c r="J54" s="683"/>
      <c r="K54" s="235">
        <f ca="1">IFERROR(INDEX('Rate Tables'!$B$19:$D$22,MATCH($E54,'Rate Tables'!$B$19:$B$22,-1),2),INDEX('Rate Tables'!$B$19:$D$22,1,2))*40*I54+((40*J54)*IFERROR(INDEX('Rate Tables'!$B$19:$D$22,MATCH($E54,'Rate Tables'!$B$19:$B$22,-1),3),INDEX('Rate Tables'!$B$19:$D$22,1,3)))</f>
        <v>27473042.108160004</v>
      </c>
      <c r="L54" s="233"/>
      <c r="M54" s="683"/>
      <c r="N54" s="235">
        <f>INDEX('Rate Tables'!$B$33:$D$33,1,2)*40*L54+((40*M54)*INDEX('Rate Tables'!$B$33:$D$33,1,3))</f>
        <v>0</v>
      </c>
      <c r="O54" s="233"/>
      <c r="P54" s="683"/>
      <c r="Q54" s="235">
        <f ca="1">IFERROR(INDEX('Rate Tables'!$B$37:$D$40,MATCH($E54,'Rate Tables'!$B$37:$B$40,-1),2),INDEX('Rate Tables'!$B$37:$D$40,1,2))*40*O54+((40*P54)*IFERROR(INDEX('Rate Tables'!$B$37:$D$40,MATCH($E54,'Rate Tables'!$B$37:$B$40,-1),3),INDEX('Rate Tables'!$B$37:$D$40,1,3)))</f>
        <v>0</v>
      </c>
      <c r="R54" s="233"/>
      <c r="S54" s="683"/>
      <c r="T54" s="235">
        <f ca="1">IFERROR(INDEX('Rate Tables'!$B$44:$D$47,MATCH($E54,'Rate Tables'!$B$44:$B$47,-1),2),INDEX('Rate Tables'!$B$44:$D$47,1,2))*40*R54+((40*S54)*IFERROR(INDEX('Rate Tables'!$B$44:$D$47,MATCH($E54,'Rate Tables'!$B$44:$B$47,-1),3),INDEX('Rate Tables'!$B$44:$D$47,1,3)))</f>
        <v>0</v>
      </c>
      <c r="U54" s="233"/>
      <c r="V54" s="683"/>
      <c r="W54" s="235">
        <f>INDEX('Rate Tables'!$B$51:$D$51,1,2)*40*U54+((40*V54)*INDEX('Rate Tables'!$B$51:$D$51,1,3))</f>
        <v>0</v>
      </c>
      <c r="X54" s="59"/>
      <c r="AJ54" s="233"/>
      <c r="AK54" s="233"/>
      <c r="AL54" s="683"/>
      <c r="AM54" s="235">
        <f t="shared" si="1"/>
        <v>0</v>
      </c>
    </row>
    <row r="55" spans="3:39" x14ac:dyDescent="0.25">
      <c r="C55" s="717"/>
      <c r="D55" s="230">
        <f t="shared" ca="1" si="0"/>
        <v>43</v>
      </c>
      <c r="E55" s="231">
        <f ca="1">IFERROR(OFFSET(E55,-1,0)+7,Settings!\cstart)</f>
        <v>43772</v>
      </c>
      <c r="F55" s="232">
        <v>1</v>
      </c>
      <c r="G55" s="683">
        <v>0.2</v>
      </c>
      <c r="H55" s="235">
        <f ca="1">IFERROR(INDEX('Rate Tables'!$B$5:$D$8,MATCH($E55,'Rate Tables'!$B$5:$B$8,-1),2),INDEX('Rate Tables'!$B$5:$D$8,1,2))*40*F55+((40*G55)*IFERROR(INDEX('Rate Tables'!$B$5:$D$8,MATCH($E55,'Rate Tables'!$B$5:$B$8,-1),3),INDEX('Rate Tables'!$B$5:$D$8,1,3)))</f>
        <v>5167.4832000000006</v>
      </c>
      <c r="I55" s="233">
        <f ca="1">(IF(AND(F55&gt;0,F55&lt;=1),F55,IF(F55&gt;1,1,0))*40*IFERROR(INDEX('Rate Tables'!$B$12:$D$15,MATCH($E55,'Rate Tables'!$B$12:$B$15,-1),2),INDEX('Rate Tables'!$B$12:$D$15,1,2))) + G55*40*IFERROR(INDEX('Rate Tables'!$B$12:$D$15,MATCH($E55,'Rate Tables'!$B$12:$B$15,-1),3),INDEX('Rate Tables'!$B$12:$D$15,1,3))</f>
        <v>5474.4624000000003</v>
      </c>
      <c r="J55" s="683"/>
      <c r="K55" s="235">
        <f ca="1">IFERROR(INDEX('Rate Tables'!$B$19:$D$22,MATCH($E55,'Rate Tables'!$B$19:$B$22,-1),2),INDEX('Rate Tables'!$B$19:$D$22,1,2))*40*I55+((40*J55)*IFERROR(INDEX('Rate Tables'!$B$19:$D$22,MATCH($E55,'Rate Tables'!$B$19:$B$22,-1),3),INDEX('Rate Tables'!$B$19:$D$22,1,3)))</f>
        <v>27473042.108160004</v>
      </c>
      <c r="L55" s="233"/>
      <c r="M55" s="683"/>
      <c r="N55" s="235">
        <f>INDEX('Rate Tables'!$B$33:$D$33,1,2)*40*L55+((40*M55)*INDEX('Rate Tables'!$B$33:$D$33,1,3))</f>
        <v>0</v>
      </c>
      <c r="O55" s="233"/>
      <c r="P55" s="683"/>
      <c r="Q55" s="235">
        <f ca="1">IFERROR(INDEX('Rate Tables'!$B$37:$D$40,MATCH($E55,'Rate Tables'!$B$37:$B$40,-1),2),INDEX('Rate Tables'!$B$37:$D$40,1,2))*40*O55+((40*P55)*IFERROR(INDEX('Rate Tables'!$B$37:$D$40,MATCH($E55,'Rate Tables'!$B$37:$B$40,-1),3),INDEX('Rate Tables'!$B$37:$D$40,1,3)))</f>
        <v>0</v>
      </c>
      <c r="R55" s="233"/>
      <c r="S55" s="683"/>
      <c r="T55" s="235">
        <f ca="1">IFERROR(INDEX('Rate Tables'!$B$44:$D$47,MATCH($E55,'Rate Tables'!$B$44:$B$47,-1),2),INDEX('Rate Tables'!$B$44:$D$47,1,2))*40*R55+((40*S55)*IFERROR(INDEX('Rate Tables'!$B$44:$D$47,MATCH($E55,'Rate Tables'!$B$44:$B$47,-1),3),INDEX('Rate Tables'!$B$44:$D$47,1,3)))</f>
        <v>0</v>
      </c>
      <c r="U55" s="233"/>
      <c r="V55" s="683"/>
      <c r="W55" s="235">
        <f>INDEX('Rate Tables'!$B$51:$D$51,1,2)*40*U55+((40*V55)*INDEX('Rate Tables'!$B$51:$D$51,1,3))</f>
        <v>0</v>
      </c>
      <c r="X55" s="59"/>
      <c r="AJ55" s="233"/>
      <c r="AK55" s="233"/>
      <c r="AL55" s="683"/>
      <c r="AM55" s="235">
        <f t="shared" si="1"/>
        <v>0</v>
      </c>
    </row>
    <row r="56" spans="3:39" x14ac:dyDescent="0.25">
      <c r="C56" s="717"/>
      <c r="D56" s="230">
        <f t="shared" ca="1" si="0"/>
        <v>44</v>
      </c>
      <c r="E56" s="231">
        <f ca="1">IFERROR(OFFSET(E56,-1,0)+7,Settings!\cstart)</f>
        <v>43779</v>
      </c>
      <c r="F56" s="232">
        <v>1</v>
      </c>
      <c r="G56" s="683">
        <v>0.2</v>
      </c>
      <c r="H56" s="235">
        <f ca="1">IFERROR(INDEX('Rate Tables'!$B$5:$D$8,MATCH($E56,'Rate Tables'!$B$5:$B$8,-1),2),INDEX('Rate Tables'!$B$5:$D$8,1,2))*40*F56+((40*G56)*IFERROR(INDEX('Rate Tables'!$B$5:$D$8,MATCH($E56,'Rate Tables'!$B$5:$B$8,-1),3),INDEX('Rate Tables'!$B$5:$D$8,1,3)))</f>
        <v>5167.4832000000006</v>
      </c>
      <c r="I56" s="233">
        <f ca="1">(IF(AND(F56&gt;0,F56&lt;=1),F56,IF(F56&gt;1,1,0))*40*IFERROR(INDEX('Rate Tables'!$B$12:$D$15,MATCH($E56,'Rate Tables'!$B$12:$B$15,-1),2),INDEX('Rate Tables'!$B$12:$D$15,1,2))) + G56*40*IFERROR(INDEX('Rate Tables'!$B$12:$D$15,MATCH($E56,'Rate Tables'!$B$12:$B$15,-1),3),INDEX('Rate Tables'!$B$12:$D$15,1,3))</f>
        <v>5474.4624000000003</v>
      </c>
      <c r="J56" s="683"/>
      <c r="K56" s="235">
        <f ca="1">IFERROR(INDEX('Rate Tables'!$B$19:$D$22,MATCH($E56,'Rate Tables'!$B$19:$B$22,-1),2),INDEX('Rate Tables'!$B$19:$D$22,1,2))*40*I56+((40*J56)*IFERROR(INDEX('Rate Tables'!$B$19:$D$22,MATCH($E56,'Rate Tables'!$B$19:$B$22,-1),3),INDEX('Rate Tables'!$B$19:$D$22,1,3)))</f>
        <v>27473042.108160004</v>
      </c>
      <c r="L56" s="233"/>
      <c r="M56" s="683"/>
      <c r="N56" s="235">
        <f>INDEX('Rate Tables'!$B$33:$D$33,1,2)*40*L56+((40*M56)*INDEX('Rate Tables'!$B$33:$D$33,1,3))</f>
        <v>0</v>
      </c>
      <c r="O56" s="233"/>
      <c r="P56" s="683"/>
      <c r="Q56" s="235">
        <f ca="1">IFERROR(INDEX('Rate Tables'!$B$37:$D$40,MATCH($E56,'Rate Tables'!$B$37:$B$40,-1),2),INDEX('Rate Tables'!$B$37:$D$40,1,2))*40*O56+((40*P56)*IFERROR(INDEX('Rate Tables'!$B$37:$D$40,MATCH($E56,'Rate Tables'!$B$37:$B$40,-1),3),INDEX('Rate Tables'!$B$37:$D$40,1,3)))</f>
        <v>0</v>
      </c>
      <c r="R56" s="233"/>
      <c r="S56" s="683"/>
      <c r="T56" s="235">
        <f ca="1">IFERROR(INDEX('Rate Tables'!$B$44:$D$47,MATCH($E56,'Rate Tables'!$B$44:$B$47,-1),2),INDEX('Rate Tables'!$B$44:$D$47,1,2))*40*R56+((40*S56)*IFERROR(INDEX('Rate Tables'!$B$44:$D$47,MATCH($E56,'Rate Tables'!$B$44:$B$47,-1),3),INDEX('Rate Tables'!$B$44:$D$47,1,3)))</f>
        <v>0</v>
      </c>
      <c r="U56" s="233"/>
      <c r="V56" s="683"/>
      <c r="W56" s="235">
        <f>INDEX('Rate Tables'!$B$51:$D$51,1,2)*40*U56+((40*V56)*INDEX('Rate Tables'!$B$51:$D$51,1,3))</f>
        <v>0</v>
      </c>
      <c r="X56" s="59"/>
      <c r="AJ56" s="233"/>
      <c r="AK56" s="233"/>
      <c r="AL56" s="683"/>
      <c r="AM56" s="235">
        <f t="shared" si="1"/>
        <v>0</v>
      </c>
    </row>
    <row r="57" spans="3:39" x14ac:dyDescent="0.25">
      <c r="C57" s="717"/>
      <c r="D57" s="230">
        <f t="shared" ca="1" si="0"/>
        <v>45</v>
      </c>
      <c r="E57" s="231">
        <f ca="1">IFERROR(OFFSET(E57,-1,0)+7,Settings!\cstart)</f>
        <v>43786</v>
      </c>
      <c r="F57" s="232">
        <v>1</v>
      </c>
      <c r="G57" s="683">
        <v>0.2</v>
      </c>
      <c r="H57" s="235">
        <f ca="1">IFERROR(INDEX('Rate Tables'!$B$5:$D$8,MATCH($E57,'Rate Tables'!$B$5:$B$8,-1),2),INDEX('Rate Tables'!$B$5:$D$8,1,2))*40*F57+((40*G57)*IFERROR(INDEX('Rate Tables'!$B$5:$D$8,MATCH($E57,'Rate Tables'!$B$5:$B$8,-1),3),INDEX('Rate Tables'!$B$5:$D$8,1,3)))</f>
        <v>5167.4832000000006</v>
      </c>
      <c r="I57" s="233">
        <f ca="1">(IF(AND(F57&gt;0,F57&lt;=1),F57,IF(F57&gt;1,1,0))*40*IFERROR(INDEX('Rate Tables'!$B$12:$D$15,MATCH($E57,'Rate Tables'!$B$12:$B$15,-1),2),INDEX('Rate Tables'!$B$12:$D$15,1,2))) + G57*40*IFERROR(INDEX('Rate Tables'!$B$12:$D$15,MATCH($E57,'Rate Tables'!$B$12:$B$15,-1),3),INDEX('Rate Tables'!$B$12:$D$15,1,3))</f>
        <v>5474.4624000000003</v>
      </c>
      <c r="J57" s="683"/>
      <c r="K57" s="235">
        <f ca="1">IFERROR(INDEX('Rate Tables'!$B$19:$D$22,MATCH($E57,'Rate Tables'!$B$19:$B$22,-1),2),INDEX('Rate Tables'!$B$19:$D$22,1,2))*40*I57+((40*J57)*IFERROR(INDEX('Rate Tables'!$B$19:$D$22,MATCH($E57,'Rate Tables'!$B$19:$B$22,-1),3),INDEX('Rate Tables'!$B$19:$D$22,1,3)))</f>
        <v>27473042.108160004</v>
      </c>
      <c r="L57" s="233"/>
      <c r="M57" s="683"/>
      <c r="N57" s="235">
        <f>INDEX('Rate Tables'!$B$33:$D$33,1,2)*40*L57+((40*M57)*INDEX('Rate Tables'!$B$33:$D$33,1,3))</f>
        <v>0</v>
      </c>
      <c r="O57" s="233"/>
      <c r="P57" s="683"/>
      <c r="Q57" s="235">
        <f ca="1">IFERROR(INDEX('Rate Tables'!$B$37:$D$40,MATCH($E57,'Rate Tables'!$B$37:$B$40,-1),2),INDEX('Rate Tables'!$B$37:$D$40,1,2))*40*O57+((40*P57)*IFERROR(INDEX('Rate Tables'!$B$37:$D$40,MATCH($E57,'Rate Tables'!$B$37:$B$40,-1),3),INDEX('Rate Tables'!$B$37:$D$40,1,3)))</f>
        <v>0</v>
      </c>
      <c r="R57" s="233"/>
      <c r="S57" s="683"/>
      <c r="T57" s="235">
        <f ca="1">IFERROR(INDEX('Rate Tables'!$B$44:$D$47,MATCH($E57,'Rate Tables'!$B$44:$B$47,-1),2),INDEX('Rate Tables'!$B$44:$D$47,1,2))*40*R57+((40*S57)*IFERROR(INDEX('Rate Tables'!$B$44:$D$47,MATCH($E57,'Rate Tables'!$B$44:$B$47,-1),3),INDEX('Rate Tables'!$B$44:$D$47,1,3)))</f>
        <v>0</v>
      </c>
      <c r="U57" s="233"/>
      <c r="V57" s="683"/>
      <c r="W57" s="235">
        <f>INDEX('Rate Tables'!$B$51:$D$51,1,2)*40*U57+((40*V57)*INDEX('Rate Tables'!$B$51:$D$51,1,3))</f>
        <v>0</v>
      </c>
      <c r="X57" s="59"/>
      <c r="AJ57" s="233"/>
      <c r="AK57" s="233"/>
      <c r="AL57" s="683"/>
      <c r="AM57" s="235">
        <f t="shared" si="1"/>
        <v>0</v>
      </c>
    </row>
    <row r="58" spans="3:39" x14ac:dyDescent="0.25">
      <c r="C58" s="717"/>
      <c r="D58" s="230">
        <f t="shared" ca="1" si="0"/>
        <v>46</v>
      </c>
      <c r="E58" s="231">
        <f ca="1">IFERROR(OFFSET(E58,-1,0)+7,Settings!\cstart)</f>
        <v>43793</v>
      </c>
      <c r="F58" s="232">
        <v>1</v>
      </c>
      <c r="G58" s="683">
        <v>0.2</v>
      </c>
      <c r="H58" s="235">
        <f ca="1">IFERROR(INDEX('Rate Tables'!$B$5:$D$8,MATCH($E58,'Rate Tables'!$B$5:$B$8,-1),2),INDEX('Rate Tables'!$B$5:$D$8,1,2))*40*F58+((40*G58)*IFERROR(INDEX('Rate Tables'!$B$5:$D$8,MATCH($E58,'Rate Tables'!$B$5:$B$8,-1),3),INDEX('Rate Tables'!$B$5:$D$8,1,3)))</f>
        <v>5167.4832000000006</v>
      </c>
      <c r="I58" s="233">
        <f ca="1">(IF(AND(F58&gt;0,F58&lt;=1),F58,IF(F58&gt;1,1,0))*40*IFERROR(INDEX('Rate Tables'!$B$12:$D$15,MATCH($E58,'Rate Tables'!$B$12:$B$15,-1),2),INDEX('Rate Tables'!$B$12:$D$15,1,2))) + G58*40*IFERROR(INDEX('Rate Tables'!$B$12:$D$15,MATCH($E58,'Rate Tables'!$B$12:$B$15,-1),3),INDEX('Rate Tables'!$B$12:$D$15,1,3))</f>
        <v>5474.4624000000003</v>
      </c>
      <c r="J58" s="683"/>
      <c r="K58" s="235">
        <f ca="1">IFERROR(INDEX('Rate Tables'!$B$19:$D$22,MATCH($E58,'Rate Tables'!$B$19:$B$22,-1),2),INDEX('Rate Tables'!$B$19:$D$22,1,2))*40*I58+((40*J58)*IFERROR(INDEX('Rate Tables'!$B$19:$D$22,MATCH($E58,'Rate Tables'!$B$19:$B$22,-1),3),INDEX('Rate Tables'!$B$19:$D$22,1,3)))</f>
        <v>27473042.108160004</v>
      </c>
      <c r="L58" s="233"/>
      <c r="M58" s="683"/>
      <c r="N58" s="235">
        <f>INDEX('Rate Tables'!$B$33:$D$33,1,2)*40*L58+((40*M58)*INDEX('Rate Tables'!$B$33:$D$33,1,3))</f>
        <v>0</v>
      </c>
      <c r="O58" s="233"/>
      <c r="P58" s="683"/>
      <c r="Q58" s="235">
        <f ca="1">IFERROR(INDEX('Rate Tables'!$B$37:$D$40,MATCH($E58,'Rate Tables'!$B$37:$B$40,-1),2),INDEX('Rate Tables'!$B$37:$D$40,1,2))*40*O58+((40*P58)*IFERROR(INDEX('Rate Tables'!$B$37:$D$40,MATCH($E58,'Rate Tables'!$B$37:$B$40,-1),3),INDEX('Rate Tables'!$B$37:$D$40,1,3)))</f>
        <v>0</v>
      </c>
      <c r="R58" s="233"/>
      <c r="S58" s="683"/>
      <c r="T58" s="235">
        <f ca="1">IFERROR(INDEX('Rate Tables'!$B$44:$D$47,MATCH($E58,'Rate Tables'!$B$44:$B$47,-1),2),INDEX('Rate Tables'!$B$44:$D$47,1,2))*40*R58+((40*S58)*IFERROR(INDEX('Rate Tables'!$B$44:$D$47,MATCH($E58,'Rate Tables'!$B$44:$B$47,-1),3),INDEX('Rate Tables'!$B$44:$D$47,1,3)))</f>
        <v>0</v>
      </c>
      <c r="U58" s="233"/>
      <c r="V58" s="683"/>
      <c r="W58" s="235">
        <f>INDEX('Rate Tables'!$B$51:$D$51,1,2)*40*U58+((40*V58)*INDEX('Rate Tables'!$B$51:$D$51,1,3))</f>
        <v>0</v>
      </c>
      <c r="X58" s="59"/>
      <c r="AJ58" s="233"/>
      <c r="AK58" s="233"/>
      <c r="AL58" s="683"/>
      <c r="AM58" s="235">
        <f t="shared" si="1"/>
        <v>0</v>
      </c>
    </row>
    <row r="59" spans="3:39" x14ac:dyDescent="0.25">
      <c r="C59" s="717"/>
      <c r="D59" s="230">
        <f t="shared" ca="1" si="0"/>
        <v>47</v>
      </c>
      <c r="E59" s="231">
        <f ca="1">IFERROR(OFFSET(E59,-1,0)+7,Settings!\cstart)</f>
        <v>43800</v>
      </c>
      <c r="F59" s="232">
        <v>1</v>
      </c>
      <c r="G59" s="683">
        <v>0.2</v>
      </c>
      <c r="H59" s="235">
        <f ca="1">IFERROR(INDEX('Rate Tables'!$B$5:$D$8,MATCH($E59,'Rate Tables'!$B$5:$B$8,-1),2),INDEX('Rate Tables'!$B$5:$D$8,1,2))*40*F59+((40*G59)*IFERROR(INDEX('Rate Tables'!$B$5:$D$8,MATCH($E59,'Rate Tables'!$B$5:$B$8,-1),3),INDEX('Rate Tables'!$B$5:$D$8,1,3)))</f>
        <v>5167.4832000000006</v>
      </c>
      <c r="I59" s="233">
        <f ca="1">(IF(AND(F59&gt;0,F59&lt;=1),F59,IF(F59&gt;1,1,0))*40*IFERROR(INDEX('Rate Tables'!$B$12:$D$15,MATCH($E59,'Rate Tables'!$B$12:$B$15,-1),2),INDEX('Rate Tables'!$B$12:$D$15,1,2))) + G59*40*IFERROR(INDEX('Rate Tables'!$B$12:$D$15,MATCH($E59,'Rate Tables'!$B$12:$B$15,-1),3),INDEX('Rate Tables'!$B$12:$D$15,1,3))</f>
        <v>5474.4624000000003</v>
      </c>
      <c r="J59" s="683"/>
      <c r="K59" s="235">
        <f ca="1">IFERROR(INDEX('Rate Tables'!$B$19:$D$22,MATCH($E59,'Rate Tables'!$B$19:$B$22,-1),2),INDEX('Rate Tables'!$B$19:$D$22,1,2))*40*I59+((40*J59)*IFERROR(INDEX('Rate Tables'!$B$19:$D$22,MATCH($E59,'Rate Tables'!$B$19:$B$22,-1),3),INDEX('Rate Tables'!$B$19:$D$22,1,3)))</f>
        <v>27473042.108160004</v>
      </c>
      <c r="L59" s="233"/>
      <c r="M59" s="683"/>
      <c r="N59" s="235">
        <f>INDEX('Rate Tables'!$B$33:$D$33,1,2)*40*L59+((40*M59)*INDEX('Rate Tables'!$B$33:$D$33,1,3))</f>
        <v>0</v>
      </c>
      <c r="O59" s="233"/>
      <c r="P59" s="683"/>
      <c r="Q59" s="235">
        <f ca="1">IFERROR(INDEX('Rate Tables'!$B$37:$D$40,MATCH($E59,'Rate Tables'!$B$37:$B$40,-1),2),INDEX('Rate Tables'!$B$37:$D$40,1,2))*40*O59+((40*P59)*IFERROR(INDEX('Rate Tables'!$B$37:$D$40,MATCH($E59,'Rate Tables'!$B$37:$B$40,-1),3),INDEX('Rate Tables'!$B$37:$D$40,1,3)))</f>
        <v>0</v>
      </c>
      <c r="R59" s="233"/>
      <c r="S59" s="683"/>
      <c r="T59" s="235">
        <f ca="1">IFERROR(INDEX('Rate Tables'!$B$44:$D$47,MATCH($E59,'Rate Tables'!$B$44:$B$47,-1),2),INDEX('Rate Tables'!$B$44:$D$47,1,2))*40*R59+((40*S59)*IFERROR(INDEX('Rate Tables'!$B$44:$D$47,MATCH($E59,'Rate Tables'!$B$44:$B$47,-1),3),INDEX('Rate Tables'!$B$44:$D$47,1,3)))</f>
        <v>0</v>
      </c>
      <c r="U59" s="233"/>
      <c r="V59" s="683"/>
      <c r="W59" s="235">
        <f>INDEX('Rate Tables'!$B$51:$D$51,1,2)*40*U59+((40*V59)*INDEX('Rate Tables'!$B$51:$D$51,1,3))</f>
        <v>0</v>
      </c>
      <c r="X59" s="59"/>
      <c r="AJ59" s="233"/>
      <c r="AK59" s="233"/>
      <c r="AL59" s="683"/>
      <c r="AM59" s="235">
        <f t="shared" si="1"/>
        <v>0</v>
      </c>
    </row>
    <row r="60" spans="3:39" x14ac:dyDescent="0.25">
      <c r="C60" s="717"/>
      <c r="D60" s="230">
        <f t="shared" ca="1" si="0"/>
        <v>48</v>
      </c>
      <c r="E60" s="231">
        <f ca="1">IFERROR(OFFSET(E60,-1,0)+7,Settings!\cstart)</f>
        <v>43807</v>
      </c>
      <c r="F60" s="232">
        <v>1</v>
      </c>
      <c r="G60" s="683">
        <v>0.2</v>
      </c>
      <c r="H60" s="235">
        <f ca="1">IFERROR(INDEX('Rate Tables'!$B$5:$D$8,MATCH($E60,'Rate Tables'!$B$5:$B$8,-1),2),INDEX('Rate Tables'!$B$5:$D$8,1,2))*40*F60+((40*G60)*IFERROR(INDEX('Rate Tables'!$B$5:$D$8,MATCH($E60,'Rate Tables'!$B$5:$B$8,-1),3),INDEX('Rate Tables'!$B$5:$D$8,1,3)))</f>
        <v>5167.4832000000006</v>
      </c>
      <c r="I60" s="233">
        <f ca="1">(IF(AND(F60&gt;0,F60&lt;=1),F60,IF(F60&gt;1,1,0))*40*IFERROR(INDEX('Rate Tables'!$B$12:$D$15,MATCH($E60,'Rate Tables'!$B$12:$B$15,-1),2),INDEX('Rate Tables'!$B$12:$D$15,1,2))) + G60*40*IFERROR(INDEX('Rate Tables'!$B$12:$D$15,MATCH($E60,'Rate Tables'!$B$12:$B$15,-1),3),INDEX('Rate Tables'!$B$12:$D$15,1,3))</f>
        <v>5474.4624000000003</v>
      </c>
      <c r="J60" s="683"/>
      <c r="K60" s="235">
        <f ca="1">IFERROR(INDEX('Rate Tables'!$B$19:$D$22,MATCH($E60,'Rate Tables'!$B$19:$B$22,-1),2),INDEX('Rate Tables'!$B$19:$D$22,1,2))*40*I60+((40*J60)*IFERROR(INDEX('Rate Tables'!$B$19:$D$22,MATCH($E60,'Rate Tables'!$B$19:$B$22,-1),3),INDEX('Rate Tables'!$B$19:$D$22,1,3)))</f>
        <v>27473042.108160004</v>
      </c>
      <c r="L60" s="233"/>
      <c r="M60" s="683"/>
      <c r="N60" s="235">
        <f>INDEX('Rate Tables'!$B$33:$D$33,1,2)*40*L60+((40*M60)*INDEX('Rate Tables'!$B$33:$D$33,1,3))</f>
        <v>0</v>
      </c>
      <c r="O60" s="233"/>
      <c r="P60" s="683"/>
      <c r="Q60" s="235">
        <f ca="1">IFERROR(INDEX('Rate Tables'!$B$37:$D$40,MATCH($E60,'Rate Tables'!$B$37:$B$40,-1),2),INDEX('Rate Tables'!$B$37:$D$40,1,2))*40*O60+((40*P60)*IFERROR(INDEX('Rate Tables'!$B$37:$D$40,MATCH($E60,'Rate Tables'!$B$37:$B$40,-1),3),INDEX('Rate Tables'!$B$37:$D$40,1,3)))</f>
        <v>0</v>
      </c>
      <c r="R60" s="233"/>
      <c r="S60" s="683"/>
      <c r="T60" s="235">
        <f ca="1">IFERROR(INDEX('Rate Tables'!$B$44:$D$47,MATCH($E60,'Rate Tables'!$B$44:$B$47,-1),2),INDEX('Rate Tables'!$B$44:$D$47,1,2))*40*R60+((40*S60)*IFERROR(INDEX('Rate Tables'!$B$44:$D$47,MATCH($E60,'Rate Tables'!$B$44:$B$47,-1),3),INDEX('Rate Tables'!$B$44:$D$47,1,3)))</f>
        <v>0</v>
      </c>
      <c r="U60" s="233"/>
      <c r="V60" s="683"/>
      <c r="W60" s="235">
        <f>INDEX('Rate Tables'!$B$51:$D$51,1,2)*40*U60+((40*V60)*INDEX('Rate Tables'!$B$51:$D$51,1,3))</f>
        <v>0</v>
      </c>
      <c r="X60" s="59"/>
      <c r="AJ60" s="233"/>
      <c r="AK60" s="233"/>
      <c r="AL60" s="683"/>
      <c r="AM60" s="235">
        <f t="shared" si="1"/>
        <v>0</v>
      </c>
    </row>
    <row r="61" spans="3:39" x14ac:dyDescent="0.25">
      <c r="C61" s="717"/>
      <c r="D61" s="230">
        <f t="shared" ca="1" si="0"/>
        <v>49</v>
      </c>
      <c r="E61" s="231">
        <f ca="1">IFERROR(OFFSET(E61,-1,0)+7,Settings!\cstart)</f>
        <v>43814</v>
      </c>
      <c r="F61" s="232">
        <v>1</v>
      </c>
      <c r="G61" s="683">
        <v>0.2</v>
      </c>
      <c r="H61" s="235">
        <f ca="1">IFERROR(INDEX('Rate Tables'!$B$5:$D$8,MATCH($E61,'Rate Tables'!$B$5:$B$8,-1),2),INDEX('Rate Tables'!$B$5:$D$8,1,2))*40*F61+((40*G61)*IFERROR(INDEX('Rate Tables'!$B$5:$D$8,MATCH($E61,'Rate Tables'!$B$5:$B$8,-1),3),INDEX('Rate Tables'!$B$5:$D$8,1,3)))</f>
        <v>5167.4832000000006</v>
      </c>
      <c r="I61" s="233">
        <f ca="1">(IF(AND(F61&gt;0,F61&lt;=1),F61,IF(F61&gt;1,1,0))*40*IFERROR(INDEX('Rate Tables'!$B$12:$D$15,MATCH($E61,'Rate Tables'!$B$12:$B$15,-1),2),INDEX('Rate Tables'!$B$12:$D$15,1,2))) + G61*40*IFERROR(INDEX('Rate Tables'!$B$12:$D$15,MATCH($E61,'Rate Tables'!$B$12:$B$15,-1),3),INDEX('Rate Tables'!$B$12:$D$15,1,3))</f>
        <v>5474.4624000000003</v>
      </c>
      <c r="J61" s="683"/>
      <c r="K61" s="235">
        <f ca="1">IFERROR(INDEX('Rate Tables'!$B$19:$D$22,MATCH($E61,'Rate Tables'!$B$19:$B$22,-1),2),INDEX('Rate Tables'!$B$19:$D$22,1,2))*40*I61+((40*J61)*IFERROR(INDEX('Rate Tables'!$B$19:$D$22,MATCH($E61,'Rate Tables'!$B$19:$B$22,-1),3),INDEX('Rate Tables'!$B$19:$D$22,1,3)))</f>
        <v>27473042.108160004</v>
      </c>
      <c r="L61" s="233"/>
      <c r="M61" s="683"/>
      <c r="N61" s="235">
        <f>INDEX('Rate Tables'!$B$33:$D$33,1,2)*40*L61+((40*M61)*INDEX('Rate Tables'!$B$33:$D$33,1,3))</f>
        <v>0</v>
      </c>
      <c r="O61" s="233"/>
      <c r="P61" s="683"/>
      <c r="Q61" s="235">
        <f ca="1">IFERROR(INDEX('Rate Tables'!$B$37:$D$40,MATCH($E61,'Rate Tables'!$B$37:$B$40,-1),2),INDEX('Rate Tables'!$B$37:$D$40,1,2))*40*O61+((40*P61)*IFERROR(INDEX('Rate Tables'!$B$37:$D$40,MATCH($E61,'Rate Tables'!$B$37:$B$40,-1),3),INDEX('Rate Tables'!$B$37:$D$40,1,3)))</f>
        <v>0</v>
      </c>
      <c r="R61" s="233"/>
      <c r="S61" s="683"/>
      <c r="T61" s="235">
        <f ca="1">IFERROR(INDEX('Rate Tables'!$B$44:$D$47,MATCH($E61,'Rate Tables'!$B$44:$B$47,-1),2),INDEX('Rate Tables'!$B$44:$D$47,1,2))*40*R61+((40*S61)*IFERROR(INDEX('Rate Tables'!$B$44:$D$47,MATCH($E61,'Rate Tables'!$B$44:$B$47,-1),3),INDEX('Rate Tables'!$B$44:$D$47,1,3)))</f>
        <v>0</v>
      </c>
      <c r="U61" s="233"/>
      <c r="V61" s="683"/>
      <c r="W61" s="235">
        <f>INDEX('Rate Tables'!$B$51:$D$51,1,2)*40*U61+((40*V61)*INDEX('Rate Tables'!$B$51:$D$51,1,3))</f>
        <v>0</v>
      </c>
      <c r="X61" s="59"/>
      <c r="AJ61" s="233"/>
      <c r="AK61" s="233"/>
      <c r="AL61" s="683"/>
      <c r="AM61" s="235">
        <f t="shared" si="1"/>
        <v>0</v>
      </c>
    </row>
    <row r="62" spans="3:39" x14ac:dyDescent="0.25">
      <c r="C62" s="717"/>
      <c r="D62" s="230">
        <f t="shared" ca="1" si="0"/>
        <v>50</v>
      </c>
      <c r="E62" s="231">
        <f ca="1">IFERROR(OFFSET(E62,-1,0)+7,Settings!\cstart)</f>
        <v>43821</v>
      </c>
      <c r="F62" s="232">
        <v>1</v>
      </c>
      <c r="G62" s="683">
        <v>0.2</v>
      </c>
      <c r="H62" s="235">
        <f ca="1">IFERROR(INDEX('Rate Tables'!$B$5:$D$8,MATCH($E62,'Rate Tables'!$B$5:$B$8,-1),2),INDEX('Rate Tables'!$B$5:$D$8,1,2))*40*F62+((40*G62)*IFERROR(INDEX('Rate Tables'!$B$5:$D$8,MATCH($E62,'Rate Tables'!$B$5:$B$8,-1),3),INDEX('Rate Tables'!$B$5:$D$8,1,3)))</f>
        <v>5167.4832000000006</v>
      </c>
      <c r="I62" s="233">
        <f ca="1">(IF(AND(F62&gt;0,F62&lt;=1),F62,IF(F62&gt;1,1,0))*40*IFERROR(INDEX('Rate Tables'!$B$12:$D$15,MATCH($E62,'Rate Tables'!$B$12:$B$15,-1),2),INDEX('Rate Tables'!$B$12:$D$15,1,2))) + G62*40*IFERROR(INDEX('Rate Tables'!$B$12:$D$15,MATCH($E62,'Rate Tables'!$B$12:$B$15,-1),3),INDEX('Rate Tables'!$B$12:$D$15,1,3))</f>
        <v>5474.4624000000003</v>
      </c>
      <c r="J62" s="683"/>
      <c r="K62" s="235">
        <f ca="1">IFERROR(INDEX('Rate Tables'!$B$19:$D$22,MATCH($E62,'Rate Tables'!$B$19:$B$22,-1),2),INDEX('Rate Tables'!$B$19:$D$22,1,2))*40*I62+((40*J62)*IFERROR(INDEX('Rate Tables'!$B$19:$D$22,MATCH($E62,'Rate Tables'!$B$19:$B$22,-1),3),INDEX('Rate Tables'!$B$19:$D$22,1,3)))</f>
        <v>27473042.108160004</v>
      </c>
      <c r="L62" s="233"/>
      <c r="M62" s="683"/>
      <c r="N62" s="235">
        <f>INDEX('Rate Tables'!$B$33:$D$33,1,2)*40*L62+((40*M62)*INDEX('Rate Tables'!$B$33:$D$33,1,3))</f>
        <v>0</v>
      </c>
      <c r="O62" s="233"/>
      <c r="P62" s="683"/>
      <c r="Q62" s="235">
        <f ca="1">IFERROR(INDEX('Rate Tables'!$B$37:$D$40,MATCH($E62,'Rate Tables'!$B$37:$B$40,-1),2),INDEX('Rate Tables'!$B$37:$D$40,1,2))*40*O62+((40*P62)*IFERROR(INDEX('Rate Tables'!$B$37:$D$40,MATCH($E62,'Rate Tables'!$B$37:$B$40,-1),3),INDEX('Rate Tables'!$B$37:$D$40,1,3)))</f>
        <v>0</v>
      </c>
      <c r="R62" s="233"/>
      <c r="S62" s="683"/>
      <c r="T62" s="235">
        <f ca="1">IFERROR(INDEX('Rate Tables'!$B$44:$D$47,MATCH($E62,'Rate Tables'!$B$44:$B$47,-1),2),INDEX('Rate Tables'!$B$44:$D$47,1,2))*40*R62+((40*S62)*IFERROR(INDEX('Rate Tables'!$B$44:$D$47,MATCH($E62,'Rate Tables'!$B$44:$B$47,-1),3),INDEX('Rate Tables'!$B$44:$D$47,1,3)))</f>
        <v>0</v>
      </c>
      <c r="U62" s="233"/>
      <c r="V62" s="683"/>
      <c r="W62" s="235">
        <f>INDEX('Rate Tables'!$B$51:$D$51,1,2)*40*U62+((40*V62)*INDEX('Rate Tables'!$B$51:$D$51,1,3))</f>
        <v>0</v>
      </c>
      <c r="X62" s="59"/>
      <c r="AJ62" s="233"/>
      <c r="AK62" s="233"/>
      <c r="AL62" s="683"/>
      <c r="AM62" s="235">
        <f t="shared" si="1"/>
        <v>0</v>
      </c>
    </row>
    <row r="63" spans="3:39" x14ac:dyDescent="0.25">
      <c r="C63" s="717"/>
      <c r="D63" s="230">
        <f t="shared" ca="1" si="0"/>
        <v>51</v>
      </c>
      <c r="E63" s="231">
        <f ca="1">IFERROR(OFFSET(E63,-1,0)+7,Settings!\cstart)</f>
        <v>43828</v>
      </c>
      <c r="F63" s="232">
        <v>1</v>
      </c>
      <c r="G63" s="683">
        <v>0.2</v>
      </c>
      <c r="H63" s="235">
        <f ca="1">IFERROR(INDEX('Rate Tables'!$B$5:$D$8,MATCH($E63,'Rate Tables'!$B$5:$B$8,-1),2),INDEX('Rate Tables'!$B$5:$D$8,1,2))*40*F63+((40*G63)*IFERROR(INDEX('Rate Tables'!$B$5:$D$8,MATCH($E63,'Rate Tables'!$B$5:$B$8,-1),3),INDEX('Rate Tables'!$B$5:$D$8,1,3)))</f>
        <v>5167.4832000000006</v>
      </c>
      <c r="I63" s="233">
        <f ca="1">(IF(AND(F63&gt;0,F63&lt;=1),F63,IF(F63&gt;1,1,0))*40*IFERROR(INDEX('Rate Tables'!$B$12:$D$15,MATCH($E63,'Rate Tables'!$B$12:$B$15,-1),2),INDEX('Rate Tables'!$B$12:$D$15,1,2))) + G63*40*IFERROR(INDEX('Rate Tables'!$B$12:$D$15,MATCH($E63,'Rate Tables'!$B$12:$B$15,-1),3),INDEX('Rate Tables'!$B$12:$D$15,1,3))</f>
        <v>5474.4624000000003</v>
      </c>
      <c r="J63" s="683"/>
      <c r="K63" s="235">
        <f ca="1">IFERROR(INDEX('Rate Tables'!$B$19:$D$22,MATCH($E63,'Rate Tables'!$B$19:$B$22,-1),2),INDEX('Rate Tables'!$B$19:$D$22,1,2))*40*I63+((40*J63)*IFERROR(INDEX('Rate Tables'!$B$19:$D$22,MATCH($E63,'Rate Tables'!$B$19:$B$22,-1),3),INDEX('Rate Tables'!$B$19:$D$22,1,3)))</f>
        <v>27473042.108160004</v>
      </c>
      <c r="L63" s="233"/>
      <c r="M63" s="683"/>
      <c r="N63" s="235">
        <f>INDEX('Rate Tables'!$B$33:$D$33,1,2)*40*L63+((40*M63)*INDEX('Rate Tables'!$B$33:$D$33,1,3))</f>
        <v>0</v>
      </c>
      <c r="O63" s="233"/>
      <c r="P63" s="683"/>
      <c r="Q63" s="235">
        <f ca="1">IFERROR(INDEX('Rate Tables'!$B$37:$D$40,MATCH($E63,'Rate Tables'!$B$37:$B$40,-1),2),INDEX('Rate Tables'!$B$37:$D$40,1,2))*40*O63+((40*P63)*IFERROR(INDEX('Rate Tables'!$B$37:$D$40,MATCH($E63,'Rate Tables'!$B$37:$B$40,-1),3),INDEX('Rate Tables'!$B$37:$D$40,1,3)))</f>
        <v>0</v>
      </c>
      <c r="R63" s="233"/>
      <c r="S63" s="683"/>
      <c r="T63" s="235">
        <f ca="1">IFERROR(INDEX('Rate Tables'!$B$44:$D$47,MATCH($E63,'Rate Tables'!$B$44:$B$47,-1),2),INDEX('Rate Tables'!$B$44:$D$47,1,2))*40*R63+((40*S63)*IFERROR(INDEX('Rate Tables'!$B$44:$D$47,MATCH($E63,'Rate Tables'!$B$44:$B$47,-1),3),INDEX('Rate Tables'!$B$44:$D$47,1,3)))</f>
        <v>0</v>
      </c>
      <c r="U63" s="233"/>
      <c r="V63" s="683"/>
      <c r="W63" s="235">
        <f>INDEX('Rate Tables'!$B$51:$D$51,1,2)*40*U63+((40*V63)*INDEX('Rate Tables'!$B$51:$D$51,1,3))</f>
        <v>0</v>
      </c>
      <c r="X63" s="59"/>
      <c r="AJ63" s="233"/>
      <c r="AK63" s="233"/>
      <c r="AL63" s="683"/>
      <c r="AM63" s="235">
        <f t="shared" si="1"/>
        <v>0</v>
      </c>
    </row>
    <row r="64" spans="3:39" x14ac:dyDescent="0.25">
      <c r="C64" s="717"/>
      <c r="D64" s="230">
        <f t="shared" ca="1" si="0"/>
        <v>52</v>
      </c>
      <c r="E64" s="231">
        <f ca="1">IFERROR(OFFSET(E64,-1,0)+7,Settings!\cstart)</f>
        <v>43835</v>
      </c>
      <c r="F64" s="232">
        <v>1</v>
      </c>
      <c r="G64" s="683">
        <v>0.2</v>
      </c>
      <c r="H64" s="235">
        <f ca="1">IFERROR(INDEX('Rate Tables'!$B$5:$D$8,MATCH($E64,'Rate Tables'!$B$5:$B$8,-1),2),INDEX('Rate Tables'!$B$5:$D$8,1,2))*40*F64+((40*G64)*IFERROR(INDEX('Rate Tables'!$B$5:$D$8,MATCH($E64,'Rate Tables'!$B$5:$B$8,-1),3),INDEX('Rate Tables'!$B$5:$D$8,1,3)))</f>
        <v>5167.4832000000006</v>
      </c>
      <c r="I64" s="233">
        <f ca="1">(IF(AND(F64&gt;0,F64&lt;=1),F64,IF(F64&gt;1,1,0))*40*IFERROR(INDEX('Rate Tables'!$B$12:$D$15,MATCH($E64,'Rate Tables'!$B$12:$B$15,-1),2),INDEX('Rate Tables'!$B$12:$D$15,1,2))) + G64*40*IFERROR(INDEX('Rate Tables'!$B$12:$D$15,MATCH($E64,'Rate Tables'!$B$12:$B$15,-1),3),INDEX('Rate Tables'!$B$12:$D$15,1,3))</f>
        <v>5474.4624000000003</v>
      </c>
      <c r="J64" s="683"/>
      <c r="K64" s="235">
        <f ca="1">IFERROR(INDEX('Rate Tables'!$B$19:$D$22,MATCH($E64,'Rate Tables'!$B$19:$B$22,-1),2),INDEX('Rate Tables'!$B$19:$D$22,1,2))*40*I64+((40*J64)*IFERROR(INDEX('Rate Tables'!$B$19:$D$22,MATCH($E64,'Rate Tables'!$B$19:$B$22,-1),3),INDEX('Rate Tables'!$B$19:$D$22,1,3)))</f>
        <v>27473042.108160004</v>
      </c>
      <c r="L64" s="233"/>
      <c r="M64" s="683"/>
      <c r="N64" s="235">
        <f>INDEX('Rate Tables'!$B$33:$D$33,1,2)*40*L64+((40*M64)*INDEX('Rate Tables'!$B$33:$D$33,1,3))</f>
        <v>0</v>
      </c>
      <c r="O64" s="233"/>
      <c r="P64" s="683"/>
      <c r="Q64" s="235">
        <f ca="1">IFERROR(INDEX('Rate Tables'!$B$37:$D$40,MATCH($E64,'Rate Tables'!$B$37:$B$40,-1),2),INDEX('Rate Tables'!$B$37:$D$40,1,2))*40*O64+((40*P64)*IFERROR(INDEX('Rate Tables'!$B$37:$D$40,MATCH($E64,'Rate Tables'!$B$37:$B$40,-1),3),INDEX('Rate Tables'!$B$37:$D$40,1,3)))</f>
        <v>0</v>
      </c>
      <c r="R64" s="233"/>
      <c r="S64" s="683"/>
      <c r="T64" s="235">
        <f ca="1">IFERROR(INDEX('Rate Tables'!$B$44:$D$47,MATCH($E64,'Rate Tables'!$B$44:$B$47,-1),2),INDEX('Rate Tables'!$B$44:$D$47,1,2))*40*R64+((40*S64)*IFERROR(INDEX('Rate Tables'!$B$44:$D$47,MATCH($E64,'Rate Tables'!$B$44:$B$47,-1),3),INDEX('Rate Tables'!$B$44:$D$47,1,3)))</f>
        <v>0</v>
      </c>
      <c r="U64" s="233"/>
      <c r="V64" s="683"/>
      <c r="W64" s="235">
        <f>INDEX('Rate Tables'!$B$51:$D$51,1,2)*40*U64+((40*V64)*INDEX('Rate Tables'!$B$51:$D$51,1,3))</f>
        <v>0</v>
      </c>
      <c r="X64" s="59"/>
      <c r="AJ64" s="233"/>
      <c r="AK64" s="233"/>
      <c r="AL64" s="683"/>
      <c r="AM64" s="235">
        <f t="shared" si="1"/>
        <v>0</v>
      </c>
    </row>
    <row r="65" spans="3:39" x14ac:dyDescent="0.25">
      <c r="C65" s="717"/>
      <c r="D65" s="230">
        <f t="shared" ca="1" si="0"/>
        <v>53</v>
      </c>
      <c r="E65" s="231">
        <f ca="1">IFERROR(OFFSET(E65,-1,0)+7,Settings!\cstart)</f>
        <v>43842</v>
      </c>
      <c r="F65" s="232">
        <v>1</v>
      </c>
      <c r="G65" s="683">
        <v>0.2</v>
      </c>
      <c r="H65" s="235">
        <f ca="1">IFERROR(INDEX('Rate Tables'!$B$5:$D$8,MATCH($E65,'Rate Tables'!$B$5:$B$8,-1),2),INDEX('Rate Tables'!$B$5:$D$8,1,2))*40*F65+((40*G65)*IFERROR(INDEX('Rate Tables'!$B$5:$D$8,MATCH($E65,'Rate Tables'!$B$5:$B$8,-1),3),INDEX('Rate Tables'!$B$5:$D$8,1,3)))</f>
        <v>5167.4832000000006</v>
      </c>
      <c r="I65" s="233">
        <f ca="1">(IF(AND(F65&gt;0,F65&lt;=1),F65,IF(F65&gt;1,1,0))*40*IFERROR(INDEX('Rate Tables'!$B$12:$D$15,MATCH($E65,'Rate Tables'!$B$12:$B$15,-1),2),INDEX('Rate Tables'!$B$12:$D$15,1,2))) + G65*40*IFERROR(INDEX('Rate Tables'!$B$12:$D$15,MATCH($E65,'Rate Tables'!$B$12:$B$15,-1),3),INDEX('Rate Tables'!$B$12:$D$15,1,3))</f>
        <v>5474.4624000000003</v>
      </c>
      <c r="J65" s="683"/>
      <c r="K65" s="235">
        <f ca="1">IFERROR(INDEX('Rate Tables'!$B$19:$D$22,MATCH($E65,'Rate Tables'!$B$19:$B$22,-1),2),INDEX('Rate Tables'!$B$19:$D$22,1,2))*40*I65+((40*J65)*IFERROR(INDEX('Rate Tables'!$B$19:$D$22,MATCH($E65,'Rate Tables'!$B$19:$B$22,-1),3),INDEX('Rate Tables'!$B$19:$D$22,1,3)))</f>
        <v>27473042.108160004</v>
      </c>
      <c r="L65" s="233"/>
      <c r="M65" s="683"/>
      <c r="N65" s="235">
        <f>INDEX('Rate Tables'!$B$33:$D$33,1,2)*40*L65+((40*M65)*INDEX('Rate Tables'!$B$33:$D$33,1,3))</f>
        <v>0</v>
      </c>
      <c r="O65" s="233"/>
      <c r="P65" s="683"/>
      <c r="Q65" s="235">
        <f ca="1">IFERROR(INDEX('Rate Tables'!$B$37:$D$40,MATCH($E65,'Rate Tables'!$B$37:$B$40,-1),2),INDEX('Rate Tables'!$B$37:$D$40,1,2))*40*O65+((40*P65)*IFERROR(INDEX('Rate Tables'!$B$37:$D$40,MATCH($E65,'Rate Tables'!$B$37:$B$40,-1),3),INDEX('Rate Tables'!$B$37:$D$40,1,3)))</f>
        <v>0</v>
      </c>
      <c r="R65" s="233"/>
      <c r="S65" s="683"/>
      <c r="T65" s="235">
        <f ca="1">IFERROR(INDEX('Rate Tables'!$B$44:$D$47,MATCH($E65,'Rate Tables'!$B$44:$B$47,-1),2),INDEX('Rate Tables'!$B$44:$D$47,1,2))*40*R65+((40*S65)*IFERROR(INDEX('Rate Tables'!$B$44:$D$47,MATCH($E65,'Rate Tables'!$B$44:$B$47,-1),3),INDEX('Rate Tables'!$B$44:$D$47,1,3)))</f>
        <v>0</v>
      </c>
      <c r="U65" s="233"/>
      <c r="V65" s="683"/>
      <c r="W65" s="235">
        <f>INDEX('Rate Tables'!$B$51:$D$51,1,2)*40*U65+((40*V65)*INDEX('Rate Tables'!$B$51:$D$51,1,3))</f>
        <v>0</v>
      </c>
      <c r="X65" s="59"/>
      <c r="AJ65" s="233"/>
      <c r="AK65" s="233"/>
      <c r="AL65" s="683"/>
      <c r="AM65" s="235">
        <f t="shared" si="1"/>
        <v>0</v>
      </c>
    </row>
    <row r="66" spans="3:39" x14ac:dyDescent="0.25">
      <c r="C66" s="717"/>
      <c r="D66" s="230">
        <f t="shared" ca="1" si="0"/>
        <v>54</v>
      </c>
      <c r="E66" s="231">
        <f ca="1">IFERROR(OFFSET(E66,-1,0)+7,Settings!\cstart)</f>
        <v>43849</v>
      </c>
      <c r="F66" s="232">
        <v>1</v>
      </c>
      <c r="G66" s="683">
        <v>0.2</v>
      </c>
      <c r="H66" s="235">
        <f ca="1">IFERROR(INDEX('Rate Tables'!$B$5:$D$8,MATCH($E66,'Rate Tables'!$B$5:$B$8,-1),2),INDEX('Rate Tables'!$B$5:$D$8,1,2))*40*F66+((40*G66)*IFERROR(INDEX('Rate Tables'!$B$5:$D$8,MATCH($E66,'Rate Tables'!$B$5:$B$8,-1),3),INDEX('Rate Tables'!$B$5:$D$8,1,3)))</f>
        <v>5167.4832000000006</v>
      </c>
      <c r="I66" s="233">
        <f ca="1">(IF(AND(F66&gt;0,F66&lt;=1),F66,IF(F66&gt;1,1,0))*40*IFERROR(INDEX('Rate Tables'!$B$12:$D$15,MATCH($E66,'Rate Tables'!$B$12:$B$15,-1),2),INDEX('Rate Tables'!$B$12:$D$15,1,2))) + G66*40*IFERROR(INDEX('Rate Tables'!$B$12:$D$15,MATCH($E66,'Rate Tables'!$B$12:$B$15,-1),3),INDEX('Rate Tables'!$B$12:$D$15,1,3))</f>
        <v>5474.4624000000003</v>
      </c>
      <c r="J66" s="683"/>
      <c r="K66" s="235">
        <f ca="1">IFERROR(INDEX('Rate Tables'!$B$19:$D$22,MATCH($E66,'Rate Tables'!$B$19:$B$22,-1),2),INDEX('Rate Tables'!$B$19:$D$22,1,2))*40*I66+((40*J66)*IFERROR(INDEX('Rate Tables'!$B$19:$D$22,MATCH($E66,'Rate Tables'!$B$19:$B$22,-1),3),INDEX('Rate Tables'!$B$19:$D$22,1,3)))</f>
        <v>27473042.108160004</v>
      </c>
      <c r="L66" s="233"/>
      <c r="M66" s="683"/>
      <c r="N66" s="235">
        <f>INDEX('Rate Tables'!$B$33:$D$33,1,2)*40*L66+((40*M66)*INDEX('Rate Tables'!$B$33:$D$33,1,3))</f>
        <v>0</v>
      </c>
      <c r="O66" s="233"/>
      <c r="P66" s="683"/>
      <c r="Q66" s="235">
        <f ca="1">IFERROR(INDEX('Rate Tables'!$B$37:$D$40,MATCH($E66,'Rate Tables'!$B$37:$B$40,-1),2),INDEX('Rate Tables'!$B$37:$D$40,1,2))*40*O66+((40*P66)*IFERROR(INDEX('Rate Tables'!$B$37:$D$40,MATCH($E66,'Rate Tables'!$B$37:$B$40,-1),3),INDEX('Rate Tables'!$B$37:$D$40,1,3)))</f>
        <v>0</v>
      </c>
      <c r="R66" s="233"/>
      <c r="S66" s="683"/>
      <c r="T66" s="235">
        <f ca="1">IFERROR(INDEX('Rate Tables'!$B$44:$D$47,MATCH($E66,'Rate Tables'!$B$44:$B$47,-1),2),INDEX('Rate Tables'!$B$44:$D$47,1,2))*40*R66+((40*S66)*IFERROR(INDEX('Rate Tables'!$B$44:$D$47,MATCH($E66,'Rate Tables'!$B$44:$B$47,-1),3),INDEX('Rate Tables'!$B$44:$D$47,1,3)))</f>
        <v>0</v>
      </c>
      <c r="U66" s="233"/>
      <c r="V66" s="683"/>
      <c r="W66" s="235">
        <f>INDEX('Rate Tables'!$B$51:$D$51,1,2)*40*U66+((40*V66)*INDEX('Rate Tables'!$B$51:$D$51,1,3))</f>
        <v>0</v>
      </c>
      <c r="X66" s="59"/>
      <c r="AJ66" s="233"/>
      <c r="AK66" s="233"/>
      <c r="AL66" s="683"/>
      <c r="AM66" s="235">
        <f t="shared" si="1"/>
        <v>0</v>
      </c>
    </row>
    <row r="67" spans="3:39" x14ac:dyDescent="0.25">
      <c r="C67" s="717"/>
      <c r="D67" s="230">
        <f t="shared" ca="1" si="0"/>
        <v>55</v>
      </c>
      <c r="E67" s="231">
        <f ca="1">IFERROR(OFFSET(E67,-1,0)+7,Settings!\cstart)</f>
        <v>43856</v>
      </c>
      <c r="F67" s="232">
        <v>1</v>
      </c>
      <c r="G67" s="683">
        <v>0.2</v>
      </c>
      <c r="H67" s="235">
        <f ca="1">IFERROR(INDEX('Rate Tables'!$B$5:$D$8,MATCH($E67,'Rate Tables'!$B$5:$B$8,-1),2),INDEX('Rate Tables'!$B$5:$D$8,1,2))*40*F67+((40*G67)*IFERROR(INDEX('Rate Tables'!$B$5:$D$8,MATCH($E67,'Rate Tables'!$B$5:$B$8,-1),3),INDEX('Rate Tables'!$B$5:$D$8,1,3)))</f>
        <v>5167.4832000000006</v>
      </c>
      <c r="I67" s="233">
        <f ca="1">(IF(AND(F67&gt;0,F67&lt;=1),F67,IF(F67&gt;1,1,0))*40*IFERROR(INDEX('Rate Tables'!$B$12:$D$15,MATCH($E67,'Rate Tables'!$B$12:$B$15,-1),2),INDEX('Rate Tables'!$B$12:$D$15,1,2))) + G67*40*IFERROR(INDEX('Rate Tables'!$B$12:$D$15,MATCH($E67,'Rate Tables'!$B$12:$B$15,-1),3),INDEX('Rate Tables'!$B$12:$D$15,1,3))</f>
        <v>5474.4624000000003</v>
      </c>
      <c r="J67" s="683"/>
      <c r="K67" s="235">
        <f ca="1">IFERROR(INDEX('Rate Tables'!$B$19:$D$22,MATCH($E67,'Rate Tables'!$B$19:$B$22,-1),2),INDEX('Rate Tables'!$B$19:$D$22,1,2))*40*I67+((40*J67)*IFERROR(INDEX('Rate Tables'!$B$19:$D$22,MATCH($E67,'Rate Tables'!$B$19:$B$22,-1),3),INDEX('Rate Tables'!$B$19:$D$22,1,3)))</f>
        <v>27473042.108160004</v>
      </c>
      <c r="L67" s="233"/>
      <c r="M67" s="683"/>
      <c r="N67" s="235">
        <f>INDEX('Rate Tables'!$B$33:$D$33,1,2)*40*L67+((40*M67)*INDEX('Rate Tables'!$B$33:$D$33,1,3))</f>
        <v>0</v>
      </c>
      <c r="O67" s="233"/>
      <c r="P67" s="683"/>
      <c r="Q67" s="235">
        <f ca="1">IFERROR(INDEX('Rate Tables'!$B$37:$D$40,MATCH($E67,'Rate Tables'!$B$37:$B$40,-1),2),INDEX('Rate Tables'!$B$37:$D$40,1,2))*40*O67+((40*P67)*IFERROR(INDEX('Rate Tables'!$B$37:$D$40,MATCH($E67,'Rate Tables'!$B$37:$B$40,-1),3),INDEX('Rate Tables'!$B$37:$D$40,1,3)))</f>
        <v>0</v>
      </c>
      <c r="R67" s="233"/>
      <c r="S67" s="683"/>
      <c r="T67" s="235">
        <f ca="1">IFERROR(INDEX('Rate Tables'!$B$44:$D$47,MATCH($E67,'Rate Tables'!$B$44:$B$47,-1),2),INDEX('Rate Tables'!$B$44:$D$47,1,2))*40*R67+((40*S67)*IFERROR(INDEX('Rate Tables'!$B$44:$D$47,MATCH($E67,'Rate Tables'!$B$44:$B$47,-1),3),INDEX('Rate Tables'!$B$44:$D$47,1,3)))</f>
        <v>0</v>
      </c>
      <c r="U67" s="233"/>
      <c r="V67" s="683"/>
      <c r="W67" s="235">
        <f>INDEX('Rate Tables'!$B$51:$D$51,1,2)*40*U67+((40*V67)*INDEX('Rate Tables'!$B$51:$D$51,1,3))</f>
        <v>0</v>
      </c>
      <c r="X67" s="59"/>
      <c r="AJ67" s="233"/>
      <c r="AK67" s="233"/>
      <c r="AL67" s="683"/>
      <c r="AM67" s="235">
        <f t="shared" si="1"/>
        <v>0</v>
      </c>
    </row>
    <row r="68" spans="3:39" x14ac:dyDescent="0.25">
      <c r="C68" s="717"/>
      <c r="D68" s="230">
        <f t="shared" ca="1" si="0"/>
        <v>56</v>
      </c>
      <c r="E68" s="231">
        <f ca="1">IFERROR(OFFSET(E68,-1,0)+7,Settings!\cstart)</f>
        <v>43863</v>
      </c>
      <c r="F68" s="232">
        <v>1</v>
      </c>
      <c r="G68" s="683">
        <v>0.2</v>
      </c>
      <c r="H68" s="235">
        <f ca="1">IFERROR(INDEX('Rate Tables'!$B$5:$D$8,MATCH($E68,'Rate Tables'!$B$5:$B$8,-1),2),INDEX('Rate Tables'!$B$5:$D$8,1,2))*40*F68+((40*G68)*IFERROR(INDEX('Rate Tables'!$B$5:$D$8,MATCH($E68,'Rate Tables'!$B$5:$B$8,-1),3),INDEX('Rate Tables'!$B$5:$D$8,1,3)))</f>
        <v>5167.4832000000006</v>
      </c>
      <c r="I68" s="233">
        <f ca="1">(IF(AND(F68&gt;0,F68&lt;=1),F68,IF(F68&gt;1,1,0))*40*IFERROR(INDEX('Rate Tables'!$B$12:$D$15,MATCH($E68,'Rate Tables'!$B$12:$B$15,-1),2),INDEX('Rate Tables'!$B$12:$D$15,1,2))) + G68*40*IFERROR(INDEX('Rate Tables'!$B$12:$D$15,MATCH($E68,'Rate Tables'!$B$12:$B$15,-1),3),INDEX('Rate Tables'!$B$12:$D$15,1,3))</f>
        <v>5474.4624000000003</v>
      </c>
      <c r="J68" s="683"/>
      <c r="K68" s="235">
        <f ca="1">IFERROR(INDEX('Rate Tables'!$B$19:$D$22,MATCH($E68,'Rate Tables'!$B$19:$B$22,-1),2),INDEX('Rate Tables'!$B$19:$D$22,1,2))*40*I68+((40*J68)*IFERROR(INDEX('Rate Tables'!$B$19:$D$22,MATCH($E68,'Rate Tables'!$B$19:$B$22,-1),3),INDEX('Rate Tables'!$B$19:$D$22,1,3)))</f>
        <v>27473042.108160004</v>
      </c>
      <c r="L68" s="233"/>
      <c r="M68" s="683"/>
      <c r="N68" s="235">
        <f>INDEX('Rate Tables'!$B$33:$D$33,1,2)*40*L68+((40*M68)*INDEX('Rate Tables'!$B$33:$D$33,1,3))</f>
        <v>0</v>
      </c>
      <c r="O68" s="233"/>
      <c r="P68" s="683"/>
      <c r="Q68" s="235">
        <f ca="1">IFERROR(INDEX('Rate Tables'!$B$37:$D$40,MATCH($E68,'Rate Tables'!$B$37:$B$40,-1),2),INDEX('Rate Tables'!$B$37:$D$40,1,2))*40*O68+((40*P68)*IFERROR(INDEX('Rate Tables'!$B$37:$D$40,MATCH($E68,'Rate Tables'!$B$37:$B$40,-1),3),INDEX('Rate Tables'!$B$37:$D$40,1,3)))</f>
        <v>0</v>
      </c>
      <c r="R68" s="233"/>
      <c r="S68" s="683"/>
      <c r="T68" s="235">
        <f ca="1">IFERROR(INDEX('Rate Tables'!$B$44:$D$47,MATCH($E68,'Rate Tables'!$B$44:$B$47,-1),2),INDEX('Rate Tables'!$B$44:$D$47,1,2))*40*R68+((40*S68)*IFERROR(INDEX('Rate Tables'!$B$44:$D$47,MATCH($E68,'Rate Tables'!$B$44:$B$47,-1),3),INDEX('Rate Tables'!$B$44:$D$47,1,3)))</f>
        <v>0</v>
      </c>
      <c r="U68" s="233"/>
      <c r="V68" s="683"/>
      <c r="W68" s="235">
        <f>INDEX('Rate Tables'!$B$51:$D$51,1,2)*40*U68+((40*V68)*INDEX('Rate Tables'!$B$51:$D$51,1,3))</f>
        <v>0</v>
      </c>
      <c r="X68" s="59"/>
      <c r="AJ68" s="233"/>
      <c r="AK68" s="233"/>
      <c r="AL68" s="683"/>
      <c r="AM68" s="235">
        <f t="shared" si="1"/>
        <v>0</v>
      </c>
    </row>
    <row r="69" spans="3:39" x14ac:dyDescent="0.25">
      <c r="C69" s="717"/>
      <c r="D69" s="230">
        <f t="shared" ca="1" si="0"/>
        <v>57</v>
      </c>
      <c r="E69" s="231">
        <f ca="1">IFERROR(OFFSET(E69,-1,0)+7,Settings!\cstart)</f>
        <v>43870</v>
      </c>
      <c r="F69" s="232">
        <v>1</v>
      </c>
      <c r="G69" s="683">
        <v>0.2</v>
      </c>
      <c r="H69" s="235">
        <f ca="1">IFERROR(INDEX('Rate Tables'!$B$5:$D$8,MATCH($E69,'Rate Tables'!$B$5:$B$8,-1),2),INDEX('Rate Tables'!$B$5:$D$8,1,2))*40*F69+((40*G69)*IFERROR(INDEX('Rate Tables'!$B$5:$D$8,MATCH($E69,'Rate Tables'!$B$5:$B$8,-1),3),INDEX('Rate Tables'!$B$5:$D$8,1,3)))</f>
        <v>5167.4832000000006</v>
      </c>
      <c r="I69" s="233">
        <f ca="1">(IF(AND(F69&gt;0,F69&lt;=1),F69,IF(F69&gt;1,1,0))*40*IFERROR(INDEX('Rate Tables'!$B$12:$D$15,MATCH($E69,'Rate Tables'!$B$12:$B$15,-1),2),INDEX('Rate Tables'!$B$12:$D$15,1,2))) + G69*40*IFERROR(INDEX('Rate Tables'!$B$12:$D$15,MATCH($E69,'Rate Tables'!$B$12:$B$15,-1),3),INDEX('Rate Tables'!$B$12:$D$15,1,3))</f>
        <v>5474.4624000000003</v>
      </c>
      <c r="J69" s="683"/>
      <c r="K69" s="235">
        <f ca="1">IFERROR(INDEX('Rate Tables'!$B$19:$D$22,MATCH($E69,'Rate Tables'!$B$19:$B$22,-1),2),INDEX('Rate Tables'!$B$19:$D$22,1,2))*40*I69+((40*J69)*IFERROR(INDEX('Rate Tables'!$B$19:$D$22,MATCH($E69,'Rate Tables'!$B$19:$B$22,-1),3),INDEX('Rate Tables'!$B$19:$D$22,1,3)))</f>
        <v>27473042.108160004</v>
      </c>
      <c r="L69" s="233"/>
      <c r="M69" s="683"/>
      <c r="N69" s="235">
        <f>INDEX('Rate Tables'!$B$33:$D$33,1,2)*40*L69+((40*M69)*INDEX('Rate Tables'!$B$33:$D$33,1,3))</f>
        <v>0</v>
      </c>
      <c r="O69" s="233"/>
      <c r="P69" s="683"/>
      <c r="Q69" s="235">
        <f ca="1">IFERROR(INDEX('Rate Tables'!$B$37:$D$40,MATCH($E69,'Rate Tables'!$B$37:$B$40,-1),2),INDEX('Rate Tables'!$B$37:$D$40,1,2))*40*O69+((40*P69)*IFERROR(INDEX('Rate Tables'!$B$37:$D$40,MATCH($E69,'Rate Tables'!$B$37:$B$40,-1),3),INDEX('Rate Tables'!$B$37:$D$40,1,3)))</f>
        <v>0</v>
      </c>
      <c r="R69" s="233"/>
      <c r="S69" s="683"/>
      <c r="T69" s="235">
        <f ca="1">IFERROR(INDEX('Rate Tables'!$B$44:$D$47,MATCH($E69,'Rate Tables'!$B$44:$B$47,-1),2),INDEX('Rate Tables'!$B$44:$D$47,1,2))*40*R69+((40*S69)*IFERROR(INDEX('Rate Tables'!$B$44:$D$47,MATCH($E69,'Rate Tables'!$B$44:$B$47,-1),3),INDEX('Rate Tables'!$B$44:$D$47,1,3)))</f>
        <v>0</v>
      </c>
      <c r="U69" s="233"/>
      <c r="V69" s="683"/>
      <c r="W69" s="235">
        <f>INDEX('Rate Tables'!$B$51:$D$51,1,2)*40*U69+((40*V69)*INDEX('Rate Tables'!$B$51:$D$51,1,3))</f>
        <v>0</v>
      </c>
      <c r="X69" s="59"/>
      <c r="AJ69" s="233"/>
      <c r="AK69" s="233"/>
      <c r="AL69" s="683"/>
      <c r="AM69" s="235">
        <f t="shared" si="1"/>
        <v>0</v>
      </c>
    </row>
    <row r="70" spans="3:39" x14ac:dyDescent="0.25">
      <c r="C70" s="717"/>
      <c r="D70" s="230">
        <f t="shared" ca="1" si="0"/>
        <v>58</v>
      </c>
      <c r="E70" s="231">
        <f ca="1">IFERROR(OFFSET(E70,-1,0)+7,Settings!\cstart)</f>
        <v>43877</v>
      </c>
      <c r="F70" s="232">
        <v>1</v>
      </c>
      <c r="G70" s="683">
        <v>0.2</v>
      </c>
      <c r="H70" s="235">
        <f ca="1">IFERROR(INDEX('Rate Tables'!$B$5:$D$8,MATCH($E70,'Rate Tables'!$B$5:$B$8,-1),2),INDEX('Rate Tables'!$B$5:$D$8,1,2))*40*F70+((40*G70)*IFERROR(INDEX('Rate Tables'!$B$5:$D$8,MATCH($E70,'Rate Tables'!$B$5:$B$8,-1),3),INDEX('Rate Tables'!$B$5:$D$8,1,3)))</f>
        <v>5167.4832000000006</v>
      </c>
      <c r="I70" s="233">
        <f ca="1">(IF(AND(F70&gt;0,F70&lt;=1),F70,IF(F70&gt;1,1,0))*40*IFERROR(INDEX('Rate Tables'!$B$12:$D$15,MATCH($E70,'Rate Tables'!$B$12:$B$15,-1),2),INDEX('Rate Tables'!$B$12:$D$15,1,2))) + G70*40*IFERROR(INDEX('Rate Tables'!$B$12:$D$15,MATCH($E70,'Rate Tables'!$B$12:$B$15,-1),3),INDEX('Rate Tables'!$B$12:$D$15,1,3))</f>
        <v>5474.4624000000003</v>
      </c>
      <c r="J70" s="683"/>
      <c r="K70" s="235">
        <f ca="1">IFERROR(INDEX('Rate Tables'!$B$19:$D$22,MATCH($E70,'Rate Tables'!$B$19:$B$22,-1),2),INDEX('Rate Tables'!$B$19:$D$22,1,2))*40*I70+((40*J70)*IFERROR(INDEX('Rate Tables'!$B$19:$D$22,MATCH($E70,'Rate Tables'!$B$19:$B$22,-1),3),INDEX('Rate Tables'!$B$19:$D$22,1,3)))</f>
        <v>27473042.108160004</v>
      </c>
      <c r="L70" s="233"/>
      <c r="M70" s="683"/>
      <c r="N70" s="235">
        <f>INDEX('Rate Tables'!$B$33:$D$33,1,2)*40*L70+((40*M70)*INDEX('Rate Tables'!$B$33:$D$33,1,3))</f>
        <v>0</v>
      </c>
      <c r="O70" s="233"/>
      <c r="P70" s="683"/>
      <c r="Q70" s="235">
        <f ca="1">IFERROR(INDEX('Rate Tables'!$B$37:$D$40,MATCH($E70,'Rate Tables'!$B$37:$B$40,-1),2),INDEX('Rate Tables'!$B$37:$D$40,1,2))*40*O70+((40*P70)*IFERROR(INDEX('Rate Tables'!$B$37:$D$40,MATCH($E70,'Rate Tables'!$B$37:$B$40,-1),3),INDEX('Rate Tables'!$B$37:$D$40,1,3)))</f>
        <v>0</v>
      </c>
      <c r="R70" s="233"/>
      <c r="S70" s="683"/>
      <c r="T70" s="235">
        <f ca="1">IFERROR(INDEX('Rate Tables'!$B$44:$D$47,MATCH($E70,'Rate Tables'!$B$44:$B$47,-1),2),INDEX('Rate Tables'!$B$44:$D$47,1,2))*40*R70+((40*S70)*IFERROR(INDEX('Rate Tables'!$B$44:$D$47,MATCH($E70,'Rate Tables'!$B$44:$B$47,-1),3),INDEX('Rate Tables'!$B$44:$D$47,1,3)))</f>
        <v>0</v>
      </c>
      <c r="U70" s="233"/>
      <c r="V70" s="683"/>
      <c r="W70" s="235">
        <f>INDEX('Rate Tables'!$B$51:$D$51,1,2)*40*U70+((40*V70)*INDEX('Rate Tables'!$B$51:$D$51,1,3))</f>
        <v>0</v>
      </c>
      <c r="X70" s="59"/>
      <c r="AJ70" s="233"/>
      <c r="AK70" s="233"/>
      <c r="AL70" s="683"/>
      <c r="AM70" s="235">
        <f t="shared" si="1"/>
        <v>0</v>
      </c>
    </row>
    <row r="71" spans="3:39" x14ac:dyDescent="0.25">
      <c r="C71" s="717"/>
      <c r="D71" s="230">
        <f t="shared" ca="1" si="0"/>
        <v>59</v>
      </c>
      <c r="E71" s="231">
        <f ca="1">IFERROR(OFFSET(E71,-1,0)+7,Settings!\cstart)</f>
        <v>43884</v>
      </c>
      <c r="F71" s="232">
        <v>1</v>
      </c>
      <c r="G71" s="683">
        <v>0.2</v>
      </c>
      <c r="H71" s="235">
        <f ca="1">IFERROR(INDEX('Rate Tables'!$B$5:$D$8,MATCH($E71,'Rate Tables'!$B$5:$B$8,-1),2),INDEX('Rate Tables'!$B$5:$D$8,1,2))*40*F71+((40*G71)*IFERROR(INDEX('Rate Tables'!$B$5:$D$8,MATCH($E71,'Rate Tables'!$B$5:$B$8,-1),3),INDEX('Rate Tables'!$B$5:$D$8,1,3)))</f>
        <v>5167.4832000000006</v>
      </c>
      <c r="I71" s="233">
        <f ca="1">(IF(AND(F71&gt;0,F71&lt;=1),F71,IF(F71&gt;1,1,0))*40*IFERROR(INDEX('Rate Tables'!$B$12:$D$15,MATCH($E71,'Rate Tables'!$B$12:$B$15,-1),2),INDEX('Rate Tables'!$B$12:$D$15,1,2))) + G71*40*IFERROR(INDEX('Rate Tables'!$B$12:$D$15,MATCH($E71,'Rate Tables'!$B$12:$B$15,-1),3),INDEX('Rate Tables'!$B$12:$D$15,1,3))</f>
        <v>5474.4624000000003</v>
      </c>
      <c r="J71" s="683"/>
      <c r="K71" s="235">
        <f ca="1">IFERROR(INDEX('Rate Tables'!$B$19:$D$22,MATCH($E71,'Rate Tables'!$B$19:$B$22,-1),2),INDEX('Rate Tables'!$B$19:$D$22,1,2))*40*I71+((40*J71)*IFERROR(INDEX('Rate Tables'!$B$19:$D$22,MATCH($E71,'Rate Tables'!$B$19:$B$22,-1),3),INDEX('Rate Tables'!$B$19:$D$22,1,3)))</f>
        <v>27473042.108160004</v>
      </c>
      <c r="L71" s="233"/>
      <c r="M71" s="683"/>
      <c r="N71" s="235">
        <f>INDEX('Rate Tables'!$B$33:$D$33,1,2)*40*L71+((40*M71)*INDEX('Rate Tables'!$B$33:$D$33,1,3))</f>
        <v>0</v>
      </c>
      <c r="O71" s="233"/>
      <c r="P71" s="683"/>
      <c r="Q71" s="235">
        <f ca="1">IFERROR(INDEX('Rate Tables'!$B$37:$D$40,MATCH($E71,'Rate Tables'!$B$37:$B$40,-1),2),INDEX('Rate Tables'!$B$37:$D$40,1,2))*40*O71+((40*P71)*IFERROR(INDEX('Rate Tables'!$B$37:$D$40,MATCH($E71,'Rate Tables'!$B$37:$B$40,-1),3),INDEX('Rate Tables'!$B$37:$D$40,1,3)))</f>
        <v>0</v>
      </c>
      <c r="R71" s="233"/>
      <c r="S71" s="683"/>
      <c r="T71" s="235">
        <f ca="1">IFERROR(INDEX('Rate Tables'!$B$44:$D$47,MATCH($E71,'Rate Tables'!$B$44:$B$47,-1),2),INDEX('Rate Tables'!$B$44:$D$47,1,2))*40*R71+((40*S71)*IFERROR(INDEX('Rate Tables'!$B$44:$D$47,MATCH($E71,'Rate Tables'!$B$44:$B$47,-1),3),INDEX('Rate Tables'!$B$44:$D$47,1,3)))</f>
        <v>0</v>
      </c>
      <c r="U71" s="233"/>
      <c r="V71" s="683"/>
      <c r="W71" s="235">
        <f>INDEX('Rate Tables'!$B$51:$D$51,1,2)*40*U71+((40*V71)*INDEX('Rate Tables'!$B$51:$D$51,1,3))</f>
        <v>0</v>
      </c>
      <c r="X71" s="59"/>
      <c r="AJ71" s="233"/>
      <c r="AK71" s="233"/>
      <c r="AL71" s="683"/>
      <c r="AM71" s="235">
        <f t="shared" si="1"/>
        <v>0</v>
      </c>
    </row>
    <row r="72" spans="3:39" x14ac:dyDescent="0.25">
      <c r="C72" s="717"/>
      <c r="D72" s="230">
        <f t="shared" ca="1" si="0"/>
        <v>60</v>
      </c>
      <c r="E72" s="231">
        <f ca="1">IFERROR(OFFSET(E72,-1,0)+7,Settings!\cstart)</f>
        <v>43891</v>
      </c>
      <c r="F72" s="232">
        <v>1</v>
      </c>
      <c r="G72" s="683">
        <v>0.2</v>
      </c>
      <c r="H72" s="235">
        <f ca="1">IFERROR(INDEX('Rate Tables'!$B$5:$D$8,MATCH($E72,'Rate Tables'!$B$5:$B$8,-1),2),INDEX('Rate Tables'!$B$5:$D$8,1,2))*40*F72+((40*G72)*IFERROR(INDEX('Rate Tables'!$B$5:$D$8,MATCH($E72,'Rate Tables'!$B$5:$B$8,-1),3),INDEX('Rate Tables'!$B$5:$D$8,1,3)))</f>
        <v>5167.4832000000006</v>
      </c>
      <c r="I72" s="233">
        <f ca="1">(IF(AND(F72&gt;0,F72&lt;=1),F72,IF(F72&gt;1,1,0))*40*IFERROR(INDEX('Rate Tables'!$B$12:$D$15,MATCH($E72,'Rate Tables'!$B$12:$B$15,-1),2),INDEX('Rate Tables'!$B$12:$D$15,1,2))) + G72*40*IFERROR(INDEX('Rate Tables'!$B$12:$D$15,MATCH($E72,'Rate Tables'!$B$12:$B$15,-1),3),INDEX('Rate Tables'!$B$12:$D$15,1,3))</f>
        <v>5474.4624000000003</v>
      </c>
      <c r="J72" s="683"/>
      <c r="K72" s="235">
        <f ca="1">IFERROR(INDEX('Rate Tables'!$B$19:$D$22,MATCH($E72,'Rate Tables'!$B$19:$B$22,-1),2),INDEX('Rate Tables'!$B$19:$D$22,1,2))*40*I72+((40*J72)*IFERROR(INDEX('Rate Tables'!$B$19:$D$22,MATCH($E72,'Rate Tables'!$B$19:$B$22,-1),3),INDEX('Rate Tables'!$B$19:$D$22,1,3)))</f>
        <v>27473042.108160004</v>
      </c>
      <c r="L72" s="233"/>
      <c r="M72" s="683"/>
      <c r="N72" s="235">
        <f>INDEX('Rate Tables'!$B$33:$D$33,1,2)*40*L72+((40*M72)*INDEX('Rate Tables'!$B$33:$D$33,1,3))</f>
        <v>0</v>
      </c>
      <c r="O72" s="233"/>
      <c r="P72" s="683"/>
      <c r="Q72" s="235">
        <f ca="1">IFERROR(INDEX('Rate Tables'!$B$37:$D$40,MATCH($E72,'Rate Tables'!$B$37:$B$40,-1),2),INDEX('Rate Tables'!$B$37:$D$40,1,2))*40*O72+((40*P72)*IFERROR(INDEX('Rate Tables'!$B$37:$D$40,MATCH($E72,'Rate Tables'!$B$37:$B$40,-1),3),INDEX('Rate Tables'!$B$37:$D$40,1,3)))</f>
        <v>0</v>
      </c>
      <c r="R72" s="233"/>
      <c r="S72" s="683"/>
      <c r="T72" s="235">
        <f ca="1">IFERROR(INDEX('Rate Tables'!$B$44:$D$47,MATCH($E72,'Rate Tables'!$B$44:$B$47,-1),2),INDEX('Rate Tables'!$B$44:$D$47,1,2))*40*R72+((40*S72)*IFERROR(INDEX('Rate Tables'!$B$44:$D$47,MATCH($E72,'Rate Tables'!$B$44:$B$47,-1),3),INDEX('Rate Tables'!$B$44:$D$47,1,3)))</f>
        <v>0</v>
      </c>
      <c r="U72" s="233"/>
      <c r="V72" s="683"/>
      <c r="W72" s="235">
        <f>INDEX('Rate Tables'!$B$51:$D$51,1,2)*40*U72+((40*V72)*INDEX('Rate Tables'!$B$51:$D$51,1,3))</f>
        <v>0</v>
      </c>
      <c r="X72" s="59"/>
      <c r="AJ72" s="233"/>
      <c r="AK72" s="233"/>
      <c r="AL72" s="683"/>
      <c r="AM72" s="235">
        <f t="shared" si="1"/>
        <v>0</v>
      </c>
    </row>
    <row r="73" spans="3:39" x14ac:dyDescent="0.25">
      <c r="C73" s="717"/>
      <c r="D73" s="230">
        <f t="shared" ca="1" si="0"/>
        <v>61</v>
      </c>
      <c r="E73" s="231">
        <f ca="1">IFERROR(OFFSET(E73,-1,0)+7,Settings!\cstart)</f>
        <v>43898</v>
      </c>
      <c r="F73" s="232">
        <v>1</v>
      </c>
      <c r="G73" s="683">
        <v>0.2</v>
      </c>
      <c r="H73" s="235">
        <f ca="1">IFERROR(INDEX('Rate Tables'!$B$5:$D$8,MATCH($E73,'Rate Tables'!$B$5:$B$8,-1),2),INDEX('Rate Tables'!$B$5:$D$8,1,2))*40*F73+((40*G73)*IFERROR(INDEX('Rate Tables'!$B$5:$D$8,MATCH($E73,'Rate Tables'!$B$5:$B$8,-1),3),INDEX('Rate Tables'!$B$5:$D$8,1,3)))</f>
        <v>5167.4832000000006</v>
      </c>
      <c r="I73" s="233">
        <f ca="1">(IF(AND(F73&gt;0,F73&lt;=1),F73,IF(F73&gt;1,1,0))*40*IFERROR(INDEX('Rate Tables'!$B$12:$D$15,MATCH($E73,'Rate Tables'!$B$12:$B$15,-1),2),INDEX('Rate Tables'!$B$12:$D$15,1,2))) + G73*40*IFERROR(INDEX('Rate Tables'!$B$12:$D$15,MATCH($E73,'Rate Tables'!$B$12:$B$15,-1),3),INDEX('Rate Tables'!$B$12:$D$15,1,3))</f>
        <v>5474.4624000000003</v>
      </c>
      <c r="J73" s="683"/>
      <c r="K73" s="235">
        <f ca="1">IFERROR(INDEX('Rate Tables'!$B$19:$D$22,MATCH($E73,'Rate Tables'!$B$19:$B$22,-1),2),INDEX('Rate Tables'!$B$19:$D$22,1,2))*40*I73+((40*J73)*IFERROR(INDEX('Rate Tables'!$B$19:$D$22,MATCH($E73,'Rate Tables'!$B$19:$B$22,-1),3),INDEX('Rate Tables'!$B$19:$D$22,1,3)))</f>
        <v>27473042.108160004</v>
      </c>
      <c r="L73" s="233"/>
      <c r="M73" s="683"/>
      <c r="N73" s="235">
        <f>INDEX('Rate Tables'!$B$33:$D$33,1,2)*40*L73+((40*M73)*INDEX('Rate Tables'!$B$33:$D$33,1,3))</f>
        <v>0</v>
      </c>
      <c r="O73" s="233"/>
      <c r="P73" s="683"/>
      <c r="Q73" s="235">
        <f ca="1">IFERROR(INDEX('Rate Tables'!$B$37:$D$40,MATCH($E73,'Rate Tables'!$B$37:$B$40,-1),2),INDEX('Rate Tables'!$B$37:$D$40,1,2))*40*O73+((40*P73)*IFERROR(INDEX('Rate Tables'!$B$37:$D$40,MATCH($E73,'Rate Tables'!$B$37:$B$40,-1),3),INDEX('Rate Tables'!$B$37:$D$40,1,3)))</f>
        <v>0</v>
      </c>
      <c r="R73" s="233"/>
      <c r="S73" s="683"/>
      <c r="T73" s="235">
        <f ca="1">IFERROR(INDEX('Rate Tables'!$B$44:$D$47,MATCH($E73,'Rate Tables'!$B$44:$B$47,-1),2),INDEX('Rate Tables'!$B$44:$D$47,1,2))*40*R73+((40*S73)*IFERROR(INDEX('Rate Tables'!$B$44:$D$47,MATCH($E73,'Rate Tables'!$B$44:$B$47,-1),3),INDEX('Rate Tables'!$B$44:$D$47,1,3)))</f>
        <v>0</v>
      </c>
      <c r="U73" s="233"/>
      <c r="V73" s="683"/>
      <c r="W73" s="235">
        <f>INDEX('Rate Tables'!$B$51:$D$51,1,2)*40*U73+((40*V73)*INDEX('Rate Tables'!$B$51:$D$51,1,3))</f>
        <v>0</v>
      </c>
      <c r="X73" s="59"/>
      <c r="AJ73" s="233"/>
      <c r="AK73" s="233"/>
      <c r="AL73" s="683"/>
      <c r="AM73" s="235">
        <f t="shared" si="1"/>
        <v>0</v>
      </c>
    </row>
    <row r="74" spans="3:39" x14ac:dyDescent="0.25">
      <c r="C74" s="717"/>
      <c r="D74" s="230">
        <f t="shared" ca="1" si="0"/>
        <v>62</v>
      </c>
      <c r="E74" s="231">
        <f ca="1">IFERROR(OFFSET(E74,-1,0)+7,Settings!\cstart)</f>
        <v>43905</v>
      </c>
      <c r="F74" s="232">
        <v>1</v>
      </c>
      <c r="G74" s="683">
        <v>0.2</v>
      </c>
      <c r="H74" s="235">
        <f ca="1">IFERROR(INDEX('Rate Tables'!$B$5:$D$8,MATCH($E74,'Rate Tables'!$B$5:$B$8,-1),2),INDEX('Rate Tables'!$B$5:$D$8,1,2))*40*F74+((40*G74)*IFERROR(INDEX('Rate Tables'!$B$5:$D$8,MATCH($E74,'Rate Tables'!$B$5:$B$8,-1),3),INDEX('Rate Tables'!$B$5:$D$8,1,3)))</f>
        <v>5167.4832000000006</v>
      </c>
      <c r="I74" s="233">
        <f ca="1">(IF(AND(F74&gt;0,F74&lt;=1),F74,IF(F74&gt;1,1,0))*40*IFERROR(INDEX('Rate Tables'!$B$12:$D$15,MATCH($E74,'Rate Tables'!$B$12:$B$15,-1),2),INDEX('Rate Tables'!$B$12:$D$15,1,2))) + G74*40*IFERROR(INDEX('Rate Tables'!$B$12:$D$15,MATCH($E74,'Rate Tables'!$B$12:$B$15,-1),3),INDEX('Rate Tables'!$B$12:$D$15,1,3))</f>
        <v>5474.4624000000003</v>
      </c>
      <c r="J74" s="683"/>
      <c r="K74" s="235">
        <f ca="1">IFERROR(INDEX('Rate Tables'!$B$19:$D$22,MATCH($E74,'Rate Tables'!$B$19:$B$22,-1),2),INDEX('Rate Tables'!$B$19:$D$22,1,2))*40*I74+((40*J74)*IFERROR(INDEX('Rate Tables'!$B$19:$D$22,MATCH($E74,'Rate Tables'!$B$19:$B$22,-1),3),INDEX('Rate Tables'!$B$19:$D$22,1,3)))</f>
        <v>27473042.108160004</v>
      </c>
      <c r="L74" s="233"/>
      <c r="M74" s="683"/>
      <c r="N74" s="235">
        <f>INDEX('Rate Tables'!$B$33:$D$33,1,2)*40*L74+((40*M74)*INDEX('Rate Tables'!$B$33:$D$33,1,3))</f>
        <v>0</v>
      </c>
      <c r="O74" s="233"/>
      <c r="P74" s="683"/>
      <c r="Q74" s="235">
        <f ca="1">IFERROR(INDEX('Rate Tables'!$B$37:$D$40,MATCH($E74,'Rate Tables'!$B$37:$B$40,-1),2),INDEX('Rate Tables'!$B$37:$D$40,1,2))*40*O74+((40*P74)*IFERROR(INDEX('Rate Tables'!$B$37:$D$40,MATCH($E74,'Rate Tables'!$B$37:$B$40,-1),3),INDEX('Rate Tables'!$B$37:$D$40,1,3)))</f>
        <v>0</v>
      </c>
      <c r="R74" s="233"/>
      <c r="S74" s="683"/>
      <c r="T74" s="235">
        <f ca="1">IFERROR(INDEX('Rate Tables'!$B$44:$D$47,MATCH($E74,'Rate Tables'!$B$44:$B$47,-1),2),INDEX('Rate Tables'!$B$44:$D$47,1,2))*40*R74+((40*S74)*IFERROR(INDEX('Rate Tables'!$B$44:$D$47,MATCH($E74,'Rate Tables'!$B$44:$B$47,-1),3),INDEX('Rate Tables'!$B$44:$D$47,1,3)))</f>
        <v>0</v>
      </c>
      <c r="U74" s="233"/>
      <c r="V74" s="683"/>
      <c r="W74" s="235">
        <f>INDEX('Rate Tables'!$B$51:$D$51,1,2)*40*U74+((40*V74)*INDEX('Rate Tables'!$B$51:$D$51,1,3))</f>
        <v>0</v>
      </c>
      <c r="X74" s="59"/>
      <c r="AJ74" s="233"/>
      <c r="AK74" s="233"/>
      <c r="AL74" s="683"/>
      <c r="AM74" s="235">
        <f t="shared" si="1"/>
        <v>0</v>
      </c>
    </row>
    <row r="75" spans="3:39" x14ac:dyDescent="0.25">
      <c r="C75" s="717"/>
      <c r="D75" s="230">
        <f t="shared" ca="1" si="0"/>
        <v>63</v>
      </c>
      <c r="E75" s="231">
        <f ca="1">IFERROR(OFFSET(E75,-1,0)+7,Settings!\cstart)</f>
        <v>43912</v>
      </c>
      <c r="F75" s="232">
        <v>1</v>
      </c>
      <c r="G75" s="683">
        <v>0.2</v>
      </c>
      <c r="H75" s="235">
        <f ca="1">IFERROR(INDEX('Rate Tables'!$B$5:$D$8,MATCH($E75,'Rate Tables'!$B$5:$B$8,-1),2),INDEX('Rate Tables'!$B$5:$D$8,1,2))*40*F75+((40*G75)*IFERROR(INDEX('Rate Tables'!$B$5:$D$8,MATCH($E75,'Rate Tables'!$B$5:$B$8,-1),3),INDEX('Rate Tables'!$B$5:$D$8,1,3)))</f>
        <v>5167.4832000000006</v>
      </c>
      <c r="I75" s="233">
        <f ca="1">(IF(AND(F75&gt;0,F75&lt;=1),F75,IF(F75&gt;1,1,0))*40*IFERROR(INDEX('Rate Tables'!$B$12:$D$15,MATCH($E75,'Rate Tables'!$B$12:$B$15,-1),2),INDEX('Rate Tables'!$B$12:$D$15,1,2))) + G75*40*IFERROR(INDEX('Rate Tables'!$B$12:$D$15,MATCH($E75,'Rate Tables'!$B$12:$B$15,-1),3),INDEX('Rate Tables'!$B$12:$D$15,1,3))</f>
        <v>5474.4624000000003</v>
      </c>
      <c r="J75" s="683"/>
      <c r="K75" s="235">
        <f ca="1">IFERROR(INDEX('Rate Tables'!$B$19:$D$22,MATCH($E75,'Rate Tables'!$B$19:$B$22,-1),2),INDEX('Rate Tables'!$B$19:$D$22,1,2))*40*I75+((40*J75)*IFERROR(INDEX('Rate Tables'!$B$19:$D$22,MATCH($E75,'Rate Tables'!$B$19:$B$22,-1),3),INDEX('Rate Tables'!$B$19:$D$22,1,3)))</f>
        <v>27473042.108160004</v>
      </c>
      <c r="L75" s="233"/>
      <c r="M75" s="683"/>
      <c r="N75" s="235">
        <f>INDEX('Rate Tables'!$B$33:$D$33,1,2)*40*L75+((40*M75)*INDEX('Rate Tables'!$B$33:$D$33,1,3))</f>
        <v>0</v>
      </c>
      <c r="O75" s="233"/>
      <c r="P75" s="683"/>
      <c r="Q75" s="235">
        <f ca="1">IFERROR(INDEX('Rate Tables'!$B$37:$D$40,MATCH($E75,'Rate Tables'!$B$37:$B$40,-1),2),INDEX('Rate Tables'!$B$37:$D$40,1,2))*40*O75+((40*P75)*IFERROR(INDEX('Rate Tables'!$B$37:$D$40,MATCH($E75,'Rate Tables'!$B$37:$B$40,-1),3),INDEX('Rate Tables'!$B$37:$D$40,1,3)))</f>
        <v>0</v>
      </c>
      <c r="R75" s="233"/>
      <c r="S75" s="683"/>
      <c r="T75" s="235">
        <f ca="1">IFERROR(INDEX('Rate Tables'!$B$44:$D$47,MATCH($E75,'Rate Tables'!$B$44:$B$47,-1),2),INDEX('Rate Tables'!$B$44:$D$47,1,2))*40*R75+((40*S75)*IFERROR(INDEX('Rate Tables'!$B$44:$D$47,MATCH($E75,'Rate Tables'!$B$44:$B$47,-1),3),INDEX('Rate Tables'!$B$44:$D$47,1,3)))</f>
        <v>0</v>
      </c>
      <c r="U75" s="233"/>
      <c r="V75" s="683"/>
      <c r="W75" s="235">
        <f>INDEX('Rate Tables'!$B$51:$D$51,1,2)*40*U75+((40*V75)*INDEX('Rate Tables'!$B$51:$D$51,1,3))</f>
        <v>0</v>
      </c>
      <c r="X75" s="59"/>
      <c r="AJ75" s="233"/>
      <c r="AK75" s="233"/>
      <c r="AL75" s="683"/>
      <c r="AM75" s="235">
        <f t="shared" si="1"/>
        <v>0</v>
      </c>
    </row>
    <row r="76" spans="3:39" x14ac:dyDescent="0.25">
      <c r="C76" s="717"/>
      <c r="D76" s="230">
        <f t="shared" ca="1" si="0"/>
        <v>64</v>
      </c>
      <c r="E76" s="231">
        <f ca="1">IFERROR(OFFSET(E76,-1,0)+7,Settings!\cstart)</f>
        <v>43919</v>
      </c>
      <c r="F76" s="232">
        <v>1</v>
      </c>
      <c r="G76" s="683">
        <v>0.2</v>
      </c>
      <c r="H76" s="235">
        <f ca="1">IFERROR(INDEX('Rate Tables'!$B$5:$D$8,MATCH($E76,'Rate Tables'!$B$5:$B$8,-1),2),INDEX('Rate Tables'!$B$5:$D$8,1,2))*40*F76+((40*G76)*IFERROR(INDEX('Rate Tables'!$B$5:$D$8,MATCH($E76,'Rate Tables'!$B$5:$B$8,-1),3),INDEX('Rate Tables'!$B$5:$D$8,1,3)))</f>
        <v>5167.4832000000006</v>
      </c>
      <c r="I76" s="233">
        <f ca="1">(IF(AND(F76&gt;0,F76&lt;=1),F76,IF(F76&gt;1,1,0))*40*IFERROR(INDEX('Rate Tables'!$B$12:$D$15,MATCH($E76,'Rate Tables'!$B$12:$B$15,-1),2),INDEX('Rate Tables'!$B$12:$D$15,1,2))) + G76*40*IFERROR(INDEX('Rate Tables'!$B$12:$D$15,MATCH($E76,'Rate Tables'!$B$12:$B$15,-1),3),INDEX('Rate Tables'!$B$12:$D$15,1,3))</f>
        <v>5474.4624000000003</v>
      </c>
      <c r="J76" s="683"/>
      <c r="K76" s="235">
        <f ca="1">IFERROR(INDEX('Rate Tables'!$B$19:$D$22,MATCH($E76,'Rate Tables'!$B$19:$B$22,-1),2),INDEX('Rate Tables'!$B$19:$D$22,1,2))*40*I76+((40*J76)*IFERROR(INDEX('Rate Tables'!$B$19:$D$22,MATCH($E76,'Rate Tables'!$B$19:$B$22,-1),3),INDEX('Rate Tables'!$B$19:$D$22,1,3)))</f>
        <v>27473042.108160004</v>
      </c>
      <c r="L76" s="233"/>
      <c r="M76" s="683"/>
      <c r="N76" s="235">
        <f>INDEX('Rate Tables'!$B$33:$D$33,1,2)*40*L76+((40*M76)*INDEX('Rate Tables'!$B$33:$D$33,1,3))</f>
        <v>0</v>
      </c>
      <c r="O76" s="233"/>
      <c r="P76" s="683"/>
      <c r="Q76" s="235">
        <f ca="1">IFERROR(INDEX('Rate Tables'!$B$37:$D$40,MATCH($E76,'Rate Tables'!$B$37:$B$40,-1),2),INDEX('Rate Tables'!$B$37:$D$40,1,2))*40*O76+((40*P76)*IFERROR(INDEX('Rate Tables'!$B$37:$D$40,MATCH($E76,'Rate Tables'!$B$37:$B$40,-1),3),INDEX('Rate Tables'!$B$37:$D$40,1,3)))</f>
        <v>0</v>
      </c>
      <c r="R76" s="233"/>
      <c r="S76" s="683"/>
      <c r="T76" s="235">
        <f ca="1">IFERROR(INDEX('Rate Tables'!$B$44:$D$47,MATCH($E76,'Rate Tables'!$B$44:$B$47,-1),2),INDEX('Rate Tables'!$B$44:$D$47,1,2))*40*R76+((40*S76)*IFERROR(INDEX('Rate Tables'!$B$44:$D$47,MATCH($E76,'Rate Tables'!$B$44:$B$47,-1),3),INDEX('Rate Tables'!$B$44:$D$47,1,3)))</f>
        <v>0</v>
      </c>
      <c r="U76" s="233"/>
      <c r="V76" s="683"/>
      <c r="W76" s="235">
        <f>INDEX('Rate Tables'!$B$51:$D$51,1,2)*40*U76+((40*V76)*INDEX('Rate Tables'!$B$51:$D$51,1,3))</f>
        <v>0</v>
      </c>
      <c r="X76" s="59"/>
      <c r="AJ76" s="233"/>
      <c r="AK76" s="233"/>
      <c r="AL76" s="683"/>
      <c r="AM76" s="235">
        <f t="shared" si="1"/>
        <v>0</v>
      </c>
    </row>
    <row r="77" spans="3:39" x14ac:dyDescent="0.25">
      <c r="C77" s="717"/>
      <c r="D77" s="230">
        <f t="shared" ref="D77:D87" ca="1" si="2">IFERROR(OFFSET(D77,-1,0)+1,1)</f>
        <v>65</v>
      </c>
      <c r="E77" s="231">
        <f ca="1">IFERROR(OFFSET(E77,-1,0)+7,Settings!\cstart)</f>
        <v>43926</v>
      </c>
      <c r="F77" s="232">
        <v>1</v>
      </c>
      <c r="G77" s="683">
        <v>0.2</v>
      </c>
      <c r="H77" s="235">
        <f ca="1">IFERROR(INDEX('Rate Tables'!$B$5:$D$8,MATCH($E77,'Rate Tables'!$B$5:$B$8,-1),2),INDEX('Rate Tables'!$B$5:$D$8,1,2))*40*F77+((40*G77)*IFERROR(INDEX('Rate Tables'!$B$5:$D$8,MATCH($E77,'Rate Tables'!$B$5:$B$8,-1),3),INDEX('Rate Tables'!$B$5:$D$8,1,3)))</f>
        <v>5167.4832000000006</v>
      </c>
      <c r="I77" s="233">
        <f ca="1">(IF(AND(F77&gt;0,F77&lt;=1),F77,IF(F77&gt;1,1,0))*40*IFERROR(INDEX('Rate Tables'!$B$12:$D$15,MATCH($E77,'Rate Tables'!$B$12:$B$15,-1),2),INDEX('Rate Tables'!$B$12:$D$15,1,2))) + G77*40*IFERROR(INDEX('Rate Tables'!$B$12:$D$15,MATCH($E77,'Rate Tables'!$B$12:$B$15,-1),3),INDEX('Rate Tables'!$B$12:$D$15,1,3))</f>
        <v>5474.4624000000003</v>
      </c>
      <c r="J77" s="683"/>
      <c r="K77" s="235">
        <f ca="1">IFERROR(INDEX('Rate Tables'!$B$19:$D$22,MATCH($E77,'Rate Tables'!$B$19:$B$22,-1),2),INDEX('Rate Tables'!$B$19:$D$22,1,2))*40*I77+((40*J77)*IFERROR(INDEX('Rate Tables'!$B$19:$D$22,MATCH($E77,'Rate Tables'!$B$19:$B$22,-1),3),INDEX('Rate Tables'!$B$19:$D$22,1,3)))</f>
        <v>27473042.108160004</v>
      </c>
      <c r="L77" s="233"/>
      <c r="M77" s="683"/>
      <c r="N77" s="235">
        <f>INDEX('Rate Tables'!$B$33:$D$33,1,2)*40*L77+((40*M77)*INDEX('Rate Tables'!$B$33:$D$33,1,3))</f>
        <v>0</v>
      </c>
      <c r="O77" s="233"/>
      <c r="P77" s="683"/>
      <c r="Q77" s="235">
        <f ca="1">IFERROR(INDEX('Rate Tables'!$B$37:$D$40,MATCH($E77,'Rate Tables'!$B$37:$B$40,-1),2),INDEX('Rate Tables'!$B$37:$D$40,1,2))*40*O77+((40*P77)*IFERROR(INDEX('Rate Tables'!$B$37:$D$40,MATCH($E77,'Rate Tables'!$B$37:$B$40,-1),3),INDEX('Rate Tables'!$B$37:$D$40,1,3)))</f>
        <v>0</v>
      </c>
      <c r="R77" s="233"/>
      <c r="S77" s="683"/>
      <c r="T77" s="235">
        <f ca="1">IFERROR(INDEX('Rate Tables'!$B$44:$D$47,MATCH($E77,'Rate Tables'!$B$44:$B$47,-1),2),INDEX('Rate Tables'!$B$44:$D$47,1,2))*40*R77+((40*S77)*IFERROR(INDEX('Rate Tables'!$B$44:$D$47,MATCH($E77,'Rate Tables'!$B$44:$B$47,-1),3),INDEX('Rate Tables'!$B$44:$D$47,1,3)))</f>
        <v>0</v>
      </c>
      <c r="U77" s="233"/>
      <c r="V77" s="683"/>
      <c r="W77" s="235">
        <f>INDEX('Rate Tables'!$B$51:$D$51,1,2)*40*U77+((40*V77)*INDEX('Rate Tables'!$B$51:$D$51,1,3))</f>
        <v>0</v>
      </c>
      <c r="X77" s="59"/>
      <c r="AJ77" s="233"/>
      <c r="AK77" s="233"/>
      <c r="AL77" s="683"/>
      <c r="AM77" s="235">
        <f t="shared" ref="AM77:AM87" si="3">(AJ77*AK77*40)+(AL77*40*1.27*AK77)</f>
        <v>0</v>
      </c>
    </row>
    <row r="78" spans="3:39" x14ac:dyDescent="0.25">
      <c r="C78" s="717"/>
      <c r="D78" s="230">
        <f t="shared" ca="1" si="2"/>
        <v>66</v>
      </c>
      <c r="E78" s="231">
        <f ca="1">IFERROR(OFFSET(E78,-1,0)+7,Settings!\cstart)</f>
        <v>43933</v>
      </c>
      <c r="F78" s="232">
        <v>1</v>
      </c>
      <c r="G78" s="683">
        <v>0.2</v>
      </c>
      <c r="H78" s="235">
        <f ca="1">IFERROR(INDEX('Rate Tables'!$B$5:$D$8,MATCH($E78,'Rate Tables'!$B$5:$B$8,-1),2),INDEX('Rate Tables'!$B$5:$D$8,1,2))*40*F78+((40*G78)*IFERROR(INDEX('Rate Tables'!$B$5:$D$8,MATCH($E78,'Rate Tables'!$B$5:$B$8,-1),3),INDEX('Rate Tables'!$B$5:$D$8,1,3)))</f>
        <v>5167.4832000000006</v>
      </c>
      <c r="I78" s="233">
        <f ca="1">(IF(AND(F78&gt;0,F78&lt;=1),F78,IF(F78&gt;1,1,0))*40*IFERROR(INDEX('Rate Tables'!$B$12:$D$15,MATCH($E78,'Rate Tables'!$B$12:$B$15,-1),2),INDEX('Rate Tables'!$B$12:$D$15,1,2))) + G78*40*IFERROR(INDEX('Rate Tables'!$B$12:$D$15,MATCH($E78,'Rate Tables'!$B$12:$B$15,-1),3),INDEX('Rate Tables'!$B$12:$D$15,1,3))</f>
        <v>5474.4624000000003</v>
      </c>
      <c r="J78" s="683"/>
      <c r="K78" s="235">
        <f ca="1">IFERROR(INDEX('Rate Tables'!$B$19:$D$22,MATCH($E78,'Rate Tables'!$B$19:$B$22,-1),2),INDEX('Rate Tables'!$B$19:$D$22,1,2))*40*I78+((40*J78)*IFERROR(INDEX('Rate Tables'!$B$19:$D$22,MATCH($E78,'Rate Tables'!$B$19:$B$22,-1),3),INDEX('Rate Tables'!$B$19:$D$22,1,3)))</f>
        <v>27473042.108160004</v>
      </c>
      <c r="L78" s="233"/>
      <c r="M78" s="683"/>
      <c r="N78" s="235">
        <f>INDEX('Rate Tables'!$B$33:$D$33,1,2)*40*L78+((40*M78)*INDEX('Rate Tables'!$B$33:$D$33,1,3))</f>
        <v>0</v>
      </c>
      <c r="O78" s="233"/>
      <c r="P78" s="683"/>
      <c r="Q78" s="235">
        <f ca="1">IFERROR(INDEX('Rate Tables'!$B$37:$D$40,MATCH($E78,'Rate Tables'!$B$37:$B$40,-1),2),INDEX('Rate Tables'!$B$37:$D$40,1,2))*40*O78+((40*P78)*IFERROR(INDEX('Rate Tables'!$B$37:$D$40,MATCH($E78,'Rate Tables'!$B$37:$B$40,-1),3),INDEX('Rate Tables'!$B$37:$D$40,1,3)))</f>
        <v>0</v>
      </c>
      <c r="R78" s="233"/>
      <c r="S78" s="683"/>
      <c r="T78" s="235">
        <f ca="1">IFERROR(INDEX('Rate Tables'!$B$44:$D$47,MATCH($E78,'Rate Tables'!$B$44:$B$47,-1),2),INDEX('Rate Tables'!$B$44:$D$47,1,2))*40*R78+((40*S78)*IFERROR(INDEX('Rate Tables'!$B$44:$D$47,MATCH($E78,'Rate Tables'!$B$44:$B$47,-1),3),INDEX('Rate Tables'!$B$44:$D$47,1,3)))</f>
        <v>0</v>
      </c>
      <c r="U78" s="233"/>
      <c r="V78" s="683"/>
      <c r="W78" s="235">
        <f>INDEX('Rate Tables'!$B$51:$D$51,1,2)*40*U78+((40*V78)*INDEX('Rate Tables'!$B$51:$D$51,1,3))</f>
        <v>0</v>
      </c>
      <c r="X78" s="59"/>
      <c r="AJ78" s="233"/>
      <c r="AK78" s="233"/>
      <c r="AL78" s="683"/>
      <c r="AM78" s="235">
        <f t="shared" si="3"/>
        <v>0</v>
      </c>
    </row>
    <row r="79" spans="3:39" x14ac:dyDescent="0.25">
      <c r="C79" s="717"/>
      <c r="D79" s="230">
        <f t="shared" ca="1" si="2"/>
        <v>67</v>
      </c>
      <c r="E79" s="231">
        <f ca="1">IFERROR(OFFSET(E79,-1,0)+7,Settings!\cstart)</f>
        <v>43940</v>
      </c>
      <c r="F79" s="232">
        <v>1</v>
      </c>
      <c r="G79" s="683">
        <v>0.2</v>
      </c>
      <c r="H79" s="235">
        <f ca="1">IFERROR(INDEX('Rate Tables'!$B$5:$D$8,MATCH($E79,'Rate Tables'!$B$5:$B$8,-1),2),INDEX('Rate Tables'!$B$5:$D$8,1,2))*40*F79+((40*G79)*IFERROR(INDEX('Rate Tables'!$B$5:$D$8,MATCH($E79,'Rate Tables'!$B$5:$B$8,-1),3),INDEX('Rate Tables'!$B$5:$D$8,1,3)))</f>
        <v>5167.4832000000006</v>
      </c>
      <c r="I79" s="233">
        <f ca="1">(IF(AND(F79&gt;0,F79&lt;=1),F79,IF(F79&gt;1,1,0))*40*IFERROR(INDEX('Rate Tables'!$B$12:$D$15,MATCH($E79,'Rate Tables'!$B$12:$B$15,-1),2),INDEX('Rate Tables'!$B$12:$D$15,1,2))) + G79*40*IFERROR(INDEX('Rate Tables'!$B$12:$D$15,MATCH($E79,'Rate Tables'!$B$12:$B$15,-1),3),INDEX('Rate Tables'!$B$12:$D$15,1,3))</f>
        <v>5474.4624000000003</v>
      </c>
      <c r="J79" s="683"/>
      <c r="K79" s="235">
        <f ca="1">IFERROR(INDEX('Rate Tables'!$B$19:$D$22,MATCH($E79,'Rate Tables'!$B$19:$B$22,-1),2),INDEX('Rate Tables'!$B$19:$D$22,1,2))*40*I79+((40*J79)*IFERROR(INDEX('Rate Tables'!$B$19:$D$22,MATCH($E79,'Rate Tables'!$B$19:$B$22,-1),3),INDEX('Rate Tables'!$B$19:$D$22,1,3)))</f>
        <v>27473042.108160004</v>
      </c>
      <c r="L79" s="233"/>
      <c r="M79" s="683"/>
      <c r="N79" s="235">
        <f>INDEX('Rate Tables'!$B$33:$D$33,1,2)*40*L79+((40*M79)*INDEX('Rate Tables'!$B$33:$D$33,1,3))</f>
        <v>0</v>
      </c>
      <c r="O79" s="233"/>
      <c r="P79" s="683"/>
      <c r="Q79" s="235">
        <f ca="1">IFERROR(INDEX('Rate Tables'!$B$37:$D$40,MATCH($E79,'Rate Tables'!$B$37:$B$40,-1),2),INDEX('Rate Tables'!$B$37:$D$40,1,2))*40*O79+((40*P79)*IFERROR(INDEX('Rate Tables'!$B$37:$D$40,MATCH($E79,'Rate Tables'!$B$37:$B$40,-1),3),INDEX('Rate Tables'!$B$37:$D$40,1,3)))</f>
        <v>0</v>
      </c>
      <c r="R79" s="233"/>
      <c r="S79" s="683"/>
      <c r="T79" s="235">
        <f ca="1">IFERROR(INDEX('Rate Tables'!$B$44:$D$47,MATCH($E79,'Rate Tables'!$B$44:$B$47,-1),2),INDEX('Rate Tables'!$B$44:$D$47,1,2))*40*R79+((40*S79)*IFERROR(INDEX('Rate Tables'!$B$44:$D$47,MATCH($E79,'Rate Tables'!$B$44:$B$47,-1),3),INDEX('Rate Tables'!$B$44:$D$47,1,3)))</f>
        <v>0</v>
      </c>
      <c r="U79" s="233"/>
      <c r="V79" s="683"/>
      <c r="W79" s="235">
        <f>INDEX('Rate Tables'!$B$51:$D$51,1,2)*40*U79+((40*V79)*INDEX('Rate Tables'!$B$51:$D$51,1,3))</f>
        <v>0</v>
      </c>
      <c r="X79" s="59"/>
      <c r="AJ79" s="233"/>
      <c r="AK79" s="233"/>
      <c r="AL79" s="683"/>
      <c r="AM79" s="235">
        <f t="shared" si="3"/>
        <v>0</v>
      </c>
    </row>
    <row r="80" spans="3:39" x14ac:dyDescent="0.25">
      <c r="C80" s="717"/>
      <c r="D80" s="230">
        <f t="shared" ca="1" si="2"/>
        <v>68</v>
      </c>
      <c r="E80" s="231">
        <f ca="1">IFERROR(OFFSET(E80,-1,0)+7,Settings!\cstart)</f>
        <v>43947</v>
      </c>
      <c r="F80" s="232">
        <v>1</v>
      </c>
      <c r="G80" s="683">
        <v>0.2</v>
      </c>
      <c r="H80" s="235">
        <f ca="1">IFERROR(INDEX('Rate Tables'!$B$5:$D$8,MATCH($E80,'Rate Tables'!$B$5:$B$8,-1),2),INDEX('Rate Tables'!$B$5:$D$8,1,2))*40*F80+((40*G80)*IFERROR(INDEX('Rate Tables'!$B$5:$D$8,MATCH($E80,'Rate Tables'!$B$5:$B$8,-1),3),INDEX('Rate Tables'!$B$5:$D$8,1,3)))</f>
        <v>5167.4832000000006</v>
      </c>
      <c r="I80" s="233">
        <f ca="1">(IF(AND(F80&gt;0,F80&lt;=1),F80,IF(F80&gt;1,1,0))*40*IFERROR(INDEX('Rate Tables'!$B$12:$D$15,MATCH($E80,'Rate Tables'!$B$12:$B$15,-1),2),INDEX('Rate Tables'!$B$12:$D$15,1,2))) + G80*40*IFERROR(INDEX('Rate Tables'!$B$12:$D$15,MATCH($E80,'Rate Tables'!$B$12:$B$15,-1),3),INDEX('Rate Tables'!$B$12:$D$15,1,3))</f>
        <v>5474.4624000000003</v>
      </c>
      <c r="J80" s="683"/>
      <c r="K80" s="235">
        <f ca="1">IFERROR(INDEX('Rate Tables'!$B$19:$D$22,MATCH($E80,'Rate Tables'!$B$19:$B$22,-1),2),INDEX('Rate Tables'!$B$19:$D$22,1,2))*40*I80+((40*J80)*IFERROR(INDEX('Rate Tables'!$B$19:$D$22,MATCH($E80,'Rate Tables'!$B$19:$B$22,-1),3),INDEX('Rate Tables'!$B$19:$D$22,1,3)))</f>
        <v>27473042.108160004</v>
      </c>
      <c r="L80" s="233"/>
      <c r="M80" s="683"/>
      <c r="N80" s="235">
        <f>INDEX('Rate Tables'!$B$33:$D$33,1,2)*40*L80+((40*M80)*INDEX('Rate Tables'!$B$33:$D$33,1,3))</f>
        <v>0</v>
      </c>
      <c r="O80" s="233"/>
      <c r="P80" s="683"/>
      <c r="Q80" s="235">
        <f ca="1">IFERROR(INDEX('Rate Tables'!$B$37:$D$40,MATCH($E80,'Rate Tables'!$B$37:$B$40,-1),2),INDEX('Rate Tables'!$B$37:$D$40,1,2))*40*O80+((40*P80)*IFERROR(INDEX('Rate Tables'!$B$37:$D$40,MATCH($E80,'Rate Tables'!$B$37:$B$40,-1),3),INDEX('Rate Tables'!$B$37:$D$40,1,3)))</f>
        <v>0</v>
      </c>
      <c r="R80" s="233"/>
      <c r="S80" s="683"/>
      <c r="T80" s="235">
        <f ca="1">IFERROR(INDEX('Rate Tables'!$B$44:$D$47,MATCH($E80,'Rate Tables'!$B$44:$B$47,-1),2),INDEX('Rate Tables'!$B$44:$D$47,1,2))*40*R80+((40*S80)*IFERROR(INDEX('Rate Tables'!$B$44:$D$47,MATCH($E80,'Rate Tables'!$B$44:$B$47,-1),3),INDEX('Rate Tables'!$B$44:$D$47,1,3)))</f>
        <v>0</v>
      </c>
      <c r="U80" s="233"/>
      <c r="V80" s="683"/>
      <c r="W80" s="235">
        <f>INDEX('Rate Tables'!$B$51:$D$51,1,2)*40*U80+((40*V80)*INDEX('Rate Tables'!$B$51:$D$51,1,3))</f>
        <v>0</v>
      </c>
      <c r="X80" s="59"/>
      <c r="AJ80" s="233"/>
      <c r="AK80" s="233"/>
      <c r="AL80" s="683"/>
      <c r="AM80" s="235">
        <f t="shared" si="3"/>
        <v>0</v>
      </c>
    </row>
    <row r="81" spans="1:39" x14ac:dyDescent="0.25">
      <c r="C81" s="717"/>
      <c r="D81" s="230">
        <f t="shared" ca="1" si="2"/>
        <v>69</v>
      </c>
      <c r="E81" s="231">
        <f ca="1">IFERROR(OFFSET(E81,-1,0)+7,Settings!\cstart)</f>
        <v>43954</v>
      </c>
      <c r="F81" s="232">
        <v>1</v>
      </c>
      <c r="G81" s="683">
        <v>0.2</v>
      </c>
      <c r="H81" s="235">
        <f ca="1">IFERROR(INDEX('Rate Tables'!$B$5:$D$8,MATCH($E81,'Rate Tables'!$B$5:$B$8,-1),2),INDEX('Rate Tables'!$B$5:$D$8,1,2))*40*F81+((40*G81)*IFERROR(INDEX('Rate Tables'!$B$5:$D$8,MATCH($E81,'Rate Tables'!$B$5:$B$8,-1),3),INDEX('Rate Tables'!$B$5:$D$8,1,3)))</f>
        <v>5167.4832000000006</v>
      </c>
      <c r="I81" s="233">
        <f ca="1">(IF(AND(F81&gt;0,F81&lt;=1),F81,IF(F81&gt;1,1,0))*40*IFERROR(INDEX('Rate Tables'!$B$12:$D$15,MATCH($E81,'Rate Tables'!$B$12:$B$15,-1),2),INDEX('Rate Tables'!$B$12:$D$15,1,2))) + G81*40*IFERROR(INDEX('Rate Tables'!$B$12:$D$15,MATCH($E81,'Rate Tables'!$B$12:$B$15,-1),3),INDEX('Rate Tables'!$B$12:$D$15,1,3))</f>
        <v>5474.4624000000003</v>
      </c>
      <c r="J81" s="683"/>
      <c r="K81" s="235">
        <f ca="1">IFERROR(INDEX('Rate Tables'!$B$19:$D$22,MATCH($E81,'Rate Tables'!$B$19:$B$22,-1),2),INDEX('Rate Tables'!$B$19:$D$22,1,2))*40*I81+((40*J81)*IFERROR(INDEX('Rate Tables'!$B$19:$D$22,MATCH($E81,'Rate Tables'!$B$19:$B$22,-1),3),INDEX('Rate Tables'!$B$19:$D$22,1,3)))</f>
        <v>27473042.108160004</v>
      </c>
      <c r="L81" s="233"/>
      <c r="M81" s="683"/>
      <c r="N81" s="235">
        <f>INDEX('Rate Tables'!$B$33:$D$33,1,2)*40*L81+((40*M81)*INDEX('Rate Tables'!$B$33:$D$33,1,3))</f>
        <v>0</v>
      </c>
      <c r="O81" s="233"/>
      <c r="P81" s="683"/>
      <c r="Q81" s="235">
        <f ca="1">IFERROR(INDEX('Rate Tables'!$B$37:$D$40,MATCH($E81,'Rate Tables'!$B$37:$B$40,-1),2),INDEX('Rate Tables'!$B$37:$D$40,1,2))*40*O81+((40*P81)*IFERROR(INDEX('Rate Tables'!$B$37:$D$40,MATCH($E81,'Rate Tables'!$B$37:$B$40,-1),3),INDEX('Rate Tables'!$B$37:$D$40,1,3)))</f>
        <v>0</v>
      </c>
      <c r="R81" s="233"/>
      <c r="S81" s="683"/>
      <c r="T81" s="235">
        <f ca="1">IFERROR(INDEX('Rate Tables'!$B$44:$D$47,MATCH($E81,'Rate Tables'!$B$44:$B$47,-1),2),INDEX('Rate Tables'!$B$44:$D$47,1,2))*40*R81+((40*S81)*IFERROR(INDEX('Rate Tables'!$B$44:$D$47,MATCH($E81,'Rate Tables'!$B$44:$B$47,-1),3),INDEX('Rate Tables'!$B$44:$D$47,1,3)))</f>
        <v>0</v>
      </c>
      <c r="U81" s="233"/>
      <c r="V81" s="683"/>
      <c r="W81" s="235">
        <f>INDEX('Rate Tables'!$B$51:$D$51,1,2)*40*U81+((40*V81)*INDEX('Rate Tables'!$B$51:$D$51,1,3))</f>
        <v>0</v>
      </c>
      <c r="X81" s="59"/>
      <c r="AJ81" s="233"/>
      <c r="AK81" s="233"/>
      <c r="AL81" s="683"/>
      <c r="AM81" s="235">
        <f t="shared" si="3"/>
        <v>0</v>
      </c>
    </row>
    <row r="82" spans="1:39" x14ac:dyDescent="0.25">
      <c r="C82" s="717"/>
      <c r="D82" s="230">
        <f t="shared" ca="1" si="2"/>
        <v>70</v>
      </c>
      <c r="E82" s="231">
        <f ca="1">IFERROR(OFFSET(E82,-1,0)+7,Settings!\cstart)</f>
        <v>43961</v>
      </c>
      <c r="F82" s="232">
        <v>1</v>
      </c>
      <c r="G82" s="683">
        <v>0.2</v>
      </c>
      <c r="H82" s="235">
        <f ca="1">IFERROR(INDEX('Rate Tables'!$B$5:$D$8,MATCH($E82,'Rate Tables'!$B$5:$B$8,-1),2),INDEX('Rate Tables'!$B$5:$D$8,1,2))*40*F82+((40*G82)*IFERROR(INDEX('Rate Tables'!$B$5:$D$8,MATCH($E82,'Rate Tables'!$B$5:$B$8,-1),3),INDEX('Rate Tables'!$B$5:$D$8,1,3)))</f>
        <v>5167.4832000000006</v>
      </c>
      <c r="I82" s="233">
        <f ca="1">(IF(AND(F82&gt;0,F82&lt;=1),F82,IF(F82&gt;1,1,0))*40*IFERROR(INDEX('Rate Tables'!$B$12:$D$15,MATCH($E82,'Rate Tables'!$B$12:$B$15,-1),2),INDEX('Rate Tables'!$B$12:$D$15,1,2))) + G82*40*IFERROR(INDEX('Rate Tables'!$B$12:$D$15,MATCH($E82,'Rate Tables'!$B$12:$B$15,-1),3),INDEX('Rate Tables'!$B$12:$D$15,1,3))</f>
        <v>5474.4624000000003</v>
      </c>
      <c r="J82" s="683"/>
      <c r="K82" s="235">
        <f ca="1">IFERROR(INDEX('Rate Tables'!$B$19:$D$22,MATCH($E82,'Rate Tables'!$B$19:$B$22,-1),2),INDEX('Rate Tables'!$B$19:$D$22,1,2))*40*I82+((40*J82)*IFERROR(INDEX('Rate Tables'!$B$19:$D$22,MATCH($E82,'Rate Tables'!$B$19:$B$22,-1),3),INDEX('Rate Tables'!$B$19:$D$22,1,3)))</f>
        <v>27473042.108160004</v>
      </c>
      <c r="L82" s="233"/>
      <c r="M82" s="683"/>
      <c r="N82" s="235">
        <f>INDEX('Rate Tables'!$B$33:$D$33,1,2)*40*L82+((40*M82)*INDEX('Rate Tables'!$B$33:$D$33,1,3))</f>
        <v>0</v>
      </c>
      <c r="O82" s="233"/>
      <c r="P82" s="683"/>
      <c r="Q82" s="235">
        <f ca="1">IFERROR(INDEX('Rate Tables'!$B$37:$D$40,MATCH($E82,'Rate Tables'!$B$37:$B$40,-1),2),INDEX('Rate Tables'!$B$37:$D$40,1,2))*40*O82+((40*P82)*IFERROR(INDEX('Rate Tables'!$B$37:$D$40,MATCH($E82,'Rate Tables'!$B$37:$B$40,-1),3),INDEX('Rate Tables'!$B$37:$D$40,1,3)))</f>
        <v>0</v>
      </c>
      <c r="R82" s="233"/>
      <c r="S82" s="683"/>
      <c r="T82" s="235">
        <f ca="1">IFERROR(INDEX('Rate Tables'!$B$44:$D$47,MATCH($E82,'Rate Tables'!$B$44:$B$47,-1),2),INDEX('Rate Tables'!$B$44:$D$47,1,2))*40*R82+((40*S82)*IFERROR(INDEX('Rate Tables'!$B$44:$D$47,MATCH($E82,'Rate Tables'!$B$44:$B$47,-1),3),INDEX('Rate Tables'!$B$44:$D$47,1,3)))</f>
        <v>0</v>
      </c>
      <c r="U82" s="233"/>
      <c r="V82" s="683"/>
      <c r="W82" s="235">
        <f>INDEX('Rate Tables'!$B$51:$D$51,1,2)*40*U82+((40*V82)*INDEX('Rate Tables'!$B$51:$D$51,1,3))</f>
        <v>0</v>
      </c>
      <c r="X82" s="59"/>
      <c r="AJ82" s="233"/>
      <c r="AK82" s="233"/>
      <c r="AL82" s="683"/>
      <c r="AM82" s="235">
        <f t="shared" si="3"/>
        <v>0</v>
      </c>
    </row>
    <row r="83" spans="1:39" x14ac:dyDescent="0.25">
      <c r="C83" s="717"/>
      <c r="D83" s="230">
        <f t="shared" ca="1" si="2"/>
        <v>71</v>
      </c>
      <c r="E83" s="231">
        <f ca="1">IFERROR(OFFSET(E83,-1,0)+7,Settings!\cstart)</f>
        <v>43968</v>
      </c>
      <c r="F83" s="232">
        <v>1</v>
      </c>
      <c r="G83" s="683">
        <v>0.2</v>
      </c>
      <c r="H83" s="235">
        <f ca="1">IFERROR(INDEX('Rate Tables'!$B$5:$D$8,MATCH($E83,'Rate Tables'!$B$5:$B$8,-1),2),INDEX('Rate Tables'!$B$5:$D$8,1,2))*40*F83+((40*G83)*IFERROR(INDEX('Rate Tables'!$B$5:$D$8,MATCH($E83,'Rate Tables'!$B$5:$B$8,-1),3),INDEX('Rate Tables'!$B$5:$D$8,1,3)))</f>
        <v>5167.4832000000006</v>
      </c>
      <c r="I83" s="233">
        <f ca="1">(IF(AND(F83&gt;0,F83&lt;=1),F83,IF(F83&gt;1,1,0))*40*IFERROR(INDEX('Rate Tables'!$B$12:$D$15,MATCH($E83,'Rate Tables'!$B$12:$B$15,-1),2),INDEX('Rate Tables'!$B$12:$D$15,1,2))) + G83*40*IFERROR(INDEX('Rate Tables'!$B$12:$D$15,MATCH($E83,'Rate Tables'!$B$12:$B$15,-1),3),INDEX('Rate Tables'!$B$12:$D$15,1,3))</f>
        <v>5474.4624000000003</v>
      </c>
      <c r="J83" s="683"/>
      <c r="K83" s="235">
        <f ca="1">IFERROR(INDEX('Rate Tables'!$B$19:$D$22,MATCH($E83,'Rate Tables'!$B$19:$B$22,-1),2),INDEX('Rate Tables'!$B$19:$D$22,1,2))*40*I83+((40*J83)*IFERROR(INDEX('Rate Tables'!$B$19:$D$22,MATCH($E83,'Rate Tables'!$B$19:$B$22,-1),3),INDEX('Rate Tables'!$B$19:$D$22,1,3)))</f>
        <v>27473042.108160004</v>
      </c>
      <c r="L83" s="233"/>
      <c r="M83" s="683"/>
      <c r="N83" s="235">
        <f>INDEX('Rate Tables'!$B$33:$D$33,1,2)*40*L83+((40*M83)*INDEX('Rate Tables'!$B$33:$D$33,1,3))</f>
        <v>0</v>
      </c>
      <c r="O83" s="233"/>
      <c r="P83" s="683"/>
      <c r="Q83" s="235">
        <f ca="1">IFERROR(INDEX('Rate Tables'!$B$37:$D$40,MATCH($E83,'Rate Tables'!$B$37:$B$40,-1),2),INDEX('Rate Tables'!$B$37:$D$40,1,2))*40*O83+((40*P83)*IFERROR(INDEX('Rate Tables'!$B$37:$D$40,MATCH($E83,'Rate Tables'!$B$37:$B$40,-1),3),INDEX('Rate Tables'!$B$37:$D$40,1,3)))</f>
        <v>0</v>
      </c>
      <c r="R83" s="233"/>
      <c r="S83" s="683"/>
      <c r="T83" s="235">
        <f ca="1">IFERROR(INDEX('Rate Tables'!$B$44:$D$47,MATCH($E83,'Rate Tables'!$B$44:$B$47,-1),2),INDEX('Rate Tables'!$B$44:$D$47,1,2))*40*R83+((40*S83)*IFERROR(INDEX('Rate Tables'!$B$44:$D$47,MATCH($E83,'Rate Tables'!$B$44:$B$47,-1),3),INDEX('Rate Tables'!$B$44:$D$47,1,3)))</f>
        <v>0</v>
      </c>
      <c r="U83" s="233"/>
      <c r="V83" s="683"/>
      <c r="W83" s="235">
        <f>INDEX('Rate Tables'!$B$51:$D$51,1,2)*40*U83+((40*V83)*INDEX('Rate Tables'!$B$51:$D$51,1,3))</f>
        <v>0</v>
      </c>
      <c r="X83" s="59"/>
      <c r="AJ83" s="233"/>
      <c r="AK83" s="233"/>
      <c r="AL83" s="683"/>
      <c r="AM83" s="235">
        <f t="shared" si="3"/>
        <v>0</v>
      </c>
    </row>
    <row r="84" spans="1:39" x14ac:dyDescent="0.25">
      <c r="C84" s="717"/>
      <c r="D84" s="230">
        <f t="shared" ca="1" si="2"/>
        <v>72</v>
      </c>
      <c r="E84" s="231">
        <f ca="1">IFERROR(OFFSET(E84,-1,0)+7,Settings!\cstart)</f>
        <v>43975</v>
      </c>
      <c r="F84" s="232">
        <v>1</v>
      </c>
      <c r="G84" s="683">
        <v>0.2</v>
      </c>
      <c r="H84" s="235">
        <f ca="1">IFERROR(INDEX('Rate Tables'!$B$5:$D$8,MATCH($E84,'Rate Tables'!$B$5:$B$8,-1),2),INDEX('Rate Tables'!$B$5:$D$8,1,2))*40*F84+((40*G84)*IFERROR(INDEX('Rate Tables'!$B$5:$D$8,MATCH($E84,'Rate Tables'!$B$5:$B$8,-1),3),INDEX('Rate Tables'!$B$5:$D$8,1,3)))</f>
        <v>5167.4832000000006</v>
      </c>
      <c r="I84" s="233">
        <f ca="1">(IF(AND(F84&gt;0,F84&lt;=1),F84,IF(F84&gt;1,1,0))*40*IFERROR(INDEX('Rate Tables'!$B$12:$D$15,MATCH($E84,'Rate Tables'!$B$12:$B$15,-1),2),INDEX('Rate Tables'!$B$12:$D$15,1,2))) + G84*40*IFERROR(INDEX('Rate Tables'!$B$12:$D$15,MATCH($E84,'Rate Tables'!$B$12:$B$15,-1),3),INDEX('Rate Tables'!$B$12:$D$15,1,3))</f>
        <v>5474.4624000000003</v>
      </c>
      <c r="J84" s="683"/>
      <c r="K84" s="235">
        <f ca="1">IFERROR(INDEX('Rate Tables'!$B$19:$D$22,MATCH($E84,'Rate Tables'!$B$19:$B$22,-1),2),INDEX('Rate Tables'!$B$19:$D$22,1,2))*40*I84+((40*J84)*IFERROR(INDEX('Rate Tables'!$B$19:$D$22,MATCH($E84,'Rate Tables'!$B$19:$B$22,-1),3),INDEX('Rate Tables'!$B$19:$D$22,1,3)))</f>
        <v>27473042.108160004</v>
      </c>
      <c r="L84" s="233"/>
      <c r="M84" s="683"/>
      <c r="N84" s="235">
        <f>INDEX('Rate Tables'!$B$33:$D$33,1,2)*40*L84+((40*M84)*INDEX('Rate Tables'!$B$33:$D$33,1,3))</f>
        <v>0</v>
      </c>
      <c r="O84" s="233"/>
      <c r="P84" s="683"/>
      <c r="Q84" s="235">
        <f ca="1">IFERROR(INDEX('Rate Tables'!$B$37:$D$40,MATCH($E84,'Rate Tables'!$B$37:$B$40,-1),2),INDEX('Rate Tables'!$B$37:$D$40,1,2))*40*O84+((40*P84)*IFERROR(INDEX('Rate Tables'!$B$37:$D$40,MATCH($E84,'Rate Tables'!$B$37:$B$40,-1),3),INDEX('Rate Tables'!$B$37:$D$40,1,3)))</f>
        <v>0</v>
      </c>
      <c r="R84" s="233"/>
      <c r="S84" s="683"/>
      <c r="T84" s="235">
        <f ca="1">IFERROR(INDEX('Rate Tables'!$B$44:$D$47,MATCH($E84,'Rate Tables'!$B$44:$B$47,-1),2),INDEX('Rate Tables'!$B$44:$D$47,1,2))*40*R84+((40*S84)*IFERROR(INDEX('Rate Tables'!$B$44:$D$47,MATCH($E84,'Rate Tables'!$B$44:$B$47,-1),3),INDEX('Rate Tables'!$B$44:$D$47,1,3)))</f>
        <v>0</v>
      </c>
      <c r="U84" s="233"/>
      <c r="V84" s="683"/>
      <c r="W84" s="235">
        <f>INDEX('Rate Tables'!$B$51:$D$51,1,2)*40*U84+((40*V84)*INDEX('Rate Tables'!$B$51:$D$51,1,3))</f>
        <v>0</v>
      </c>
      <c r="X84" s="59"/>
      <c r="AJ84" s="233"/>
      <c r="AK84" s="233"/>
      <c r="AL84" s="683"/>
      <c r="AM84" s="235">
        <f t="shared" si="3"/>
        <v>0</v>
      </c>
    </row>
    <row r="85" spans="1:39" x14ac:dyDescent="0.25">
      <c r="C85" s="717"/>
      <c r="D85" s="230">
        <f t="shared" ca="1" si="2"/>
        <v>73</v>
      </c>
      <c r="E85" s="231">
        <f ca="1">IFERROR(OFFSET(E85,-1,0)+7,Settings!\cstart)</f>
        <v>43982</v>
      </c>
      <c r="F85" s="232">
        <v>1</v>
      </c>
      <c r="G85" s="683">
        <v>0.2</v>
      </c>
      <c r="H85" s="235">
        <f ca="1">IFERROR(INDEX('Rate Tables'!$B$5:$D$8,MATCH($E85,'Rate Tables'!$B$5:$B$8,-1),2),INDEX('Rate Tables'!$B$5:$D$8,1,2))*40*F85+((40*G85)*IFERROR(INDEX('Rate Tables'!$B$5:$D$8,MATCH($E85,'Rate Tables'!$B$5:$B$8,-1),3),INDEX('Rate Tables'!$B$5:$D$8,1,3)))</f>
        <v>5167.4832000000006</v>
      </c>
      <c r="I85" s="233">
        <f ca="1">(IF(AND(F85&gt;0,F85&lt;=1),F85,IF(F85&gt;1,1,0))*40*IFERROR(INDEX('Rate Tables'!$B$12:$D$15,MATCH($E85,'Rate Tables'!$B$12:$B$15,-1),2),INDEX('Rate Tables'!$B$12:$D$15,1,2))) + G85*40*IFERROR(INDEX('Rate Tables'!$B$12:$D$15,MATCH($E85,'Rate Tables'!$B$12:$B$15,-1),3),INDEX('Rate Tables'!$B$12:$D$15,1,3))</f>
        <v>5474.4624000000003</v>
      </c>
      <c r="J85" s="683"/>
      <c r="K85" s="235">
        <f ca="1">IFERROR(INDEX('Rate Tables'!$B$19:$D$22,MATCH($E85,'Rate Tables'!$B$19:$B$22,-1),2),INDEX('Rate Tables'!$B$19:$D$22,1,2))*40*I85+((40*J85)*IFERROR(INDEX('Rate Tables'!$B$19:$D$22,MATCH($E85,'Rate Tables'!$B$19:$B$22,-1),3),INDEX('Rate Tables'!$B$19:$D$22,1,3)))</f>
        <v>27473042.108160004</v>
      </c>
      <c r="L85" s="233"/>
      <c r="M85" s="683"/>
      <c r="N85" s="235">
        <f>INDEX('Rate Tables'!$B$33:$D$33,1,2)*40*L85+((40*M85)*INDEX('Rate Tables'!$B$33:$D$33,1,3))</f>
        <v>0</v>
      </c>
      <c r="O85" s="233"/>
      <c r="P85" s="683"/>
      <c r="Q85" s="235">
        <f ca="1">IFERROR(INDEX('Rate Tables'!$B$37:$D$40,MATCH($E85,'Rate Tables'!$B$37:$B$40,-1),2),INDEX('Rate Tables'!$B$37:$D$40,1,2))*40*O85+((40*P85)*IFERROR(INDEX('Rate Tables'!$B$37:$D$40,MATCH($E85,'Rate Tables'!$B$37:$B$40,-1),3),INDEX('Rate Tables'!$B$37:$D$40,1,3)))</f>
        <v>0</v>
      </c>
      <c r="R85" s="233"/>
      <c r="S85" s="683"/>
      <c r="T85" s="235">
        <f ca="1">IFERROR(INDEX('Rate Tables'!$B$44:$D$47,MATCH($E85,'Rate Tables'!$B$44:$B$47,-1),2),INDEX('Rate Tables'!$B$44:$D$47,1,2))*40*R85+((40*S85)*IFERROR(INDEX('Rate Tables'!$B$44:$D$47,MATCH($E85,'Rate Tables'!$B$44:$B$47,-1),3),INDEX('Rate Tables'!$B$44:$D$47,1,3)))</f>
        <v>0</v>
      </c>
      <c r="U85" s="233"/>
      <c r="V85" s="683"/>
      <c r="W85" s="235">
        <f>INDEX('Rate Tables'!$B$51:$D$51,1,2)*40*U85+((40*V85)*INDEX('Rate Tables'!$B$51:$D$51,1,3))</f>
        <v>0</v>
      </c>
      <c r="X85" s="59"/>
      <c r="AJ85" s="233"/>
      <c r="AK85" s="233"/>
      <c r="AL85" s="683"/>
      <c r="AM85" s="235">
        <f t="shared" si="3"/>
        <v>0</v>
      </c>
    </row>
    <row r="86" spans="1:39" x14ac:dyDescent="0.25">
      <c r="C86" s="717"/>
      <c r="D86" s="230">
        <f t="shared" ca="1" si="2"/>
        <v>74</v>
      </c>
      <c r="E86" s="231">
        <f ca="1">IFERROR(OFFSET(E86,-1,0)+7,Settings!\cstart)</f>
        <v>43989</v>
      </c>
      <c r="F86" s="232">
        <v>1</v>
      </c>
      <c r="G86" s="683">
        <v>0.2</v>
      </c>
      <c r="H86" s="235">
        <f ca="1">IFERROR(INDEX('Rate Tables'!$B$5:$D$8,MATCH($E86,'Rate Tables'!$B$5:$B$8,-1),2),INDEX('Rate Tables'!$B$5:$D$8,1,2))*40*F86+((40*G86)*IFERROR(INDEX('Rate Tables'!$B$5:$D$8,MATCH($E86,'Rate Tables'!$B$5:$B$8,-1),3),INDEX('Rate Tables'!$B$5:$D$8,1,3)))</f>
        <v>5167.4832000000006</v>
      </c>
      <c r="I86" s="233">
        <f ca="1">(IF(AND(F86&gt;0,F86&lt;=1),F86,IF(F86&gt;1,1,0))*40*IFERROR(INDEX('Rate Tables'!$B$12:$D$15,MATCH($E86,'Rate Tables'!$B$12:$B$15,-1),2),INDEX('Rate Tables'!$B$12:$D$15,1,2))) + G86*40*IFERROR(INDEX('Rate Tables'!$B$12:$D$15,MATCH($E86,'Rate Tables'!$B$12:$B$15,-1),3),INDEX('Rate Tables'!$B$12:$D$15,1,3))</f>
        <v>5474.4624000000003</v>
      </c>
      <c r="J86" s="683"/>
      <c r="K86" s="235">
        <f ca="1">IFERROR(INDEX('Rate Tables'!$B$19:$D$22,MATCH($E86,'Rate Tables'!$B$19:$B$22,-1),2),INDEX('Rate Tables'!$B$19:$D$22,1,2))*40*I86+((40*J86)*IFERROR(INDEX('Rate Tables'!$B$19:$D$22,MATCH($E86,'Rate Tables'!$B$19:$B$22,-1),3),INDEX('Rate Tables'!$B$19:$D$22,1,3)))</f>
        <v>27473042.108160004</v>
      </c>
      <c r="L86" s="233"/>
      <c r="M86" s="683"/>
      <c r="N86" s="235">
        <f>INDEX('Rate Tables'!$B$33:$D$33,1,2)*40*L86+((40*M86)*INDEX('Rate Tables'!$B$33:$D$33,1,3))</f>
        <v>0</v>
      </c>
      <c r="O86" s="233"/>
      <c r="P86" s="683"/>
      <c r="Q86" s="235">
        <f ca="1">IFERROR(INDEX('Rate Tables'!$B$37:$D$40,MATCH($E86,'Rate Tables'!$B$37:$B$40,-1),2),INDEX('Rate Tables'!$B$37:$D$40,1,2))*40*O86+((40*P86)*IFERROR(INDEX('Rate Tables'!$B$37:$D$40,MATCH($E86,'Rate Tables'!$B$37:$B$40,-1),3),INDEX('Rate Tables'!$B$37:$D$40,1,3)))</f>
        <v>0</v>
      </c>
      <c r="R86" s="233"/>
      <c r="S86" s="683"/>
      <c r="T86" s="235">
        <f ca="1">IFERROR(INDEX('Rate Tables'!$B$44:$D$47,MATCH($E86,'Rate Tables'!$B$44:$B$47,-1),2),INDEX('Rate Tables'!$B$44:$D$47,1,2))*40*R86+((40*S86)*IFERROR(INDEX('Rate Tables'!$B$44:$D$47,MATCH($E86,'Rate Tables'!$B$44:$B$47,-1),3),INDEX('Rate Tables'!$B$44:$D$47,1,3)))</f>
        <v>0</v>
      </c>
      <c r="U86" s="233"/>
      <c r="V86" s="683"/>
      <c r="W86" s="235">
        <f>INDEX('Rate Tables'!$B$51:$D$51,1,2)*40*U86+((40*V86)*INDEX('Rate Tables'!$B$51:$D$51,1,3))</f>
        <v>0</v>
      </c>
      <c r="X86" s="59"/>
      <c r="AJ86" s="233"/>
      <c r="AK86" s="233"/>
      <c r="AL86" s="683"/>
      <c r="AM86" s="235">
        <f t="shared" si="3"/>
        <v>0</v>
      </c>
    </row>
    <row r="87" spans="1:39" ht="15.75" thickBot="1" x14ac:dyDescent="0.3">
      <c r="C87" s="718"/>
      <c r="D87" s="230">
        <f t="shared" ca="1" si="2"/>
        <v>75</v>
      </c>
      <c r="E87" s="231">
        <f ca="1">IFERROR(OFFSET(E87,-1,0)+7,Settings!\cstart)</f>
        <v>43996</v>
      </c>
      <c r="F87" s="232">
        <v>1</v>
      </c>
      <c r="G87" s="683">
        <v>0.2</v>
      </c>
      <c r="H87" s="235">
        <f ca="1">IFERROR(INDEX('Rate Tables'!$B$5:$D$8,MATCH($E87,'Rate Tables'!$B$5:$B$8,-1),2),INDEX('Rate Tables'!$B$5:$D$8,1,2))*40*F87+((40*G87)*IFERROR(INDEX('Rate Tables'!$B$5:$D$8,MATCH($E87,'Rate Tables'!$B$5:$B$8,-1),3),INDEX('Rate Tables'!$B$5:$D$8,1,3)))</f>
        <v>5167.4832000000006</v>
      </c>
      <c r="I87" s="233">
        <f ca="1">(IF(AND(F87&gt;0,F87&lt;=1),F87,IF(F87&gt;1,1,0))*40*IFERROR(INDEX('Rate Tables'!$B$12:$D$15,MATCH($E87,'Rate Tables'!$B$12:$B$15,-1),2),INDEX('Rate Tables'!$B$12:$D$15,1,2))) + G87*40*IFERROR(INDEX('Rate Tables'!$B$12:$D$15,MATCH($E87,'Rate Tables'!$B$12:$B$15,-1),3),INDEX('Rate Tables'!$B$12:$D$15,1,3))</f>
        <v>5474.4624000000003</v>
      </c>
      <c r="J87" s="683"/>
      <c r="K87" s="235">
        <f ca="1">IFERROR(INDEX('Rate Tables'!$B$19:$D$22,MATCH($E87,'Rate Tables'!$B$19:$B$22,-1),2),INDEX('Rate Tables'!$B$19:$D$22,1,2))*40*I87+((40*J87)*IFERROR(INDEX('Rate Tables'!$B$19:$D$22,MATCH($E87,'Rate Tables'!$B$19:$B$22,-1),3),INDEX('Rate Tables'!$B$19:$D$22,1,3)))</f>
        <v>27473042.108160004</v>
      </c>
      <c r="L87" s="233"/>
      <c r="M87" s="683"/>
      <c r="N87" s="235">
        <f>INDEX('Rate Tables'!$B$33:$D$33,1,2)*40*L87+((40*M87)*INDEX('Rate Tables'!$B$33:$D$33,1,3))</f>
        <v>0</v>
      </c>
      <c r="O87" s="233"/>
      <c r="P87" s="683"/>
      <c r="Q87" s="235">
        <f ca="1">IFERROR(INDEX('Rate Tables'!$B$37:$D$40,MATCH($E87,'Rate Tables'!$B$37:$B$40,-1),2),INDEX('Rate Tables'!$B$37:$D$40,1,2))*40*O87+((40*P87)*IFERROR(INDEX('Rate Tables'!$B$37:$D$40,MATCH($E87,'Rate Tables'!$B$37:$B$40,-1),3),INDEX('Rate Tables'!$B$37:$D$40,1,3)))</f>
        <v>0</v>
      </c>
      <c r="R87" s="233"/>
      <c r="S87" s="683"/>
      <c r="T87" s="235">
        <f ca="1">IFERROR(INDEX('Rate Tables'!$B$44:$D$47,MATCH($E87,'Rate Tables'!$B$44:$B$47,-1),2),INDEX('Rate Tables'!$B$44:$D$47,1,2))*40*R87+((40*S87)*IFERROR(INDEX('Rate Tables'!$B$44:$D$47,MATCH($E87,'Rate Tables'!$B$44:$B$47,-1),3),INDEX('Rate Tables'!$B$44:$D$47,1,3)))</f>
        <v>0</v>
      </c>
      <c r="U87" s="233"/>
      <c r="V87" s="683"/>
      <c r="W87" s="235">
        <f>INDEX('Rate Tables'!$B$51:$D$51,1,2)*40*U87+((40*V87)*INDEX('Rate Tables'!$B$51:$D$51,1,3))</f>
        <v>0</v>
      </c>
      <c r="X87" s="59"/>
      <c r="AJ87" s="233"/>
      <c r="AK87" s="233"/>
      <c r="AL87" s="683"/>
      <c r="AM87" s="235">
        <f t="shared" si="3"/>
        <v>0</v>
      </c>
    </row>
    <row r="88" spans="1:39" x14ac:dyDescent="0.25">
      <c r="C88" s="684"/>
      <c r="D88" s="325" t="s">
        <v>419</v>
      </c>
      <c r="E88" s="63"/>
      <c r="F88" s="225"/>
      <c r="G88" s="227"/>
      <c r="H88" s="228">
        <f ca="1">SUMIF(H12:OFFSET(H88,-1,0),"&gt;=0")</f>
        <v>387561.24000000017</v>
      </c>
      <c r="I88" s="688">
        <f ca="1">SUM(I13:I87)</f>
        <v>410584.68000000034</v>
      </c>
      <c r="J88" s="227"/>
      <c r="K88" s="228">
        <f ca="1">SUMIF(K12:OFFSET(K88,-1,0),"&gt;=0")</f>
        <v>2060519585.0040014</v>
      </c>
      <c r="L88" s="226"/>
      <c r="M88" s="227"/>
      <c r="N88" s="228">
        <f ca="1">SUMIF(N12:OFFSET(N88,-1,0),"&gt;=0")</f>
        <v>0</v>
      </c>
      <c r="O88" s="226"/>
      <c r="P88" s="227"/>
      <c r="Q88" s="228">
        <f ca="1">SUMIF(Q12:OFFSET(Q88,-1,0),"&gt;=0")</f>
        <v>0</v>
      </c>
      <c r="R88" s="226"/>
      <c r="S88" s="227"/>
      <c r="T88" s="228">
        <f ca="1">SUMIF(T12:OFFSET(T88,-1,0),"&gt;=0")</f>
        <v>0</v>
      </c>
      <c r="U88" s="226"/>
      <c r="V88" s="227"/>
      <c r="W88" s="228">
        <f ca="1">SUMIF(W12:OFFSET(W88,-1,0),"&gt;=0")</f>
        <v>0</v>
      </c>
      <c r="X88" s="59"/>
      <c r="AJ88" s="226"/>
      <c r="AK88" s="226"/>
      <c r="AL88" s="227"/>
      <c r="AM88" s="228">
        <f ca="1">SUMIF(AM12:OFFSET(AM88,-1,0),"&gt;=0")</f>
        <v>0</v>
      </c>
    </row>
    <row r="89" spans="1:39" s="311" customFormat="1" x14ac:dyDescent="0.25">
      <c r="A89" s="681"/>
      <c r="C89" s="324"/>
      <c r="D89" s="326" t="s">
        <v>959</v>
      </c>
      <c r="E89" s="222"/>
      <c r="F89" s="222"/>
      <c r="G89" s="255"/>
      <c r="H89" s="255">
        <f t="array" aca="1" ref="H89" ca="1">SUM((IF((OFFSET(F12,1,0):OFFSET(F88,-1,0)&lt;=1)*(OFFSET(F12,1,0):OFFSET(F88,-1,0)&gt;0),OFFSET(F12,1,0):OFFSET(F88,-1,0),IF(OFFSET(F12,1,0):OFFSET(F88,-1,0)&gt;1,1,0)))*40*IFERROR(INDEX('Rate Tables'!$B$12:$D$15,MATCH(OFFSET($E12,1,0):OFFSET($E88,-1,0),'Rate Tables'!$B$12:$B$15,-1),2),INDEX('Rate Tables'!$B$12:$D$15,1,2)) +(OFFSET(G12,1,0):OFFSET(G88,-1,0))*40*IFERROR(INDEX('Rate Tables'!$B$12:$D$15,MATCH(OFFSET($E12,1,0):OFFSET($E88,-1,0),'Rate Tables'!$B$12:$B$15,-1),3),INDEX('Rate Tables'!$B$12:$D$15,1,3)) )</f>
        <v>410584.68000000034</v>
      </c>
      <c r="I89" s="254"/>
      <c r="J89" s="680"/>
      <c r="K89" s="255">
        <f t="array" aca="1" ref="K89" ca="1">SUM((IF((OFFSET(I12,1,0):OFFSET(I88,-1,0)&lt;=1)*(OFFSET(I12,1,0):OFFSET(I88,-1,0)&gt;0),OFFSET(I12,1,0):OFFSET(I88,-1,0),IF(OFFSET(I12,1,0):OFFSET(I88,-1,0)&gt;1,1,0)))*40*IFERROR(INDEX('Rate Tables'!$B$26:$D$29,MATCH(OFFSET($E12,1,0):OFFSET($E88,-1,0),'Rate Tables'!$B$26:$B$29,-1),2),INDEX('Rate Tables'!$B$26:$D$29,1,2)) +(OFFSET(J12,1,0):OFFSET(J88,-1,0))*40*IFERROR(INDEX('Rate Tables'!$B$26:$D$29,MATCH(OFFSET($E12,1,0):OFFSET($E88,-1,0),'Rate Tables'!$B$26:$B$29,-1),3),INDEX('Rate Tables'!$B$26:$D$29,1,3)) )</f>
        <v>449227.3289999995</v>
      </c>
      <c r="L89" s="254"/>
      <c r="M89" s="680"/>
      <c r="N89" s="255"/>
      <c r="O89" s="254"/>
      <c r="P89" s="680"/>
      <c r="Q89" s="255"/>
      <c r="R89" s="254"/>
      <c r="S89" s="680"/>
      <c r="T89" s="255"/>
      <c r="U89" s="254"/>
      <c r="V89" s="680"/>
      <c r="W89" s="255"/>
      <c r="X89" s="333"/>
      <c r="AJ89" s="254"/>
      <c r="AK89" s="254"/>
      <c r="AL89" s="680"/>
      <c r="AM89" s="255"/>
    </row>
    <row r="90" spans="1:39" ht="22.5" customHeight="1" thickBot="1" x14ac:dyDescent="0.35">
      <c r="C90" s="60"/>
      <c r="D90" s="601" t="s">
        <v>960</v>
      </c>
      <c r="E90" s="168"/>
      <c r="F90" s="64"/>
      <c r="G90" s="602" t="str">
        <f ca="1">IFERROR(H90/#REF!,"")</f>
        <v/>
      </c>
      <c r="H90" s="167">
        <f ca="1">SUM(H88:H89)</f>
        <v>798145.92000000051</v>
      </c>
      <c r="I90" s="64"/>
      <c r="J90" s="602" t="str">
        <f ca="1">IFERROR(K90/#REF!,"")</f>
        <v/>
      </c>
      <c r="K90" s="167">
        <f ca="1">SUM(K88:K89)</f>
        <v>2060968812.3330014</v>
      </c>
      <c r="L90" s="64"/>
      <c r="M90" s="602" t="str">
        <f ca="1">IFERROR(N90/#REF!,"")</f>
        <v/>
      </c>
      <c r="N90" s="167">
        <f ca="1">SUM(N88:N89)</f>
        <v>0</v>
      </c>
      <c r="O90" s="64"/>
      <c r="P90" s="602" t="str">
        <f ca="1">IFERROR(Q90/#REF!,"")</f>
        <v/>
      </c>
      <c r="Q90" s="167">
        <f ca="1">SUM(Q88:Q89)</f>
        <v>0</v>
      </c>
      <c r="R90" s="64"/>
      <c r="S90" s="602" t="str">
        <f ca="1">IFERROR(T90/#REF!,"")</f>
        <v/>
      </c>
      <c r="T90" s="167">
        <f ca="1">SUM(T88:T89)</f>
        <v>0</v>
      </c>
      <c r="U90" s="64"/>
      <c r="V90" s="602" t="str">
        <f ca="1">IFERROR(W90/#REF!,"")</f>
        <v/>
      </c>
      <c r="W90" s="167">
        <f ca="1">SUM(W88:W89)</f>
        <v>0</v>
      </c>
      <c r="X90" s="59"/>
      <c r="AJ90" s="64"/>
      <c r="AK90" s="64"/>
      <c r="AL90" s="602" t="str">
        <f ca="1">IFERROR(AM90/#REF!,"")</f>
        <v/>
      </c>
      <c r="AM90" s="167">
        <f ca="1">SUM(AM88:AM89)</f>
        <v>0</v>
      </c>
    </row>
    <row r="91" spans="1:39" x14ac:dyDescent="0.25">
      <c r="D91" s="334"/>
      <c r="E91" s="334"/>
      <c r="F91" s="334"/>
      <c r="G91" s="334"/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  <c r="AJ91" s="334"/>
      <c r="AK91" s="334"/>
      <c r="AL91" s="334"/>
      <c r="AM91" s="334"/>
    </row>
    <row r="92" spans="1:39" x14ac:dyDescent="0.25"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4" spans="1:39" ht="15.75" thickBot="1" x14ac:dyDescent="0.3">
      <c r="C94" s="229"/>
      <c r="D94" s="230">
        <f ca="1">IFERROR(OFFSET(D94,-1,0)+1,1)</f>
        <v>1</v>
      </c>
      <c r="E94" s="231">
        <f ca="1">IFERROR(OFFSET(E94,-1,0)+7,Settings!\cstart)</f>
        <v>7</v>
      </c>
      <c r="F94" s="232"/>
      <c r="G94" s="683"/>
      <c r="H94" s="235">
        <f ca="1">IFERROR(INDEX('Rate Tables'!$B$5:$D$8,MATCH($E94,'Rate Tables'!$B$5:$B$8,-1),2),INDEX('Rate Tables'!$B$5:$D$8,1,2))*40*F94+((40*G94)*IFERROR(INDEX('Rate Tables'!$B$5:$D$8,MATCH($E94,'Rate Tables'!$B$5:$B$8,-1),3),INDEX('Rate Tables'!$B$5:$D$8,1,3)))</f>
        <v>0</v>
      </c>
      <c r="I94" s="233"/>
      <c r="J94" s="683"/>
      <c r="K94" s="235">
        <f ca="1">IFERROR(INDEX('Rate Tables'!$B$19:$D$22,MATCH($E94,'Rate Tables'!$B$19:$B$22,-1),2),INDEX('Rate Tables'!$B$19:$D$22,1,2))*40*I94+((40*J94)*IFERROR(INDEX('Rate Tables'!$B$19:$D$22,MATCH($E94,'Rate Tables'!$B$19:$B$22,-1),3),INDEX('Rate Tables'!$B$19:$D$22,1,3)))</f>
        <v>0</v>
      </c>
      <c r="L94" s="233"/>
      <c r="M94" s="683"/>
      <c r="N94" s="235">
        <f>INDEX('Rate Tables'!$B$33:$D$33,1,2)*40*L94+((40*M94)*INDEX('Rate Tables'!$B$33:$D$33,1,3))</f>
        <v>0</v>
      </c>
      <c r="O94" s="233"/>
      <c r="P94" s="683"/>
      <c r="Q94" s="235">
        <f ca="1">IFERROR(INDEX('Rate Tables'!$B$37:$D$40,MATCH($E94,'Rate Tables'!$B$37:$B$40,-1),2),INDEX('Rate Tables'!$B$37:$D$40,1,2))*40*O94+((40*P94)*IFERROR(INDEX('Rate Tables'!$B$37:$D$40,MATCH($E94,'Rate Tables'!$B$37:$B$40,-1),3),INDEX('Rate Tables'!$B$37:$D$40,1,3)))</f>
        <v>0</v>
      </c>
      <c r="R94" s="233"/>
      <c r="S94" s="683"/>
      <c r="T94" s="235">
        <f ca="1">IFERROR(INDEX('Rate Tables'!$B$44:$D$47,MATCH($E94,'Rate Tables'!$B$44:$B$47,-1),2),INDEX('Rate Tables'!$B$44:$D$47,1,2))*40*R94+((40*S94)*IFERROR(INDEX('Rate Tables'!$B$44:$D$47,MATCH($E94,'Rate Tables'!$B$44:$B$47,-1),3),INDEX('Rate Tables'!$B$44:$D$47,1,3)))</f>
        <v>0</v>
      </c>
      <c r="U94" s="233"/>
      <c r="V94" s="683"/>
      <c r="W94" s="235">
        <f>INDEX('Rate Tables'!$B$51:$D$51,1,2)*40*U94+((40*V94)*INDEX('Rate Tables'!$B$51:$D$51,1,3))</f>
        <v>0</v>
      </c>
      <c r="X94" s="59"/>
      <c r="AJ94" s="233"/>
      <c r="AK94" s="689"/>
      <c r="AL94" s="683"/>
      <c r="AM94" s="235">
        <f>(AJ94*AK94*40)+(AL94*40*1.27*AK94)</f>
        <v>0</v>
      </c>
    </row>
  </sheetData>
  <sheetProtection sheet="1" scenarios="1" formatCells="0" formatColumns="0" formatRows="0" insertColumns="0" insertRows="0" insertHyperlinks="0" deleteColumns="0" deleteRows="0" sort="0" autoFilter="0" pivotTables="0"/>
  <mergeCells count="10">
    <mergeCell ref="C13:C87"/>
    <mergeCell ref="AJ1:AM1"/>
    <mergeCell ref="F11:H11"/>
    <mergeCell ref="I11:K11"/>
    <mergeCell ref="L11:N11"/>
    <mergeCell ref="O11:Q11"/>
    <mergeCell ref="R11:T11"/>
    <mergeCell ref="U11:W11"/>
    <mergeCell ref="AJ11:AM11"/>
    <mergeCell ref="U1:W1"/>
  </mergeCells>
  <dataValidations count="1">
    <dataValidation type="list" allowBlank="1" showInputMessage="1" showErrorMessage="1" sqref="J6" xr:uid="{2A03EF41-D412-4303-8A6D-EA4F221A224F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016E-4728-4809-965D-BF49928E7FD7}">
  <sheetPr codeName="Sheet10"/>
  <dimension ref="B2:Y51"/>
  <sheetViews>
    <sheetView workbookViewId="0">
      <selection activeCell="F5" sqref="F5"/>
    </sheetView>
  </sheetViews>
  <sheetFormatPr defaultColWidth="9.140625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customWidth="1"/>
    <col min="7" max="7" width="7.42578125" customWidth="1"/>
    <col min="8" max="25" width="9.140625" customWidth="1"/>
  </cols>
  <sheetData>
    <row r="2" spans="2:25" x14ac:dyDescent="0.25">
      <c r="B2" s="687">
        <v>43618</v>
      </c>
      <c r="C2">
        <f>MATCH(B2,B5:B8,1)</f>
        <v>4</v>
      </c>
    </row>
    <row r="4" spans="2:25" x14ac:dyDescent="0.25">
      <c r="B4" t="str">
        <f>INDEX(Code!\t_schedule,MATCH(Settings!\reg,Code!\headertbl,0),1)</f>
        <v>Clean-Up Labor</v>
      </c>
      <c r="C4" s="478"/>
      <c r="D4" s="478"/>
      <c r="E4" s="478"/>
      <c r="F4" s="493" t="s">
        <v>280</v>
      </c>
      <c r="G4" s="493">
        <v>1.27</v>
      </c>
      <c r="H4" s="493" t="s">
        <v>282</v>
      </c>
      <c r="I4" s="493"/>
      <c r="J4" s="493" t="s">
        <v>284</v>
      </c>
      <c r="K4" s="493"/>
      <c r="L4" s="493" t="s">
        <v>274</v>
      </c>
      <c r="M4" s="493"/>
      <c r="N4" s="493" t="s">
        <v>287</v>
      </c>
      <c r="O4" s="493"/>
      <c r="P4" s="493" t="s">
        <v>289</v>
      </c>
      <c r="Q4" s="493"/>
      <c r="R4" s="493" t="s">
        <v>291</v>
      </c>
      <c r="S4" s="493"/>
      <c r="T4" s="493" t="s">
        <v>293</v>
      </c>
      <c r="U4" s="493"/>
      <c r="V4" s="493" t="s">
        <v>295</v>
      </c>
      <c r="W4" s="493"/>
      <c r="X4" s="493" t="s">
        <v>297</v>
      </c>
      <c r="Y4" s="493"/>
    </row>
    <row r="5" spans="2:25" x14ac:dyDescent="0.25">
      <c r="B5" s="682">
        <v>43617</v>
      </c>
      <c r="C5" s="487">
        <f>INDEX(\t_laborer,4,MATCH(Settings!\reg,\laborer,0))</f>
        <v>103.02</v>
      </c>
      <c r="D5" s="487">
        <f>INDEX(\t_laborer,4,MATCH(Settings!\reg,\laborer,0)+1)</f>
        <v>130.83539999999999</v>
      </c>
      <c r="E5" s="478"/>
      <c r="F5" s="478">
        <v>97.75</v>
      </c>
      <c r="G5" s="478">
        <f>G$4*F5</f>
        <v>124.1425</v>
      </c>
      <c r="H5" s="478">
        <v>99.25</v>
      </c>
      <c r="I5" s="478">
        <f>I$4*H5</f>
        <v>0</v>
      </c>
      <c r="J5" s="478">
        <v>99.25</v>
      </c>
      <c r="K5" s="478">
        <f>K$4*J5</f>
        <v>0</v>
      </c>
      <c r="L5" s="478">
        <v>99.25</v>
      </c>
      <c r="M5" s="478">
        <f>M$4*L5</f>
        <v>0</v>
      </c>
      <c r="N5" s="478">
        <v>99.25</v>
      </c>
      <c r="O5" s="478">
        <f>O$4*N5</f>
        <v>0</v>
      </c>
      <c r="P5" s="478">
        <v>99.25</v>
      </c>
      <c r="Q5" s="478">
        <f>Q$4*P5</f>
        <v>0</v>
      </c>
      <c r="R5" s="478">
        <v>99.25</v>
      </c>
      <c r="S5" s="478">
        <f>S$4*R5</f>
        <v>0</v>
      </c>
      <c r="T5" s="478">
        <v>99.25</v>
      </c>
      <c r="U5" s="478">
        <f>U$4*T5</f>
        <v>0</v>
      </c>
      <c r="V5" s="478">
        <v>99.25</v>
      </c>
      <c r="W5" s="478">
        <f>W$4*V5</f>
        <v>0</v>
      </c>
      <c r="X5" s="478">
        <v>99.25</v>
      </c>
      <c r="Y5" s="478">
        <f>Y$4*X5</f>
        <v>0</v>
      </c>
    </row>
    <row r="6" spans="2:25" x14ac:dyDescent="0.25">
      <c r="B6" s="682">
        <v>43435</v>
      </c>
      <c r="C6" s="487">
        <f>INDEX(\t_laborer,3,MATCH(Settings!\reg,\laborer,0))</f>
        <v>101</v>
      </c>
      <c r="D6" s="487">
        <f>INDEX(\t_laborer,3,MATCH(Settings!\reg,\laborer,0)+1)</f>
        <v>128.27000000000001</v>
      </c>
      <c r="E6" s="487"/>
      <c r="F6" s="478">
        <v>99.25</v>
      </c>
      <c r="G6" s="478">
        <f>G$4*F6</f>
        <v>126.0475</v>
      </c>
      <c r="H6" s="478">
        <v>99.25</v>
      </c>
      <c r="I6" s="478">
        <f>I$4*H6</f>
        <v>0</v>
      </c>
      <c r="J6" s="478">
        <v>99.25</v>
      </c>
      <c r="K6" s="478">
        <f>K$4*J6</f>
        <v>0</v>
      </c>
      <c r="L6" s="478">
        <v>99.25</v>
      </c>
      <c r="M6" s="478">
        <f>M$4*L6</f>
        <v>0</v>
      </c>
      <c r="N6" s="478">
        <v>99.25</v>
      </c>
      <c r="O6" s="478">
        <f>O$4*N6</f>
        <v>0</v>
      </c>
      <c r="P6" s="478">
        <v>99.25</v>
      </c>
      <c r="Q6" s="478">
        <f>Q$4*P6</f>
        <v>0</v>
      </c>
      <c r="R6" s="478">
        <v>99.25</v>
      </c>
      <c r="S6" s="478">
        <f>S$4*R6</f>
        <v>0</v>
      </c>
      <c r="T6" s="478">
        <v>99.25</v>
      </c>
      <c r="U6" s="478">
        <f>U$4*T6</f>
        <v>0</v>
      </c>
      <c r="V6" s="478">
        <v>99.25</v>
      </c>
      <c r="W6" s="478">
        <f>W$4*V6</f>
        <v>0</v>
      </c>
      <c r="X6" s="478">
        <v>99.25</v>
      </c>
      <c r="Y6" s="478">
        <f>Y$4*X6</f>
        <v>0</v>
      </c>
    </row>
    <row r="7" spans="2:25" x14ac:dyDescent="0.25">
      <c r="B7" s="682">
        <v>43252</v>
      </c>
      <c r="C7" s="487">
        <f>INDEX(\t_laborer,2,MATCH(Settings!\reg,\laborer,0))</f>
        <v>99.25</v>
      </c>
      <c r="D7" s="487">
        <f>INDEX(\t_laborer,2,MATCH(Settings!\reg,\laborer,0)+1)</f>
        <v>126.0475</v>
      </c>
      <c r="E7" s="487"/>
      <c r="F7" s="478">
        <v>101</v>
      </c>
      <c r="G7" s="478">
        <f t="shared" ref="G7:I8" si="0">G$4*F7</f>
        <v>128.27000000000001</v>
      </c>
      <c r="H7" s="478">
        <v>101</v>
      </c>
      <c r="I7" s="478">
        <f t="shared" si="0"/>
        <v>0</v>
      </c>
      <c r="J7" s="478">
        <v>101</v>
      </c>
      <c r="K7" s="478">
        <f t="shared" ref="K7" si="1">K$4*J7</f>
        <v>0</v>
      </c>
      <c r="L7" s="478">
        <v>101</v>
      </c>
      <c r="M7" s="478">
        <f t="shared" ref="M7" si="2">M$4*L7</f>
        <v>0</v>
      </c>
      <c r="N7" s="478">
        <v>101</v>
      </c>
      <c r="O7" s="478">
        <f t="shared" ref="O7" si="3">O$4*N7</f>
        <v>0</v>
      </c>
      <c r="P7" s="478">
        <v>101</v>
      </c>
      <c r="Q7" s="478">
        <f t="shared" ref="Q7" si="4">Q$4*P7</f>
        <v>0</v>
      </c>
      <c r="R7" s="478">
        <v>101</v>
      </c>
      <c r="S7" s="478">
        <f t="shared" ref="S7" si="5">S$4*R7</f>
        <v>0</v>
      </c>
      <c r="T7" s="478">
        <v>101</v>
      </c>
      <c r="U7" s="478">
        <f t="shared" ref="U7" si="6">U$4*T7</f>
        <v>0</v>
      </c>
      <c r="V7" s="478">
        <v>101</v>
      </c>
      <c r="W7" s="478">
        <f t="shared" ref="W7" si="7">W$4*V7</f>
        <v>0</v>
      </c>
      <c r="X7" s="478">
        <v>101</v>
      </c>
      <c r="Y7" s="478">
        <f t="shared" ref="Y7" si="8">Y$4*X7</f>
        <v>0</v>
      </c>
    </row>
    <row r="8" spans="2:25" x14ac:dyDescent="0.25">
      <c r="B8" s="682">
        <v>43070</v>
      </c>
      <c r="C8" s="487">
        <f>INDEX(\t_laborer,1,MATCH(Settings!\reg,\laborer,0))</f>
        <v>97.75</v>
      </c>
      <c r="D8" s="487">
        <f>INDEX(\t_laborer,1,MATCH(Settings!\reg,\laborer,0)+1)</f>
        <v>124.1425</v>
      </c>
      <c r="E8" s="487"/>
      <c r="F8" s="478">
        <f>F7*1.02</f>
        <v>103.02</v>
      </c>
      <c r="G8" s="478">
        <f t="shared" si="0"/>
        <v>130.83539999999999</v>
      </c>
      <c r="H8" s="478">
        <f t="shared" ref="H8:X8" si="9">H7*1.02</f>
        <v>103.02</v>
      </c>
      <c r="I8" s="478">
        <f t="shared" si="0"/>
        <v>0</v>
      </c>
      <c r="J8" s="478">
        <f t="shared" si="9"/>
        <v>103.02</v>
      </c>
      <c r="K8" s="478">
        <f t="shared" ref="K8" si="10">K$4*J8</f>
        <v>0</v>
      </c>
      <c r="L8" s="478">
        <f t="shared" si="9"/>
        <v>103.02</v>
      </c>
      <c r="M8" s="478">
        <f t="shared" ref="M8" si="11">M$4*L8</f>
        <v>0</v>
      </c>
      <c r="N8" s="478">
        <f t="shared" si="9"/>
        <v>103.02</v>
      </c>
      <c r="O8" s="478">
        <f t="shared" ref="O8" si="12">O$4*N8</f>
        <v>0</v>
      </c>
      <c r="P8" s="478">
        <f t="shared" si="9"/>
        <v>103.02</v>
      </c>
      <c r="Q8" s="478">
        <f t="shared" ref="Q8" si="13">Q$4*P8</f>
        <v>0</v>
      </c>
      <c r="R8" s="478">
        <f t="shared" si="9"/>
        <v>103.02</v>
      </c>
      <c r="S8" s="478">
        <f t="shared" ref="S8" si="14">S$4*R8</f>
        <v>0</v>
      </c>
      <c r="T8" s="478">
        <f t="shared" si="9"/>
        <v>103.02</v>
      </c>
      <c r="U8" s="478">
        <f t="shared" ref="U8" si="15">U$4*T8</f>
        <v>0</v>
      </c>
      <c r="V8" s="478">
        <f t="shared" si="9"/>
        <v>103.02</v>
      </c>
      <c r="W8" s="478">
        <f t="shared" ref="W8" si="16">W$4*V8</f>
        <v>0</v>
      </c>
      <c r="X8" s="478">
        <f t="shared" si="9"/>
        <v>103.02</v>
      </c>
      <c r="Y8" s="478">
        <f t="shared" ref="Y8" si="17">Y$4*X8</f>
        <v>0</v>
      </c>
    </row>
    <row r="11" spans="2:25" x14ac:dyDescent="0.25">
      <c r="B11" t="s">
        <v>974</v>
      </c>
      <c r="C11" s="478"/>
      <c r="D11" s="478"/>
      <c r="E11" s="478"/>
      <c r="F11" s="493" t="s">
        <v>280</v>
      </c>
      <c r="G11" s="493">
        <v>1.27</v>
      </c>
      <c r="H11" s="493" t="s">
        <v>282</v>
      </c>
      <c r="I11" s="493"/>
      <c r="J11" s="493" t="s">
        <v>284</v>
      </c>
      <c r="K11" s="493"/>
      <c r="L11" s="493" t="s">
        <v>274</v>
      </c>
      <c r="M11" s="493"/>
      <c r="N11" s="493" t="s">
        <v>287</v>
      </c>
      <c r="O11" s="493"/>
      <c r="P11" s="493" t="s">
        <v>289</v>
      </c>
      <c r="Q11" s="493"/>
      <c r="R11" s="493" t="s">
        <v>291</v>
      </c>
      <c r="S11" s="493"/>
      <c r="T11" s="493" t="s">
        <v>293</v>
      </c>
      <c r="U11" s="493"/>
      <c r="V11" s="493" t="s">
        <v>295</v>
      </c>
      <c r="W11" s="493"/>
      <c r="X11" s="493" t="s">
        <v>297</v>
      </c>
      <c r="Y11" s="493"/>
    </row>
    <row r="12" spans="2:25" x14ac:dyDescent="0.25">
      <c r="B12" s="682">
        <v>43617</v>
      </c>
      <c r="C12" s="487">
        <f>INDEX(\t_laborforeman,4,MATCH(Settings!\reg,\laborforeman,0))</f>
        <v>109.14</v>
      </c>
      <c r="D12" s="487">
        <f>INDEX(\t_laborforeman,4,MATCH(Settings!\reg,\laborforeman,0)+1)</f>
        <v>138.6078</v>
      </c>
      <c r="E12" s="478"/>
      <c r="F12" s="478">
        <v>103.75</v>
      </c>
      <c r="G12" s="478">
        <f>G$11*F12</f>
        <v>131.76249999999999</v>
      </c>
      <c r="H12" s="478">
        <v>105.5</v>
      </c>
      <c r="I12" s="478">
        <f>I$11*H12</f>
        <v>0</v>
      </c>
      <c r="J12" s="478">
        <v>105.5</v>
      </c>
      <c r="K12" s="478">
        <f>K$11*J12</f>
        <v>0</v>
      </c>
      <c r="L12" s="478">
        <v>105.5</v>
      </c>
      <c r="M12" s="478">
        <f>M$11*L12</f>
        <v>0</v>
      </c>
      <c r="N12" s="478">
        <v>105.5</v>
      </c>
      <c r="O12" s="478">
        <f>O$11*N12</f>
        <v>0</v>
      </c>
      <c r="P12" s="478">
        <v>105.5</v>
      </c>
      <c r="Q12" s="478">
        <f>Q$11*P12</f>
        <v>0</v>
      </c>
      <c r="R12" s="478">
        <v>105.5</v>
      </c>
      <c r="S12" s="478">
        <f>S$11*R12</f>
        <v>0</v>
      </c>
      <c r="T12" s="478">
        <v>105.5</v>
      </c>
      <c r="U12" s="478">
        <f>U$11*T12</f>
        <v>0</v>
      </c>
      <c r="V12" s="478">
        <v>105.5</v>
      </c>
      <c r="W12" s="478">
        <f>W$11*V12</f>
        <v>0</v>
      </c>
      <c r="X12" s="478">
        <v>105.5</v>
      </c>
      <c r="Y12" s="478">
        <f>Y$11*X12</f>
        <v>0</v>
      </c>
    </row>
    <row r="13" spans="2:25" x14ac:dyDescent="0.25">
      <c r="B13" s="682">
        <v>43435</v>
      </c>
      <c r="C13" s="487">
        <f>INDEX(\t_laborforeman,3,MATCH(Settings!\reg,\laborforeman,0))</f>
        <v>107</v>
      </c>
      <c r="D13" s="487">
        <f>INDEX(\t_laborforeman,3,MATCH(Settings!\reg,\laborforeman,0)+1)</f>
        <v>135.89000000000001</v>
      </c>
      <c r="E13" s="682"/>
      <c r="F13" s="478">
        <v>105.5</v>
      </c>
      <c r="G13" s="478">
        <f>G$11*F13</f>
        <v>133.98500000000001</v>
      </c>
      <c r="H13" s="478">
        <v>105.5</v>
      </c>
      <c r="I13" s="478">
        <f>I$11*H13</f>
        <v>0</v>
      </c>
      <c r="J13" s="478">
        <v>105.5</v>
      </c>
      <c r="K13" s="478">
        <f>K$11*J13</f>
        <v>0</v>
      </c>
      <c r="L13" s="478">
        <v>105.5</v>
      </c>
      <c r="M13" s="478">
        <f>M$11*L13</f>
        <v>0</v>
      </c>
      <c r="N13" s="478">
        <v>105.5</v>
      </c>
      <c r="O13" s="478">
        <f>O$11*N13</f>
        <v>0</v>
      </c>
      <c r="P13" s="478">
        <v>105.5</v>
      </c>
      <c r="Q13" s="478">
        <f>Q$11*P13</f>
        <v>0</v>
      </c>
      <c r="R13" s="478">
        <v>105.5</v>
      </c>
      <c r="S13" s="478">
        <f>S$11*R13</f>
        <v>0</v>
      </c>
      <c r="T13" s="478">
        <v>105.5</v>
      </c>
      <c r="U13" s="478">
        <f>U$11*T13</f>
        <v>0</v>
      </c>
      <c r="V13" s="478">
        <v>105.5</v>
      </c>
      <c r="W13" s="478">
        <f>W$11*V13</f>
        <v>0</v>
      </c>
      <c r="X13" s="478">
        <v>105.5</v>
      </c>
      <c r="Y13" s="478">
        <f>Y$11*X13</f>
        <v>0</v>
      </c>
    </row>
    <row r="14" spans="2:25" x14ac:dyDescent="0.25">
      <c r="B14" s="682">
        <v>43252</v>
      </c>
      <c r="C14" s="487">
        <f>INDEX(\t_laborforeman,2,MATCH(Settings!\reg,\laborforeman,0))</f>
        <v>105.5</v>
      </c>
      <c r="D14" s="487">
        <f>INDEX(\t_laborforeman,2,MATCH(Settings!\reg,\laborforeman,0)+1)</f>
        <v>133.98500000000001</v>
      </c>
      <c r="E14" s="682"/>
      <c r="F14" s="478">
        <v>107</v>
      </c>
      <c r="G14" s="478">
        <f t="shared" ref="G14:I15" si="18">G$11*F14</f>
        <v>135.89000000000001</v>
      </c>
      <c r="H14" s="478">
        <v>107</v>
      </c>
      <c r="I14" s="478">
        <f t="shared" si="18"/>
        <v>0</v>
      </c>
      <c r="J14" s="478">
        <v>107</v>
      </c>
      <c r="K14" s="478">
        <f t="shared" ref="K14" si="19">K$11*J14</f>
        <v>0</v>
      </c>
      <c r="L14" s="478">
        <v>107</v>
      </c>
      <c r="M14" s="478">
        <f t="shared" ref="M14" si="20">M$11*L14</f>
        <v>0</v>
      </c>
      <c r="N14" s="478">
        <v>107</v>
      </c>
      <c r="O14" s="478">
        <f t="shared" ref="O14" si="21">O$11*N14</f>
        <v>0</v>
      </c>
      <c r="P14" s="478">
        <v>107</v>
      </c>
      <c r="Q14" s="478">
        <f t="shared" ref="Q14" si="22">Q$11*P14</f>
        <v>0</v>
      </c>
      <c r="R14" s="478">
        <v>107</v>
      </c>
      <c r="S14" s="478">
        <f t="shared" ref="S14" si="23">S$11*R14</f>
        <v>0</v>
      </c>
      <c r="T14" s="478">
        <v>107</v>
      </c>
      <c r="U14" s="478">
        <f t="shared" ref="U14" si="24">U$11*T14</f>
        <v>0</v>
      </c>
      <c r="V14" s="478">
        <v>107</v>
      </c>
      <c r="W14" s="478">
        <f t="shared" ref="W14" si="25">W$11*V14</f>
        <v>0</v>
      </c>
      <c r="X14" s="478">
        <v>107</v>
      </c>
      <c r="Y14" s="478">
        <f t="shared" ref="Y14" si="26">Y$11*X14</f>
        <v>0</v>
      </c>
    </row>
    <row r="15" spans="2:25" x14ac:dyDescent="0.25">
      <c r="B15" s="682">
        <v>43070</v>
      </c>
      <c r="C15" s="487">
        <f>INDEX(\t_laborforeman,1,MATCH(Settings!\reg,\laborforeman,0))</f>
        <v>103.75</v>
      </c>
      <c r="D15" s="487">
        <f>INDEX(\t_laborforeman,1,MATCH(Settings!\reg,\laborforeman,0)+1)</f>
        <v>131.76249999999999</v>
      </c>
      <c r="E15" s="682"/>
      <c r="F15" s="478">
        <f>F14*1.02</f>
        <v>109.14</v>
      </c>
      <c r="G15" s="478">
        <f t="shared" si="18"/>
        <v>138.6078</v>
      </c>
      <c r="H15" s="478">
        <f t="shared" ref="H15:X15" si="27">H14*1.02</f>
        <v>109.14</v>
      </c>
      <c r="I15" s="478">
        <f t="shared" si="18"/>
        <v>0</v>
      </c>
      <c r="J15" s="478">
        <f t="shared" si="27"/>
        <v>109.14</v>
      </c>
      <c r="K15" s="478">
        <f t="shared" ref="K15" si="28">K$11*J15</f>
        <v>0</v>
      </c>
      <c r="L15" s="478">
        <f t="shared" si="27"/>
        <v>109.14</v>
      </c>
      <c r="M15" s="478">
        <f t="shared" ref="M15" si="29">M$11*L15</f>
        <v>0</v>
      </c>
      <c r="N15" s="478">
        <f t="shared" si="27"/>
        <v>109.14</v>
      </c>
      <c r="O15" s="478">
        <f t="shared" ref="O15" si="30">O$11*N15</f>
        <v>0</v>
      </c>
      <c r="P15" s="478">
        <f t="shared" si="27"/>
        <v>109.14</v>
      </c>
      <c r="Q15" s="478">
        <f t="shared" ref="Q15" si="31">Q$11*P15</f>
        <v>0</v>
      </c>
      <c r="R15" s="478">
        <f t="shared" si="27"/>
        <v>109.14</v>
      </c>
      <c r="S15" s="478">
        <f t="shared" ref="S15" si="32">S$11*R15</f>
        <v>0</v>
      </c>
      <c r="T15" s="478">
        <f t="shared" si="27"/>
        <v>109.14</v>
      </c>
      <c r="U15" s="478">
        <f t="shared" ref="U15" si="33">U$11*T15</f>
        <v>0</v>
      </c>
      <c r="V15" s="478">
        <f t="shared" si="27"/>
        <v>109.14</v>
      </c>
      <c r="W15" s="478">
        <f t="shared" ref="W15" si="34">W$11*V15</f>
        <v>0</v>
      </c>
      <c r="X15" s="478">
        <f t="shared" si="27"/>
        <v>109.14</v>
      </c>
      <c r="Y15" s="478">
        <f t="shared" ref="Y15" si="35">Y$11*X15</f>
        <v>0</v>
      </c>
    </row>
    <row r="18" spans="2:25" x14ac:dyDescent="0.25">
      <c r="B18" t="str">
        <f>INDEX(Code!\t_schedule,MATCH(Settings!\reg,Code!\headertbl,0),2)</f>
        <v>Safety &amp; Carpentry</v>
      </c>
      <c r="C18" s="478"/>
      <c r="D18" s="478"/>
      <c r="E18" s="478"/>
      <c r="F18" s="493" t="s">
        <v>280</v>
      </c>
      <c r="G18" s="493">
        <v>1.27</v>
      </c>
      <c r="H18" s="493" t="s">
        <v>282</v>
      </c>
      <c r="I18" s="493"/>
      <c r="J18" s="493" t="s">
        <v>284</v>
      </c>
      <c r="K18" s="493"/>
      <c r="L18" s="493" t="s">
        <v>274</v>
      </c>
      <c r="M18" s="493"/>
      <c r="N18" s="493" t="s">
        <v>287</v>
      </c>
      <c r="O18" s="493"/>
      <c r="P18" s="493" t="s">
        <v>289</v>
      </c>
      <c r="Q18" s="493"/>
      <c r="R18" s="493" t="s">
        <v>291</v>
      </c>
      <c r="S18" s="493"/>
      <c r="T18" s="493" t="s">
        <v>293</v>
      </c>
      <c r="U18" s="493"/>
      <c r="V18" s="493" t="s">
        <v>295</v>
      </c>
      <c r="W18" s="493"/>
      <c r="X18" s="493" t="s">
        <v>297</v>
      </c>
      <c r="Y18" s="493"/>
    </row>
    <row r="19" spans="2:25" x14ac:dyDescent="0.25">
      <c r="B19" s="682">
        <v>43525</v>
      </c>
      <c r="C19" s="487">
        <f>INDEX(\t_carpenter,4,MATCH(Settings!\reg,\carpenter,0))</f>
        <v>125.46000000000001</v>
      </c>
      <c r="D19" s="487">
        <f>INDEX(\t_carpenter,4,MATCH(Settings!\reg,\carpenter,0)+1)</f>
        <v>159.33420000000001</v>
      </c>
      <c r="E19" s="478"/>
      <c r="F19" s="478">
        <v>118</v>
      </c>
      <c r="G19" s="478">
        <f>G$18*F19</f>
        <v>149.86000000000001</v>
      </c>
      <c r="H19" s="478">
        <v>120.5</v>
      </c>
      <c r="I19" s="478">
        <f>I$18*H19</f>
        <v>0</v>
      </c>
      <c r="J19" s="478">
        <v>120.5</v>
      </c>
      <c r="K19" s="478">
        <f>K$18*J19</f>
        <v>0</v>
      </c>
      <c r="L19" s="478">
        <v>120.5</v>
      </c>
      <c r="M19" s="478">
        <f>M$18*L19</f>
        <v>0</v>
      </c>
      <c r="N19" s="478">
        <v>120.5</v>
      </c>
      <c r="O19" s="478">
        <f>O$18*N19</f>
        <v>0</v>
      </c>
      <c r="P19" s="478">
        <v>120.5</v>
      </c>
      <c r="Q19" s="478">
        <f>Q$18*P19</f>
        <v>0</v>
      </c>
      <c r="R19" s="478">
        <v>120.5</v>
      </c>
      <c r="S19" s="478">
        <f>S$18*R19</f>
        <v>0</v>
      </c>
      <c r="T19" s="478">
        <v>120.5</v>
      </c>
      <c r="U19" s="478">
        <f>U$18*T19</f>
        <v>0</v>
      </c>
      <c r="V19" s="478">
        <v>120.5</v>
      </c>
      <c r="W19" s="478">
        <f>W$18*V19</f>
        <v>0</v>
      </c>
      <c r="X19" s="478">
        <v>120.5</v>
      </c>
      <c r="Y19" s="478">
        <f>Y$18*X19</f>
        <v>0</v>
      </c>
    </row>
    <row r="20" spans="2:25" x14ac:dyDescent="0.25">
      <c r="B20" s="682">
        <v>43344</v>
      </c>
      <c r="C20" s="487">
        <f>INDEX(\t_carpenter,3,MATCH(Settings!\reg,\carpenter,0))</f>
        <v>123</v>
      </c>
      <c r="D20" s="487">
        <f>INDEX(\t_carpenter,3,MATCH(Settings!\reg,\carpenter,0)+1)</f>
        <v>156.21</v>
      </c>
      <c r="E20" s="682"/>
      <c r="F20" s="478">
        <v>120.5</v>
      </c>
      <c r="G20" s="478">
        <f>G$18*F20</f>
        <v>153.035</v>
      </c>
      <c r="H20" s="478">
        <v>120.5</v>
      </c>
      <c r="I20" s="478">
        <f>I$18*H20</f>
        <v>0</v>
      </c>
      <c r="J20" s="478">
        <v>120.5</v>
      </c>
      <c r="K20" s="478">
        <f>K$18*J20</f>
        <v>0</v>
      </c>
      <c r="L20" s="478">
        <v>120.5</v>
      </c>
      <c r="M20" s="478">
        <f>M$18*L20</f>
        <v>0</v>
      </c>
      <c r="N20" s="478">
        <v>120.5</v>
      </c>
      <c r="O20" s="478">
        <f>O$18*N20</f>
        <v>0</v>
      </c>
      <c r="P20" s="478">
        <v>120.5</v>
      </c>
      <c r="Q20" s="478">
        <f>Q$18*P20</f>
        <v>0</v>
      </c>
      <c r="R20" s="478">
        <v>120.5</v>
      </c>
      <c r="S20" s="478">
        <f>S$18*R20</f>
        <v>0</v>
      </c>
      <c r="T20" s="478">
        <v>120.5</v>
      </c>
      <c r="U20" s="478">
        <f>U$18*T20</f>
        <v>0</v>
      </c>
      <c r="V20" s="478">
        <v>120.5</v>
      </c>
      <c r="W20" s="478">
        <f>W$18*V20</f>
        <v>0</v>
      </c>
      <c r="X20" s="478">
        <v>120.5</v>
      </c>
      <c r="Y20" s="478">
        <f>Y$18*X20</f>
        <v>0</v>
      </c>
    </row>
    <row r="21" spans="2:25" x14ac:dyDescent="0.25">
      <c r="B21" s="682">
        <v>43160</v>
      </c>
      <c r="C21" s="487">
        <f>INDEX(\t_carpenter,2,MATCH(Settings!\reg,\carpenter,0))</f>
        <v>120.5</v>
      </c>
      <c r="D21" s="487">
        <f>INDEX(\t_carpenter,2,MATCH(Settings!\reg,\carpenter,0)+1)</f>
        <v>153.035</v>
      </c>
      <c r="E21" s="682"/>
      <c r="F21" s="478">
        <v>123</v>
      </c>
      <c r="G21" s="478">
        <f t="shared" ref="G21:I22" si="36">G$18*F21</f>
        <v>156.21</v>
      </c>
      <c r="H21" s="478">
        <v>123</v>
      </c>
      <c r="I21" s="478">
        <f t="shared" si="36"/>
        <v>0</v>
      </c>
      <c r="J21" s="478">
        <v>123</v>
      </c>
      <c r="K21" s="478">
        <f t="shared" ref="K21" si="37">K$18*J21</f>
        <v>0</v>
      </c>
      <c r="L21" s="478">
        <v>123</v>
      </c>
      <c r="M21" s="478">
        <f t="shared" ref="M21" si="38">M$18*L21</f>
        <v>0</v>
      </c>
      <c r="N21" s="478">
        <v>123</v>
      </c>
      <c r="O21" s="478">
        <f t="shared" ref="O21" si="39">O$18*N21</f>
        <v>0</v>
      </c>
      <c r="P21" s="478">
        <v>123</v>
      </c>
      <c r="Q21" s="478">
        <f t="shared" ref="Q21" si="40">Q$18*P21</f>
        <v>0</v>
      </c>
      <c r="R21" s="478">
        <v>123</v>
      </c>
      <c r="S21" s="478">
        <f t="shared" ref="S21" si="41">S$18*R21</f>
        <v>0</v>
      </c>
      <c r="T21" s="478">
        <v>123</v>
      </c>
      <c r="U21" s="478">
        <f t="shared" ref="U21" si="42">U$18*T21</f>
        <v>0</v>
      </c>
      <c r="V21" s="478">
        <v>123</v>
      </c>
      <c r="W21" s="478">
        <f t="shared" ref="W21" si="43">W$18*V21</f>
        <v>0</v>
      </c>
      <c r="X21" s="478">
        <v>123</v>
      </c>
      <c r="Y21" s="478">
        <f t="shared" ref="Y21" si="44">Y$18*X21</f>
        <v>0</v>
      </c>
    </row>
    <row r="22" spans="2:25" x14ac:dyDescent="0.25">
      <c r="B22" s="682">
        <v>42979</v>
      </c>
      <c r="C22" s="487">
        <f>INDEX(\t_carpenter,1,MATCH(Settings!\reg,\carpenter,0))</f>
        <v>118</v>
      </c>
      <c r="D22" s="487">
        <f>INDEX(\t_carpenter,1,MATCH(Settings!\reg,\carpenter,0)+1)</f>
        <v>149.86000000000001</v>
      </c>
      <c r="E22" s="682"/>
      <c r="F22" s="478">
        <f>F21*1.02</f>
        <v>125.46000000000001</v>
      </c>
      <c r="G22" s="478">
        <f t="shared" si="36"/>
        <v>159.33420000000001</v>
      </c>
      <c r="H22" s="478">
        <f t="shared" ref="H22:X22" si="45">H21*1.02</f>
        <v>125.46000000000001</v>
      </c>
      <c r="I22" s="478">
        <f t="shared" si="36"/>
        <v>0</v>
      </c>
      <c r="J22" s="478">
        <f t="shared" si="45"/>
        <v>125.46000000000001</v>
      </c>
      <c r="K22" s="478">
        <f t="shared" ref="K22" si="46">K$18*J22</f>
        <v>0</v>
      </c>
      <c r="L22" s="478">
        <f t="shared" si="45"/>
        <v>125.46000000000001</v>
      </c>
      <c r="M22" s="478">
        <f t="shared" ref="M22" si="47">M$18*L22</f>
        <v>0</v>
      </c>
      <c r="N22" s="478">
        <f t="shared" si="45"/>
        <v>125.46000000000001</v>
      </c>
      <c r="O22" s="478">
        <f t="shared" ref="O22" si="48">O$18*N22</f>
        <v>0</v>
      </c>
      <c r="P22" s="478">
        <f t="shared" si="45"/>
        <v>125.46000000000001</v>
      </c>
      <c r="Q22" s="478">
        <f t="shared" ref="Q22" si="49">Q$18*P22</f>
        <v>0</v>
      </c>
      <c r="R22" s="478">
        <f t="shared" si="45"/>
        <v>125.46000000000001</v>
      </c>
      <c r="S22" s="478">
        <f t="shared" ref="S22" si="50">S$18*R22</f>
        <v>0</v>
      </c>
      <c r="T22" s="478">
        <f t="shared" si="45"/>
        <v>125.46000000000001</v>
      </c>
      <c r="U22" s="478">
        <f t="shared" ref="U22" si="51">U$18*T22</f>
        <v>0</v>
      </c>
      <c r="V22" s="478">
        <f t="shared" si="45"/>
        <v>125.46000000000001</v>
      </c>
      <c r="W22" s="478">
        <f t="shared" ref="W22" si="52">W$18*V22</f>
        <v>0</v>
      </c>
      <c r="X22" s="478">
        <f t="shared" si="45"/>
        <v>125.46000000000001</v>
      </c>
      <c r="Y22" s="478">
        <f t="shared" ref="Y22" si="53">Y$18*X22</f>
        <v>0</v>
      </c>
    </row>
    <row r="25" spans="2:25" x14ac:dyDescent="0.25">
      <c r="B25" t="s">
        <v>975</v>
      </c>
      <c r="C25" s="478"/>
      <c r="D25" s="478"/>
      <c r="E25" s="478"/>
      <c r="F25" s="493" t="s">
        <v>280</v>
      </c>
      <c r="G25" s="493">
        <v>1.27</v>
      </c>
      <c r="H25" s="493" t="s">
        <v>282</v>
      </c>
      <c r="I25" s="493"/>
      <c r="J25" s="493" t="s">
        <v>284</v>
      </c>
      <c r="K25" s="493"/>
      <c r="L25" s="493" t="s">
        <v>274</v>
      </c>
      <c r="M25" s="493"/>
      <c r="N25" s="493" t="s">
        <v>287</v>
      </c>
      <c r="O25" s="493"/>
      <c r="P25" s="493" t="s">
        <v>289</v>
      </c>
      <c r="Q25" s="493"/>
      <c r="R25" s="493" t="s">
        <v>291</v>
      </c>
      <c r="S25" s="493"/>
      <c r="T25" s="493" t="s">
        <v>293</v>
      </c>
      <c r="U25" s="493"/>
      <c r="V25" s="493" t="s">
        <v>295</v>
      </c>
      <c r="W25" s="493"/>
      <c r="X25" s="493" t="s">
        <v>297</v>
      </c>
      <c r="Y25" s="493"/>
    </row>
    <row r="26" spans="2:25" x14ac:dyDescent="0.25">
      <c r="B26" s="682">
        <v>43525</v>
      </c>
      <c r="C26" s="487">
        <f>INDEX(\t_carpenterforeman,4,MATCH(Settings!\reg,\carpenterforeman,0))</f>
        <v>134.89500000000001</v>
      </c>
      <c r="D26" s="487">
        <f>INDEX(\t_carpenterforeman,4,MATCH(Settings!\reg,\carpenterforeman,0)+1)</f>
        <v>171.31665000000001</v>
      </c>
      <c r="E26" s="682"/>
      <c r="F26" s="478">
        <v>127.5</v>
      </c>
      <c r="G26" s="478">
        <f>G$25*F26</f>
        <v>161.92500000000001</v>
      </c>
      <c r="H26" s="478">
        <v>130</v>
      </c>
      <c r="I26" s="478">
        <f>I$25*H26</f>
        <v>0</v>
      </c>
      <c r="J26" s="478">
        <v>130</v>
      </c>
      <c r="K26" s="478">
        <f>K$25*J26</f>
        <v>0</v>
      </c>
      <c r="L26" s="478">
        <v>130</v>
      </c>
      <c r="M26" s="478">
        <f>M$25*L26</f>
        <v>0</v>
      </c>
      <c r="N26" s="478">
        <v>130</v>
      </c>
      <c r="O26" s="478">
        <f>O$25*N26</f>
        <v>0</v>
      </c>
      <c r="P26" s="478">
        <v>130</v>
      </c>
      <c r="Q26" s="478">
        <f>Q$25*P26</f>
        <v>0</v>
      </c>
      <c r="R26" s="478">
        <v>130</v>
      </c>
      <c r="S26" s="478">
        <f>S$25*R26</f>
        <v>0</v>
      </c>
      <c r="T26" s="478">
        <v>130</v>
      </c>
      <c r="U26" s="478">
        <f>U$25*T26</f>
        <v>0</v>
      </c>
      <c r="V26" s="478">
        <v>130</v>
      </c>
      <c r="W26" s="478">
        <f>W$25*V26</f>
        <v>0</v>
      </c>
      <c r="X26" s="478">
        <v>130</v>
      </c>
      <c r="Y26" s="478">
        <f>Y$25*X26</f>
        <v>0</v>
      </c>
    </row>
    <row r="27" spans="2:25" x14ac:dyDescent="0.25">
      <c r="B27" s="682">
        <v>43344</v>
      </c>
      <c r="C27" s="487">
        <f>INDEX(\t_carpenterforeman,3,MATCH(Settings!\reg,\carpenterforeman,0))</f>
        <v>132.25</v>
      </c>
      <c r="D27" s="487">
        <f>INDEX(\t_carpenterforeman,3,MATCH(Settings!\reg,\carpenterforeman,0)+1)</f>
        <v>167.95750000000001</v>
      </c>
      <c r="E27" s="682"/>
      <c r="F27" s="478">
        <v>130</v>
      </c>
      <c r="G27" s="478">
        <f>G$25*F27</f>
        <v>165.1</v>
      </c>
      <c r="H27" s="478">
        <v>130</v>
      </c>
      <c r="I27" s="478">
        <f>I$25*H27</f>
        <v>0</v>
      </c>
      <c r="J27" s="478">
        <v>130</v>
      </c>
      <c r="K27" s="478">
        <f>K$25*J27</f>
        <v>0</v>
      </c>
      <c r="L27" s="478">
        <v>130</v>
      </c>
      <c r="M27" s="478">
        <f>M$25*L27</f>
        <v>0</v>
      </c>
      <c r="N27" s="478">
        <v>130</v>
      </c>
      <c r="O27" s="478">
        <f>O$25*N27</f>
        <v>0</v>
      </c>
      <c r="P27" s="478">
        <v>130</v>
      </c>
      <c r="Q27" s="478">
        <f>Q$25*P27</f>
        <v>0</v>
      </c>
      <c r="R27" s="478">
        <v>130</v>
      </c>
      <c r="S27" s="478">
        <f>S$25*R27</f>
        <v>0</v>
      </c>
      <c r="T27" s="478">
        <v>130</v>
      </c>
      <c r="U27" s="478">
        <f>U$25*T27</f>
        <v>0</v>
      </c>
      <c r="V27" s="478">
        <v>130</v>
      </c>
      <c r="W27" s="478">
        <f>W$25*V27</f>
        <v>0</v>
      </c>
      <c r="X27" s="478">
        <v>130</v>
      </c>
      <c r="Y27" s="478">
        <f>Y$25*X27</f>
        <v>0</v>
      </c>
    </row>
    <row r="28" spans="2:25" x14ac:dyDescent="0.25">
      <c r="B28" s="682">
        <v>43160</v>
      </c>
      <c r="C28" s="487">
        <f>INDEX(\t_carpenterforeman,2,MATCH(Settings!\reg,\carpenterforeman,0))</f>
        <v>130</v>
      </c>
      <c r="D28" s="487">
        <f>INDEX(\t_carpenterforeman,2,MATCH(Settings!\reg,\carpenterforeman,0)+1)</f>
        <v>165.1</v>
      </c>
      <c r="E28" s="682"/>
      <c r="F28" s="478">
        <v>132.25</v>
      </c>
      <c r="G28" s="478">
        <f t="shared" ref="G28:I29" si="54">G$25*F28</f>
        <v>167.95750000000001</v>
      </c>
      <c r="H28" s="478">
        <v>132.25</v>
      </c>
      <c r="I28" s="478">
        <f t="shared" si="54"/>
        <v>0</v>
      </c>
      <c r="J28" s="478">
        <v>132.25</v>
      </c>
      <c r="K28" s="478">
        <f t="shared" ref="K28" si="55">K$25*J28</f>
        <v>0</v>
      </c>
      <c r="L28" s="478">
        <v>132.25</v>
      </c>
      <c r="M28" s="478">
        <f t="shared" ref="M28" si="56">M$25*L28</f>
        <v>0</v>
      </c>
      <c r="N28" s="478">
        <v>132.25</v>
      </c>
      <c r="O28" s="478">
        <f t="shared" ref="O28" si="57">O$25*N28</f>
        <v>0</v>
      </c>
      <c r="P28" s="478">
        <v>132.25</v>
      </c>
      <c r="Q28" s="478">
        <f t="shared" ref="Q28" si="58">Q$25*P28</f>
        <v>0</v>
      </c>
      <c r="R28" s="478">
        <v>132.25</v>
      </c>
      <c r="S28" s="478">
        <f t="shared" ref="S28" si="59">S$25*R28</f>
        <v>0</v>
      </c>
      <c r="T28" s="478">
        <v>132.25</v>
      </c>
      <c r="U28" s="478">
        <f t="shared" ref="U28" si="60">U$25*T28</f>
        <v>0</v>
      </c>
      <c r="V28" s="478">
        <v>132.25</v>
      </c>
      <c r="W28" s="478">
        <f t="shared" ref="W28" si="61">W$25*V28</f>
        <v>0</v>
      </c>
      <c r="X28" s="478">
        <v>132.25</v>
      </c>
      <c r="Y28" s="478">
        <f t="shared" ref="Y28" si="62">Y$25*X28</f>
        <v>0</v>
      </c>
    </row>
    <row r="29" spans="2:25" x14ac:dyDescent="0.25">
      <c r="B29" s="682">
        <v>42979</v>
      </c>
      <c r="C29" s="487">
        <f>INDEX(\t_carpenterforeman,1,MATCH(Settings!\reg,\carpenterforeman,0))</f>
        <v>127.5</v>
      </c>
      <c r="D29" s="487">
        <f>INDEX(\t_carpenterforeman,1,MATCH(Settings!\reg,\carpenterforeman,0)+1)</f>
        <v>161.92500000000001</v>
      </c>
      <c r="E29" s="682"/>
      <c r="F29" s="487">
        <f>F28*1.02</f>
        <v>134.89500000000001</v>
      </c>
      <c r="G29" s="478">
        <f t="shared" si="54"/>
        <v>171.31665000000001</v>
      </c>
      <c r="H29" s="487">
        <f t="shared" ref="H29:X29" si="63">H28*1.02</f>
        <v>134.89500000000001</v>
      </c>
      <c r="I29" s="478">
        <f t="shared" si="54"/>
        <v>0</v>
      </c>
      <c r="J29" s="487">
        <f t="shared" si="63"/>
        <v>134.89500000000001</v>
      </c>
      <c r="K29" s="478">
        <f t="shared" ref="K29" si="64">K$25*J29</f>
        <v>0</v>
      </c>
      <c r="L29" s="487">
        <f t="shared" si="63"/>
        <v>134.89500000000001</v>
      </c>
      <c r="M29" s="478">
        <f t="shared" ref="M29" si="65">M$25*L29</f>
        <v>0</v>
      </c>
      <c r="N29" s="487">
        <f t="shared" si="63"/>
        <v>134.89500000000001</v>
      </c>
      <c r="O29" s="478">
        <f t="shared" ref="O29" si="66">O$25*N29</f>
        <v>0</v>
      </c>
      <c r="P29" s="487">
        <f t="shared" si="63"/>
        <v>134.89500000000001</v>
      </c>
      <c r="Q29" s="478">
        <f t="shared" ref="Q29" si="67">Q$25*P29</f>
        <v>0</v>
      </c>
      <c r="R29" s="487">
        <f t="shared" si="63"/>
        <v>134.89500000000001</v>
      </c>
      <c r="S29" s="478">
        <f t="shared" ref="S29" si="68">S$25*R29</f>
        <v>0</v>
      </c>
      <c r="T29" s="487">
        <f t="shared" si="63"/>
        <v>134.89500000000001</v>
      </c>
      <c r="U29" s="478">
        <f t="shared" ref="U29" si="69">U$25*T29</f>
        <v>0</v>
      </c>
      <c r="V29" s="487">
        <f t="shared" si="63"/>
        <v>134.89500000000001</v>
      </c>
      <c r="W29" s="478">
        <f t="shared" ref="W29" si="70">W$25*V29</f>
        <v>0</v>
      </c>
      <c r="X29" s="487">
        <f t="shared" si="63"/>
        <v>134.89500000000001</v>
      </c>
      <c r="Y29" s="478">
        <f t="shared" ref="Y29" si="71">Y$25*X29</f>
        <v>0</v>
      </c>
    </row>
    <row r="32" spans="2:25" x14ac:dyDescent="0.25">
      <c r="B32" t="str">
        <f>INDEX(Code!\t_schedule,MATCH(Settings!\reg,Code!\headertbl,0),3)</f>
        <v>Police</v>
      </c>
      <c r="C32" s="478"/>
      <c r="D32" s="478"/>
      <c r="E32" s="478"/>
      <c r="F32" s="493" t="s">
        <v>280</v>
      </c>
      <c r="G32" s="493"/>
      <c r="H32" s="493" t="s">
        <v>282</v>
      </c>
      <c r="I32" s="493"/>
      <c r="J32" s="493" t="s">
        <v>284</v>
      </c>
      <c r="K32" s="493"/>
      <c r="L32" s="493" t="s">
        <v>274</v>
      </c>
      <c r="M32" s="493"/>
      <c r="N32" s="493" t="s">
        <v>287</v>
      </c>
      <c r="O32" s="493"/>
      <c r="P32" s="493" t="s">
        <v>289</v>
      </c>
      <c r="Q32" s="493"/>
      <c r="R32" s="493" t="s">
        <v>291</v>
      </c>
      <c r="S32" s="493"/>
      <c r="T32" s="493" t="s">
        <v>293</v>
      </c>
      <c r="U32" s="493"/>
      <c r="V32" s="493" t="s">
        <v>295</v>
      </c>
      <c r="W32" s="493"/>
      <c r="X32" s="493" t="s">
        <v>297</v>
      </c>
      <c r="Y32" s="493"/>
    </row>
    <row r="33" spans="2:25" x14ac:dyDescent="0.25">
      <c r="B33" s="682">
        <v>0</v>
      </c>
      <c r="C33" s="487">
        <f>INDEX(\t_police,1,MATCH(Settings!\reg,\police,0))</f>
        <v>45</v>
      </c>
      <c r="D33" s="487">
        <f>INDEX(\t_police,1,MATCH(Settings!\reg,\police,0)+1)</f>
        <v>66</v>
      </c>
      <c r="E33" s="682"/>
      <c r="F33" s="478">
        <v>45</v>
      </c>
      <c r="G33" s="478">
        <v>66</v>
      </c>
      <c r="H33" s="478">
        <v>45</v>
      </c>
      <c r="I33" s="478">
        <v>66</v>
      </c>
      <c r="J33" s="478">
        <v>45</v>
      </c>
      <c r="K33" s="478">
        <v>66</v>
      </c>
      <c r="L33" s="478">
        <v>45</v>
      </c>
      <c r="M33" s="478">
        <v>66</v>
      </c>
      <c r="N33" s="478">
        <v>45</v>
      </c>
      <c r="O33" s="478">
        <v>66</v>
      </c>
      <c r="P33" s="478">
        <v>45</v>
      </c>
      <c r="Q33" s="478">
        <v>66</v>
      </c>
      <c r="R33" s="478">
        <v>45</v>
      </c>
      <c r="S33" s="478">
        <v>66</v>
      </c>
      <c r="T33" s="478">
        <v>45</v>
      </c>
      <c r="U33" s="478">
        <v>66</v>
      </c>
      <c r="V33" s="478">
        <v>45</v>
      </c>
      <c r="W33" s="478">
        <v>66</v>
      </c>
      <c r="X33" s="478">
        <v>45</v>
      </c>
      <c r="Y33" s="478">
        <v>66</v>
      </c>
    </row>
    <row r="36" spans="2:25" x14ac:dyDescent="0.25">
      <c r="B36" t="str">
        <f>INDEX(Code!\t_schedule,MATCH(Settings!\reg,Code!\headertbl,0),4)</f>
        <v>Labor Steward</v>
      </c>
      <c r="C36" s="478"/>
      <c r="D36" s="478"/>
      <c r="E36" s="478"/>
      <c r="F36" s="493" t="s">
        <v>280</v>
      </c>
      <c r="G36" s="493">
        <v>1.25</v>
      </c>
      <c r="H36" s="493" t="s">
        <v>282</v>
      </c>
      <c r="I36" s="493"/>
      <c r="J36" s="493" t="s">
        <v>284</v>
      </c>
      <c r="K36" s="493"/>
      <c r="L36" s="493" t="s">
        <v>274</v>
      </c>
      <c r="M36" s="493"/>
      <c r="N36" s="493" t="s">
        <v>287</v>
      </c>
      <c r="O36" s="493"/>
      <c r="P36" s="493" t="s">
        <v>289</v>
      </c>
      <c r="Q36" s="493"/>
      <c r="R36" s="493" t="s">
        <v>291</v>
      </c>
      <c r="S36" s="493"/>
      <c r="T36" s="493" t="s">
        <v>293</v>
      </c>
      <c r="U36" s="493"/>
      <c r="V36" s="493" t="s">
        <v>295</v>
      </c>
      <c r="W36" s="493"/>
      <c r="X36" s="493" t="s">
        <v>297</v>
      </c>
      <c r="Y36" s="493"/>
    </row>
    <row r="37" spans="2:25" x14ac:dyDescent="0.25">
      <c r="B37" s="682">
        <v>43617</v>
      </c>
      <c r="C37" s="487">
        <f>INDEX(\t_laborsteward,4,MATCH(Settings!\reg,\laborsteward,0))</f>
        <v>1</v>
      </c>
      <c r="D37" s="487">
        <f>INDEX(\t_laborsteward,4,MATCH(Settings!\reg,\laborsteward,0)+1)</f>
        <v>1.25</v>
      </c>
      <c r="E37" s="682"/>
      <c r="F37" s="478">
        <v>1</v>
      </c>
      <c r="G37" s="478">
        <f>G$36*F37</f>
        <v>1.25</v>
      </c>
      <c r="H37" s="478">
        <v>1</v>
      </c>
      <c r="I37" s="478">
        <f>I$36*H37</f>
        <v>0</v>
      </c>
      <c r="J37" s="478">
        <v>1</v>
      </c>
      <c r="K37" s="478">
        <f>K$36*J37</f>
        <v>0</v>
      </c>
      <c r="L37" s="478">
        <v>1</v>
      </c>
      <c r="M37" s="478">
        <f>M$36*L37</f>
        <v>0</v>
      </c>
      <c r="N37" s="478">
        <v>1</v>
      </c>
      <c r="O37" s="478">
        <f>O$36*N37</f>
        <v>0</v>
      </c>
      <c r="P37" s="478">
        <v>1</v>
      </c>
      <c r="Q37" s="478">
        <f>Q$36*P37</f>
        <v>0</v>
      </c>
      <c r="R37" s="478">
        <v>1</v>
      </c>
      <c r="S37" s="478">
        <f>S$36*R37</f>
        <v>0</v>
      </c>
      <c r="T37" s="478">
        <v>1</v>
      </c>
      <c r="U37" s="478">
        <f>U$36*T37</f>
        <v>0</v>
      </c>
      <c r="V37" s="478">
        <v>1</v>
      </c>
      <c r="W37" s="478">
        <f>W$36*V37</f>
        <v>0</v>
      </c>
      <c r="X37" s="478">
        <v>1</v>
      </c>
      <c r="Y37" s="478">
        <f>Y$36*X37</f>
        <v>0</v>
      </c>
    </row>
    <row r="38" spans="2:25" x14ac:dyDescent="0.25">
      <c r="B38" s="682">
        <v>43435</v>
      </c>
      <c r="C38" s="487">
        <f>INDEX(\t_laborsteward,3,MATCH(Settings!\reg,\laborsteward,0))</f>
        <v>1</v>
      </c>
      <c r="D38" s="487">
        <f>INDEX(\t_laborsteward,3,MATCH(Settings!\reg,\laborsteward,0)+1)</f>
        <v>1.25</v>
      </c>
      <c r="E38" s="682"/>
      <c r="F38" s="478">
        <v>1</v>
      </c>
      <c r="G38" s="478">
        <f>G$36*F38</f>
        <v>1.25</v>
      </c>
      <c r="H38" s="478">
        <v>1</v>
      </c>
      <c r="I38" s="478">
        <f>I$36*H38</f>
        <v>0</v>
      </c>
      <c r="J38" s="478">
        <v>1</v>
      </c>
      <c r="K38" s="478">
        <f>K$36*J38</f>
        <v>0</v>
      </c>
      <c r="L38" s="478">
        <v>1</v>
      </c>
      <c r="M38" s="478">
        <f>M$36*L38</f>
        <v>0</v>
      </c>
      <c r="N38" s="478">
        <v>1</v>
      </c>
      <c r="O38" s="478">
        <f>O$36*N38</f>
        <v>0</v>
      </c>
      <c r="P38" s="478">
        <v>1</v>
      </c>
      <c r="Q38" s="478">
        <f>Q$36*P38</f>
        <v>0</v>
      </c>
      <c r="R38" s="478">
        <v>1</v>
      </c>
      <c r="S38" s="478">
        <f>S$36*R38</f>
        <v>0</v>
      </c>
      <c r="T38" s="478">
        <v>1</v>
      </c>
      <c r="U38" s="478">
        <f>U$36*T38</f>
        <v>0</v>
      </c>
      <c r="V38" s="478">
        <v>1</v>
      </c>
      <c r="W38" s="478">
        <f>W$36*V38</f>
        <v>0</v>
      </c>
      <c r="X38" s="478">
        <v>1</v>
      </c>
      <c r="Y38" s="478">
        <f>Y$36*X38</f>
        <v>0</v>
      </c>
    </row>
    <row r="39" spans="2:25" x14ac:dyDescent="0.25">
      <c r="B39" s="682">
        <v>43252</v>
      </c>
      <c r="C39" s="487">
        <f>INDEX(\t_laborsteward,2,MATCH(Settings!\reg,\laborsteward,0))</f>
        <v>1</v>
      </c>
      <c r="D39" s="487">
        <f>INDEX(\t_laborsteward,2,MATCH(Settings!\reg,\laborsteward,0)+1)</f>
        <v>1.25</v>
      </c>
      <c r="E39" s="682"/>
      <c r="F39" s="478">
        <v>1</v>
      </c>
      <c r="G39" s="478">
        <f t="shared" ref="G39:I40" si="72">G$36*F39</f>
        <v>1.25</v>
      </c>
      <c r="H39" s="478">
        <v>1.1000000000000001</v>
      </c>
      <c r="I39" s="478">
        <f t="shared" si="72"/>
        <v>0</v>
      </c>
      <c r="J39" s="478">
        <v>1.25</v>
      </c>
      <c r="K39" s="478">
        <f t="shared" ref="K39" si="73">K$36*J39</f>
        <v>0</v>
      </c>
      <c r="L39" s="478">
        <v>1.25</v>
      </c>
      <c r="M39" s="478">
        <f t="shared" ref="M39" si="74">M$36*L39</f>
        <v>0</v>
      </c>
      <c r="N39" s="478">
        <v>1.25</v>
      </c>
      <c r="O39" s="478">
        <f t="shared" ref="O39" si="75">O$36*N39</f>
        <v>0</v>
      </c>
      <c r="P39" s="478">
        <v>1.25</v>
      </c>
      <c r="Q39" s="478">
        <f t="shared" ref="Q39" si="76">Q$36*P39</f>
        <v>0</v>
      </c>
      <c r="R39" s="478">
        <v>1.25</v>
      </c>
      <c r="S39" s="478">
        <f t="shared" ref="S39" si="77">S$36*R39</f>
        <v>0</v>
      </c>
      <c r="T39" s="478">
        <v>1.25</v>
      </c>
      <c r="U39" s="478">
        <f t="shared" ref="U39" si="78">U$36*T39</f>
        <v>0</v>
      </c>
      <c r="V39" s="478">
        <v>1.25</v>
      </c>
      <c r="W39" s="478">
        <f t="shared" ref="W39" si="79">W$36*V39</f>
        <v>0</v>
      </c>
      <c r="X39" s="478">
        <v>1.25</v>
      </c>
      <c r="Y39" s="478">
        <f t="shared" ref="Y39" si="80">Y$36*X39</f>
        <v>0</v>
      </c>
    </row>
    <row r="40" spans="2:25" x14ac:dyDescent="0.25">
      <c r="B40" s="682">
        <v>43070</v>
      </c>
      <c r="C40" s="487">
        <f>INDEX(\t_laborsteward,1,MATCH(Settings!\reg,\laborsteward,0))</f>
        <v>1</v>
      </c>
      <c r="D40" s="487">
        <f>INDEX(\t_laborsteward,1,MATCH(Settings!\reg,\laborsteward,0)+1)</f>
        <v>1.25</v>
      </c>
      <c r="E40" s="682"/>
      <c r="F40" s="478">
        <v>1</v>
      </c>
      <c r="G40" s="478">
        <f t="shared" si="72"/>
        <v>1.25</v>
      </c>
      <c r="H40" s="478">
        <v>1.17</v>
      </c>
      <c r="I40" s="478">
        <f t="shared" si="72"/>
        <v>0</v>
      </c>
      <c r="J40" s="478">
        <v>1.5</v>
      </c>
      <c r="K40" s="478">
        <f t="shared" ref="K40" si="81">K$36*J40</f>
        <v>0</v>
      </c>
      <c r="L40" s="478">
        <v>1.5</v>
      </c>
      <c r="M40" s="478">
        <f t="shared" ref="M40" si="82">M$36*L40</f>
        <v>0</v>
      </c>
      <c r="N40" s="478">
        <v>1.5</v>
      </c>
      <c r="O40" s="478">
        <f t="shared" ref="O40" si="83">O$36*N40</f>
        <v>0</v>
      </c>
      <c r="P40" s="478">
        <v>1.5</v>
      </c>
      <c r="Q40" s="478">
        <f t="shared" ref="Q40" si="84">Q$36*P40</f>
        <v>0</v>
      </c>
      <c r="R40" s="478">
        <v>1.5</v>
      </c>
      <c r="S40" s="478">
        <f t="shared" ref="S40" si="85">S$36*R40</f>
        <v>0</v>
      </c>
      <c r="T40" s="478">
        <v>1.5</v>
      </c>
      <c r="U40" s="478">
        <f t="shared" ref="U40" si="86">U$36*T40</f>
        <v>0</v>
      </c>
      <c r="V40" s="478">
        <v>1.5</v>
      </c>
      <c r="W40" s="478">
        <f t="shared" ref="W40" si="87">W$36*V40</f>
        <v>0</v>
      </c>
      <c r="X40" s="478">
        <v>1.5</v>
      </c>
      <c r="Y40" s="478">
        <f t="shared" ref="Y40" si="88">Y$36*X40</f>
        <v>0</v>
      </c>
    </row>
    <row r="43" spans="2:25" x14ac:dyDescent="0.25">
      <c r="B43" t="str">
        <f>INDEX(Code!\t_schedule,MATCH(Settings!\reg,Code!\headertbl,0),5)</f>
        <v>Carpenter Steward</v>
      </c>
      <c r="C43" s="478"/>
      <c r="D43" s="478"/>
      <c r="E43" s="478"/>
      <c r="F43" s="493" t="s">
        <v>280</v>
      </c>
      <c r="G43" s="493">
        <v>1.25</v>
      </c>
      <c r="H43" s="493" t="s">
        <v>282</v>
      </c>
      <c r="I43" s="493"/>
      <c r="J43" s="493" t="s">
        <v>284</v>
      </c>
      <c r="K43" s="493"/>
      <c r="L43" s="493" t="s">
        <v>274</v>
      </c>
      <c r="M43" s="493"/>
      <c r="N43" s="493" t="s">
        <v>287</v>
      </c>
      <c r="O43" s="493"/>
      <c r="P43" s="493" t="s">
        <v>289</v>
      </c>
      <c r="Q43" s="493"/>
      <c r="R43" s="493" t="s">
        <v>291</v>
      </c>
      <c r="S43" s="493"/>
      <c r="T43" s="493" t="s">
        <v>293</v>
      </c>
      <c r="U43" s="493"/>
      <c r="V43" s="493" t="s">
        <v>295</v>
      </c>
      <c r="W43" s="493"/>
      <c r="X43" s="493" t="s">
        <v>297</v>
      </c>
      <c r="Y43" s="493"/>
    </row>
    <row r="44" spans="2:25" x14ac:dyDescent="0.25">
      <c r="B44" s="682">
        <v>43525</v>
      </c>
      <c r="C44" s="487">
        <f>INDEX(\t_carpentersteward,4,MATCH(Settings!\reg,\carpentersteward,0))</f>
        <v>1</v>
      </c>
      <c r="D44" s="487">
        <f>INDEX(\t_carpentersteward,4,MATCH(Settings!\reg,\carpentersteward,0)+1)</f>
        <v>1.25</v>
      </c>
      <c r="E44" s="682"/>
      <c r="F44" s="478">
        <v>1</v>
      </c>
      <c r="G44" s="478">
        <f>G$43*F44</f>
        <v>1.25</v>
      </c>
      <c r="H44" s="478">
        <v>1</v>
      </c>
      <c r="I44" s="478">
        <f>I$43*H44</f>
        <v>0</v>
      </c>
      <c r="J44" s="478">
        <v>1</v>
      </c>
      <c r="K44" s="478">
        <f>K$43*J44</f>
        <v>0</v>
      </c>
      <c r="L44" s="478">
        <v>1</v>
      </c>
      <c r="M44" s="478">
        <f>M$43*L44</f>
        <v>0</v>
      </c>
      <c r="N44" s="478">
        <v>1</v>
      </c>
      <c r="O44" s="478">
        <f>O$43*N44</f>
        <v>0</v>
      </c>
      <c r="P44" s="478">
        <v>1</v>
      </c>
      <c r="Q44" s="478">
        <f>Q$43*P44</f>
        <v>0</v>
      </c>
      <c r="R44" s="478">
        <v>1</v>
      </c>
      <c r="S44" s="478">
        <f>S$43*R44</f>
        <v>0</v>
      </c>
      <c r="T44" s="478">
        <v>1</v>
      </c>
      <c r="U44" s="478">
        <f>U$43*T44</f>
        <v>0</v>
      </c>
      <c r="V44" s="478">
        <v>1</v>
      </c>
      <c r="W44" s="478">
        <f>W$43*V44</f>
        <v>0</v>
      </c>
      <c r="X44" s="478">
        <v>1</v>
      </c>
      <c r="Y44" s="478">
        <f>Y$43*X44</f>
        <v>0</v>
      </c>
    </row>
    <row r="45" spans="2:25" x14ac:dyDescent="0.25">
      <c r="B45" s="682">
        <v>43344</v>
      </c>
      <c r="C45" s="487">
        <f>INDEX(\t_carpentersteward,3,MATCH(Settings!\reg,\carpentersteward,0))</f>
        <v>1</v>
      </c>
      <c r="D45" s="487">
        <f>INDEX(\t_carpentersteward,3,MATCH(Settings!\reg,\carpentersteward,0)+1)</f>
        <v>1.25</v>
      </c>
      <c r="E45" s="682"/>
      <c r="F45" s="478">
        <v>1</v>
      </c>
      <c r="G45" s="478">
        <f>G$43*F45</f>
        <v>1.25</v>
      </c>
      <c r="H45" s="478">
        <v>1</v>
      </c>
      <c r="I45" s="478">
        <f>I$43*H45</f>
        <v>0</v>
      </c>
      <c r="J45" s="478">
        <v>1</v>
      </c>
      <c r="K45" s="478">
        <f>K$43*J45</f>
        <v>0</v>
      </c>
      <c r="L45" s="478">
        <v>1</v>
      </c>
      <c r="M45" s="478">
        <f>M$43*L45</f>
        <v>0</v>
      </c>
      <c r="N45" s="478">
        <v>1</v>
      </c>
      <c r="O45" s="478">
        <f>O$43*N45</f>
        <v>0</v>
      </c>
      <c r="P45" s="478">
        <v>1</v>
      </c>
      <c r="Q45" s="478">
        <f>Q$43*P45</f>
        <v>0</v>
      </c>
      <c r="R45" s="478">
        <v>1</v>
      </c>
      <c r="S45" s="478">
        <f>S$43*R45</f>
        <v>0</v>
      </c>
      <c r="T45" s="478">
        <v>1</v>
      </c>
      <c r="U45" s="478">
        <f>U$43*T45</f>
        <v>0</v>
      </c>
      <c r="V45" s="478">
        <v>1</v>
      </c>
      <c r="W45" s="478">
        <f>W$43*V45</f>
        <v>0</v>
      </c>
      <c r="X45" s="478">
        <v>1</v>
      </c>
      <c r="Y45" s="478">
        <f>Y$43*X45</f>
        <v>0</v>
      </c>
    </row>
    <row r="46" spans="2:25" x14ac:dyDescent="0.25">
      <c r="B46" s="682">
        <v>43160</v>
      </c>
      <c r="C46" s="487">
        <f>INDEX(\t_carpentersteward,2,MATCH(Settings!\reg,\carpentersteward,0))</f>
        <v>1</v>
      </c>
      <c r="D46" s="487">
        <f>INDEX(\t_carpentersteward,2,MATCH(Settings!\reg,\carpentersteward,0)+1)</f>
        <v>1.25</v>
      </c>
      <c r="E46" s="682"/>
      <c r="F46" s="478">
        <v>1</v>
      </c>
      <c r="G46" s="478">
        <f t="shared" ref="G46:I47" si="89">G$43*F46</f>
        <v>1.25</v>
      </c>
      <c r="H46" s="478">
        <v>1.1000000000000001</v>
      </c>
      <c r="I46" s="478">
        <f t="shared" si="89"/>
        <v>0</v>
      </c>
      <c r="J46" s="478">
        <v>1.25</v>
      </c>
      <c r="K46" s="478">
        <f t="shared" ref="K46" si="90">K$43*J46</f>
        <v>0</v>
      </c>
      <c r="L46" s="478">
        <v>1.25</v>
      </c>
      <c r="M46" s="478">
        <f t="shared" ref="M46" si="91">M$43*L46</f>
        <v>0</v>
      </c>
      <c r="N46" s="478">
        <v>1.25</v>
      </c>
      <c r="O46" s="478">
        <f t="shared" ref="O46" si="92">O$43*N46</f>
        <v>0</v>
      </c>
      <c r="P46" s="478">
        <v>1.25</v>
      </c>
      <c r="Q46" s="478">
        <f t="shared" ref="Q46" si="93">Q$43*P46</f>
        <v>0</v>
      </c>
      <c r="R46" s="478">
        <v>1.25</v>
      </c>
      <c r="S46" s="478">
        <f t="shared" ref="S46" si="94">S$43*R46</f>
        <v>0</v>
      </c>
      <c r="T46" s="478">
        <v>1.25</v>
      </c>
      <c r="U46" s="478">
        <f t="shared" ref="U46" si="95">U$43*T46</f>
        <v>0</v>
      </c>
      <c r="V46" s="478">
        <v>1.25</v>
      </c>
      <c r="W46" s="478">
        <f t="shared" ref="W46" si="96">W$43*V46</f>
        <v>0</v>
      </c>
      <c r="X46" s="478">
        <v>1.25</v>
      </c>
      <c r="Y46" s="478">
        <f t="shared" ref="Y46" si="97">Y$43*X46</f>
        <v>0</v>
      </c>
    </row>
    <row r="47" spans="2:25" x14ac:dyDescent="0.25">
      <c r="B47" s="682">
        <v>42979</v>
      </c>
      <c r="C47" s="487">
        <f>INDEX(\t_carpentersteward,1,MATCH(Settings!\reg,\carpentersteward,0))</f>
        <v>1</v>
      </c>
      <c r="D47" s="487">
        <f>INDEX(\t_carpentersteward,1,MATCH(Settings!\reg,\carpentersteward,0)+1)</f>
        <v>1.25</v>
      </c>
      <c r="E47" s="682"/>
      <c r="F47" s="478">
        <v>1</v>
      </c>
      <c r="G47" s="478">
        <f t="shared" si="89"/>
        <v>1.25</v>
      </c>
      <c r="H47" s="478">
        <v>1.17</v>
      </c>
      <c r="I47" s="478">
        <f t="shared" si="89"/>
        <v>0</v>
      </c>
      <c r="J47" s="478">
        <v>1.5</v>
      </c>
      <c r="K47" s="478">
        <f t="shared" ref="K47" si="98">K$43*J47</f>
        <v>0</v>
      </c>
      <c r="L47" s="478">
        <v>1.5</v>
      </c>
      <c r="M47" s="478">
        <f t="shared" ref="M47" si="99">M$43*L47</f>
        <v>0</v>
      </c>
      <c r="N47" s="478">
        <v>1.5</v>
      </c>
      <c r="O47" s="478">
        <f t="shared" ref="O47" si="100">O$43*N47</f>
        <v>0</v>
      </c>
      <c r="P47" s="478">
        <v>1.5</v>
      </c>
      <c r="Q47" s="478">
        <f t="shared" ref="Q47" si="101">Q$43*P47</f>
        <v>0</v>
      </c>
      <c r="R47" s="478">
        <v>1.5</v>
      </c>
      <c r="S47" s="478">
        <f t="shared" ref="S47" si="102">S$43*R47</f>
        <v>0</v>
      </c>
      <c r="T47" s="478">
        <v>1.5</v>
      </c>
      <c r="U47" s="478">
        <f t="shared" ref="U47" si="103">U$43*T47</f>
        <v>0</v>
      </c>
      <c r="V47" s="478">
        <v>1.5</v>
      </c>
      <c r="W47" s="478">
        <f t="shared" ref="W47" si="104">W$43*V47</f>
        <v>0</v>
      </c>
      <c r="X47" s="478">
        <v>1.5</v>
      </c>
      <c r="Y47" s="478">
        <f t="shared" ref="Y47" si="105">Y$43*X47</f>
        <v>0</v>
      </c>
    </row>
    <row r="50" spans="2:25" x14ac:dyDescent="0.25">
      <c r="B50" t="str">
        <f>INDEX(Code!\t_schedule,MATCH(Settings!\reg,Code!\headertbl,0),6)</f>
        <v>Fire Watch</v>
      </c>
      <c r="C50" s="478"/>
      <c r="D50" s="478"/>
      <c r="E50" s="478"/>
      <c r="F50" s="493" t="s">
        <v>280</v>
      </c>
      <c r="G50" s="493"/>
      <c r="H50" s="493" t="s">
        <v>282</v>
      </c>
      <c r="I50" s="493"/>
      <c r="J50" s="493" t="s">
        <v>284</v>
      </c>
      <c r="K50" s="493"/>
      <c r="L50" s="493" t="s">
        <v>274</v>
      </c>
      <c r="M50" s="493"/>
      <c r="N50" s="493" t="s">
        <v>287</v>
      </c>
      <c r="O50" s="493"/>
      <c r="P50" s="493" t="s">
        <v>289</v>
      </c>
      <c r="Q50" s="493"/>
      <c r="R50" s="493" t="s">
        <v>291</v>
      </c>
      <c r="S50" s="493"/>
      <c r="T50" s="493" t="s">
        <v>293</v>
      </c>
      <c r="U50" s="493"/>
      <c r="V50" s="493" t="s">
        <v>295</v>
      </c>
      <c r="W50" s="493"/>
      <c r="X50" s="493" t="s">
        <v>297</v>
      </c>
      <c r="Y50" s="493"/>
    </row>
    <row r="51" spans="2:25" x14ac:dyDescent="0.25">
      <c r="B51" s="682">
        <v>0</v>
      </c>
      <c r="C51" s="487">
        <f>INDEX(\t_firewatch,1,MATCH(Settings!\reg,\firewatch,0))</f>
        <v>45</v>
      </c>
      <c r="D51" s="487">
        <f>INDEX(\t_firewatch,1,MATCH(Settings!\reg,\firewatch,0)+1)</f>
        <v>66</v>
      </c>
      <c r="E51" s="682"/>
      <c r="F51" s="478">
        <v>45</v>
      </c>
      <c r="G51" s="478">
        <v>66</v>
      </c>
      <c r="H51" s="478">
        <v>1</v>
      </c>
      <c r="I51" s="478">
        <f>I$50*H51</f>
        <v>0</v>
      </c>
      <c r="J51" s="478">
        <v>1</v>
      </c>
      <c r="K51" s="478">
        <f>K$50*J51</f>
        <v>0</v>
      </c>
      <c r="L51" s="478">
        <v>1</v>
      </c>
      <c r="M51" s="478">
        <f>M$50*L51</f>
        <v>0</v>
      </c>
      <c r="N51" s="478">
        <v>1</v>
      </c>
      <c r="O51" s="478">
        <f>O$50*N51</f>
        <v>0</v>
      </c>
      <c r="P51" s="478">
        <v>1</v>
      </c>
      <c r="Q51" s="478">
        <f>Q$50*P51</f>
        <v>0</v>
      </c>
      <c r="R51" s="478">
        <v>1</v>
      </c>
      <c r="S51" s="478">
        <f>S$50*R51</f>
        <v>0</v>
      </c>
      <c r="T51" s="478">
        <v>1</v>
      </c>
      <c r="U51" s="478">
        <f>U$50*T51</f>
        <v>0</v>
      </c>
      <c r="V51" s="478">
        <v>1</v>
      </c>
      <c r="W51" s="478">
        <f>W$50*V51</f>
        <v>0</v>
      </c>
      <c r="X51" s="478">
        <v>1</v>
      </c>
      <c r="Y51" s="478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sortState ref="B44:D47">
    <sortCondition descending="1" ref="B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247"/>
  <sheetViews>
    <sheetView zoomScaleNormal="100" workbookViewId="0">
      <pane ySplit="8" topLeftCell="A9" activePane="bottomLeft" state="frozen"/>
      <selection activeCell="D1" sqref="D1"/>
      <selection pane="bottomLeft" activeCell="C25" sqref="C25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50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3" hidden="1" customWidth="1"/>
    <col min="16" max="16" width="2.7109375" style="43" hidden="1" customWidth="1"/>
    <col min="17" max="19" width="11.28515625" style="44" hidden="1" customWidth="1"/>
    <col min="20" max="20" width="9.140625" style="1" hidden="1" customWidth="1"/>
    <col min="21" max="16384" width="0" style="1" hidden="1"/>
  </cols>
  <sheetData>
    <row r="1" spans="1:19" s="163" customFormat="1" ht="16.899999999999999" customHeight="1" x14ac:dyDescent="0.2">
      <c r="A1" s="160"/>
      <c r="B1" s="160"/>
      <c r="C1" s="160"/>
      <c r="D1" s="161"/>
      <c r="E1" s="162"/>
      <c r="F1" s="162"/>
      <c r="G1" s="162"/>
      <c r="H1" s="162"/>
      <c r="I1" s="164"/>
      <c r="J1" s="164"/>
      <c r="K1" s="164"/>
      <c r="L1" s="40"/>
      <c r="M1" s="40"/>
      <c r="N1" s="160"/>
      <c r="O1" s="43"/>
      <c r="P1" s="43"/>
      <c r="Q1" s="43" t="s">
        <v>307</v>
      </c>
      <c r="R1" s="43" t="s">
        <v>308</v>
      </c>
      <c r="S1" s="43" t="s">
        <v>367</v>
      </c>
    </row>
    <row r="2" spans="1:19" ht="27" customHeight="1" x14ac:dyDescent="0.25">
      <c r="A2" s="20"/>
      <c r="B2" s="20"/>
      <c r="C2" s="20"/>
      <c r="D2" s="21"/>
      <c r="E2" s="723" t="s">
        <v>396</v>
      </c>
      <c r="F2" s="723"/>
      <c r="G2" s="21"/>
      <c r="H2" s="21"/>
      <c r="I2" s="165"/>
      <c r="J2" s="724">
        <f>SUMIF(O9:O97,"[",K9:K97)</f>
        <v>0</v>
      </c>
      <c r="K2" s="724"/>
      <c r="L2" s="38"/>
      <c r="M2" s="38"/>
      <c r="N2" s="20"/>
    </row>
    <row r="3" spans="1:19" ht="11.45" customHeight="1" x14ac:dyDescent="0.25">
      <c r="A3" s="38"/>
      <c r="B3" s="38"/>
      <c r="C3" s="38"/>
      <c r="D3" s="60"/>
      <c r="E3" s="725" t="s">
        <v>396</v>
      </c>
      <c r="F3" s="725"/>
      <c r="G3" s="175"/>
      <c r="H3" s="60"/>
      <c r="I3" s="60"/>
      <c r="J3" s="166"/>
      <c r="K3" s="60"/>
      <c r="L3" s="60"/>
      <c r="M3" s="60"/>
      <c r="N3" s="60"/>
    </row>
    <row r="4" spans="1:19" ht="10.9" hidden="1" customHeight="1" x14ac:dyDescent="0.25">
      <c r="A4" s="33"/>
      <c r="B4" s="33"/>
      <c r="C4" s="7"/>
      <c r="D4" s="33"/>
      <c r="E4" s="33"/>
      <c r="F4" s="32"/>
      <c r="G4" s="7"/>
      <c r="H4" s="33"/>
      <c r="I4" s="33"/>
      <c r="J4" s="47"/>
      <c r="K4" s="33"/>
      <c r="L4" s="33"/>
      <c r="M4" s="33"/>
      <c r="N4" s="33"/>
    </row>
    <row r="5" spans="1:19" ht="21" hidden="1" customHeight="1" x14ac:dyDescent="0.2">
      <c r="A5" s="123"/>
      <c r="B5" s="124"/>
      <c r="C5" s="125"/>
      <c r="D5" s="55"/>
      <c r="E5" s="6" t="s">
        <v>13</v>
      </c>
      <c r="F5" s="604" t="str">
        <f>Settings!\reg</f>
        <v>Boston</v>
      </c>
      <c r="G5" s="6"/>
      <c r="H5" s="6" t="s">
        <v>10</v>
      </c>
      <c r="I5" s="31">
        <f>Settings!\wdur</f>
        <v>75</v>
      </c>
      <c r="J5" s="48" t="s">
        <v>12</v>
      </c>
      <c r="K5" s="31">
        <f>Settings!\unit</f>
        <v>0</v>
      </c>
      <c r="L5" s="42"/>
      <c r="M5" s="42"/>
      <c r="N5" s="42"/>
    </row>
    <row r="6" spans="1:19" ht="21" hidden="1" customHeight="1" x14ac:dyDescent="0.2">
      <c r="A6" s="131"/>
      <c r="B6" s="131"/>
      <c r="C6" s="131"/>
      <c r="D6" s="55"/>
      <c r="E6" s="6" t="s">
        <v>15</v>
      </c>
      <c r="F6" s="604" t="str">
        <f>Settings!\sec</f>
        <v>Residential</v>
      </c>
      <c r="G6" s="6"/>
      <c r="H6" s="6" t="s">
        <v>11</v>
      </c>
      <c r="I6" s="31">
        <f>Settings!\duration</f>
        <v>17</v>
      </c>
      <c r="J6" s="48" t="s">
        <v>14</v>
      </c>
      <c r="K6" s="31">
        <f>Settings!\area</f>
        <v>0</v>
      </c>
      <c r="L6" s="42"/>
      <c r="M6" s="42"/>
      <c r="N6" s="42"/>
    </row>
    <row r="7" spans="1:19" ht="13.15" hidden="1" customHeight="1" thickBot="1" x14ac:dyDescent="0.25">
      <c r="A7" s="131"/>
      <c r="B7" s="131"/>
      <c r="C7" s="131"/>
      <c r="D7" s="35"/>
      <c r="E7" s="54"/>
      <c r="F7" s="35"/>
      <c r="G7" s="9"/>
      <c r="H7" s="35"/>
      <c r="I7" s="35"/>
      <c r="J7" s="36"/>
      <c r="K7" s="37"/>
      <c r="L7" s="9"/>
      <c r="M7" s="42"/>
      <c r="N7" s="42"/>
    </row>
    <row r="8" spans="1:19" ht="13.9" customHeight="1" thickBot="1" x14ac:dyDescent="0.25">
      <c r="A8" s="2"/>
      <c r="B8" s="53"/>
      <c r="C8" s="34"/>
      <c r="D8" s="22"/>
      <c r="E8" s="23"/>
      <c r="F8" s="23"/>
      <c r="G8" s="23"/>
      <c r="H8" s="23"/>
      <c r="I8" s="23"/>
      <c r="J8" s="23"/>
      <c r="K8" s="23"/>
      <c r="L8" s="20"/>
      <c r="M8" s="73"/>
      <c r="N8" s="42"/>
    </row>
    <row r="9" spans="1:19" ht="24" customHeight="1" thickBot="1" x14ac:dyDescent="0.25">
      <c r="A9" s="2"/>
      <c r="B9" s="53"/>
      <c r="C9" s="8"/>
      <c r="E9" s="128" t="s">
        <v>145</v>
      </c>
      <c r="F9" s="129"/>
      <c r="G9" s="129"/>
      <c r="H9" s="129"/>
      <c r="I9" s="129"/>
      <c r="J9" s="130"/>
      <c r="K9" s="197">
        <f>SUMIF(O10:O20,1,K10:K20)</f>
        <v>0</v>
      </c>
      <c r="L9" s="20"/>
      <c r="M9" s="73"/>
      <c r="N9" s="42"/>
      <c r="O9" s="43" t="s">
        <v>275</v>
      </c>
    </row>
    <row r="10" spans="1:19" s="143" customFormat="1" ht="19.149999999999999" customHeight="1" x14ac:dyDescent="0.25">
      <c r="A10" s="3"/>
      <c r="B10" s="134"/>
      <c r="C10" s="8"/>
      <c r="D10" s="135"/>
      <c r="E10" s="182" t="s">
        <v>146</v>
      </c>
      <c r="F10" s="136"/>
      <c r="G10" s="137"/>
      <c r="H10" s="184">
        <v>0</v>
      </c>
      <c r="I10" s="187" t="s">
        <v>36</v>
      </c>
      <c r="J10" s="190">
        <v>300</v>
      </c>
      <c r="K10" s="191">
        <f t="shared" ref="K10:K19" si="0">SUM(H10*J10)</f>
        <v>0</v>
      </c>
      <c r="L10" s="39"/>
      <c r="M10" s="138"/>
      <c r="N10" s="139"/>
      <c r="O10" s="140">
        <f t="shared" ref="O10:O19" si="1">OR(NOT(ISERROR(SEARCH($F$5,Q10))),Q10=0)*OR(NOT(ISERROR(SEARCH($F$6,R10))),R10=0)</f>
        <v>1</v>
      </c>
      <c r="P10" s="140"/>
      <c r="Q10" s="141"/>
      <c r="R10" s="142"/>
      <c r="S10" s="142">
        <v>982200</v>
      </c>
    </row>
    <row r="11" spans="1:19" s="143" customFormat="1" ht="19.149999999999999" customHeight="1" x14ac:dyDescent="0.25">
      <c r="A11" s="3"/>
      <c r="B11" s="134"/>
      <c r="C11" s="8"/>
      <c r="D11" s="135"/>
      <c r="E11" s="183" t="s">
        <v>147</v>
      </c>
      <c r="F11" s="177"/>
      <c r="G11" s="144"/>
      <c r="H11" s="185">
        <v>0</v>
      </c>
      <c r="I11" s="188" t="s">
        <v>18</v>
      </c>
      <c r="J11" s="192">
        <v>0</v>
      </c>
      <c r="K11" s="193">
        <f t="shared" si="0"/>
        <v>0</v>
      </c>
      <c r="L11" s="39"/>
      <c r="M11" s="138"/>
      <c r="N11" s="139"/>
      <c r="O11" s="140">
        <f t="shared" si="1"/>
        <v>1</v>
      </c>
      <c r="P11" s="140"/>
      <c r="Q11" s="145"/>
      <c r="R11" s="142"/>
      <c r="S11" s="142">
        <v>982200</v>
      </c>
    </row>
    <row r="12" spans="1:19" s="143" customFormat="1" ht="19.149999999999999" customHeight="1" x14ac:dyDescent="0.2">
      <c r="A12" s="3"/>
      <c r="B12" s="134"/>
      <c r="C12" s="8"/>
      <c r="D12" s="1"/>
      <c r="E12" s="183" t="s">
        <v>148</v>
      </c>
      <c r="F12" s="177"/>
      <c r="G12" s="144"/>
      <c r="H12" s="185">
        <v>0</v>
      </c>
      <c r="I12" s="188" t="s">
        <v>149</v>
      </c>
      <c r="J12" s="194">
        <v>0.55000000000000004</v>
      </c>
      <c r="K12" s="193">
        <f t="shared" si="0"/>
        <v>0</v>
      </c>
      <c r="L12" s="39"/>
      <c r="M12" s="138"/>
      <c r="N12" s="139"/>
      <c r="O12" s="140">
        <f t="shared" si="1"/>
        <v>1</v>
      </c>
      <c r="P12" s="140"/>
      <c r="Q12" s="145"/>
      <c r="R12" s="145"/>
      <c r="S12" s="142">
        <v>982200</v>
      </c>
    </row>
    <row r="13" spans="1:19" s="143" customFormat="1" ht="19.149999999999999" customHeight="1" x14ac:dyDescent="0.25">
      <c r="A13" s="3"/>
      <c r="B13" s="134"/>
      <c r="C13" s="8"/>
      <c r="D13" s="135"/>
      <c r="E13" s="183" t="s">
        <v>150</v>
      </c>
      <c r="F13" s="177"/>
      <c r="G13" s="144"/>
      <c r="H13" s="185">
        <v>0</v>
      </c>
      <c r="I13" s="188" t="s">
        <v>151</v>
      </c>
      <c r="J13" s="192">
        <v>0</v>
      </c>
      <c r="K13" s="193">
        <f t="shared" si="0"/>
        <v>0</v>
      </c>
      <c r="L13" s="39"/>
      <c r="M13" s="138"/>
      <c r="N13" s="139"/>
      <c r="O13" s="140">
        <f t="shared" si="1"/>
        <v>1</v>
      </c>
      <c r="P13" s="140"/>
      <c r="Q13" s="142"/>
      <c r="R13" s="142"/>
      <c r="S13" s="142">
        <v>982200</v>
      </c>
    </row>
    <row r="14" spans="1:19" s="143" customFormat="1" ht="19.149999999999999" customHeight="1" x14ac:dyDescent="0.25">
      <c r="A14" s="3"/>
      <c r="B14" s="134"/>
      <c r="C14" s="8"/>
      <c r="D14" s="135"/>
      <c r="E14" s="183" t="s">
        <v>404</v>
      </c>
      <c r="F14" s="177"/>
      <c r="G14" s="144"/>
      <c r="H14" s="185">
        <v>0</v>
      </c>
      <c r="I14" s="188" t="s">
        <v>152</v>
      </c>
      <c r="J14" s="192">
        <v>0</v>
      </c>
      <c r="K14" s="193">
        <f>SUM(H14*J14)</f>
        <v>0</v>
      </c>
      <c r="L14" s="39"/>
      <c r="M14" s="138"/>
      <c r="N14" s="139"/>
      <c r="O14" s="140">
        <f t="shared" si="1"/>
        <v>1</v>
      </c>
      <c r="P14" s="140"/>
      <c r="Q14" s="142"/>
      <c r="R14" s="142"/>
      <c r="S14" s="142">
        <v>982200</v>
      </c>
    </row>
    <row r="15" spans="1:19" s="143" customFormat="1" ht="19.149999999999999" customHeight="1" x14ac:dyDescent="0.2">
      <c r="A15" s="3"/>
      <c r="B15" s="134"/>
      <c r="C15" s="8"/>
      <c r="D15" s="1"/>
      <c r="E15" s="183" t="s">
        <v>153</v>
      </c>
      <c r="F15" s="177"/>
      <c r="G15" s="144"/>
      <c r="H15" s="185">
        <v>0</v>
      </c>
      <c r="I15" s="188" t="s">
        <v>45</v>
      </c>
      <c r="J15" s="192">
        <v>400</v>
      </c>
      <c r="K15" s="193">
        <f t="shared" si="0"/>
        <v>0</v>
      </c>
      <c r="L15" s="39"/>
      <c r="M15" s="138"/>
      <c r="N15" s="139"/>
      <c r="O15" s="140">
        <f t="shared" si="1"/>
        <v>1</v>
      </c>
      <c r="P15" s="140"/>
      <c r="Q15" s="142"/>
      <c r="R15" s="142"/>
      <c r="S15" s="142">
        <v>982200</v>
      </c>
    </row>
    <row r="16" spans="1:19" s="143" customFormat="1" ht="19.149999999999999" customHeight="1" x14ac:dyDescent="0.25">
      <c r="A16" s="3"/>
      <c r="B16" s="134"/>
      <c r="C16" s="8"/>
      <c r="D16" s="135"/>
      <c r="E16" s="183" t="s">
        <v>447</v>
      </c>
      <c r="F16" s="177"/>
      <c r="G16" s="144"/>
      <c r="H16" s="185">
        <v>0</v>
      </c>
      <c r="I16" s="188" t="s">
        <v>21</v>
      </c>
      <c r="J16" s="192">
        <v>0</v>
      </c>
      <c r="K16" s="193">
        <f t="shared" si="0"/>
        <v>0</v>
      </c>
      <c r="L16" s="39"/>
      <c r="M16" s="138"/>
      <c r="N16" s="139"/>
      <c r="O16" s="140">
        <f t="shared" si="1"/>
        <v>1</v>
      </c>
      <c r="P16" s="140"/>
      <c r="Q16" s="145"/>
      <c r="R16" s="142"/>
      <c r="S16" s="142">
        <v>982200</v>
      </c>
    </row>
    <row r="17" spans="1:19" s="143" customFormat="1" ht="19.149999999999999" customHeight="1" x14ac:dyDescent="0.25">
      <c r="A17" s="3"/>
      <c r="B17" s="299"/>
      <c r="C17" s="8"/>
      <c r="D17" s="135"/>
      <c r="E17" s="297" t="s">
        <v>448</v>
      </c>
      <c r="F17" s="177"/>
      <c r="G17" s="144"/>
      <c r="H17" s="185">
        <v>0</v>
      </c>
      <c r="I17" s="188" t="s">
        <v>21</v>
      </c>
      <c r="J17" s="192">
        <v>0</v>
      </c>
      <c r="K17" s="193">
        <f t="shared" ref="K17" si="2">SUM(H17*J17)</f>
        <v>0</v>
      </c>
      <c r="L17" s="39"/>
      <c r="M17" s="138"/>
      <c r="N17" s="139"/>
      <c r="O17" s="140">
        <f t="shared" ref="O17" si="3">OR(NOT(ISERROR(SEARCH($F$5,Q17))),Q17=0)*OR(NOT(ISERROR(SEARCH($F$6,R17))),R17=0)</f>
        <v>0</v>
      </c>
      <c r="P17" s="140"/>
      <c r="Q17" s="145" t="s">
        <v>449</v>
      </c>
      <c r="R17" s="142"/>
      <c r="S17" s="142">
        <v>982200</v>
      </c>
    </row>
    <row r="18" spans="1:19" s="143" customFormat="1" ht="19.149999999999999" customHeight="1" x14ac:dyDescent="0.25">
      <c r="A18" s="3"/>
      <c r="B18" s="134"/>
      <c r="C18" s="8"/>
      <c r="D18" s="135"/>
      <c r="E18" s="183" t="s">
        <v>154</v>
      </c>
      <c r="F18" s="177"/>
      <c r="G18" s="144"/>
      <c r="H18" s="185">
        <v>0</v>
      </c>
      <c r="I18" s="188" t="s">
        <v>36</v>
      </c>
      <c r="J18" s="192">
        <v>0</v>
      </c>
      <c r="K18" s="193">
        <f t="shared" si="0"/>
        <v>0</v>
      </c>
      <c r="L18" s="39"/>
      <c r="M18" s="138"/>
      <c r="N18" s="139"/>
      <c r="O18" s="140">
        <f t="shared" si="1"/>
        <v>1</v>
      </c>
      <c r="P18" s="140"/>
      <c r="Q18" s="142"/>
      <c r="R18" s="142"/>
      <c r="S18" s="142">
        <v>982200</v>
      </c>
    </row>
    <row r="19" spans="1:19" s="143" customFormat="1" ht="19.149999999999999" customHeight="1" thickBot="1" x14ac:dyDescent="0.25">
      <c r="A19" s="3"/>
      <c r="B19" s="134"/>
      <c r="C19" s="8"/>
      <c r="D19" s="1"/>
      <c r="E19" s="340" t="s">
        <v>155</v>
      </c>
      <c r="F19" s="265"/>
      <c r="G19" s="277"/>
      <c r="H19" s="278">
        <v>0</v>
      </c>
      <c r="I19" s="279" t="s">
        <v>36</v>
      </c>
      <c r="J19" s="280">
        <v>0</v>
      </c>
      <c r="K19" s="281">
        <f t="shared" si="0"/>
        <v>0</v>
      </c>
      <c r="L19" s="39"/>
      <c r="M19" s="138"/>
      <c r="N19" s="139"/>
      <c r="O19" s="140">
        <f t="shared" si="1"/>
        <v>1</v>
      </c>
      <c r="P19" s="140"/>
      <c r="Q19" s="145"/>
      <c r="R19" s="142"/>
      <c r="S19" s="142">
        <v>982200</v>
      </c>
    </row>
    <row r="20" spans="1:19" ht="15.75" thickBot="1" x14ac:dyDescent="0.25">
      <c r="A20" s="2"/>
      <c r="B20" s="53"/>
      <c r="C20" s="34"/>
      <c r="D20" s="25"/>
      <c r="E20" s="272"/>
      <c r="F20" s="272"/>
      <c r="G20" s="272"/>
      <c r="H20" s="273"/>
      <c r="I20" s="274"/>
      <c r="J20" s="275"/>
      <c r="K20" s="276"/>
      <c r="L20" s="20"/>
      <c r="M20" s="73"/>
      <c r="N20" s="42"/>
      <c r="O20" s="43" t="s">
        <v>276</v>
      </c>
    </row>
    <row r="21" spans="1:19" ht="24" customHeight="1" thickBot="1" x14ac:dyDescent="0.25">
      <c r="A21" s="2"/>
      <c r="B21" s="53"/>
      <c r="C21" s="8"/>
      <c r="E21" s="128" t="s">
        <v>326</v>
      </c>
      <c r="F21" s="129"/>
      <c r="G21" s="129"/>
      <c r="H21" s="129"/>
      <c r="I21" s="129"/>
      <c r="J21" s="130"/>
      <c r="K21" s="46">
        <f>SUMIF(O22:O24,1,K22:K24)</f>
        <v>0</v>
      </c>
      <c r="L21" s="20"/>
      <c r="M21" s="73"/>
      <c r="N21" s="42"/>
      <c r="O21" s="43" t="s">
        <v>275</v>
      </c>
    </row>
    <row r="22" spans="1:19" s="143" customFormat="1" ht="4.9000000000000004" customHeight="1" x14ac:dyDescent="0.25">
      <c r="A22" s="3"/>
      <c r="B22" s="134"/>
      <c r="C22" s="8"/>
      <c r="D22" s="39"/>
      <c r="E22" s="176"/>
      <c r="F22" s="177"/>
      <c r="G22" s="319"/>
      <c r="H22" s="320"/>
      <c r="I22" s="321"/>
      <c r="J22" s="323"/>
      <c r="K22" s="322"/>
      <c r="L22" s="39"/>
      <c r="M22" s="138"/>
      <c r="N22" s="139"/>
      <c r="O22" s="140">
        <f t="shared" ref="O22" si="4">OR(NOT(ISERROR(SEARCH($F$5,Q22))),Q22=0)*OR(NOT(ISERROR(SEARCH($F$6,R22))),R22=0)</f>
        <v>1</v>
      </c>
      <c r="P22" s="140"/>
      <c r="Q22" s="142"/>
      <c r="R22" s="142"/>
      <c r="S22" s="142"/>
    </row>
    <row r="23" spans="1:19" ht="24" customHeight="1" thickBot="1" x14ac:dyDescent="0.25">
      <c r="A23" s="2"/>
      <c r="B23" s="53"/>
      <c r="C23" s="34"/>
      <c r="D23" s="20"/>
      <c r="E23" s="155"/>
      <c r="F23" s="156"/>
      <c r="G23" s="156"/>
      <c r="H23" s="157"/>
      <c r="I23" s="158"/>
      <c r="J23" s="159"/>
      <c r="K23" s="51"/>
      <c r="L23" s="20"/>
      <c r="M23" s="73"/>
      <c r="N23" s="42"/>
      <c r="O23" s="43" t="s">
        <v>276</v>
      </c>
    </row>
    <row r="24" spans="1:19" ht="15.75" thickBot="1" x14ac:dyDescent="0.25">
      <c r="A24" s="2"/>
      <c r="B24" s="53"/>
      <c r="C24" s="34"/>
      <c r="D24" s="25"/>
      <c r="E24" s="26"/>
      <c r="F24" s="26"/>
      <c r="G24" s="26"/>
      <c r="H24" s="27"/>
      <c r="I24" s="28"/>
      <c r="J24" s="29"/>
      <c r="K24" s="30"/>
      <c r="L24" s="20"/>
      <c r="M24" s="73"/>
      <c r="N24" s="42"/>
    </row>
    <row r="25" spans="1:19" ht="24" customHeight="1" thickBot="1" x14ac:dyDescent="0.25">
      <c r="A25" s="2"/>
      <c r="B25" s="53"/>
      <c r="C25" s="34"/>
      <c r="D25" s="24"/>
      <c r="E25" s="128" t="s">
        <v>165</v>
      </c>
      <c r="F25" s="129"/>
      <c r="G25" s="129"/>
      <c r="H25" s="129"/>
      <c r="I25" s="129"/>
      <c r="J25" s="130"/>
      <c r="K25" s="197">
        <f>SUMIF(O26:O30,1,K26:K30)</f>
        <v>0</v>
      </c>
      <c r="L25" s="20"/>
      <c r="M25" s="73"/>
      <c r="N25" s="42"/>
      <c r="O25" s="43" t="s">
        <v>275</v>
      </c>
    </row>
    <row r="26" spans="1:19" s="143" customFormat="1" ht="19.149999999999999" customHeight="1" x14ac:dyDescent="0.25">
      <c r="A26" s="3"/>
      <c r="B26" s="134"/>
      <c r="C26" s="8"/>
      <c r="D26" s="135"/>
      <c r="E26" s="182" t="s">
        <v>166</v>
      </c>
      <c r="F26" s="136"/>
      <c r="G26" s="137"/>
      <c r="H26" s="184">
        <v>0</v>
      </c>
      <c r="I26" s="187" t="s">
        <v>21</v>
      </c>
      <c r="J26" s="190">
        <v>0</v>
      </c>
      <c r="K26" s="191">
        <f>SUM(H26*J26)</f>
        <v>0</v>
      </c>
      <c r="L26" s="39"/>
      <c r="M26" s="138"/>
      <c r="N26" s="139"/>
      <c r="O26" s="140">
        <f>OR(NOT(ISERROR(SEARCH($F$5,Q26))),Q26=0)*OR(NOT(ISERROR(SEARCH($F$6,R26))),R26=0)</f>
        <v>1</v>
      </c>
      <c r="P26" s="140"/>
      <c r="Q26" s="142"/>
      <c r="R26" s="142"/>
      <c r="S26" s="142">
        <v>982300</v>
      </c>
    </row>
    <row r="27" spans="1:19" s="143" customFormat="1" ht="19.149999999999999" customHeight="1" x14ac:dyDescent="0.2">
      <c r="A27" s="3"/>
      <c r="B27" s="134"/>
      <c r="C27" s="8"/>
      <c r="D27" s="1"/>
      <c r="E27" s="183" t="s">
        <v>167</v>
      </c>
      <c r="F27" s="177"/>
      <c r="G27" s="144"/>
      <c r="H27" s="185">
        <v>0</v>
      </c>
      <c r="I27" s="188" t="s">
        <v>18</v>
      </c>
      <c r="J27" s="192">
        <v>0</v>
      </c>
      <c r="K27" s="193">
        <f>SUM(H27*J27)</f>
        <v>0</v>
      </c>
      <c r="L27" s="39"/>
      <c r="M27" s="138"/>
      <c r="N27" s="139"/>
      <c r="O27" s="140">
        <f>OR(NOT(ISERROR(SEARCH($F$5,Q27))),Q27=0)*OR(NOT(ISERROR(SEARCH($F$6,R27))),R27=0)</f>
        <v>1</v>
      </c>
      <c r="P27" s="140"/>
      <c r="Q27" s="142"/>
      <c r="R27" s="142"/>
      <c r="S27" s="142">
        <v>982300</v>
      </c>
    </row>
    <row r="28" spans="1:19" s="143" customFormat="1" ht="19.149999999999999" customHeight="1" x14ac:dyDescent="0.25">
      <c r="A28" s="3"/>
      <c r="B28" s="134"/>
      <c r="C28" s="8"/>
      <c r="D28" s="135"/>
      <c r="E28" s="183" t="s">
        <v>168</v>
      </c>
      <c r="F28" s="177"/>
      <c r="G28" s="144"/>
      <c r="H28" s="185">
        <v>0</v>
      </c>
      <c r="I28" s="188" t="s">
        <v>21</v>
      </c>
      <c r="J28" s="192">
        <v>0</v>
      </c>
      <c r="K28" s="193">
        <f>SUM(H28*J28)</f>
        <v>0</v>
      </c>
      <c r="L28" s="39"/>
      <c r="M28" s="138"/>
      <c r="N28" s="139"/>
      <c r="O28" s="140">
        <f>OR(NOT(ISERROR(SEARCH($F$5,Q28))),Q28=0)*OR(NOT(ISERROR(SEARCH($F$6,R28))),R28=0)</f>
        <v>1</v>
      </c>
      <c r="P28" s="140"/>
      <c r="Q28" s="142"/>
      <c r="R28" s="142"/>
      <c r="S28" s="142">
        <v>982300</v>
      </c>
    </row>
    <row r="29" spans="1:19" s="143" customFormat="1" ht="19.149999999999999" customHeight="1" thickBot="1" x14ac:dyDescent="0.3">
      <c r="A29" s="3"/>
      <c r="B29" s="134"/>
      <c r="C29" s="8"/>
      <c r="D29" s="135"/>
      <c r="E29" s="340" t="s">
        <v>169</v>
      </c>
      <c r="F29" s="265"/>
      <c r="G29" s="277"/>
      <c r="H29" s="278">
        <v>0</v>
      </c>
      <c r="I29" s="279" t="s">
        <v>18</v>
      </c>
      <c r="J29" s="280">
        <v>0</v>
      </c>
      <c r="K29" s="281">
        <f>SUM(H29*J29)</f>
        <v>0</v>
      </c>
      <c r="L29" s="39"/>
      <c r="M29" s="138"/>
      <c r="N29" s="139"/>
      <c r="O29" s="140">
        <f>OR(NOT(ISERROR(SEARCH($F$5,Q29))),Q29=0)*OR(NOT(ISERROR(SEARCH($F$6,R29))),R29=0)</f>
        <v>1</v>
      </c>
      <c r="P29" s="140"/>
      <c r="Q29" s="142"/>
      <c r="R29" s="142"/>
      <c r="S29" s="142">
        <v>982300</v>
      </c>
    </row>
    <row r="30" spans="1:19" ht="15.75" thickBot="1" x14ac:dyDescent="0.25">
      <c r="A30" s="2"/>
      <c r="B30" s="53"/>
      <c r="C30" s="34"/>
      <c r="D30" s="25"/>
      <c r="E30" s="272"/>
      <c r="F30" s="272"/>
      <c r="G30" s="272"/>
      <c r="H30" s="273"/>
      <c r="I30" s="274"/>
      <c r="J30" s="275"/>
      <c r="K30" s="276"/>
      <c r="L30" s="20"/>
      <c r="M30" s="73"/>
      <c r="N30" s="42"/>
      <c r="O30" s="43" t="s">
        <v>276</v>
      </c>
    </row>
    <row r="31" spans="1:19" ht="24" customHeight="1" thickBot="1" x14ac:dyDescent="0.25">
      <c r="A31" s="2"/>
      <c r="B31" s="53"/>
      <c r="C31" s="8"/>
      <c r="E31" s="128" t="s">
        <v>170</v>
      </c>
      <c r="F31" s="129"/>
      <c r="G31" s="129"/>
      <c r="H31" s="129"/>
      <c r="I31" s="129"/>
      <c r="J31" s="130"/>
      <c r="K31" s="197">
        <f>SUMIF(O32:O44,1,K32:K44)</f>
        <v>0</v>
      </c>
      <c r="L31" s="20"/>
      <c r="M31" s="73"/>
      <c r="N31" s="42"/>
      <c r="O31" s="43" t="s">
        <v>275</v>
      </c>
    </row>
    <row r="32" spans="1:19" s="143" customFormat="1" ht="19.149999999999999" customHeight="1" x14ac:dyDescent="0.25">
      <c r="A32" s="3"/>
      <c r="B32" s="134"/>
      <c r="C32" s="8"/>
      <c r="D32" s="147"/>
      <c r="E32" s="182" t="s">
        <v>171</v>
      </c>
      <c r="F32" s="136"/>
      <c r="G32" s="137"/>
      <c r="H32" s="184">
        <v>0</v>
      </c>
      <c r="I32" s="187" t="s">
        <v>72</v>
      </c>
      <c r="J32" s="190">
        <v>500</v>
      </c>
      <c r="K32" s="191">
        <f t="shared" ref="K32:K43" si="5">SUM(H32*J32)</f>
        <v>0</v>
      </c>
      <c r="L32" s="39"/>
      <c r="M32" s="138"/>
      <c r="N32" s="139"/>
      <c r="O32" s="140">
        <f t="shared" ref="O32:O37" si="6">OR(NOT(ISERROR(SEARCH($F$5,Q32))),Q32=0)*OR(NOT(ISERROR(SEARCH($F$6,R32))),R32=0)</f>
        <v>1</v>
      </c>
      <c r="P32" s="140"/>
      <c r="Q32" s="142"/>
      <c r="R32" s="142"/>
      <c r="S32" s="142">
        <v>982300</v>
      </c>
    </row>
    <row r="33" spans="1:19" s="143" customFormat="1" ht="19.149999999999999" customHeight="1" x14ac:dyDescent="0.25">
      <c r="A33" s="3"/>
      <c r="B33" s="134"/>
      <c r="C33" s="8"/>
      <c r="D33" s="147"/>
      <c r="E33" s="183" t="s">
        <v>172</v>
      </c>
      <c r="F33" s="177"/>
      <c r="G33" s="144"/>
      <c r="H33" s="185">
        <v>0</v>
      </c>
      <c r="I33" s="188" t="s">
        <v>173</v>
      </c>
      <c r="J33" s="192">
        <v>12000</v>
      </c>
      <c r="K33" s="193">
        <f t="shared" si="5"/>
        <v>0</v>
      </c>
      <c r="L33" s="39"/>
      <c r="M33" s="138"/>
      <c r="N33" s="139"/>
      <c r="O33" s="140">
        <f t="shared" si="6"/>
        <v>1</v>
      </c>
      <c r="P33" s="140"/>
      <c r="Q33" s="142"/>
      <c r="R33" s="142"/>
      <c r="S33" s="142">
        <v>982300</v>
      </c>
    </row>
    <row r="34" spans="1:19" s="143" customFormat="1" ht="19.149999999999999" customHeight="1" x14ac:dyDescent="0.2">
      <c r="A34" s="3"/>
      <c r="B34" s="134"/>
      <c r="C34" s="8"/>
      <c r="D34" s="1"/>
      <c r="E34" s="183" t="s">
        <v>174</v>
      </c>
      <c r="F34" s="177"/>
      <c r="G34" s="144"/>
      <c r="H34" s="185">
        <v>0</v>
      </c>
      <c r="I34" s="188" t="s">
        <v>21</v>
      </c>
      <c r="J34" s="192">
        <v>900</v>
      </c>
      <c r="K34" s="193">
        <f t="shared" si="5"/>
        <v>0</v>
      </c>
      <c r="L34" s="39"/>
      <c r="M34" s="138"/>
      <c r="N34" s="139"/>
      <c r="O34" s="140">
        <f t="shared" si="6"/>
        <v>1</v>
      </c>
      <c r="P34" s="140"/>
      <c r="Q34" s="142"/>
      <c r="R34" s="142"/>
      <c r="S34" s="142">
        <v>982300</v>
      </c>
    </row>
    <row r="35" spans="1:19" s="143" customFormat="1" ht="19.149999999999999" customHeight="1" x14ac:dyDescent="0.25">
      <c r="A35" s="3"/>
      <c r="B35" s="134"/>
      <c r="C35" s="8"/>
      <c r="D35" s="147"/>
      <c r="E35" s="183" t="s">
        <v>175</v>
      </c>
      <c r="F35" s="177"/>
      <c r="G35" s="144"/>
      <c r="H35" s="185">
        <v>0</v>
      </c>
      <c r="I35" s="188" t="s">
        <v>72</v>
      </c>
      <c r="J35" s="192">
        <v>1250</v>
      </c>
      <c r="K35" s="193">
        <f t="shared" si="5"/>
        <v>0</v>
      </c>
      <c r="L35" s="39"/>
      <c r="M35" s="138"/>
      <c r="N35" s="139"/>
      <c r="O35" s="140">
        <f t="shared" si="6"/>
        <v>1</v>
      </c>
      <c r="P35" s="140"/>
      <c r="Q35" s="142"/>
      <c r="R35" s="142"/>
      <c r="S35" s="142">
        <v>982300</v>
      </c>
    </row>
    <row r="36" spans="1:19" s="143" customFormat="1" ht="19.149999999999999" customHeight="1" x14ac:dyDescent="0.2">
      <c r="A36" s="3"/>
      <c r="B36" s="134"/>
      <c r="C36" s="8"/>
      <c r="D36" s="1"/>
      <c r="E36" s="198" t="s">
        <v>315</v>
      </c>
      <c r="F36" s="148"/>
      <c r="G36" s="149"/>
      <c r="H36" s="199">
        <v>0</v>
      </c>
      <c r="I36" s="200" t="s">
        <v>72</v>
      </c>
      <c r="J36" s="201">
        <f>tbl('GCs Detail'!\t_copiers,staffcounter)</f>
        <v>2000</v>
      </c>
      <c r="K36" s="193">
        <f t="shared" si="5"/>
        <v>0</v>
      </c>
      <c r="L36" s="39"/>
      <c r="M36" s="138"/>
      <c r="N36" s="139"/>
      <c r="O36" s="140">
        <f t="shared" si="6"/>
        <v>1</v>
      </c>
      <c r="P36" s="140"/>
      <c r="Q36" s="142"/>
      <c r="R36" s="142"/>
      <c r="S36" s="142">
        <v>982300</v>
      </c>
    </row>
    <row r="37" spans="1:19" s="143" customFormat="1" ht="19.149999999999999" customHeight="1" x14ac:dyDescent="0.2">
      <c r="A37" s="3"/>
      <c r="B37" s="299"/>
      <c r="C37" s="8"/>
      <c r="D37" s="1"/>
      <c r="E37" s="198" t="s">
        <v>451</v>
      </c>
      <c r="F37" s="148"/>
      <c r="G37" s="149"/>
      <c r="H37" s="199">
        <v>0</v>
      </c>
      <c r="I37" s="200" t="s">
        <v>72</v>
      </c>
      <c r="J37" s="201">
        <v>0</v>
      </c>
      <c r="K37" s="193">
        <f t="shared" si="5"/>
        <v>0</v>
      </c>
      <c r="L37" s="39"/>
      <c r="M37" s="138"/>
      <c r="N37" s="139"/>
      <c r="O37" s="140">
        <f t="shared" si="6"/>
        <v>0</v>
      </c>
      <c r="P37" s="140"/>
      <c r="Q37" s="145" t="s">
        <v>449</v>
      </c>
      <c r="R37" s="142"/>
      <c r="S37" s="142">
        <v>982300</v>
      </c>
    </row>
    <row r="38" spans="1:19" s="143" customFormat="1" ht="19.149999999999999" customHeight="1" x14ac:dyDescent="0.2">
      <c r="A38" s="3"/>
      <c r="B38" s="134"/>
      <c r="C38" s="8"/>
      <c r="D38" s="1"/>
      <c r="E38" s="183" t="s">
        <v>176</v>
      </c>
      <c r="F38" s="177"/>
      <c r="G38" s="144"/>
      <c r="H38" s="199">
        <v>0</v>
      </c>
      <c r="I38" s="188" t="s">
        <v>21</v>
      </c>
      <c r="J38" s="192">
        <v>350</v>
      </c>
      <c r="K38" s="193">
        <f t="shared" si="5"/>
        <v>0</v>
      </c>
      <c r="L38" s="39"/>
      <c r="M38" s="138"/>
      <c r="N38" s="139"/>
      <c r="O38" s="140">
        <f t="shared" ref="O38:O43" si="7">OR(NOT(ISERROR(SEARCH($F$5,Q38))),Q38=0)*OR(NOT(ISERROR(SEARCH($F$6,R38))),R38=0)</f>
        <v>1</v>
      </c>
      <c r="P38" s="140"/>
      <c r="Q38" s="142"/>
      <c r="R38" s="142"/>
      <c r="S38" s="142">
        <v>982300</v>
      </c>
    </row>
    <row r="39" spans="1:19" s="143" customFormat="1" ht="19.149999999999999" customHeight="1" x14ac:dyDescent="0.25">
      <c r="A39" s="3"/>
      <c r="B39" s="134"/>
      <c r="C39" s="8"/>
      <c r="D39" s="147"/>
      <c r="E39" s="183" t="s">
        <v>177</v>
      </c>
      <c r="F39" s="177"/>
      <c r="G39" s="144"/>
      <c r="H39" s="199">
        <v>0</v>
      </c>
      <c r="I39" s="188" t="s">
        <v>72</v>
      </c>
      <c r="J39" s="192">
        <v>600</v>
      </c>
      <c r="K39" s="193">
        <f t="shared" si="5"/>
        <v>0</v>
      </c>
      <c r="L39" s="39"/>
      <c r="M39" s="138"/>
      <c r="N39" s="139"/>
      <c r="O39" s="140">
        <f t="shared" si="7"/>
        <v>1</v>
      </c>
      <c r="P39" s="140"/>
      <c r="Q39" s="142"/>
      <c r="R39" s="142"/>
      <c r="S39" s="142">
        <v>982300</v>
      </c>
    </row>
    <row r="40" spans="1:19" s="143" customFormat="1" ht="19.149999999999999" customHeight="1" x14ac:dyDescent="0.2">
      <c r="A40" s="3"/>
      <c r="B40" s="134"/>
      <c r="C40" s="8"/>
      <c r="D40" s="1"/>
      <c r="E40" s="183" t="s">
        <v>178</v>
      </c>
      <c r="F40" s="177"/>
      <c r="G40" s="144"/>
      <c r="H40" s="199">
        <v>0</v>
      </c>
      <c r="I40" s="188" t="s">
        <v>39</v>
      </c>
      <c r="J40" s="192">
        <v>600</v>
      </c>
      <c r="K40" s="193">
        <f t="shared" si="5"/>
        <v>0</v>
      </c>
      <c r="L40" s="39"/>
      <c r="M40" s="138"/>
      <c r="N40" s="139"/>
      <c r="O40" s="140">
        <f t="shared" si="7"/>
        <v>1</v>
      </c>
      <c r="P40" s="140"/>
      <c r="Q40" s="142"/>
      <c r="R40" s="142"/>
      <c r="S40" s="142">
        <v>982300</v>
      </c>
    </row>
    <row r="41" spans="1:19" s="143" customFormat="1" ht="19.149999999999999" customHeight="1" x14ac:dyDescent="0.2">
      <c r="A41" s="3"/>
      <c r="B41" s="134"/>
      <c r="C41" s="8"/>
      <c r="D41" s="1"/>
      <c r="E41" s="183" t="s">
        <v>179</v>
      </c>
      <c r="F41" s="177"/>
      <c r="G41" s="144"/>
      <c r="H41" s="199">
        <v>0</v>
      </c>
      <c r="I41" s="188" t="s">
        <v>21</v>
      </c>
      <c r="J41" s="192">
        <v>200</v>
      </c>
      <c r="K41" s="193">
        <f t="shared" si="5"/>
        <v>0</v>
      </c>
      <c r="L41" s="39"/>
      <c r="M41" s="138"/>
      <c r="N41" s="139"/>
      <c r="O41" s="140">
        <f t="shared" si="7"/>
        <v>1</v>
      </c>
      <c r="P41" s="140"/>
      <c r="Q41" s="142"/>
      <c r="R41" s="142"/>
      <c r="S41" s="142">
        <v>982300</v>
      </c>
    </row>
    <row r="42" spans="1:19" s="143" customFormat="1" ht="19.149999999999999" customHeight="1" x14ac:dyDescent="0.2">
      <c r="A42" s="3"/>
      <c r="B42" s="299"/>
      <c r="C42" s="8"/>
      <c r="D42" s="1"/>
      <c r="E42" s="297" t="s">
        <v>452</v>
      </c>
      <c r="F42" s="177"/>
      <c r="G42" s="144"/>
      <c r="H42" s="199">
        <v>0</v>
      </c>
      <c r="I42" s="188" t="s">
        <v>21</v>
      </c>
      <c r="J42" s="192">
        <v>0</v>
      </c>
      <c r="K42" s="193">
        <f t="shared" si="5"/>
        <v>0</v>
      </c>
      <c r="L42" s="39"/>
      <c r="M42" s="138"/>
      <c r="N42" s="139"/>
      <c r="O42" s="140">
        <f t="shared" ref="O42" si="8">OR(NOT(ISERROR(SEARCH($F$5,Q42))),Q42=0)*OR(NOT(ISERROR(SEARCH($F$6,R42))),R42=0)</f>
        <v>0</v>
      </c>
      <c r="P42" s="140"/>
      <c r="Q42" s="145" t="s">
        <v>449</v>
      </c>
      <c r="R42" s="142"/>
      <c r="S42" s="142">
        <v>982300</v>
      </c>
    </row>
    <row r="43" spans="1:19" s="143" customFormat="1" ht="19.149999999999999" customHeight="1" thickBot="1" x14ac:dyDescent="0.3">
      <c r="A43" s="3"/>
      <c r="B43" s="134"/>
      <c r="C43" s="8"/>
      <c r="D43" s="147"/>
      <c r="E43" s="340" t="s">
        <v>180</v>
      </c>
      <c r="F43" s="265"/>
      <c r="G43" s="277"/>
      <c r="H43" s="269">
        <v>0</v>
      </c>
      <c r="I43" s="279" t="s">
        <v>21</v>
      </c>
      <c r="J43" s="280">
        <v>250</v>
      </c>
      <c r="K43" s="281">
        <f t="shared" si="5"/>
        <v>0</v>
      </c>
      <c r="L43" s="39"/>
      <c r="M43" s="138"/>
      <c r="N43" s="139"/>
      <c r="O43" s="140">
        <f t="shared" si="7"/>
        <v>1</v>
      </c>
      <c r="P43" s="140"/>
      <c r="Q43" s="142"/>
      <c r="R43" s="142"/>
      <c r="S43" s="142">
        <v>982300</v>
      </c>
    </row>
    <row r="44" spans="1:19" ht="15.75" thickBot="1" x14ac:dyDescent="0.25">
      <c r="A44" s="2"/>
      <c r="B44" s="53"/>
      <c r="C44" s="34"/>
      <c r="D44" s="25"/>
      <c r="E44" s="282"/>
      <c r="F44" s="282"/>
      <c r="G44" s="282"/>
      <c r="H44" s="283"/>
      <c r="I44" s="284"/>
      <c r="J44" s="285"/>
      <c r="K44" s="286"/>
      <c r="L44" s="20"/>
      <c r="M44" s="73"/>
      <c r="N44" s="42"/>
      <c r="O44" s="43" t="s">
        <v>276</v>
      </c>
    </row>
    <row r="45" spans="1:19" ht="24" customHeight="1" thickBot="1" x14ac:dyDescent="0.25">
      <c r="A45" s="2"/>
      <c r="B45" s="53"/>
      <c r="C45" s="8"/>
      <c r="E45" s="128" t="s">
        <v>181</v>
      </c>
      <c r="F45" s="129"/>
      <c r="G45" s="129"/>
      <c r="H45" s="129"/>
      <c r="I45" s="129"/>
      <c r="J45" s="130"/>
      <c r="K45" s="197">
        <f>SUMIF(O46:O57,1,K46:K57)</f>
        <v>0</v>
      </c>
      <c r="L45" s="20"/>
      <c r="M45" s="73"/>
      <c r="N45" s="42"/>
      <c r="O45" s="43" t="s">
        <v>275</v>
      </c>
    </row>
    <row r="46" spans="1:19" s="143" customFormat="1" ht="19.149999999999999" customHeight="1" x14ac:dyDescent="0.2">
      <c r="A46" s="3"/>
      <c r="B46" s="134"/>
      <c r="C46" s="8"/>
      <c r="D46" s="1"/>
      <c r="E46" s="363" t="s">
        <v>182</v>
      </c>
      <c r="F46" s="364"/>
      <c r="G46" s="203"/>
      <c r="H46" s="185">
        <v>0</v>
      </c>
      <c r="I46" s="188" t="s">
        <v>183</v>
      </c>
      <c r="J46" s="207">
        <v>1000</v>
      </c>
      <c r="K46" s="193">
        <f>SUM(H46*J46)</f>
        <v>0</v>
      </c>
      <c r="L46" s="39"/>
      <c r="M46" s="138"/>
      <c r="N46" s="139"/>
      <c r="O46" s="140">
        <f t="shared" ref="O46:O56" si="9">OR(NOT(ISERROR(SEARCH($F$5,Q46))),Q46=0)*OR(NOT(ISERROR(SEARCH($F$6,R46))),R46=0)</f>
        <v>1</v>
      </c>
      <c r="P46" s="140"/>
      <c r="Q46" s="142"/>
      <c r="R46" s="142"/>
      <c r="S46" s="142">
        <v>982300</v>
      </c>
    </row>
    <row r="47" spans="1:19" s="143" customFormat="1" ht="19.149999999999999" customHeight="1" x14ac:dyDescent="0.2">
      <c r="A47" s="3"/>
      <c r="B47" s="134"/>
      <c r="C47" s="8"/>
      <c r="D47" s="1"/>
      <c r="E47" s="204" t="s">
        <v>314</v>
      </c>
      <c r="F47" s="205"/>
      <c r="G47" s="203"/>
      <c r="H47" s="185">
        <v>0</v>
      </c>
      <c r="I47" s="188" t="s">
        <v>21</v>
      </c>
      <c r="J47" s="206">
        <v>0</v>
      </c>
      <c r="K47" s="193"/>
      <c r="L47" s="39"/>
      <c r="M47" s="138"/>
      <c r="N47" s="139"/>
      <c r="O47" s="140">
        <f t="shared" si="9"/>
        <v>1</v>
      </c>
      <c r="P47" s="140"/>
      <c r="Q47" s="142"/>
      <c r="R47" s="142"/>
      <c r="S47" s="142">
        <v>982300</v>
      </c>
    </row>
    <row r="48" spans="1:19" s="143" customFormat="1" ht="19.149999999999999" customHeight="1" x14ac:dyDescent="0.25">
      <c r="A48" s="3"/>
      <c r="B48" s="134"/>
      <c r="C48" s="8"/>
      <c r="D48" s="150"/>
      <c r="E48" s="366" t="s">
        <v>184</v>
      </c>
      <c r="F48" s="202"/>
      <c r="G48" s="203"/>
      <c r="H48" s="185">
        <v>0</v>
      </c>
      <c r="I48" s="188" t="s">
        <v>54</v>
      </c>
      <c r="J48" s="206">
        <v>300</v>
      </c>
      <c r="K48" s="193">
        <f t="shared" ref="K48:K55" si="10">SUM(H48*J48)</f>
        <v>0</v>
      </c>
      <c r="L48" s="39"/>
      <c r="M48" s="138"/>
      <c r="N48" s="139"/>
      <c r="O48" s="140">
        <f t="shared" si="9"/>
        <v>0</v>
      </c>
      <c r="P48" s="140"/>
      <c r="Q48" s="142"/>
      <c r="R48" s="145" t="s">
        <v>420</v>
      </c>
      <c r="S48" s="142">
        <v>982300</v>
      </c>
    </row>
    <row r="49" spans="1:19" s="143" customFormat="1" ht="19.149999999999999" customHeight="1" x14ac:dyDescent="0.2">
      <c r="A49" s="3"/>
      <c r="B49" s="134"/>
      <c r="C49" s="8"/>
      <c r="D49" s="1"/>
      <c r="E49" s="204" t="s">
        <v>185</v>
      </c>
      <c r="F49" s="205"/>
      <c r="G49" s="203"/>
      <c r="H49" s="185">
        <v>0</v>
      </c>
      <c r="I49" s="188" t="s">
        <v>21</v>
      </c>
      <c r="J49" s="206">
        <v>265</v>
      </c>
      <c r="K49" s="193">
        <f t="shared" si="10"/>
        <v>0</v>
      </c>
      <c r="L49" s="39"/>
      <c r="M49" s="138"/>
      <c r="N49" s="139"/>
      <c r="O49" s="140">
        <f t="shared" si="9"/>
        <v>1</v>
      </c>
      <c r="P49" s="140"/>
      <c r="Q49" s="142"/>
      <c r="R49" s="145"/>
      <c r="S49" s="142">
        <v>982300</v>
      </c>
    </row>
    <row r="50" spans="1:19" s="143" customFormat="1" ht="19.149999999999999" customHeight="1" x14ac:dyDescent="0.2">
      <c r="A50" s="3"/>
      <c r="B50" s="134"/>
      <c r="C50" s="8"/>
      <c r="D50" s="1"/>
      <c r="E50" s="204" t="s">
        <v>186</v>
      </c>
      <c r="F50" s="205"/>
      <c r="G50" s="203"/>
      <c r="H50" s="185">
        <v>0</v>
      </c>
      <c r="I50" s="188" t="s">
        <v>72</v>
      </c>
      <c r="J50" s="206">
        <v>4600</v>
      </c>
      <c r="K50" s="193">
        <f t="shared" si="10"/>
        <v>0</v>
      </c>
      <c r="L50" s="39"/>
      <c r="M50" s="138"/>
      <c r="N50" s="139"/>
      <c r="O50" s="140">
        <f t="shared" si="9"/>
        <v>1</v>
      </c>
      <c r="P50" s="140"/>
      <c r="Q50" s="142"/>
      <c r="R50" s="142"/>
      <c r="S50" s="142">
        <v>982300</v>
      </c>
    </row>
    <row r="51" spans="1:19" s="143" customFormat="1" ht="19.149999999999999" customHeight="1" x14ac:dyDescent="0.25">
      <c r="A51" s="3"/>
      <c r="B51" s="134"/>
      <c r="C51" s="8"/>
      <c r="D51" s="150"/>
      <c r="E51" s="366" t="s">
        <v>187</v>
      </c>
      <c r="F51" s="202"/>
      <c r="G51" s="577"/>
      <c r="H51" s="185">
        <v>0</v>
      </c>
      <c r="I51" s="188" t="s">
        <v>54</v>
      </c>
      <c r="J51" s="206">
        <v>600</v>
      </c>
      <c r="K51" s="193">
        <f t="shared" si="10"/>
        <v>0</v>
      </c>
      <c r="L51" s="39"/>
      <c r="M51" s="138"/>
      <c r="N51" s="139"/>
      <c r="O51" s="140">
        <f t="shared" si="9"/>
        <v>0</v>
      </c>
      <c r="P51" s="140"/>
      <c r="Q51" s="145" t="s">
        <v>421</v>
      </c>
      <c r="R51" s="142"/>
      <c r="S51" s="142">
        <v>982300</v>
      </c>
    </row>
    <row r="52" spans="1:19" s="143" customFormat="1" ht="19.149999999999999" customHeight="1" x14ac:dyDescent="0.2">
      <c r="A52" s="3"/>
      <c r="B52" s="134"/>
      <c r="C52" s="8"/>
      <c r="D52" s="1"/>
      <c r="E52" s="366" t="s">
        <v>188</v>
      </c>
      <c r="F52" s="202"/>
      <c r="G52" s="203"/>
      <c r="H52" s="185">
        <v>0</v>
      </c>
      <c r="I52" s="188" t="s">
        <v>54</v>
      </c>
      <c r="J52" s="206">
        <v>1820</v>
      </c>
      <c r="K52" s="193">
        <f t="shared" si="10"/>
        <v>0</v>
      </c>
      <c r="L52" s="39"/>
      <c r="M52" s="138"/>
      <c r="N52" s="139"/>
      <c r="O52" s="140">
        <f t="shared" si="9"/>
        <v>1</v>
      </c>
      <c r="P52" s="140"/>
      <c r="Q52" s="145" t="s">
        <v>422</v>
      </c>
      <c r="R52" s="142"/>
      <c r="S52" s="142">
        <v>982300</v>
      </c>
    </row>
    <row r="53" spans="1:19" s="143" customFormat="1" ht="19.149999999999999" customHeight="1" x14ac:dyDescent="0.2">
      <c r="A53" s="3"/>
      <c r="B53" s="134"/>
      <c r="C53" s="8"/>
      <c r="D53" s="1"/>
      <c r="E53" s="366" t="s">
        <v>189</v>
      </c>
      <c r="F53" s="202"/>
      <c r="G53" s="203"/>
      <c r="H53" s="185">
        <v>0</v>
      </c>
      <c r="I53" s="188" t="s">
        <v>72</v>
      </c>
      <c r="J53" s="206">
        <v>750</v>
      </c>
      <c r="K53" s="193">
        <f t="shared" si="10"/>
        <v>0</v>
      </c>
      <c r="L53" s="39"/>
      <c r="M53" s="138"/>
      <c r="N53" s="139"/>
      <c r="O53" s="140">
        <f t="shared" si="9"/>
        <v>1</v>
      </c>
      <c r="P53" s="140"/>
      <c r="Q53" s="142"/>
      <c r="R53" s="142"/>
      <c r="S53" s="142">
        <v>982300</v>
      </c>
    </row>
    <row r="54" spans="1:19" s="143" customFormat="1" ht="19.149999999999999" customHeight="1" x14ac:dyDescent="0.2">
      <c r="A54" s="3"/>
      <c r="B54" s="134"/>
      <c r="C54" s="8"/>
      <c r="D54" s="1"/>
      <c r="E54" s="366" t="s">
        <v>190</v>
      </c>
      <c r="F54" s="202"/>
      <c r="G54" s="203"/>
      <c r="H54" s="185">
        <v>0</v>
      </c>
      <c r="I54" s="188" t="s">
        <v>72</v>
      </c>
      <c r="J54" s="206">
        <v>1200</v>
      </c>
      <c r="K54" s="193">
        <f t="shared" si="10"/>
        <v>0</v>
      </c>
      <c r="L54" s="39"/>
      <c r="M54" s="138"/>
      <c r="N54" s="139"/>
      <c r="O54" s="140">
        <f t="shared" si="9"/>
        <v>1</v>
      </c>
      <c r="P54" s="140"/>
      <c r="Q54" s="142"/>
      <c r="R54" s="142"/>
      <c r="S54" s="142">
        <v>982300</v>
      </c>
    </row>
    <row r="55" spans="1:19" s="143" customFormat="1" ht="19.149999999999999" customHeight="1" x14ac:dyDescent="0.25">
      <c r="A55" s="3"/>
      <c r="B55" s="134"/>
      <c r="C55" s="8"/>
      <c r="D55" s="150"/>
      <c r="E55" s="366" t="s">
        <v>408</v>
      </c>
      <c r="F55" s="202"/>
      <c r="G55" s="203"/>
      <c r="H55" s="185">
        <v>0</v>
      </c>
      <c r="I55" s="188" t="s">
        <v>72</v>
      </c>
      <c r="J55" s="206">
        <v>50</v>
      </c>
      <c r="K55" s="193">
        <f t="shared" si="10"/>
        <v>0</v>
      </c>
      <c r="L55" s="39"/>
      <c r="M55" s="138"/>
      <c r="N55" s="139"/>
      <c r="O55" s="140">
        <f t="shared" si="9"/>
        <v>1</v>
      </c>
      <c r="P55" s="140"/>
      <c r="Q55" s="142"/>
      <c r="R55" s="142"/>
      <c r="S55" s="142">
        <v>982300</v>
      </c>
    </row>
    <row r="56" spans="1:19" s="143" customFormat="1" ht="19.149999999999999" customHeight="1" thickBot="1" x14ac:dyDescent="0.3">
      <c r="A56" s="3"/>
      <c r="B56" s="134"/>
      <c r="C56" s="8"/>
      <c r="D56" s="150"/>
      <c r="E56" s="338" t="s">
        <v>191</v>
      </c>
      <c r="F56" s="339"/>
      <c r="G56" s="268"/>
      <c r="H56" s="278">
        <v>0</v>
      </c>
      <c r="I56" s="279" t="s">
        <v>72</v>
      </c>
      <c r="J56" s="287">
        <v>25000</v>
      </c>
      <c r="K56" s="281">
        <f>H56*J56</f>
        <v>0</v>
      </c>
      <c r="L56" s="39"/>
      <c r="M56" s="138"/>
      <c r="N56" s="139"/>
      <c r="O56" s="140">
        <f t="shared" si="9"/>
        <v>1</v>
      </c>
      <c r="P56" s="151"/>
      <c r="Q56" s="142"/>
      <c r="R56" s="142"/>
      <c r="S56" s="142">
        <v>982300</v>
      </c>
    </row>
    <row r="57" spans="1:19" ht="15.75" thickBot="1" x14ac:dyDescent="0.25">
      <c r="A57" s="2"/>
      <c r="B57" s="53"/>
      <c r="C57" s="34"/>
      <c r="D57" s="25"/>
      <c r="E57" s="288"/>
      <c r="F57" s="289"/>
      <c r="G57" s="282"/>
      <c r="H57" s="283"/>
      <c r="I57" s="284"/>
      <c r="J57" s="290"/>
      <c r="K57" s="276"/>
      <c r="L57" s="20"/>
      <c r="M57" s="73"/>
      <c r="N57" s="42"/>
      <c r="O57" s="43" t="s">
        <v>276</v>
      </c>
    </row>
    <row r="58" spans="1:19" ht="24" customHeight="1" thickBot="1" x14ac:dyDescent="0.25">
      <c r="A58" s="2"/>
      <c r="B58" s="53"/>
      <c r="C58" s="8"/>
      <c r="E58" s="128" t="s">
        <v>192</v>
      </c>
      <c r="F58" s="129"/>
      <c r="G58" s="129"/>
      <c r="H58" s="129"/>
      <c r="I58" s="129"/>
      <c r="J58" s="130"/>
      <c r="K58" s="197">
        <f>SUMIF(O59:O70,1,K59:K70)</f>
        <v>0</v>
      </c>
      <c r="L58" s="20"/>
      <c r="M58" s="73"/>
      <c r="N58" s="42"/>
      <c r="O58" s="43" t="s">
        <v>275</v>
      </c>
    </row>
    <row r="59" spans="1:19" s="143" customFormat="1" ht="19.149999999999999" customHeight="1" x14ac:dyDescent="0.25">
      <c r="A59" s="3"/>
      <c r="B59" s="134"/>
      <c r="C59" s="8"/>
      <c r="D59" s="150"/>
      <c r="E59" s="719" t="s">
        <v>193</v>
      </c>
      <c r="F59" s="720"/>
      <c r="G59" s="144"/>
      <c r="H59" s="185">
        <v>0</v>
      </c>
      <c r="I59" s="188" t="s">
        <v>72</v>
      </c>
      <c r="J59" s="207">
        <v>450</v>
      </c>
      <c r="K59" s="193">
        <f>SUM(H59*J59)</f>
        <v>0</v>
      </c>
      <c r="L59" s="39"/>
      <c r="M59" s="138"/>
      <c r="N59" s="139"/>
      <c r="O59" s="140">
        <f t="shared" ref="O59:O69" si="11">OR(NOT(ISERROR(SEARCH($F$5,Q59))),Q59=0)*OR(NOT(ISERROR(SEARCH($F$6,R59))),R59=0)</f>
        <v>1</v>
      </c>
      <c r="P59" s="140"/>
      <c r="Q59" s="142"/>
      <c r="R59" s="142"/>
      <c r="S59" s="142">
        <v>982300</v>
      </c>
    </row>
    <row r="60" spans="1:19" s="143" customFormat="1" ht="19.149999999999999" customHeight="1" x14ac:dyDescent="0.25">
      <c r="A60" s="3"/>
      <c r="B60" s="134"/>
      <c r="C60" s="8"/>
      <c r="D60" s="150"/>
      <c r="E60" s="719" t="s">
        <v>407</v>
      </c>
      <c r="F60" s="720"/>
      <c r="G60" s="144"/>
      <c r="H60" s="199">
        <v>0</v>
      </c>
      <c r="I60" s="188" t="s">
        <v>72</v>
      </c>
      <c r="J60" s="207">
        <v>2265</v>
      </c>
      <c r="K60" s="193">
        <f t="shared" ref="K60:K65" si="12">SUM(H60*J60)</f>
        <v>0</v>
      </c>
      <c r="L60" s="39"/>
      <c r="M60" s="138"/>
      <c r="N60" s="139"/>
      <c r="O60" s="140">
        <f t="shared" si="11"/>
        <v>1</v>
      </c>
      <c r="P60" s="140"/>
      <c r="Q60" s="142"/>
      <c r="R60" s="142"/>
      <c r="S60" s="142">
        <v>982300</v>
      </c>
    </row>
    <row r="61" spans="1:19" s="143" customFormat="1" ht="19.149999999999999" customHeight="1" x14ac:dyDescent="0.25">
      <c r="A61" s="3"/>
      <c r="B61" s="134"/>
      <c r="C61" s="8"/>
      <c r="D61" s="150"/>
      <c r="E61" s="728" t="s">
        <v>405</v>
      </c>
      <c r="F61" s="729"/>
      <c r="G61" s="144"/>
      <c r="H61" s="199">
        <v>0</v>
      </c>
      <c r="I61" s="188" t="s">
        <v>72</v>
      </c>
      <c r="J61" s="207">
        <v>1500</v>
      </c>
      <c r="K61" s="193">
        <f t="shared" si="12"/>
        <v>0</v>
      </c>
      <c r="L61" s="39"/>
      <c r="M61" s="138"/>
      <c r="N61" s="139"/>
      <c r="O61" s="140">
        <f t="shared" si="11"/>
        <v>1</v>
      </c>
      <c r="P61" s="140"/>
      <c r="Q61" s="142"/>
      <c r="R61" s="142"/>
      <c r="S61" s="142">
        <v>982300</v>
      </c>
    </row>
    <row r="62" spans="1:19" s="143" customFormat="1" ht="19.149999999999999" customHeight="1" x14ac:dyDescent="0.25">
      <c r="A62" s="3"/>
      <c r="B62" s="134"/>
      <c r="C62" s="8"/>
      <c r="D62" s="152"/>
      <c r="E62" s="728" t="s">
        <v>406</v>
      </c>
      <c r="F62" s="729"/>
      <c r="G62" s="153"/>
      <c r="H62" s="208">
        <v>0</v>
      </c>
      <c r="I62" s="209" t="s">
        <v>72</v>
      </c>
      <c r="J62" s="207">
        <v>4500</v>
      </c>
      <c r="K62" s="193">
        <f t="shared" si="12"/>
        <v>0</v>
      </c>
      <c r="L62" s="39"/>
      <c r="M62" s="138"/>
      <c r="N62" s="139"/>
      <c r="O62" s="140">
        <f t="shared" si="11"/>
        <v>1</v>
      </c>
      <c r="P62" s="140"/>
      <c r="Q62" s="142"/>
      <c r="R62" s="142"/>
      <c r="S62" s="142">
        <v>982300</v>
      </c>
    </row>
    <row r="63" spans="1:19" s="143" customFormat="1" ht="19.149999999999999" customHeight="1" x14ac:dyDescent="0.25">
      <c r="A63" s="3"/>
      <c r="B63" s="134"/>
      <c r="C63" s="8"/>
      <c r="D63" s="150"/>
      <c r="E63" s="730" t="s">
        <v>194</v>
      </c>
      <c r="F63" s="731"/>
      <c r="G63" s="144"/>
      <c r="H63" s="199">
        <v>0</v>
      </c>
      <c r="I63" s="188" t="s">
        <v>72</v>
      </c>
      <c r="J63" s="207">
        <v>150</v>
      </c>
      <c r="K63" s="193">
        <f t="shared" si="12"/>
        <v>0</v>
      </c>
      <c r="L63" s="39"/>
      <c r="M63" s="138"/>
      <c r="N63" s="139"/>
      <c r="O63" s="140">
        <f t="shared" si="11"/>
        <v>1</v>
      </c>
      <c r="P63" s="140"/>
      <c r="Q63" s="142"/>
      <c r="R63" s="142"/>
      <c r="S63" s="142">
        <v>982300</v>
      </c>
    </row>
    <row r="64" spans="1:19" s="143" customFormat="1" ht="19.149999999999999" customHeight="1" x14ac:dyDescent="0.25">
      <c r="A64" s="3"/>
      <c r="B64" s="134"/>
      <c r="C64" s="8"/>
      <c r="D64" s="150"/>
      <c r="E64" s="730" t="s">
        <v>195</v>
      </c>
      <c r="F64" s="731"/>
      <c r="G64" s="144"/>
      <c r="H64" s="199">
        <v>0</v>
      </c>
      <c r="I64" s="188" t="s">
        <v>72</v>
      </c>
      <c r="J64" s="207">
        <v>150</v>
      </c>
      <c r="K64" s="193">
        <f t="shared" si="12"/>
        <v>0</v>
      </c>
      <c r="L64" s="39"/>
      <c r="M64" s="138"/>
      <c r="N64" s="139"/>
      <c r="O64" s="140">
        <f t="shared" si="11"/>
        <v>1</v>
      </c>
      <c r="P64" s="140"/>
      <c r="Q64" s="142"/>
      <c r="R64" s="142"/>
      <c r="S64" s="142">
        <v>982300</v>
      </c>
    </row>
    <row r="65" spans="1:19" s="143" customFormat="1" ht="19.149999999999999" customHeight="1" x14ac:dyDescent="0.25">
      <c r="A65" s="3"/>
      <c r="B65" s="134"/>
      <c r="C65" s="8"/>
      <c r="D65" s="150"/>
      <c r="E65" s="730" t="s">
        <v>196</v>
      </c>
      <c r="F65" s="731"/>
      <c r="G65" s="144"/>
      <c r="H65" s="199">
        <v>0</v>
      </c>
      <c r="I65" s="188" t="s">
        <v>72</v>
      </c>
      <c r="J65" s="207">
        <v>450</v>
      </c>
      <c r="K65" s="193">
        <f t="shared" si="12"/>
        <v>0</v>
      </c>
      <c r="L65" s="39"/>
      <c r="M65" s="138"/>
      <c r="N65" s="139"/>
      <c r="O65" s="140">
        <f t="shared" si="11"/>
        <v>1</v>
      </c>
      <c r="P65" s="140"/>
      <c r="Q65" s="142"/>
      <c r="R65" s="142"/>
      <c r="S65" s="142">
        <v>982300</v>
      </c>
    </row>
    <row r="66" spans="1:19" s="143" customFormat="1" ht="19.149999999999999" customHeight="1" x14ac:dyDescent="0.2">
      <c r="A66" s="3"/>
      <c r="B66" s="134"/>
      <c r="C66" s="8"/>
      <c r="D66" s="1"/>
      <c r="E66" s="719" t="s">
        <v>197</v>
      </c>
      <c r="F66" s="720"/>
      <c r="G66" s="144"/>
      <c r="H66" s="199">
        <v>0</v>
      </c>
      <c r="I66" s="188" t="s">
        <v>72</v>
      </c>
      <c r="J66" s="207">
        <v>2500</v>
      </c>
      <c r="K66" s="193">
        <f>SUM(H66*J66)</f>
        <v>0</v>
      </c>
      <c r="L66" s="39"/>
      <c r="M66" s="138"/>
      <c r="N66" s="139"/>
      <c r="O66" s="140">
        <f t="shared" si="11"/>
        <v>1</v>
      </c>
      <c r="P66" s="140"/>
      <c r="Q66" s="142"/>
      <c r="R66" s="142"/>
      <c r="S66" s="142">
        <v>982300</v>
      </c>
    </row>
    <row r="67" spans="1:19" s="143" customFormat="1" ht="19.149999999999999" customHeight="1" x14ac:dyDescent="0.25">
      <c r="A67" s="3"/>
      <c r="B67" s="134"/>
      <c r="C67" s="8"/>
      <c r="D67" s="150"/>
      <c r="E67" s="719" t="s">
        <v>426</v>
      </c>
      <c r="F67" s="720"/>
      <c r="G67" s="144"/>
      <c r="H67" s="199">
        <v>0</v>
      </c>
      <c r="I67" s="188" t="s">
        <v>72</v>
      </c>
      <c r="J67" s="207">
        <v>1500</v>
      </c>
      <c r="K67" s="193">
        <f>SUM(H67*J67)</f>
        <v>0</v>
      </c>
      <c r="L67" s="39"/>
      <c r="M67" s="138"/>
      <c r="N67" s="139"/>
      <c r="O67" s="140">
        <f t="shared" si="11"/>
        <v>1</v>
      </c>
      <c r="P67" s="140"/>
      <c r="Q67" s="142"/>
      <c r="R67" s="142"/>
      <c r="S67" s="142">
        <v>982300</v>
      </c>
    </row>
    <row r="68" spans="1:19" s="143" customFormat="1" ht="19.149999999999999" customHeight="1" x14ac:dyDescent="0.25">
      <c r="A68" s="3"/>
      <c r="B68" s="134"/>
      <c r="C68" s="8"/>
      <c r="D68" s="150"/>
      <c r="E68" s="719" t="s">
        <v>198</v>
      </c>
      <c r="F68" s="720"/>
      <c r="G68" s="144"/>
      <c r="H68" s="199">
        <v>0</v>
      </c>
      <c r="I68" s="188" t="s">
        <v>72</v>
      </c>
      <c r="J68" s="207">
        <v>70</v>
      </c>
      <c r="K68" s="193">
        <f>SUM(H68*J68)</f>
        <v>0</v>
      </c>
      <c r="L68" s="39"/>
      <c r="M68" s="138"/>
      <c r="N68" s="139"/>
      <c r="O68" s="140">
        <f t="shared" si="11"/>
        <v>1</v>
      </c>
      <c r="P68" s="140"/>
      <c r="Q68" s="142"/>
      <c r="R68" s="142"/>
      <c r="S68" s="142">
        <v>982300</v>
      </c>
    </row>
    <row r="69" spans="1:19" s="143" customFormat="1" ht="19.149999999999999" customHeight="1" thickBot="1" x14ac:dyDescent="0.3">
      <c r="A69" s="3"/>
      <c r="B69" s="134"/>
      <c r="C69" s="8"/>
      <c r="D69" s="150"/>
      <c r="E69" s="726" t="s">
        <v>199</v>
      </c>
      <c r="F69" s="727"/>
      <c r="G69" s="277"/>
      <c r="H69" s="269">
        <v>0</v>
      </c>
      <c r="I69" s="279" t="s">
        <v>72</v>
      </c>
      <c r="J69" s="291">
        <v>860</v>
      </c>
      <c r="K69" s="281">
        <f>SUM(H69*J69)</f>
        <v>0</v>
      </c>
      <c r="L69" s="39"/>
      <c r="M69" s="138"/>
      <c r="N69" s="139"/>
      <c r="O69" s="140">
        <f t="shared" si="11"/>
        <v>1</v>
      </c>
      <c r="P69" s="140"/>
      <c r="Q69" s="142"/>
      <c r="R69" s="142"/>
      <c r="S69" s="142">
        <v>982300</v>
      </c>
    </row>
    <row r="70" spans="1:19" ht="15.75" thickBot="1" x14ac:dyDescent="0.25">
      <c r="A70" s="2"/>
      <c r="B70" s="53"/>
      <c r="C70" s="34"/>
      <c r="D70" s="25"/>
      <c r="E70" s="288"/>
      <c r="F70" s="289"/>
      <c r="G70" s="282"/>
      <c r="H70" s="283"/>
      <c r="I70" s="284"/>
      <c r="J70" s="290"/>
      <c r="K70" s="276"/>
      <c r="L70" s="20"/>
      <c r="M70" s="73"/>
      <c r="N70" s="42"/>
      <c r="O70" s="43" t="s">
        <v>276</v>
      </c>
    </row>
    <row r="71" spans="1:19" ht="24" customHeight="1" thickBot="1" x14ac:dyDescent="0.25">
      <c r="A71" s="2"/>
      <c r="B71" s="53"/>
      <c r="C71" s="34"/>
      <c r="D71" s="25"/>
      <c r="E71" s="128" t="s">
        <v>325</v>
      </c>
      <c r="F71" s="129"/>
      <c r="G71" s="129"/>
      <c r="H71" s="129"/>
      <c r="I71" s="129"/>
      <c r="J71" s="130"/>
      <c r="K71" s="197">
        <f>SUMIF(O72:O73,1,K72:K73)</f>
        <v>0</v>
      </c>
      <c r="L71" s="20"/>
      <c r="M71" s="73"/>
      <c r="N71" s="42"/>
      <c r="O71" s="43" t="s">
        <v>275</v>
      </c>
    </row>
    <row r="72" spans="1:19" s="143" customFormat="1" ht="19.149999999999999" customHeight="1" thickBot="1" x14ac:dyDescent="0.3">
      <c r="A72" s="3"/>
      <c r="B72" s="134"/>
      <c r="C72" s="8"/>
      <c r="D72" s="150"/>
      <c r="E72" s="721" t="s">
        <v>200</v>
      </c>
      <c r="F72" s="722"/>
      <c r="G72" s="342"/>
      <c r="H72" s="343">
        <v>0</v>
      </c>
      <c r="I72" s="344" t="s">
        <v>409</v>
      </c>
      <c r="J72" s="345">
        <v>6.9999999999999999E-4</v>
      </c>
      <c r="K72" s="346">
        <f>SUM(H72*J72)</f>
        <v>0</v>
      </c>
      <c r="L72" s="39"/>
      <c r="M72" s="138"/>
      <c r="N72" s="139"/>
      <c r="O72" s="140">
        <f>OR(NOT(ISERROR(SEARCH($F$5,Q72))),Q72=0)*OR(NOT(ISERROR(SEARCH($F$6,R72))),R72=0)</f>
        <v>1</v>
      </c>
      <c r="P72" s="140"/>
      <c r="Q72" s="142"/>
      <c r="R72" s="142"/>
      <c r="S72" s="142">
        <v>982300</v>
      </c>
    </row>
    <row r="73" spans="1:19" ht="15.75" thickBot="1" x14ac:dyDescent="0.25">
      <c r="A73" s="2"/>
      <c r="B73" s="53"/>
      <c r="C73" s="34"/>
      <c r="D73" s="25"/>
      <c r="E73" s="288"/>
      <c r="F73" s="289"/>
      <c r="G73" s="282"/>
      <c r="H73" s="283"/>
      <c r="I73" s="284"/>
      <c r="J73" s="290"/>
      <c r="K73" s="276"/>
      <c r="L73" s="20"/>
      <c r="M73" s="73"/>
      <c r="N73" s="42"/>
      <c r="O73" s="43" t="s">
        <v>276</v>
      </c>
    </row>
    <row r="74" spans="1:19" ht="24" customHeight="1" thickBot="1" x14ac:dyDescent="0.25">
      <c r="A74" s="2"/>
      <c r="B74" s="53"/>
      <c r="C74" s="34"/>
      <c r="D74" s="25"/>
      <c r="E74" s="128" t="s">
        <v>201</v>
      </c>
      <c r="F74" s="129"/>
      <c r="G74" s="129"/>
      <c r="H74" s="129"/>
      <c r="I74" s="129"/>
      <c r="J74" s="130"/>
      <c r="K74" s="197">
        <f>SUMIF(O75:O76,1,K75:K76)</f>
        <v>0</v>
      </c>
      <c r="L74" s="20"/>
      <c r="M74" s="73"/>
      <c r="N74" s="42"/>
      <c r="O74" s="43" t="s">
        <v>275</v>
      </c>
    </row>
    <row r="75" spans="1:19" s="143" customFormat="1" ht="19.149999999999999" customHeight="1" thickBot="1" x14ac:dyDescent="0.3">
      <c r="A75" s="3"/>
      <c r="B75" s="134"/>
      <c r="C75" s="8"/>
      <c r="D75" s="150"/>
      <c r="E75" s="356" t="s">
        <v>403</v>
      </c>
      <c r="F75" s="357"/>
      <c r="G75" s="342"/>
      <c r="H75" s="358">
        <v>0</v>
      </c>
      <c r="I75" s="359" t="s">
        <v>202</v>
      </c>
      <c r="J75" s="360">
        <v>65</v>
      </c>
      <c r="K75" s="346">
        <f>SUM(H75*J75)</f>
        <v>0</v>
      </c>
      <c r="L75" s="39"/>
      <c r="M75" s="138"/>
      <c r="N75" s="139"/>
      <c r="O75" s="140">
        <f>OR(NOT(ISERROR(SEARCH($F$5,Q75))),Q75=0)*OR(NOT(ISERROR(SEARCH($F$6,R75))),R75=0)</f>
        <v>1</v>
      </c>
      <c r="P75" s="140"/>
      <c r="Q75" s="142"/>
      <c r="R75" s="142"/>
      <c r="S75" s="142">
        <v>982300</v>
      </c>
    </row>
    <row r="76" spans="1:19" ht="15.75" thickBot="1" x14ac:dyDescent="0.25">
      <c r="A76" s="2"/>
      <c r="B76" s="53"/>
      <c r="C76" s="34"/>
      <c r="D76" s="25"/>
      <c r="E76" s="288"/>
      <c r="F76" s="289"/>
      <c r="G76" s="282"/>
      <c r="H76" s="283"/>
      <c r="I76" s="284"/>
      <c r="J76" s="290"/>
      <c r="K76" s="276"/>
      <c r="L76" s="20"/>
      <c r="M76" s="73"/>
      <c r="N76" s="42"/>
      <c r="O76" s="43" t="s">
        <v>276</v>
      </c>
    </row>
    <row r="77" spans="1:19" ht="24" customHeight="1" thickBot="1" x14ac:dyDescent="0.25">
      <c r="A77" s="2"/>
      <c r="B77" s="53"/>
      <c r="C77" s="34"/>
      <c r="D77" s="25"/>
      <c r="E77" s="128" t="s">
        <v>203</v>
      </c>
      <c r="F77" s="129"/>
      <c r="G77" s="129"/>
      <c r="H77" s="129"/>
      <c r="I77" s="129"/>
      <c r="J77" s="130"/>
      <c r="K77" s="197">
        <f>SUMIF(O78:O79,1,K78:K79)</f>
        <v>0</v>
      </c>
      <c r="L77" s="20"/>
      <c r="M77" s="73"/>
      <c r="N77" s="42"/>
      <c r="O77" s="43" t="s">
        <v>275</v>
      </c>
    </row>
    <row r="78" spans="1:19" s="143" customFormat="1" ht="19.149999999999999" customHeight="1" thickBot="1" x14ac:dyDescent="0.3">
      <c r="A78" s="3"/>
      <c r="B78" s="134"/>
      <c r="C78" s="8"/>
      <c r="D78" s="150"/>
      <c r="E78" s="721" t="s">
        <v>203</v>
      </c>
      <c r="F78" s="722"/>
      <c r="G78" s="342"/>
      <c r="H78" s="343">
        <v>0</v>
      </c>
      <c r="I78" s="344" t="s">
        <v>409</v>
      </c>
      <c r="J78" s="361">
        <v>2.5000000000000001E-4</v>
      </c>
      <c r="K78" s="346">
        <f>SUM(H78*J78)</f>
        <v>0</v>
      </c>
      <c r="L78" s="39"/>
      <c r="M78" s="138"/>
      <c r="N78" s="139"/>
      <c r="O78" s="140">
        <f>OR(NOT(ISERROR(SEARCH($F$5,Q78))),Q78=0)*OR(NOT(ISERROR(SEARCH($F$6,R78))),R78=0)</f>
        <v>1</v>
      </c>
      <c r="P78" s="140"/>
      <c r="Q78" s="142"/>
      <c r="R78" s="142"/>
      <c r="S78" s="142">
        <v>982300</v>
      </c>
    </row>
    <row r="79" spans="1:19" ht="15.75" thickBot="1" x14ac:dyDescent="0.25">
      <c r="A79" s="2"/>
      <c r="B79" s="53"/>
      <c r="C79" s="34"/>
      <c r="D79" s="25"/>
      <c r="E79" s="288"/>
      <c r="F79" s="289"/>
      <c r="G79" s="282"/>
      <c r="H79" s="283"/>
      <c r="I79" s="284"/>
      <c r="J79" s="290"/>
      <c r="K79" s="276"/>
      <c r="L79" s="20"/>
      <c r="M79" s="73"/>
      <c r="N79" s="42"/>
      <c r="O79" s="43" t="s">
        <v>276</v>
      </c>
    </row>
    <row r="80" spans="1:19" ht="24" customHeight="1" thickBot="1" x14ac:dyDescent="0.25">
      <c r="A80" s="2"/>
      <c r="B80" s="53"/>
      <c r="C80" s="34"/>
      <c r="D80" s="25"/>
      <c r="E80" s="128" t="s">
        <v>204</v>
      </c>
      <c r="F80" s="129"/>
      <c r="G80" s="129"/>
      <c r="H80" s="129"/>
      <c r="I80" s="129"/>
      <c r="J80" s="130"/>
      <c r="K80" s="197">
        <f>SUMIF(O81:O83,1,K81:K83)</f>
        <v>0</v>
      </c>
      <c r="L80" s="20"/>
      <c r="M80" s="73"/>
      <c r="N80" s="42"/>
      <c r="O80" s="43" t="s">
        <v>275</v>
      </c>
    </row>
    <row r="81" spans="1:19" s="143" customFormat="1" ht="19.149999999999999" customHeight="1" x14ac:dyDescent="0.25">
      <c r="A81" s="3"/>
      <c r="B81" s="134"/>
      <c r="C81" s="8"/>
      <c r="D81" s="150"/>
      <c r="E81" s="183" t="s">
        <v>205</v>
      </c>
      <c r="F81" s="212"/>
      <c r="G81" s="144"/>
      <c r="H81" s="185">
        <v>0</v>
      </c>
      <c r="I81" s="188" t="s">
        <v>87</v>
      </c>
      <c r="J81" s="214">
        <v>0.3</v>
      </c>
      <c r="K81" s="193">
        <f>SUM(H81*J81)</f>
        <v>0</v>
      </c>
      <c r="L81" s="39"/>
      <c r="M81" s="138"/>
      <c r="N81" s="139"/>
      <c r="O81" s="140">
        <f t="shared" ref="O81:O82" si="13">OR(NOT(ISERROR(SEARCH($F$5,Q81))),Q81=0)*OR(NOT(ISERROR(SEARCH($F$6,R81))),R81=0)</f>
        <v>1</v>
      </c>
      <c r="P81" s="140"/>
      <c r="Q81" s="142"/>
      <c r="R81" s="142"/>
      <c r="S81" s="142">
        <v>982300</v>
      </c>
    </row>
    <row r="82" spans="1:19" s="143" customFormat="1" ht="19.149999999999999" customHeight="1" thickBot="1" x14ac:dyDescent="0.3">
      <c r="A82" s="3"/>
      <c r="B82" s="134"/>
      <c r="C82" s="8"/>
      <c r="D82" s="150"/>
      <c r="E82" s="340" t="s">
        <v>206</v>
      </c>
      <c r="F82" s="341"/>
      <c r="G82" s="277"/>
      <c r="H82" s="278">
        <v>0</v>
      </c>
      <c r="I82" s="279" t="s">
        <v>87</v>
      </c>
      <c r="J82" s="292">
        <v>0.6</v>
      </c>
      <c r="K82" s="281">
        <f>SUM(H82*J82)</f>
        <v>0</v>
      </c>
      <c r="L82" s="39"/>
      <c r="M82" s="138"/>
      <c r="N82" s="139"/>
      <c r="O82" s="140">
        <f t="shared" si="13"/>
        <v>1</v>
      </c>
      <c r="P82" s="140"/>
      <c r="Q82" s="142"/>
      <c r="R82" s="142"/>
      <c r="S82" s="142">
        <v>982300</v>
      </c>
    </row>
    <row r="83" spans="1:19" ht="15.75" thickBot="1" x14ac:dyDescent="0.25">
      <c r="A83" s="2"/>
      <c r="B83" s="53"/>
      <c r="C83" s="34"/>
      <c r="D83" s="25"/>
      <c r="E83" s="288"/>
      <c r="F83" s="289"/>
      <c r="G83" s="282"/>
      <c r="H83" s="283"/>
      <c r="I83" s="284"/>
      <c r="J83" s="290"/>
      <c r="K83" s="276"/>
      <c r="L83" s="20"/>
      <c r="M83" s="73"/>
      <c r="N83" s="42"/>
      <c r="O83" s="43" t="s">
        <v>276</v>
      </c>
    </row>
    <row r="84" spans="1:19" ht="24" customHeight="1" thickBot="1" x14ac:dyDescent="0.25">
      <c r="A84" s="2"/>
      <c r="B84" s="53"/>
      <c r="C84" s="34"/>
      <c r="D84" s="25"/>
      <c r="E84" s="128" t="s">
        <v>207</v>
      </c>
      <c r="F84" s="129"/>
      <c r="G84" s="129"/>
      <c r="H84" s="129"/>
      <c r="I84" s="129"/>
      <c r="J84" s="130"/>
      <c r="K84" s="197">
        <f>SUMIF(O85:O88,1,K85:K88)</f>
        <v>0</v>
      </c>
      <c r="L84" s="20"/>
      <c r="M84" s="73"/>
      <c r="N84" s="42"/>
      <c r="O84" s="43" t="s">
        <v>275</v>
      </c>
    </row>
    <row r="85" spans="1:19" s="143" customFormat="1" ht="19.149999999999999" customHeight="1" x14ac:dyDescent="0.25">
      <c r="A85" s="3"/>
      <c r="B85" s="134"/>
      <c r="C85" s="8"/>
      <c r="D85" s="135"/>
      <c r="E85" s="215" t="s">
        <v>208</v>
      </c>
      <c r="F85" s="216"/>
      <c r="G85" s="154"/>
      <c r="H85" s="217">
        <v>0</v>
      </c>
      <c r="I85" s="218" t="s">
        <v>202</v>
      </c>
      <c r="J85" s="219">
        <v>0</v>
      </c>
      <c r="K85" s="220"/>
      <c r="L85" s="39"/>
      <c r="M85" s="138"/>
      <c r="N85" s="139"/>
      <c r="O85" s="140">
        <f t="shared" ref="O85:O87" si="14">OR(NOT(ISERROR(SEARCH($F$5,Q85))),Q85=0)*OR(NOT(ISERROR(SEARCH($F$6,R85))),R85=0)</f>
        <v>1</v>
      </c>
      <c r="P85" s="140"/>
      <c r="Q85" s="142"/>
      <c r="R85" s="142"/>
      <c r="S85" s="142">
        <v>982400</v>
      </c>
    </row>
    <row r="86" spans="1:19" s="143" customFormat="1" ht="19.149999999999999" customHeight="1" x14ac:dyDescent="0.25">
      <c r="A86" s="3"/>
      <c r="B86" s="134"/>
      <c r="C86" s="8"/>
      <c r="D86" s="135"/>
      <c r="E86" s="719" t="s">
        <v>321</v>
      </c>
      <c r="F86" s="720"/>
      <c r="G86" s="144"/>
      <c r="H86" s="185">
        <v>0</v>
      </c>
      <c r="I86" s="188" t="s">
        <v>202</v>
      </c>
      <c r="J86" s="207">
        <v>0</v>
      </c>
      <c r="K86" s="193"/>
      <c r="L86" s="39"/>
      <c r="M86" s="138"/>
      <c r="N86" s="139"/>
      <c r="O86" s="140">
        <f t="shared" si="14"/>
        <v>1</v>
      </c>
      <c r="P86" s="140"/>
      <c r="Q86" s="142"/>
      <c r="R86" s="142"/>
      <c r="S86" s="142">
        <v>982400</v>
      </c>
    </row>
    <row r="87" spans="1:19" s="143" customFormat="1" ht="19.149999999999999" customHeight="1" thickBot="1" x14ac:dyDescent="0.3">
      <c r="A87" s="3"/>
      <c r="B87" s="134"/>
      <c r="C87" s="8"/>
      <c r="D87" s="135"/>
      <c r="E87" s="726" t="s">
        <v>322</v>
      </c>
      <c r="F87" s="727"/>
      <c r="G87" s="277"/>
      <c r="H87" s="278">
        <v>0</v>
      </c>
      <c r="I87" s="279" t="s">
        <v>39</v>
      </c>
      <c r="J87" s="291">
        <v>0</v>
      </c>
      <c r="K87" s="281"/>
      <c r="L87" s="39"/>
      <c r="M87" s="138"/>
      <c r="N87" s="139"/>
      <c r="O87" s="140">
        <f t="shared" si="14"/>
        <v>1</v>
      </c>
      <c r="P87" s="140"/>
      <c r="Q87" s="142"/>
      <c r="R87" s="142"/>
      <c r="S87" s="142">
        <v>982400</v>
      </c>
    </row>
    <row r="88" spans="1:19" ht="15.75" thickBot="1" x14ac:dyDescent="0.25">
      <c r="A88" s="2"/>
      <c r="B88" s="53"/>
      <c r="C88" s="34"/>
      <c r="D88" s="25"/>
      <c r="E88" s="288"/>
      <c r="F88" s="289"/>
      <c r="G88" s="282"/>
      <c r="H88" s="283"/>
      <c r="I88" s="284"/>
      <c r="J88" s="290"/>
      <c r="K88" s="276"/>
      <c r="L88" s="20"/>
      <c r="M88" s="73"/>
      <c r="N88" s="42"/>
      <c r="O88" s="43" t="s">
        <v>276</v>
      </c>
    </row>
    <row r="89" spans="1:19" ht="24" customHeight="1" thickBot="1" x14ac:dyDescent="0.25">
      <c r="A89" s="2"/>
      <c r="B89" s="53"/>
      <c r="C89" s="34"/>
      <c r="D89" s="24"/>
      <c r="E89" s="128" t="s">
        <v>209</v>
      </c>
      <c r="F89" s="129"/>
      <c r="G89" s="129"/>
      <c r="H89" s="129"/>
      <c r="I89" s="129"/>
      <c r="J89" s="130"/>
      <c r="K89" s="197">
        <f>SUMIF(O90:O95,1,K90:K95)</f>
        <v>0</v>
      </c>
      <c r="L89" s="20"/>
      <c r="M89" s="73"/>
      <c r="N89" s="42"/>
      <c r="O89" s="43" t="s">
        <v>275</v>
      </c>
    </row>
    <row r="90" spans="1:19" s="143" customFormat="1" ht="19.149999999999999" customHeight="1" x14ac:dyDescent="0.25">
      <c r="A90" s="3"/>
      <c r="B90" s="134"/>
      <c r="C90" s="8"/>
      <c r="D90" s="135"/>
      <c r="E90" s="182" t="s">
        <v>210</v>
      </c>
      <c r="F90" s="221"/>
      <c r="G90" s="137"/>
      <c r="H90" s="184">
        <v>0</v>
      </c>
      <c r="I90" s="187" t="s">
        <v>18</v>
      </c>
      <c r="J90" s="190">
        <v>5000</v>
      </c>
      <c r="K90" s="191">
        <f>SUM(H90*J90)</f>
        <v>0</v>
      </c>
      <c r="L90" s="39"/>
      <c r="M90" s="138"/>
      <c r="N90" s="139"/>
      <c r="O90" s="140">
        <f>OR(NOT(ISERROR(SEARCH($F$5,Q90))),Q90=0)*OR(NOT(ISERROR(SEARCH($F$6,R90))),R90=0)</f>
        <v>1</v>
      </c>
      <c r="P90" s="140"/>
      <c r="Q90" s="142"/>
      <c r="R90" s="142"/>
      <c r="S90" s="142">
        <v>982400</v>
      </c>
    </row>
    <row r="91" spans="1:19" s="143" customFormat="1" ht="19.149999999999999" customHeight="1" x14ac:dyDescent="0.25">
      <c r="A91" s="3"/>
      <c r="B91" s="299"/>
      <c r="C91" s="8"/>
      <c r="D91" s="135"/>
      <c r="E91" s="719" t="s">
        <v>211</v>
      </c>
      <c r="F91" s="720"/>
      <c r="G91" s="144"/>
      <c r="H91" s="185">
        <v>0</v>
      </c>
      <c r="I91" s="187" t="s">
        <v>18</v>
      </c>
      <c r="J91" s="207">
        <v>0</v>
      </c>
      <c r="K91" s="191">
        <f t="shared" ref="K91:K93" si="15">SUM(H91*J91)</f>
        <v>0</v>
      </c>
      <c r="L91" s="39"/>
      <c r="M91" s="138"/>
      <c r="N91" s="139"/>
      <c r="O91" s="140">
        <f t="shared" ref="O91:O92" si="16">OR(NOT(ISERROR(SEARCH($F$5,Q91))),Q91=0)*OR(NOT(ISERROR(SEARCH($F$6,R91))),R91=0)</f>
        <v>1</v>
      </c>
      <c r="P91" s="140"/>
      <c r="Q91" s="142"/>
      <c r="R91" s="142"/>
      <c r="S91" s="142">
        <v>982400</v>
      </c>
    </row>
    <row r="92" spans="1:19" s="143" customFormat="1" ht="19.149999999999999" customHeight="1" x14ac:dyDescent="0.25">
      <c r="A92" s="3"/>
      <c r="B92" s="299"/>
      <c r="C92" s="8"/>
      <c r="D92" s="135"/>
      <c r="E92" s="719" t="s">
        <v>453</v>
      </c>
      <c r="F92" s="720"/>
      <c r="G92" s="144"/>
      <c r="H92" s="185">
        <v>0</v>
      </c>
      <c r="I92" s="187" t="s">
        <v>18</v>
      </c>
      <c r="J92" s="207">
        <v>0</v>
      </c>
      <c r="K92" s="191">
        <f t="shared" si="15"/>
        <v>0</v>
      </c>
      <c r="L92" s="39"/>
      <c r="M92" s="138"/>
      <c r="N92" s="139"/>
      <c r="O92" s="140">
        <f t="shared" si="16"/>
        <v>0</v>
      </c>
      <c r="P92" s="140"/>
      <c r="Q92" s="145" t="s">
        <v>449</v>
      </c>
      <c r="R92" s="142"/>
      <c r="S92" s="142">
        <v>982400</v>
      </c>
    </row>
    <row r="93" spans="1:19" s="143" customFormat="1" ht="19.149999999999999" customHeight="1" x14ac:dyDescent="0.25">
      <c r="A93" s="3"/>
      <c r="B93" s="299"/>
      <c r="C93" s="8"/>
      <c r="D93" s="135"/>
      <c r="E93" s="719" t="s">
        <v>454</v>
      </c>
      <c r="F93" s="720"/>
      <c r="G93" s="144"/>
      <c r="H93" s="185">
        <v>0</v>
      </c>
      <c r="I93" s="187" t="s">
        <v>18</v>
      </c>
      <c r="J93" s="207">
        <v>0</v>
      </c>
      <c r="K93" s="191">
        <f t="shared" si="15"/>
        <v>0</v>
      </c>
      <c r="L93" s="39"/>
      <c r="M93" s="138"/>
      <c r="N93" s="139"/>
      <c r="O93" s="140">
        <f t="shared" ref="O93" si="17">OR(NOT(ISERROR(SEARCH($F$5,Q93))),Q93=0)*OR(NOT(ISERROR(SEARCH($F$6,R93))),R93=0)</f>
        <v>0</v>
      </c>
      <c r="P93" s="140"/>
      <c r="Q93" s="145" t="s">
        <v>449</v>
      </c>
      <c r="R93" s="142"/>
      <c r="S93" s="142">
        <v>982400</v>
      </c>
    </row>
    <row r="94" spans="1:19" s="143" customFormat="1" ht="19.149999999999999" customHeight="1" thickBot="1" x14ac:dyDescent="0.3">
      <c r="A94" s="3"/>
      <c r="B94" s="134"/>
      <c r="C94" s="8"/>
      <c r="D94" s="135"/>
      <c r="E94" s="340" t="s">
        <v>455</v>
      </c>
      <c r="F94" s="341"/>
      <c r="G94" s="277"/>
      <c r="H94" s="278">
        <v>0</v>
      </c>
      <c r="I94" s="279" t="s">
        <v>18</v>
      </c>
      <c r="J94" s="280">
        <v>0</v>
      </c>
      <c r="K94" s="281">
        <f>SUM(H94*J94)</f>
        <v>0</v>
      </c>
      <c r="L94" s="39"/>
      <c r="M94" s="138"/>
      <c r="N94" s="139"/>
      <c r="O94" s="140">
        <f>OR(NOT(ISERROR(SEARCH($F$5,Q94))),Q94=0)*OR(NOT(ISERROR(SEARCH($F$6,R94))),R94=0)</f>
        <v>0</v>
      </c>
      <c r="P94" s="140"/>
      <c r="Q94" s="145" t="s">
        <v>449</v>
      </c>
      <c r="R94" s="142"/>
      <c r="S94" s="142">
        <v>982400</v>
      </c>
    </row>
    <row r="95" spans="1:19" ht="7.9" customHeight="1" x14ac:dyDescent="0.2">
      <c r="A95" s="2"/>
      <c r="B95" s="53"/>
      <c r="C95" s="34"/>
      <c r="D95" s="25"/>
      <c r="E95" s="307"/>
      <c r="F95" s="307"/>
      <c r="G95" s="307"/>
      <c r="H95" s="308"/>
      <c r="I95" s="306"/>
      <c r="J95" s="309"/>
      <c r="K95" s="310"/>
      <c r="L95" s="20"/>
      <c r="M95" s="73"/>
      <c r="N95" s="42"/>
      <c r="O95" s="43" t="s">
        <v>276</v>
      </c>
    </row>
    <row r="96" spans="1:19" ht="7.9" customHeight="1" x14ac:dyDescent="0.2">
      <c r="A96" s="2"/>
      <c r="B96" s="53"/>
      <c r="C96" s="34"/>
      <c r="D96" s="20"/>
      <c r="E96" s="20"/>
      <c r="F96" s="20"/>
      <c r="G96" s="20"/>
      <c r="H96" s="20"/>
      <c r="I96" s="20"/>
      <c r="J96" s="49"/>
      <c r="K96" s="20"/>
      <c r="L96" s="20"/>
      <c r="M96" s="73"/>
      <c r="N96" s="42"/>
    </row>
    <row r="97" spans="1:20" s="5" customFormat="1" ht="15" hidden="1" x14ac:dyDescent="0.2">
      <c r="A97" s="2"/>
      <c r="B97" s="53"/>
      <c r="C97" s="2"/>
      <c r="D97" s="7"/>
      <c r="E97" s="7"/>
      <c r="F97" s="7"/>
      <c r="G97" s="7"/>
      <c r="H97" s="7"/>
      <c r="I97" s="7"/>
      <c r="J97" s="127"/>
      <c r="K97" s="7"/>
      <c r="L97" s="7"/>
      <c r="M97" s="42"/>
      <c r="N97" s="2"/>
      <c r="O97" s="43"/>
      <c r="P97" s="43"/>
      <c r="Q97" s="44"/>
      <c r="R97" s="44"/>
      <c r="S97" s="44"/>
      <c r="T97" s="1"/>
    </row>
    <row r="98" spans="1:20" s="5" customFormat="1" ht="17.45" hidden="1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126"/>
      <c r="K98" s="2"/>
      <c r="L98" s="2"/>
      <c r="M98" s="42"/>
      <c r="N98" s="2"/>
      <c r="O98" s="43"/>
      <c r="P98" s="43"/>
      <c r="Q98" s="44"/>
      <c r="R98" s="44"/>
      <c r="S98" s="44"/>
      <c r="T98" s="1"/>
    </row>
    <row r="99" spans="1:20" ht="14.25" hidden="1" x14ac:dyDescent="0.2">
      <c r="A99" s="132"/>
      <c r="B99" s="132"/>
      <c r="C99" s="132"/>
      <c r="D99" s="132"/>
      <c r="E99" s="132"/>
      <c r="F99" s="132"/>
      <c r="G99" s="132"/>
      <c r="H99" s="132"/>
      <c r="I99" s="132"/>
      <c r="J99" s="133"/>
      <c r="K99" s="132"/>
      <c r="L99" s="132"/>
      <c r="M99" s="132"/>
      <c r="N99" s="132"/>
    </row>
    <row r="100" spans="1:20" ht="19.149999999999999" hidden="1" customHeight="1" x14ac:dyDescent="0.2"/>
    <row r="101" spans="1:20" ht="14.25" hidden="1" x14ac:dyDescent="0.2"/>
    <row r="102" spans="1:20" ht="14.25" hidden="1" x14ac:dyDescent="0.2"/>
    <row r="103" spans="1:20" ht="14.25" hidden="1" x14ac:dyDescent="0.2"/>
    <row r="104" spans="1:20" ht="14.25" hidden="1" x14ac:dyDescent="0.2"/>
    <row r="105" spans="1:20" ht="15" hidden="1" thickBot="1" x14ac:dyDescent="0.25"/>
    <row r="106" spans="1:20" ht="15" hidden="1" thickBot="1" x14ac:dyDescent="0.25">
      <c r="C106" s="264">
        <f>K106</f>
        <v>0</v>
      </c>
      <c r="D106" s="178"/>
    </row>
    <row r="107" spans="1:20" ht="14.25" hidden="1" x14ac:dyDescent="0.2"/>
    <row r="108" spans="1:20" ht="14.25" hidden="1" x14ac:dyDescent="0.2">
      <c r="C108" s="8"/>
      <c r="H108" s="1">
        <f>tbl(\t_trailer,E1)</f>
        <v>0</v>
      </c>
    </row>
    <row r="109" spans="1:20" ht="14.25" hidden="1" x14ac:dyDescent="0.2"/>
    <row r="110" spans="1:20" ht="14.25" hidden="1" x14ac:dyDescent="0.2"/>
    <row r="111" spans="1:20" ht="13.9" hidden="1" customHeight="1" x14ac:dyDescent="0.2"/>
    <row r="112" spans="1:20" ht="13.9" hidden="1" customHeight="1" x14ac:dyDescent="0.2"/>
    <row r="113" spans="1:19" ht="13.9" hidden="1" customHeight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9.350000000000001" hidden="1" customHeight="1" x14ac:dyDescent="0.2">
      <c r="A118" s="318"/>
      <c r="B118" s="53"/>
      <c r="C118" s="8"/>
      <c r="D118" s="135"/>
      <c r="E118" s="250" t="s">
        <v>423</v>
      </c>
      <c r="F118" s="249"/>
      <c r="G118" s="203"/>
      <c r="H118" s="203"/>
      <c r="I118" s="203"/>
      <c r="J118" s="203"/>
      <c r="K118" s="193"/>
      <c r="L118" s="39"/>
      <c r="M118" s="138"/>
      <c r="N118" s="42"/>
      <c r="S118" s="142">
        <v>982300</v>
      </c>
    </row>
    <row r="119" spans="1:19" ht="19.350000000000001" hidden="1" customHeight="1" x14ac:dyDescent="0.2">
      <c r="A119" s="318"/>
      <c r="B119" s="53"/>
      <c r="C119" s="8"/>
      <c r="D119" s="135"/>
      <c r="E119" s="248" t="s">
        <v>323</v>
      </c>
      <c r="F119" s="249"/>
      <c r="G119" s="203"/>
      <c r="H119" s="199">
        <v>1</v>
      </c>
      <c r="I119" s="203" t="s">
        <v>18</v>
      </c>
      <c r="J119" s="252">
        <f>trailertbl(E119,E118)</f>
        <v>0</v>
      </c>
      <c r="K119" s="245">
        <f>SUM(J119*H119)</f>
        <v>0</v>
      </c>
      <c r="L119" s="39"/>
      <c r="M119" s="138"/>
      <c r="N119" s="42"/>
      <c r="O119" s="305">
        <f>OR(NOT(ISERROR(SEARCH($F$5,Q119))),Q119=0)*OR(NOT(ISERROR(SEARCH($F$6,R119))),R119=0)</f>
        <v>1</v>
      </c>
      <c r="S119" s="142">
        <v>982300</v>
      </c>
    </row>
    <row r="120" spans="1:19" ht="19.350000000000001" hidden="1" customHeight="1" x14ac:dyDescent="0.2">
      <c r="A120" s="318"/>
      <c r="B120" s="53"/>
      <c r="C120" s="8"/>
      <c r="D120" s="135"/>
      <c r="E120" s="248" t="s">
        <v>157</v>
      </c>
      <c r="F120" s="249"/>
      <c r="G120" s="203"/>
      <c r="H120" s="199">
        <v>1</v>
      </c>
      <c r="I120" s="203" t="s">
        <v>18</v>
      </c>
      <c r="J120" s="252">
        <f>trailertbl(E120,E118)</f>
        <v>0</v>
      </c>
      <c r="K120" s="245">
        <f t="shared" ref="K120:K126" si="18">SUM(J120*H120)</f>
        <v>0</v>
      </c>
      <c r="L120" s="39"/>
      <c r="M120" s="138"/>
      <c r="N120" s="42"/>
      <c r="O120" s="305">
        <f t="shared" ref="O120:O126" si="19">OR(NOT(ISERROR(SEARCH($F$5,Q120))),Q120=0)*OR(NOT(ISERROR(SEARCH($F$6,R120))),R120=0)</f>
        <v>1</v>
      </c>
      <c r="S120" s="142">
        <v>982300</v>
      </c>
    </row>
    <row r="121" spans="1:19" ht="19.350000000000001" hidden="1" customHeight="1" x14ac:dyDescent="0.2">
      <c r="A121" s="318"/>
      <c r="B121" s="53"/>
      <c r="C121" s="8"/>
      <c r="D121" s="135"/>
      <c r="E121" s="248" t="s">
        <v>158</v>
      </c>
      <c r="F121" s="249"/>
      <c r="G121" s="203"/>
      <c r="H121" s="199">
        <v>1</v>
      </c>
      <c r="I121" s="203" t="s">
        <v>18</v>
      </c>
      <c r="J121" s="252">
        <f>trailertbl(E121,E118)</f>
        <v>0</v>
      </c>
      <c r="K121" s="245">
        <f t="shared" si="18"/>
        <v>0</v>
      </c>
      <c r="L121" s="39"/>
      <c r="M121" s="138"/>
      <c r="N121" s="42"/>
      <c r="O121" s="305">
        <f t="shared" si="19"/>
        <v>1</v>
      </c>
      <c r="S121" s="142">
        <v>982300</v>
      </c>
    </row>
    <row r="122" spans="1:19" ht="19.350000000000001" hidden="1" customHeight="1" x14ac:dyDescent="0.2">
      <c r="A122" s="318"/>
      <c r="B122" s="53"/>
      <c r="C122" s="8"/>
      <c r="D122" s="135"/>
      <c r="E122" s="248" t="s">
        <v>159</v>
      </c>
      <c r="F122" s="249"/>
      <c r="G122" s="203"/>
      <c r="H122" s="199">
        <v>1</v>
      </c>
      <c r="I122" s="203" t="s">
        <v>18</v>
      </c>
      <c r="J122" s="252">
        <f>trailertbl(E122,E118)</f>
        <v>0</v>
      </c>
      <c r="K122" s="245">
        <f t="shared" si="18"/>
        <v>0</v>
      </c>
      <c r="L122" s="39"/>
      <c r="M122" s="138"/>
      <c r="N122" s="42"/>
      <c r="O122" s="305">
        <f t="shared" si="19"/>
        <v>1</v>
      </c>
      <c r="S122" s="142">
        <v>982300</v>
      </c>
    </row>
    <row r="123" spans="1:19" ht="19.350000000000001" hidden="1" customHeight="1" x14ac:dyDescent="0.2">
      <c r="A123" s="318"/>
      <c r="B123" s="53"/>
      <c r="C123" s="8"/>
      <c r="D123" s="135"/>
      <c r="E123" s="248" t="s">
        <v>160</v>
      </c>
      <c r="F123" s="249"/>
      <c r="G123" s="203"/>
      <c r="H123" s="199">
        <v>1</v>
      </c>
      <c r="I123" s="203" t="s">
        <v>18</v>
      </c>
      <c r="J123" s="252">
        <f>trailertbl(E123,E118)</f>
        <v>0</v>
      </c>
      <c r="K123" s="245">
        <f t="shared" si="18"/>
        <v>0</v>
      </c>
      <c r="L123" s="39"/>
      <c r="M123" s="138"/>
      <c r="N123" s="42"/>
      <c r="O123" s="305">
        <f t="shared" si="19"/>
        <v>1</v>
      </c>
      <c r="S123" s="142">
        <v>982300</v>
      </c>
    </row>
    <row r="124" spans="1:19" ht="19.350000000000001" hidden="1" customHeight="1" x14ac:dyDescent="0.2">
      <c r="A124" s="318"/>
      <c r="B124" s="53"/>
      <c r="C124" s="8"/>
      <c r="D124" s="135"/>
      <c r="E124" s="248" t="s">
        <v>161</v>
      </c>
      <c r="F124" s="249"/>
      <c r="G124" s="203"/>
      <c r="H124" s="199">
        <v>1</v>
      </c>
      <c r="I124" s="203" t="s">
        <v>18</v>
      </c>
      <c r="J124" s="252">
        <f>trailertbl(E124,E118)</f>
        <v>0</v>
      </c>
      <c r="K124" s="245">
        <f t="shared" si="18"/>
        <v>0</v>
      </c>
      <c r="L124" s="39"/>
      <c r="M124" s="138"/>
      <c r="N124" s="42"/>
      <c r="O124" s="305">
        <f t="shared" si="19"/>
        <v>1</v>
      </c>
      <c r="S124" s="142">
        <v>982300</v>
      </c>
    </row>
    <row r="125" spans="1:19" ht="19.350000000000001" hidden="1" customHeight="1" x14ac:dyDescent="0.2">
      <c r="A125" s="318"/>
      <c r="B125" s="53"/>
      <c r="C125" s="8"/>
      <c r="D125" s="135"/>
      <c r="E125" s="248" t="s">
        <v>162</v>
      </c>
      <c r="F125" s="249"/>
      <c r="G125" s="203"/>
      <c r="H125" s="199">
        <v>1</v>
      </c>
      <c r="I125" s="203" t="s">
        <v>18</v>
      </c>
      <c r="J125" s="252">
        <f>trailertbl(E125,E118)</f>
        <v>0</v>
      </c>
      <c r="K125" s="245">
        <f t="shared" si="18"/>
        <v>0</v>
      </c>
      <c r="L125" s="39"/>
      <c r="M125" s="138"/>
      <c r="N125" s="42"/>
      <c r="O125" s="305">
        <f t="shared" si="19"/>
        <v>1</v>
      </c>
      <c r="S125" s="142">
        <v>982300</v>
      </c>
    </row>
    <row r="126" spans="1:19" ht="19.350000000000001" hidden="1" customHeight="1" x14ac:dyDescent="0.2">
      <c r="A126" s="318"/>
      <c r="B126" s="53"/>
      <c r="C126" s="8"/>
      <c r="D126" s="135"/>
      <c r="E126" s="297" t="s">
        <v>450</v>
      </c>
      <c r="F126" s="298"/>
      <c r="G126" s="203"/>
      <c r="H126" s="199">
        <v>1</v>
      </c>
      <c r="I126" s="203" t="s">
        <v>18</v>
      </c>
      <c r="J126" s="252">
        <f>trailertbl(E126,E118)</f>
        <v>0</v>
      </c>
      <c r="K126" s="245">
        <f t="shared" si="18"/>
        <v>0</v>
      </c>
      <c r="L126" s="39"/>
      <c r="M126" s="138"/>
      <c r="N126" s="42"/>
      <c r="O126" s="305">
        <f t="shared" si="19"/>
        <v>0</v>
      </c>
      <c r="Q126" s="45" t="s">
        <v>449</v>
      </c>
      <c r="S126" s="142">
        <v>982300</v>
      </c>
    </row>
    <row r="127" spans="1:19" ht="13.9" hidden="1" customHeight="1" x14ac:dyDescent="0.2"/>
    <row r="128" spans="1:19" ht="13.9" hidden="1" customHeight="1" x14ac:dyDescent="0.2"/>
    <row r="129" ht="13.9" hidden="1" customHeight="1" x14ac:dyDescent="0.2"/>
    <row r="130" ht="13.9" hidden="1" customHeight="1" x14ac:dyDescent="0.2"/>
    <row r="131" ht="13.9" hidden="1" customHeight="1" x14ac:dyDescent="0.2"/>
    <row r="132" ht="13.9" hidden="1" customHeight="1" x14ac:dyDescent="0.2"/>
    <row r="133" ht="13.9" hidden="1" customHeight="1" x14ac:dyDescent="0.2"/>
    <row r="134" ht="13.9" hidden="1" customHeight="1" x14ac:dyDescent="0.2"/>
    <row r="135" ht="13.9" hidden="1" customHeight="1" x14ac:dyDescent="0.2"/>
    <row r="136" ht="13.9" hidden="1" customHeight="1" x14ac:dyDescent="0.2"/>
    <row r="137" ht="13.9" hidden="1" customHeight="1" x14ac:dyDescent="0.2"/>
    <row r="138" ht="13.9" hidden="1" customHeight="1" x14ac:dyDescent="0.2"/>
    <row r="139" ht="13.9" hidden="1" customHeight="1" x14ac:dyDescent="0.2"/>
    <row r="140" ht="13.9" hidden="1" customHeight="1" x14ac:dyDescent="0.2"/>
    <row r="141" ht="13.9" hidden="1" customHeight="1" x14ac:dyDescent="0.2"/>
    <row r="142" ht="13.9" hidden="1" customHeight="1" x14ac:dyDescent="0.2"/>
    <row r="143" ht="13.9" hidden="1" customHeight="1" x14ac:dyDescent="0.2"/>
    <row r="144" ht="13.9" hidden="1" customHeight="1" x14ac:dyDescent="0.2"/>
    <row r="145" ht="13.9" hidden="1" customHeight="1" x14ac:dyDescent="0.2"/>
    <row r="146" ht="13.9" hidden="1" customHeight="1" x14ac:dyDescent="0.2"/>
    <row r="147" ht="13.9" hidden="1" customHeight="1" x14ac:dyDescent="0.2"/>
    <row r="148" ht="13.9" hidden="1" customHeight="1" x14ac:dyDescent="0.2"/>
    <row r="149" ht="13.9" hidden="1" customHeight="1" x14ac:dyDescent="0.2"/>
    <row r="150" ht="13.9" hidden="1" customHeight="1" x14ac:dyDescent="0.2"/>
    <row r="151" ht="13.9" hidden="1" customHeight="1" x14ac:dyDescent="0.2"/>
    <row r="152" ht="13.9" hidden="1" customHeight="1" x14ac:dyDescent="0.2"/>
    <row r="153" ht="13.9" hidden="1" customHeight="1" x14ac:dyDescent="0.2"/>
    <row r="154" ht="13.9" hidden="1" customHeight="1" x14ac:dyDescent="0.2"/>
    <row r="155" ht="13.9" hidden="1" customHeight="1" x14ac:dyDescent="0.2"/>
    <row r="156" ht="13.9" hidden="1" customHeight="1" x14ac:dyDescent="0.2"/>
    <row r="157" ht="13.9" hidden="1" customHeight="1" x14ac:dyDescent="0.2"/>
    <row r="158" ht="13.9" hidden="1" customHeight="1" x14ac:dyDescent="0.2"/>
    <row r="159" ht="13.9" hidden="1" customHeight="1" x14ac:dyDescent="0.2"/>
    <row r="160" ht="13.9" hidden="1" customHeight="1" x14ac:dyDescent="0.2"/>
    <row r="161" ht="13.9" hidden="1" customHeight="1" x14ac:dyDescent="0.2"/>
    <row r="162" ht="13.9" hidden="1" customHeight="1" x14ac:dyDescent="0.2"/>
    <row r="163" ht="13.9" hidden="1" customHeight="1" x14ac:dyDescent="0.2"/>
    <row r="164" ht="13.9" hidden="1" customHeight="1" x14ac:dyDescent="0.2"/>
    <row r="165" ht="13.9" hidden="1" customHeight="1" x14ac:dyDescent="0.2"/>
    <row r="166" ht="13.9" hidden="1" customHeight="1" x14ac:dyDescent="0.2"/>
    <row r="167" ht="13.9" hidden="1" customHeight="1" x14ac:dyDescent="0.2"/>
    <row r="168" ht="13.9" hidden="1" customHeight="1" x14ac:dyDescent="0.2"/>
    <row r="169" ht="13.9" hidden="1" customHeight="1" x14ac:dyDescent="0.2"/>
    <row r="170" ht="13.9" hidden="1" customHeight="1" x14ac:dyDescent="0.2"/>
    <row r="171" ht="13.9" hidden="1" customHeight="1" x14ac:dyDescent="0.2"/>
    <row r="172" ht="13.9" hidden="1" customHeight="1" x14ac:dyDescent="0.2"/>
    <row r="173" ht="13.9" hidden="1" customHeight="1" x14ac:dyDescent="0.2"/>
    <row r="174" ht="13.9" hidden="1" customHeight="1" x14ac:dyDescent="0.2"/>
    <row r="175" ht="13.9" hidden="1" customHeight="1" x14ac:dyDescent="0.2"/>
    <row r="176" ht="13.9" hidden="1" customHeight="1" x14ac:dyDescent="0.2"/>
    <row r="177" ht="13.9" hidden="1" customHeight="1" x14ac:dyDescent="0.2"/>
    <row r="178" ht="13.9" hidden="1" customHeight="1" x14ac:dyDescent="0.2"/>
    <row r="179" ht="13.9" hidden="1" customHeight="1" x14ac:dyDescent="0.2"/>
    <row r="180" ht="13.9" hidden="1" customHeight="1" x14ac:dyDescent="0.2"/>
    <row r="181" ht="13.9" hidden="1" customHeight="1" x14ac:dyDescent="0.2"/>
    <row r="182" ht="13.9" hidden="1" customHeight="1" x14ac:dyDescent="0.2"/>
    <row r="183" ht="13.9" hidden="1" customHeight="1" x14ac:dyDescent="0.2"/>
    <row r="184" ht="13.9" hidden="1" customHeight="1" x14ac:dyDescent="0.2"/>
    <row r="185" ht="13.9" hidden="1" customHeight="1" x14ac:dyDescent="0.2"/>
    <row r="186" ht="13.9" hidden="1" customHeight="1" x14ac:dyDescent="0.2"/>
    <row r="187" ht="13.9" hidden="1" customHeight="1" x14ac:dyDescent="0.2"/>
    <row r="188" ht="13.9" hidden="1" customHeight="1" x14ac:dyDescent="0.2"/>
    <row r="189" ht="13.9" hidden="1" customHeight="1" x14ac:dyDescent="0.2"/>
    <row r="190" ht="13.9" hidden="1" customHeight="1" x14ac:dyDescent="0.2"/>
    <row r="191" ht="13.9" hidden="1" customHeight="1" x14ac:dyDescent="0.2"/>
    <row r="192" ht="13.9" hidden="1" customHeight="1" x14ac:dyDescent="0.2"/>
    <row r="193" ht="13.9" hidden="1" customHeight="1" x14ac:dyDescent="0.2"/>
    <row r="194" ht="13.9" hidden="1" customHeight="1" x14ac:dyDescent="0.2"/>
    <row r="195" ht="13.9" hidden="1" customHeight="1" x14ac:dyDescent="0.2"/>
    <row r="196" ht="13.9" hidden="1" customHeight="1" x14ac:dyDescent="0.2"/>
    <row r="197" ht="13.9" hidden="1" customHeight="1" x14ac:dyDescent="0.2"/>
    <row r="198" ht="13.9" hidden="1" customHeight="1" x14ac:dyDescent="0.2"/>
    <row r="199" ht="13.9" hidden="1" customHeight="1" x14ac:dyDescent="0.2"/>
    <row r="200" ht="13.9" hidden="1" customHeight="1" x14ac:dyDescent="0.2"/>
    <row r="201" ht="13.9" hidden="1" customHeight="1" x14ac:dyDescent="0.2"/>
    <row r="202" ht="13.9" hidden="1" customHeight="1" x14ac:dyDescent="0.2"/>
    <row r="203" ht="13.9" hidden="1" customHeight="1" x14ac:dyDescent="0.2"/>
    <row r="204" ht="13.9" hidden="1" customHeight="1" x14ac:dyDescent="0.2"/>
    <row r="205" ht="13.9" hidden="1" customHeight="1" x14ac:dyDescent="0.2"/>
    <row r="206" ht="13.9" hidden="1" customHeight="1" x14ac:dyDescent="0.2"/>
    <row r="207" ht="13.9" hidden="1" customHeight="1" x14ac:dyDescent="0.2"/>
    <row r="208" ht="13.9" hidden="1" customHeight="1" x14ac:dyDescent="0.2"/>
    <row r="209" ht="13.9" hidden="1" customHeight="1" x14ac:dyDescent="0.2"/>
    <row r="210" ht="13.9" hidden="1" customHeight="1" x14ac:dyDescent="0.2"/>
    <row r="211" ht="13.9" hidden="1" customHeight="1" x14ac:dyDescent="0.2"/>
    <row r="212" ht="13.9" hidden="1" customHeight="1" x14ac:dyDescent="0.2"/>
    <row r="213" ht="13.9" hidden="1" customHeight="1" x14ac:dyDescent="0.2"/>
    <row r="214" ht="13.9" hidden="1" customHeight="1" x14ac:dyDescent="0.2"/>
    <row r="215" ht="13.9" hidden="1" customHeight="1" x14ac:dyDescent="0.2"/>
    <row r="216" ht="13.9" hidden="1" customHeight="1" x14ac:dyDescent="0.2"/>
    <row r="217" ht="13.9" hidden="1" customHeight="1" x14ac:dyDescent="0.2"/>
    <row r="218" ht="13.9" hidden="1" customHeight="1" x14ac:dyDescent="0.2"/>
    <row r="219" ht="13.9" hidden="1" customHeight="1" x14ac:dyDescent="0.2"/>
    <row r="220" ht="13.9" hidden="1" customHeight="1" x14ac:dyDescent="0.2"/>
    <row r="221" ht="13.9" hidden="1" customHeight="1" x14ac:dyDescent="0.2"/>
    <row r="222" ht="13.9" hidden="1" customHeight="1" x14ac:dyDescent="0.2"/>
    <row r="223" ht="13.9" hidden="1" customHeight="1" x14ac:dyDescent="0.2"/>
    <row r="224" ht="13.9" hidden="1" customHeight="1" x14ac:dyDescent="0.2"/>
    <row r="225" ht="13.9" hidden="1" customHeight="1" x14ac:dyDescent="0.2"/>
    <row r="226" ht="13.9" hidden="1" customHeight="1" x14ac:dyDescent="0.2"/>
    <row r="227" ht="13.9" hidden="1" customHeight="1" x14ac:dyDescent="0.2"/>
    <row r="228" ht="13.9" hidden="1" customHeight="1" x14ac:dyDescent="0.2"/>
    <row r="229" ht="13.9" hidden="1" customHeight="1" x14ac:dyDescent="0.2"/>
    <row r="230" ht="13.9" hidden="1" customHeight="1" x14ac:dyDescent="0.2"/>
    <row r="231" ht="13.9" hidden="1" customHeight="1" x14ac:dyDescent="0.2"/>
    <row r="232" ht="13.9" hidden="1" customHeight="1" x14ac:dyDescent="0.2"/>
    <row r="233" ht="13.9" hidden="1" customHeight="1" x14ac:dyDescent="0.2"/>
    <row r="234" ht="13.9" hidden="1" customHeight="1" x14ac:dyDescent="0.2"/>
    <row r="235" ht="13.9" hidden="1" customHeight="1" x14ac:dyDescent="0.2"/>
    <row r="236" ht="13.9" hidden="1" customHeight="1" x14ac:dyDescent="0.2"/>
    <row r="237" ht="13.9" hidden="1" customHeight="1" x14ac:dyDescent="0.2"/>
    <row r="238" ht="13.9" hidden="1" customHeight="1" x14ac:dyDescent="0.2"/>
    <row r="239" ht="13.9" hidden="1" customHeight="1" x14ac:dyDescent="0.2"/>
    <row r="240" ht="13.9" hidden="1" customHeight="1" x14ac:dyDescent="0.2"/>
    <row r="241" ht="13.9" hidden="1" customHeight="1" x14ac:dyDescent="0.2"/>
    <row r="242" ht="13.9" hidden="1" customHeight="1" x14ac:dyDescent="0.2"/>
    <row r="243" ht="13.9" hidden="1" customHeight="1" x14ac:dyDescent="0.2"/>
    <row r="244" ht="13.9" hidden="1" customHeight="1" x14ac:dyDescent="0.2"/>
    <row r="245" ht="13.9" hidden="1" customHeight="1" x14ac:dyDescent="0.2"/>
    <row r="246" ht="13.9" hidden="1" customHeight="1" x14ac:dyDescent="0.2"/>
    <row r="247" ht="13.9" hidden="1" customHeight="1" x14ac:dyDescent="0.2"/>
  </sheetData>
  <sheetProtection sheet="1" scenarios="1" formatCells="0" formatColumns="0" formatRows="0" insertColumns="0" insertRows="0" insertHyperlinks="0" deleteColumns="0" deleteRows="0" sort="0" autoFilter="0" pivotTables="0"/>
  <mergeCells count="21">
    <mergeCell ref="E2:F2"/>
    <mergeCell ref="J2:K2"/>
    <mergeCell ref="E3:F3"/>
    <mergeCell ref="E87:F87"/>
    <mergeCell ref="E66:F66"/>
    <mergeCell ref="E69:F69"/>
    <mergeCell ref="E72:F72"/>
    <mergeCell ref="E67:F67"/>
    <mergeCell ref="E59:F59"/>
    <mergeCell ref="E60:F60"/>
    <mergeCell ref="E61:F61"/>
    <mergeCell ref="E63:F63"/>
    <mergeCell ref="E64:F64"/>
    <mergeCell ref="E62:F62"/>
    <mergeCell ref="E65:F65"/>
    <mergeCell ref="E93:F93"/>
    <mergeCell ref="E78:F78"/>
    <mergeCell ref="E86:F86"/>
    <mergeCell ref="E68:F68"/>
    <mergeCell ref="E91:F91"/>
    <mergeCell ref="E92:F92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37"/>
  <sheetViews>
    <sheetView zoomScaleNormal="100" workbookViewId="0">
      <pane ySplit="8" topLeftCell="A9" activePane="bottomLeft" state="frozen"/>
      <selection activeCell="D1" sqref="D1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50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3" hidden="1" customWidth="1"/>
    <col min="16" max="16" width="2.7109375" style="43" hidden="1" customWidth="1"/>
    <col min="17" max="18" width="11.28515625" style="44" hidden="1" customWidth="1"/>
    <col min="19" max="19" width="11.28515625" style="370" hidden="1" customWidth="1"/>
    <col min="20" max="20" width="9.140625" style="1" hidden="1" customWidth="1"/>
    <col min="21" max="16384" width="0" style="1" hidden="1"/>
  </cols>
  <sheetData>
    <row r="1" spans="1:19" s="163" customFormat="1" ht="16.899999999999999" customHeight="1" x14ac:dyDescent="0.2">
      <c r="A1" s="160"/>
      <c r="B1" s="160"/>
      <c r="C1" s="160"/>
      <c r="D1" s="161"/>
      <c r="E1" s="162"/>
      <c r="F1" s="162"/>
      <c r="G1" s="162"/>
      <c r="H1" s="162"/>
      <c r="I1" s="164"/>
      <c r="J1" s="164"/>
      <c r="K1" s="164"/>
      <c r="L1" s="40"/>
      <c r="M1" s="40"/>
      <c r="N1" s="160"/>
      <c r="O1" s="43"/>
      <c r="P1" s="43"/>
      <c r="Q1" s="43" t="s">
        <v>307</v>
      </c>
      <c r="R1" s="43" t="s">
        <v>308</v>
      </c>
      <c r="S1" s="369" t="s">
        <v>367</v>
      </c>
    </row>
    <row r="2" spans="1:19" ht="27" customHeight="1" x14ac:dyDescent="0.25">
      <c r="A2" s="20"/>
      <c r="B2" s="20"/>
      <c r="C2" s="20"/>
      <c r="D2" s="21"/>
      <c r="E2" s="723" t="s">
        <v>396</v>
      </c>
      <c r="F2" s="723"/>
      <c r="G2" s="21"/>
      <c r="H2" s="21"/>
      <c r="I2" s="165"/>
      <c r="J2" s="724">
        <f ca="1">SUMIF(O9:O200,"[",K9:K200)</f>
        <v>0</v>
      </c>
      <c r="K2" s="724"/>
      <c r="L2" s="38"/>
      <c r="M2" s="38"/>
      <c r="N2" s="20"/>
    </row>
    <row r="3" spans="1:19" ht="11.45" customHeight="1" x14ac:dyDescent="0.25">
      <c r="A3" s="38"/>
      <c r="B3" s="38"/>
      <c r="C3" s="38"/>
      <c r="D3" s="60"/>
      <c r="E3" s="725" t="s">
        <v>396</v>
      </c>
      <c r="F3" s="725"/>
      <c r="G3" s="258"/>
      <c r="H3" s="60"/>
      <c r="I3" s="60"/>
      <c r="J3" s="166"/>
      <c r="K3" s="60"/>
      <c r="L3" s="60"/>
      <c r="M3" s="60"/>
      <c r="N3" s="60"/>
    </row>
    <row r="4" spans="1:19" ht="10.9" hidden="1" customHeight="1" x14ac:dyDescent="0.25">
      <c r="A4" s="33"/>
      <c r="B4" s="33"/>
      <c r="C4" s="7"/>
      <c r="D4" s="33"/>
      <c r="E4" s="33"/>
      <c r="F4" s="32"/>
      <c r="G4" s="7"/>
      <c r="H4" s="33"/>
      <c r="I4" s="33"/>
      <c r="J4" s="47"/>
      <c r="K4" s="33"/>
      <c r="L4" s="33"/>
      <c r="M4" s="33"/>
      <c r="N4" s="33"/>
    </row>
    <row r="5" spans="1:19" ht="21" hidden="1" customHeight="1" x14ac:dyDescent="0.2">
      <c r="A5" s="123"/>
      <c r="B5" s="124"/>
      <c r="C5" s="125"/>
      <c r="D5" s="55"/>
      <c r="E5" s="6" t="s">
        <v>13</v>
      </c>
      <c r="F5" s="604" t="str">
        <f>Settings!\reg</f>
        <v>Boston</v>
      </c>
      <c r="G5" s="6"/>
      <c r="H5" s="6" t="s">
        <v>10</v>
      </c>
      <c r="I5" s="31">
        <f>Settings!\wdur</f>
        <v>75</v>
      </c>
      <c r="J5" s="48" t="s">
        <v>12</v>
      </c>
      <c r="K5" s="31">
        <f>Settings!\unit</f>
        <v>0</v>
      </c>
      <c r="L5" s="42"/>
      <c r="M5" s="42"/>
      <c r="N5" s="42"/>
    </row>
    <row r="6" spans="1:19" ht="21" hidden="1" customHeight="1" x14ac:dyDescent="0.2">
      <c r="A6" s="131"/>
      <c r="B6" s="131"/>
      <c r="C6" s="131"/>
      <c r="D6" s="55"/>
      <c r="E6" s="6" t="s">
        <v>15</v>
      </c>
      <c r="F6" s="604" t="str">
        <f>Settings!\sec</f>
        <v>Residential</v>
      </c>
      <c r="G6" s="6"/>
      <c r="H6" s="6" t="s">
        <v>11</v>
      </c>
      <c r="I6" s="31">
        <f>Settings!\duration</f>
        <v>17</v>
      </c>
      <c r="J6" s="48" t="s">
        <v>14</v>
      </c>
      <c r="K6" s="31">
        <f>Settings!\area</f>
        <v>0</v>
      </c>
      <c r="L6" s="42"/>
      <c r="M6" s="42"/>
      <c r="N6" s="42"/>
    </row>
    <row r="7" spans="1:19" ht="13.15" hidden="1" customHeight="1" thickBot="1" x14ac:dyDescent="0.25">
      <c r="A7" s="131"/>
      <c r="B7" s="131"/>
      <c r="C7" s="131"/>
      <c r="D7" s="35"/>
      <c r="E7" s="54"/>
      <c r="F7" s="35"/>
      <c r="G7" s="9"/>
      <c r="H7" s="35"/>
      <c r="I7" s="35"/>
      <c r="J7" s="36"/>
      <c r="K7" s="37"/>
      <c r="L7" s="9"/>
      <c r="M7" s="42"/>
      <c r="N7" s="42"/>
    </row>
    <row r="8" spans="1:19" ht="13.9" customHeight="1" thickBot="1" x14ac:dyDescent="0.25">
      <c r="A8" s="2"/>
      <c r="B8" s="53"/>
      <c r="C8" s="34"/>
      <c r="D8" s="22"/>
      <c r="E8" s="23"/>
      <c r="F8" s="23"/>
      <c r="G8" s="23"/>
      <c r="H8" s="23"/>
      <c r="I8" s="23"/>
      <c r="J8" s="23"/>
      <c r="K8" s="23"/>
      <c r="L8" s="20"/>
      <c r="M8" s="73"/>
      <c r="N8" s="42"/>
    </row>
    <row r="9" spans="1:19" ht="24" customHeight="1" thickBot="1" x14ac:dyDescent="0.25">
      <c r="A9" s="2"/>
      <c r="B9" s="53"/>
      <c r="C9" s="8"/>
      <c r="E9" s="128" t="s">
        <v>16</v>
      </c>
      <c r="F9" s="129"/>
      <c r="G9" s="129"/>
      <c r="H9" s="129"/>
      <c r="I9" s="129"/>
      <c r="J9" s="130"/>
      <c r="K9" s="197">
        <f>SUMIF(O10:O12,1,K10:K12)</f>
        <v>0</v>
      </c>
      <c r="L9" s="20"/>
      <c r="M9" s="73"/>
      <c r="N9" s="42"/>
      <c r="O9" s="43" t="s">
        <v>275</v>
      </c>
    </row>
    <row r="10" spans="1:19" s="143" customFormat="1" ht="19.149999999999999" customHeight="1" x14ac:dyDescent="0.25">
      <c r="A10" s="3"/>
      <c r="B10" s="603"/>
      <c r="C10" s="8"/>
      <c r="D10" s="135"/>
      <c r="E10" s="182" t="s">
        <v>17</v>
      </c>
      <c r="F10" s="136"/>
      <c r="G10" s="137"/>
      <c r="H10" s="184">
        <v>0</v>
      </c>
      <c r="I10" s="187" t="s">
        <v>18</v>
      </c>
      <c r="J10" s="190">
        <v>250</v>
      </c>
      <c r="K10" s="191">
        <f>SUM(H10*J10)</f>
        <v>0</v>
      </c>
      <c r="L10" s="39"/>
      <c r="M10" s="138"/>
      <c r="N10" s="139"/>
      <c r="O10" s="140">
        <f>OR(NOT(ISERROR(SEARCH($F$5,Q10))),Q10=0)*OR(NOT(ISERROR(SEARCH($F$6,R10))),R10=0)</f>
        <v>1</v>
      </c>
      <c r="P10" s="140"/>
      <c r="Q10" s="141"/>
      <c r="R10" s="142"/>
      <c r="S10" s="371" t="s">
        <v>945</v>
      </c>
    </row>
    <row r="11" spans="1:19" s="143" customFormat="1" ht="19.149999999999999" customHeight="1" thickBot="1" x14ac:dyDescent="0.25">
      <c r="A11" s="3"/>
      <c r="B11" s="263"/>
      <c r="C11" s="8"/>
      <c r="D11" s="1"/>
      <c r="E11" s="340" t="s">
        <v>19</v>
      </c>
      <c r="F11" s="265"/>
      <c r="G11" s="277"/>
      <c r="H11" s="278">
        <v>0</v>
      </c>
      <c r="I11" s="279" t="s">
        <v>21</v>
      </c>
      <c r="J11" s="280">
        <v>600</v>
      </c>
      <c r="K11" s="281">
        <f>SUM(H11*J11)</f>
        <v>0</v>
      </c>
      <c r="L11" s="39"/>
      <c r="M11" s="138"/>
      <c r="N11" s="139"/>
      <c r="O11" s="140">
        <f>OR(NOT(ISERROR(SEARCH($F$5,Q11))),Q11=0)*OR(NOT(ISERROR(SEARCH($F$6,R11))),R11=0)</f>
        <v>1</v>
      </c>
      <c r="P11" s="140"/>
      <c r="Q11" s="145"/>
      <c r="R11" s="142"/>
      <c r="S11" s="371" t="s">
        <v>945</v>
      </c>
    </row>
    <row r="12" spans="1:19" ht="15.75" thickBot="1" x14ac:dyDescent="0.25">
      <c r="A12" s="2"/>
      <c r="B12" s="53"/>
      <c r="C12" s="34"/>
      <c r="D12" s="25"/>
      <c r="E12" s="272"/>
      <c r="F12" s="272"/>
      <c r="G12" s="272"/>
      <c r="H12" s="273"/>
      <c r="I12" s="274"/>
      <c r="J12" s="275"/>
      <c r="K12" s="276"/>
      <c r="L12" s="20"/>
      <c r="M12" s="73"/>
      <c r="N12" s="42"/>
      <c r="O12" s="43" t="s">
        <v>276</v>
      </c>
    </row>
    <row r="13" spans="1:19" ht="24" customHeight="1" thickBot="1" x14ac:dyDescent="0.25">
      <c r="A13" s="2"/>
      <c r="B13" s="53"/>
      <c r="C13" s="8"/>
      <c r="E13" s="128" t="s">
        <v>20</v>
      </c>
      <c r="F13" s="129"/>
      <c r="G13" s="129"/>
      <c r="H13" s="129"/>
      <c r="I13" s="129"/>
      <c r="J13" s="130"/>
      <c r="K13" s="46">
        <f>SUMIF(O14:O16,1,K14:K16)</f>
        <v>0</v>
      </c>
      <c r="L13" s="20"/>
      <c r="M13" s="73"/>
      <c r="N13" s="42"/>
      <c r="O13" s="43" t="s">
        <v>275</v>
      </c>
    </row>
    <row r="14" spans="1:19" ht="19.149999999999999" customHeight="1" x14ac:dyDescent="0.2">
      <c r="A14" s="732"/>
      <c r="B14" s="53"/>
      <c r="C14" s="8"/>
      <c r="D14" s="135"/>
      <c r="E14" s="256" t="s">
        <v>17</v>
      </c>
      <c r="F14" s="257"/>
      <c r="G14" s="203"/>
      <c r="H14" s="199">
        <f>'Staff Detail'!$BC$12</f>
        <v>2</v>
      </c>
      <c r="I14" s="294" t="s">
        <v>18</v>
      </c>
      <c r="J14" s="252"/>
      <c r="K14" s="245">
        <f>J14</f>
        <v>0</v>
      </c>
      <c r="L14" s="39"/>
      <c r="M14" s="138"/>
      <c r="N14" s="42"/>
      <c r="O14" s="140">
        <f>OR(NOT(ISERROR(SEARCH($F$5,Q14))),Q14=0)*OR(NOT(ISERROR(SEARCH($F$6,R14))),R14=0)</f>
        <v>1</v>
      </c>
      <c r="S14" s="371" t="s">
        <v>945</v>
      </c>
    </row>
    <row r="15" spans="1:19" ht="19.149999999999999" customHeight="1" thickBot="1" x14ac:dyDescent="0.25">
      <c r="A15" s="732"/>
      <c r="B15" s="53"/>
      <c r="C15" s="8"/>
      <c r="D15" s="135"/>
      <c r="E15" s="340" t="s">
        <v>19</v>
      </c>
      <c r="F15" s="341"/>
      <c r="G15" s="268"/>
      <c r="H15" s="269">
        <v>0</v>
      </c>
      <c r="I15" s="295" t="s">
        <v>18</v>
      </c>
      <c r="J15" s="270"/>
      <c r="K15" s="271">
        <f>J15</f>
        <v>0</v>
      </c>
      <c r="L15" s="39"/>
      <c r="M15" s="138"/>
      <c r="N15" s="42"/>
      <c r="O15" s="140">
        <f>OR(NOT(ISERROR(SEARCH($F$5,Q15))),Q15=0)*OR(NOT(ISERROR(SEARCH($F$6,R15))),R15=0)</f>
        <v>1</v>
      </c>
      <c r="S15" s="371" t="s">
        <v>945</v>
      </c>
    </row>
    <row r="16" spans="1:19" ht="15.75" thickBot="1" x14ac:dyDescent="0.25">
      <c r="A16" s="2"/>
      <c r="B16" s="53"/>
      <c r="C16" s="34"/>
      <c r="D16" s="25"/>
      <c r="E16" s="272"/>
      <c r="F16" s="272"/>
      <c r="G16" s="272"/>
      <c r="H16" s="273"/>
      <c r="I16" s="274"/>
      <c r="J16" s="275"/>
      <c r="K16" s="276"/>
      <c r="L16" s="20"/>
      <c r="M16" s="73"/>
      <c r="N16" s="42"/>
      <c r="O16" s="43" t="s">
        <v>276</v>
      </c>
    </row>
    <row r="17" spans="1:19" ht="24" customHeight="1" thickBot="1" x14ac:dyDescent="0.25">
      <c r="A17" s="2"/>
      <c r="B17" s="53"/>
      <c r="C17" s="34"/>
      <c r="D17" s="24"/>
      <c r="E17" s="128" t="s">
        <v>22</v>
      </c>
      <c r="F17" s="129"/>
      <c r="G17" s="129"/>
      <c r="H17" s="129"/>
      <c r="I17" s="129"/>
      <c r="J17" s="130"/>
      <c r="K17" s="197">
        <f>SUMIF(O18:O22,1,K18:K22)</f>
        <v>0</v>
      </c>
      <c r="L17" s="20"/>
      <c r="M17" s="73"/>
      <c r="N17" s="42"/>
      <c r="O17" s="43" t="s">
        <v>275</v>
      </c>
    </row>
    <row r="18" spans="1:19" s="143" customFormat="1" ht="19.149999999999999" customHeight="1" x14ac:dyDescent="0.25">
      <c r="A18" s="3"/>
      <c r="B18" s="263"/>
      <c r="C18" s="8"/>
      <c r="D18" s="135"/>
      <c r="E18" s="266" t="s">
        <v>23</v>
      </c>
      <c r="F18" s="265"/>
      <c r="G18" s="277"/>
      <c r="H18" s="278">
        <v>0</v>
      </c>
      <c r="I18" s="279" t="s">
        <v>18</v>
      </c>
      <c r="J18" s="280"/>
      <c r="K18" s="193">
        <f t="shared" ref="K18:K21" si="0">SUM(H18*J18)</f>
        <v>0</v>
      </c>
      <c r="L18" s="39"/>
      <c r="M18" s="138"/>
      <c r="N18" s="139"/>
      <c r="O18" s="140">
        <f t="shared" ref="O18:O21" si="1">OR(NOT(ISERROR(SEARCH($F$5,Q18))),Q18=0)*OR(NOT(ISERROR(SEARCH($F$6,R18))),R18=0)</f>
        <v>1</v>
      </c>
      <c r="P18" s="140"/>
      <c r="Q18" s="142"/>
      <c r="R18" s="142"/>
      <c r="S18" s="371" t="s">
        <v>945</v>
      </c>
    </row>
    <row r="19" spans="1:19" s="143" customFormat="1" ht="19.149999999999999" customHeight="1" x14ac:dyDescent="0.25">
      <c r="A19" s="3"/>
      <c r="B19" s="263"/>
      <c r="C19" s="8"/>
      <c r="D19" s="135"/>
      <c r="E19" s="266" t="s">
        <v>427</v>
      </c>
      <c r="F19" s="265"/>
      <c r="G19" s="277"/>
      <c r="H19" s="278">
        <v>0</v>
      </c>
      <c r="I19" s="279" t="s">
        <v>18</v>
      </c>
      <c r="J19" s="280"/>
      <c r="K19" s="193">
        <f t="shared" si="0"/>
        <v>0</v>
      </c>
      <c r="L19" s="39"/>
      <c r="M19" s="138"/>
      <c r="N19" s="139"/>
      <c r="O19" s="140">
        <f t="shared" si="1"/>
        <v>1</v>
      </c>
      <c r="P19" s="140"/>
      <c r="Q19" s="142"/>
      <c r="R19" s="142"/>
      <c r="S19" s="371" t="s">
        <v>945</v>
      </c>
    </row>
    <row r="20" spans="1:19" s="143" customFormat="1" ht="19.149999999999999" customHeight="1" x14ac:dyDescent="0.25">
      <c r="A20" s="3"/>
      <c r="B20" s="263"/>
      <c r="C20" s="8"/>
      <c r="D20" s="135"/>
      <c r="E20" s="266" t="s">
        <v>24</v>
      </c>
      <c r="F20" s="265"/>
      <c r="G20" s="277"/>
      <c r="H20" s="278">
        <v>0</v>
      </c>
      <c r="I20" s="279" t="s">
        <v>25</v>
      </c>
      <c r="J20" s="280">
        <v>1600</v>
      </c>
      <c r="K20" s="193">
        <f t="shared" si="0"/>
        <v>0</v>
      </c>
      <c r="L20" s="39"/>
      <c r="M20" s="138"/>
      <c r="N20" s="139"/>
      <c r="O20" s="140">
        <f t="shared" si="1"/>
        <v>1</v>
      </c>
      <c r="P20" s="140"/>
      <c r="Q20" s="142"/>
      <c r="R20" s="142"/>
      <c r="S20" s="371" t="s">
        <v>945</v>
      </c>
    </row>
    <row r="21" spans="1:19" s="143" customFormat="1" ht="19.149999999999999" customHeight="1" thickBot="1" x14ac:dyDescent="0.3">
      <c r="A21" s="3"/>
      <c r="B21" s="263"/>
      <c r="C21" s="8"/>
      <c r="D21" s="135"/>
      <c r="E21" s="266" t="s">
        <v>26</v>
      </c>
      <c r="F21" s="265"/>
      <c r="G21" s="277"/>
      <c r="H21" s="278">
        <v>0</v>
      </c>
      <c r="I21" s="279" t="s">
        <v>18</v>
      </c>
      <c r="J21" s="280"/>
      <c r="K21" s="281">
        <f t="shared" si="0"/>
        <v>0</v>
      </c>
      <c r="L21" s="39"/>
      <c r="M21" s="138"/>
      <c r="N21" s="139"/>
      <c r="O21" s="140">
        <f t="shared" si="1"/>
        <v>1</v>
      </c>
      <c r="P21" s="140"/>
      <c r="Q21" s="142"/>
      <c r="R21" s="142"/>
      <c r="S21" s="371" t="s">
        <v>945</v>
      </c>
    </row>
    <row r="22" spans="1:19" ht="15.75" thickBot="1" x14ac:dyDescent="0.25">
      <c r="A22" s="2"/>
      <c r="B22" s="53"/>
      <c r="C22" s="34"/>
      <c r="D22" s="25"/>
      <c r="E22" s="272"/>
      <c r="F22" s="272"/>
      <c r="G22" s="272"/>
      <c r="H22" s="273"/>
      <c r="I22" s="274"/>
      <c r="J22" s="275"/>
      <c r="K22" s="276"/>
      <c r="L22" s="20"/>
      <c r="M22" s="73"/>
      <c r="N22" s="42"/>
      <c r="O22" s="43" t="s">
        <v>276</v>
      </c>
    </row>
    <row r="23" spans="1:19" ht="24" customHeight="1" thickBot="1" x14ac:dyDescent="0.25">
      <c r="A23" s="2"/>
      <c r="B23" s="53"/>
      <c r="C23" s="8"/>
      <c r="E23" s="128" t="s">
        <v>27</v>
      </c>
      <c r="F23" s="129"/>
      <c r="G23" s="129"/>
      <c r="H23" s="129"/>
      <c r="I23" s="129"/>
      <c r="J23" s="130"/>
      <c r="K23" s="197">
        <f>SUMIF(O24:O27,1,K24:K27)</f>
        <v>0</v>
      </c>
      <c r="L23" s="20"/>
      <c r="M23" s="73"/>
      <c r="N23" s="42"/>
      <c r="O23" s="43" t="s">
        <v>275</v>
      </c>
    </row>
    <row r="24" spans="1:19" s="143" customFormat="1" ht="19.149999999999999" customHeight="1" x14ac:dyDescent="0.25">
      <c r="A24" s="3"/>
      <c r="B24" s="263"/>
      <c r="C24" s="8"/>
      <c r="D24" s="147"/>
      <c r="E24" s="182" t="s">
        <v>28</v>
      </c>
      <c r="F24" s="136"/>
      <c r="G24" s="137"/>
      <c r="H24" s="184">
        <v>0</v>
      </c>
      <c r="I24" s="187" t="s">
        <v>18</v>
      </c>
      <c r="J24" s="190"/>
      <c r="K24" s="193">
        <f>SUM(H24*J24)</f>
        <v>0</v>
      </c>
      <c r="L24" s="39"/>
      <c r="M24" s="138"/>
      <c r="N24" s="139"/>
      <c r="O24" s="140">
        <f>OR(NOT(ISERROR(SEARCH($F$5,Q24))),Q24=0)*OR(NOT(ISERROR(SEARCH($F$6,R24))),R24=0)</f>
        <v>1</v>
      </c>
      <c r="P24" s="140"/>
      <c r="Q24" s="142"/>
      <c r="R24" s="142"/>
      <c r="S24" s="371" t="s">
        <v>945</v>
      </c>
    </row>
    <row r="25" spans="1:19" s="143" customFormat="1" ht="19.149999999999999" customHeight="1" x14ac:dyDescent="0.25">
      <c r="A25" s="3"/>
      <c r="B25" s="263"/>
      <c r="C25" s="8"/>
      <c r="D25" s="147"/>
      <c r="E25" s="256" t="s">
        <v>29</v>
      </c>
      <c r="F25" s="177"/>
      <c r="G25" s="144"/>
      <c r="H25" s="185">
        <v>0</v>
      </c>
      <c r="I25" s="188" t="s">
        <v>18</v>
      </c>
      <c r="J25" s="192"/>
      <c r="K25" s="193">
        <f>SUM(H25*J25)</f>
        <v>0</v>
      </c>
      <c r="L25" s="39"/>
      <c r="M25" s="138"/>
      <c r="N25" s="139"/>
      <c r="O25" s="140">
        <f>OR(NOT(ISERROR(SEARCH($F$5,Q25))),Q25=0)*OR(NOT(ISERROR(SEARCH($F$6,R25))),R25=0)</f>
        <v>1</v>
      </c>
      <c r="P25" s="140"/>
      <c r="Q25" s="142"/>
      <c r="R25" s="142"/>
      <c r="S25" s="371" t="s">
        <v>945</v>
      </c>
    </row>
    <row r="26" spans="1:19" s="143" customFormat="1" ht="19.149999999999999" customHeight="1" thickBot="1" x14ac:dyDescent="0.25">
      <c r="A26" s="3"/>
      <c r="B26" s="263"/>
      <c r="C26" s="8"/>
      <c r="D26" s="1"/>
      <c r="E26" s="340" t="s">
        <v>30</v>
      </c>
      <c r="F26" s="265"/>
      <c r="G26" s="277"/>
      <c r="H26" s="278">
        <v>0</v>
      </c>
      <c r="I26" s="279" t="s">
        <v>25</v>
      </c>
      <c r="J26" s="280">
        <v>280</v>
      </c>
      <c r="K26" s="281">
        <f>SUM(H26*J26)</f>
        <v>0</v>
      </c>
      <c r="L26" s="39"/>
      <c r="M26" s="138"/>
      <c r="N26" s="139"/>
      <c r="O26" s="140">
        <f>OR(NOT(ISERROR(SEARCH($F$5,Q26))),Q26=0)*OR(NOT(ISERROR(SEARCH($F$6,R26))),R26=0)</f>
        <v>1</v>
      </c>
      <c r="P26" s="140"/>
      <c r="Q26" s="142"/>
      <c r="R26" s="142"/>
      <c r="S26" s="371" t="s">
        <v>945</v>
      </c>
    </row>
    <row r="27" spans="1:19" ht="15.75" thickBot="1" x14ac:dyDescent="0.25">
      <c r="A27" s="2"/>
      <c r="B27" s="53"/>
      <c r="C27" s="34"/>
      <c r="D27" s="25"/>
      <c r="E27" s="282"/>
      <c r="F27" s="282"/>
      <c r="G27" s="282"/>
      <c r="H27" s="283"/>
      <c r="I27" s="284"/>
      <c r="J27" s="285"/>
      <c r="K27" s="286"/>
      <c r="L27" s="20"/>
      <c r="M27" s="73"/>
      <c r="N27" s="42"/>
      <c r="O27" s="43" t="s">
        <v>276</v>
      </c>
    </row>
    <row r="28" spans="1:19" ht="24" customHeight="1" thickBot="1" x14ac:dyDescent="0.25">
      <c r="A28" s="2"/>
      <c r="B28" s="53"/>
      <c r="C28" s="8"/>
      <c r="E28" s="128" t="s">
        <v>31</v>
      </c>
      <c r="F28" s="129"/>
      <c r="G28" s="129"/>
      <c r="H28" s="129"/>
      <c r="I28" s="129"/>
      <c r="J28" s="130"/>
      <c r="K28" s="197">
        <f>SUMIF(O29:O35,1,K29:K35)</f>
        <v>0</v>
      </c>
      <c r="L28" s="20"/>
      <c r="M28" s="73"/>
      <c r="N28" s="42"/>
      <c r="O28" s="43" t="s">
        <v>275</v>
      </c>
    </row>
    <row r="29" spans="1:19" s="143" customFormat="1" ht="19.149999999999999" customHeight="1" x14ac:dyDescent="0.2">
      <c r="A29" s="3"/>
      <c r="B29" s="263"/>
      <c r="C29" s="8"/>
      <c r="D29" s="1"/>
      <c r="E29" s="363" t="s">
        <v>32</v>
      </c>
      <c r="F29" s="364"/>
      <c r="G29" s="203"/>
      <c r="H29" s="185">
        <v>0</v>
      </c>
      <c r="I29" s="188" t="s">
        <v>18</v>
      </c>
      <c r="J29" s="207"/>
      <c r="K29" s="193">
        <f t="shared" ref="K29:K34" si="2">SUM(H29*J29)</f>
        <v>0</v>
      </c>
      <c r="L29" s="39"/>
      <c r="M29" s="138"/>
      <c r="N29" s="139"/>
      <c r="O29" s="140">
        <f t="shared" ref="O29:O34" si="3">OR(NOT(ISERROR(SEARCH($F$5,Q29))),Q29=0)*OR(NOT(ISERROR(SEARCH($F$6,R29))),R29=0)</f>
        <v>1</v>
      </c>
      <c r="P29" s="140"/>
      <c r="Q29" s="142"/>
      <c r="R29" s="142"/>
      <c r="S29" s="371" t="s">
        <v>945</v>
      </c>
    </row>
    <row r="30" spans="1:19" s="143" customFormat="1" ht="19.149999999999999" customHeight="1" x14ac:dyDescent="0.25">
      <c r="A30" s="3"/>
      <c r="B30" s="299"/>
      <c r="C30" s="8"/>
      <c r="D30" s="147"/>
      <c r="E30" s="297" t="s">
        <v>456</v>
      </c>
      <c r="F30" s="177"/>
      <c r="G30" s="144"/>
      <c r="H30" s="185">
        <v>0</v>
      </c>
      <c r="I30" s="188" t="s">
        <v>18</v>
      </c>
      <c r="J30" s="192"/>
      <c r="K30" s="193">
        <f t="shared" si="2"/>
        <v>0</v>
      </c>
      <c r="L30" s="39"/>
      <c r="M30" s="138"/>
      <c r="N30" s="139"/>
      <c r="O30" s="140">
        <f t="shared" si="3"/>
        <v>0</v>
      </c>
      <c r="P30" s="140"/>
      <c r="Q30" s="145" t="s">
        <v>449</v>
      </c>
      <c r="R30" s="142"/>
      <c r="S30" s="371" t="s">
        <v>945</v>
      </c>
    </row>
    <row r="31" spans="1:19" s="143" customFormat="1" ht="19.149999999999999" customHeight="1" x14ac:dyDescent="0.25">
      <c r="A31" s="3"/>
      <c r="B31" s="299"/>
      <c r="C31" s="8"/>
      <c r="D31" s="147"/>
      <c r="E31" s="297" t="s">
        <v>457</v>
      </c>
      <c r="F31" s="177"/>
      <c r="G31" s="144"/>
      <c r="H31" s="185">
        <v>0</v>
      </c>
      <c r="I31" s="188" t="s">
        <v>18</v>
      </c>
      <c r="J31" s="192"/>
      <c r="K31" s="193">
        <f t="shared" si="2"/>
        <v>0</v>
      </c>
      <c r="L31" s="39"/>
      <c r="M31" s="138"/>
      <c r="N31" s="139"/>
      <c r="O31" s="140">
        <f t="shared" si="3"/>
        <v>0</v>
      </c>
      <c r="P31" s="140"/>
      <c r="Q31" s="145" t="s">
        <v>449</v>
      </c>
      <c r="R31" s="142"/>
      <c r="S31" s="371" t="s">
        <v>945</v>
      </c>
    </row>
    <row r="32" spans="1:19" s="143" customFormat="1" ht="19.149999999999999" customHeight="1" x14ac:dyDescent="0.25">
      <c r="A32" s="3"/>
      <c r="B32" s="299"/>
      <c r="C32" s="8"/>
      <c r="D32" s="147"/>
      <c r="E32" s="297" t="s">
        <v>458</v>
      </c>
      <c r="F32" s="177"/>
      <c r="G32" s="144"/>
      <c r="H32" s="185">
        <v>0</v>
      </c>
      <c r="I32" s="188" t="s">
        <v>18</v>
      </c>
      <c r="J32" s="192"/>
      <c r="K32" s="193">
        <f t="shared" si="2"/>
        <v>0</v>
      </c>
      <c r="L32" s="39"/>
      <c r="M32" s="138"/>
      <c r="N32" s="139"/>
      <c r="O32" s="140">
        <f t="shared" si="3"/>
        <v>0</v>
      </c>
      <c r="P32" s="140"/>
      <c r="Q32" s="145" t="s">
        <v>449</v>
      </c>
      <c r="R32" s="142"/>
      <c r="S32" s="371" t="s">
        <v>945</v>
      </c>
    </row>
    <row r="33" spans="1:19" s="143" customFormat="1" ht="19.149999999999999" customHeight="1" x14ac:dyDescent="0.2">
      <c r="A33" s="3"/>
      <c r="B33" s="263"/>
      <c r="C33" s="8"/>
      <c r="D33" s="1"/>
      <c r="E33" s="259" t="s">
        <v>33</v>
      </c>
      <c r="F33" s="260"/>
      <c r="G33" s="203"/>
      <c r="H33" s="185">
        <v>0</v>
      </c>
      <c r="I33" s="188" t="s">
        <v>18</v>
      </c>
      <c r="J33" s="206"/>
      <c r="K33" s="193">
        <f t="shared" si="2"/>
        <v>0</v>
      </c>
      <c r="L33" s="39"/>
      <c r="M33" s="138"/>
      <c r="N33" s="139"/>
      <c r="O33" s="140">
        <f t="shared" si="3"/>
        <v>1</v>
      </c>
      <c r="P33" s="140"/>
      <c r="Q33" s="142"/>
      <c r="R33" s="142"/>
      <c r="S33" s="371" t="s">
        <v>945</v>
      </c>
    </row>
    <row r="34" spans="1:19" s="143" customFormat="1" ht="19.149999999999999" customHeight="1" thickBot="1" x14ac:dyDescent="0.3">
      <c r="A34" s="3"/>
      <c r="B34" s="263"/>
      <c r="C34" s="8"/>
      <c r="D34" s="150"/>
      <c r="E34" s="733" t="s">
        <v>428</v>
      </c>
      <c r="F34" s="734"/>
      <c r="G34" s="268"/>
      <c r="H34" s="278">
        <v>0</v>
      </c>
      <c r="I34" s="279" t="s">
        <v>18</v>
      </c>
      <c r="J34" s="287"/>
      <c r="K34" s="281">
        <f t="shared" si="2"/>
        <v>0</v>
      </c>
      <c r="L34" s="39"/>
      <c r="M34" s="138"/>
      <c r="N34" s="139"/>
      <c r="O34" s="140">
        <f t="shared" si="3"/>
        <v>0</v>
      </c>
      <c r="P34" s="140"/>
      <c r="Q34" s="142"/>
      <c r="R34" s="145" t="s">
        <v>420</v>
      </c>
      <c r="S34" s="371" t="s">
        <v>945</v>
      </c>
    </row>
    <row r="35" spans="1:19" ht="15.75" thickBot="1" x14ac:dyDescent="0.25">
      <c r="A35" s="2"/>
      <c r="B35" s="53"/>
      <c r="C35" s="34"/>
      <c r="D35" s="25"/>
      <c r="E35" s="288"/>
      <c r="F35" s="289"/>
      <c r="G35" s="282"/>
      <c r="H35" s="283"/>
      <c r="I35" s="284"/>
      <c r="J35" s="290"/>
      <c r="K35" s="276"/>
      <c r="L35" s="20"/>
      <c r="M35" s="73"/>
      <c r="N35" s="42"/>
      <c r="O35" s="43" t="s">
        <v>276</v>
      </c>
    </row>
    <row r="36" spans="1:19" ht="24" customHeight="1" thickBot="1" x14ac:dyDescent="0.25">
      <c r="A36" s="2"/>
      <c r="B36" s="53"/>
      <c r="C36" s="8"/>
      <c r="E36" s="128" t="s">
        <v>34</v>
      </c>
      <c r="F36" s="129"/>
      <c r="G36" s="129"/>
      <c r="H36" s="129"/>
      <c r="I36" s="129"/>
      <c r="J36" s="130"/>
      <c r="K36" s="197">
        <f>SUMIF(O37:O48,1,K37:K48)</f>
        <v>0</v>
      </c>
      <c r="L36" s="20"/>
      <c r="M36" s="73"/>
      <c r="N36" s="42"/>
      <c r="O36" s="43" t="s">
        <v>275</v>
      </c>
    </row>
    <row r="37" spans="1:19" s="143" customFormat="1" ht="19.149999999999999" customHeight="1" x14ac:dyDescent="0.25">
      <c r="A37" s="3"/>
      <c r="B37" s="263"/>
      <c r="C37" s="8"/>
      <c r="D37" s="150"/>
      <c r="E37" s="719" t="s">
        <v>35</v>
      </c>
      <c r="F37" s="720"/>
      <c r="G37" s="144"/>
      <c r="H37" s="185">
        <v>0</v>
      </c>
      <c r="I37" s="188" t="s">
        <v>36</v>
      </c>
      <c r="J37" s="207">
        <v>6000</v>
      </c>
      <c r="K37" s="193">
        <f t="shared" ref="K37:K47" si="4">SUM(H37*J37)</f>
        <v>0</v>
      </c>
      <c r="L37" s="39"/>
      <c r="M37" s="138"/>
      <c r="N37" s="139"/>
      <c r="O37" s="140">
        <f t="shared" ref="O37:O47" si="5">OR(NOT(ISERROR(SEARCH($F$5,Q37))),Q37=0)*OR(NOT(ISERROR(SEARCH($F$6,R37))),R37=0)</f>
        <v>1</v>
      </c>
      <c r="P37" s="140"/>
      <c r="Q37" s="145" t="s">
        <v>460</v>
      </c>
      <c r="R37" s="142"/>
      <c r="S37" s="371" t="s">
        <v>945</v>
      </c>
    </row>
    <row r="38" spans="1:19" s="143" customFormat="1" ht="19.149999999999999" customHeight="1" x14ac:dyDescent="0.25">
      <c r="A38" s="3"/>
      <c r="B38" s="263"/>
      <c r="C38" s="8"/>
      <c r="D38" s="150"/>
      <c r="E38" s="719" t="s">
        <v>37</v>
      </c>
      <c r="F38" s="720"/>
      <c r="G38" s="144"/>
      <c r="H38" s="199">
        <v>0</v>
      </c>
      <c r="I38" s="188" t="s">
        <v>36</v>
      </c>
      <c r="J38" s="207">
        <v>5000</v>
      </c>
      <c r="K38" s="193">
        <f t="shared" si="4"/>
        <v>0</v>
      </c>
      <c r="L38" s="39"/>
      <c r="M38" s="138"/>
      <c r="N38" s="139"/>
      <c r="O38" s="140">
        <f t="shared" si="5"/>
        <v>1</v>
      </c>
      <c r="P38" s="140"/>
      <c r="Q38" s="145" t="s">
        <v>460</v>
      </c>
      <c r="R38" s="142"/>
      <c r="S38" s="371" t="s">
        <v>945</v>
      </c>
    </row>
    <row r="39" spans="1:19" s="143" customFormat="1" ht="19.149999999999999" customHeight="1" x14ac:dyDescent="0.25">
      <c r="A39" s="3"/>
      <c r="B39" s="263"/>
      <c r="C39" s="8"/>
      <c r="D39" s="150"/>
      <c r="E39" s="728" t="s">
        <v>38</v>
      </c>
      <c r="F39" s="729"/>
      <c r="G39" s="144"/>
      <c r="H39" s="199">
        <v>0</v>
      </c>
      <c r="I39" s="188" t="s">
        <v>18</v>
      </c>
      <c r="J39" s="207">
        <v>0</v>
      </c>
      <c r="K39" s="193">
        <f t="shared" si="4"/>
        <v>0</v>
      </c>
      <c r="L39" s="39"/>
      <c r="M39" s="138"/>
      <c r="N39" s="139"/>
      <c r="O39" s="140">
        <f t="shared" si="5"/>
        <v>1</v>
      </c>
      <c r="P39" s="140"/>
      <c r="Q39" s="145" t="s">
        <v>460</v>
      </c>
      <c r="R39" s="142"/>
      <c r="S39" s="371" t="s">
        <v>945</v>
      </c>
    </row>
    <row r="40" spans="1:19" s="143" customFormat="1" ht="19.149999999999999" customHeight="1" x14ac:dyDescent="0.25">
      <c r="A40" s="3"/>
      <c r="B40" s="263"/>
      <c r="C40" s="8"/>
      <c r="D40" s="152"/>
      <c r="E40" s="366" t="s">
        <v>40</v>
      </c>
      <c r="F40" s="367"/>
      <c r="G40" s="153"/>
      <c r="H40" s="208">
        <v>0</v>
      </c>
      <c r="I40" s="296" t="s">
        <v>21</v>
      </c>
      <c r="J40" s="207">
        <v>165</v>
      </c>
      <c r="K40" s="193">
        <f t="shared" si="4"/>
        <v>0</v>
      </c>
      <c r="L40" s="39"/>
      <c r="M40" s="138"/>
      <c r="N40" s="139"/>
      <c r="O40" s="140">
        <f t="shared" si="5"/>
        <v>1</v>
      </c>
      <c r="P40" s="140"/>
      <c r="Q40" s="142"/>
      <c r="R40" s="142"/>
      <c r="S40" s="371" t="s">
        <v>945</v>
      </c>
    </row>
    <row r="41" spans="1:19" s="143" customFormat="1" ht="19.149999999999999" customHeight="1" x14ac:dyDescent="0.25">
      <c r="A41" s="3"/>
      <c r="B41" s="263"/>
      <c r="C41" s="8"/>
      <c r="D41" s="150"/>
      <c r="E41" s="366" t="s">
        <v>41</v>
      </c>
      <c r="F41" s="202"/>
      <c r="G41" s="144"/>
      <c r="H41" s="199">
        <v>0</v>
      </c>
      <c r="I41" s="188" t="s">
        <v>21</v>
      </c>
      <c r="J41" s="207">
        <v>1000</v>
      </c>
      <c r="K41" s="193">
        <f t="shared" si="4"/>
        <v>0</v>
      </c>
      <c r="L41" s="39"/>
      <c r="M41" s="138"/>
      <c r="N41" s="139"/>
      <c r="O41" s="140">
        <f t="shared" si="5"/>
        <v>1</v>
      </c>
      <c r="P41" s="140"/>
      <c r="Q41" s="142"/>
      <c r="R41" s="142"/>
      <c r="S41" s="371" t="s">
        <v>945</v>
      </c>
    </row>
    <row r="42" spans="1:19" s="143" customFormat="1" ht="19.149999999999999" customHeight="1" x14ac:dyDescent="0.25">
      <c r="A42" s="3"/>
      <c r="B42" s="299"/>
      <c r="C42" s="8"/>
      <c r="D42" s="150"/>
      <c r="E42" s="363" t="s">
        <v>459</v>
      </c>
      <c r="F42" s="364"/>
      <c r="G42" s="144"/>
      <c r="H42" s="199">
        <v>0</v>
      </c>
      <c r="I42" s="188" t="s">
        <v>54</v>
      </c>
      <c r="J42" s="207">
        <v>0</v>
      </c>
      <c r="K42" s="193">
        <f t="shared" si="4"/>
        <v>0</v>
      </c>
      <c r="L42" s="39"/>
      <c r="M42" s="138"/>
      <c r="N42" s="139"/>
      <c r="O42" s="140">
        <f t="shared" si="5"/>
        <v>0</v>
      </c>
      <c r="P42" s="140"/>
      <c r="Q42" s="145" t="s">
        <v>449</v>
      </c>
      <c r="R42" s="142"/>
      <c r="S42" s="371" t="s">
        <v>945</v>
      </c>
    </row>
    <row r="43" spans="1:19" s="143" customFormat="1" ht="19.149999999999999" customHeight="1" x14ac:dyDescent="0.25">
      <c r="A43" s="3"/>
      <c r="B43" s="263"/>
      <c r="C43" s="8"/>
      <c r="D43" s="150"/>
      <c r="E43" s="366" t="s">
        <v>42</v>
      </c>
      <c r="F43" s="202"/>
      <c r="G43" s="144"/>
      <c r="H43" s="199">
        <v>0</v>
      </c>
      <c r="I43" s="188" t="s">
        <v>21</v>
      </c>
      <c r="J43" s="207">
        <v>300</v>
      </c>
      <c r="K43" s="193">
        <f t="shared" si="4"/>
        <v>0</v>
      </c>
      <c r="L43" s="39"/>
      <c r="M43" s="138"/>
      <c r="N43" s="139"/>
      <c r="O43" s="140">
        <f t="shared" si="5"/>
        <v>1</v>
      </c>
      <c r="P43" s="140"/>
      <c r="Q43" s="142"/>
      <c r="R43" s="142"/>
      <c r="S43" s="371" t="s">
        <v>945</v>
      </c>
    </row>
    <row r="44" spans="1:19" s="143" customFormat="1" ht="19.149999999999999" customHeight="1" x14ac:dyDescent="0.25">
      <c r="A44" s="3"/>
      <c r="B44" s="263"/>
      <c r="C44" s="8"/>
      <c r="D44" s="150"/>
      <c r="E44" s="366" t="s">
        <v>43</v>
      </c>
      <c r="F44" s="202"/>
      <c r="G44" s="144"/>
      <c r="H44" s="199">
        <v>0</v>
      </c>
      <c r="I44" s="188" t="s">
        <v>18</v>
      </c>
      <c r="J44" s="207">
        <v>0</v>
      </c>
      <c r="K44" s="193">
        <f t="shared" si="4"/>
        <v>0</v>
      </c>
      <c r="L44" s="39"/>
      <c r="M44" s="138"/>
      <c r="N44" s="139"/>
      <c r="O44" s="140">
        <f t="shared" si="5"/>
        <v>1</v>
      </c>
      <c r="P44" s="140"/>
      <c r="Q44" s="142"/>
      <c r="R44" s="142"/>
      <c r="S44" s="371" t="s">
        <v>945</v>
      </c>
    </row>
    <row r="45" spans="1:19" s="143" customFormat="1" ht="19.149999999999999" customHeight="1" x14ac:dyDescent="0.2">
      <c r="A45" s="3"/>
      <c r="B45" s="263"/>
      <c r="C45" s="8"/>
      <c r="D45" s="1"/>
      <c r="E45" s="363" t="s">
        <v>44</v>
      </c>
      <c r="F45" s="364"/>
      <c r="G45" s="144"/>
      <c r="H45" s="199">
        <v>0</v>
      </c>
      <c r="I45" s="188" t="s">
        <v>45</v>
      </c>
      <c r="J45" s="207">
        <v>100</v>
      </c>
      <c r="K45" s="193">
        <f t="shared" si="4"/>
        <v>0</v>
      </c>
      <c r="L45" s="39"/>
      <c r="M45" s="138"/>
      <c r="N45" s="139"/>
      <c r="O45" s="140">
        <f t="shared" si="5"/>
        <v>1</v>
      </c>
      <c r="P45" s="140"/>
      <c r="Q45" s="142"/>
      <c r="R45" s="142"/>
      <c r="S45" s="371" t="s">
        <v>945</v>
      </c>
    </row>
    <row r="46" spans="1:19" s="143" customFormat="1" ht="19.149999999999999" customHeight="1" x14ac:dyDescent="0.25">
      <c r="A46" s="3"/>
      <c r="B46" s="263"/>
      <c r="C46" s="8"/>
      <c r="D46" s="150"/>
      <c r="E46" s="363" t="s">
        <v>46</v>
      </c>
      <c r="F46" s="364"/>
      <c r="G46" s="144"/>
      <c r="H46" s="199">
        <v>0</v>
      </c>
      <c r="I46" s="188" t="s">
        <v>18</v>
      </c>
      <c r="J46" s="207">
        <v>0</v>
      </c>
      <c r="K46" s="193">
        <f t="shared" si="4"/>
        <v>0</v>
      </c>
      <c r="L46" s="39"/>
      <c r="M46" s="138"/>
      <c r="N46" s="139"/>
      <c r="O46" s="140">
        <f t="shared" si="5"/>
        <v>1</v>
      </c>
      <c r="P46" s="140"/>
      <c r="Q46" s="142"/>
      <c r="R46" s="142"/>
      <c r="S46" s="371" t="s">
        <v>945</v>
      </c>
    </row>
    <row r="47" spans="1:19" s="143" customFormat="1" ht="19.149999999999999" customHeight="1" thickBot="1" x14ac:dyDescent="0.3">
      <c r="A47" s="3"/>
      <c r="B47" s="263"/>
      <c r="C47" s="8"/>
      <c r="D47" s="150"/>
      <c r="E47" s="365" t="s">
        <v>47</v>
      </c>
      <c r="F47" s="353"/>
      <c r="G47" s="277"/>
      <c r="H47" s="269">
        <v>0</v>
      </c>
      <c r="I47" s="279" t="s">
        <v>18</v>
      </c>
      <c r="J47" s="291">
        <v>0</v>
      </c>
      <c r="K47" s="281">
        <f t="shared" si="4"/>
        <v>0</v>
      </c>
      <c r="L47" s="39"/>
      <c r="M47" s="138"/>
      <c r="N47" s="139"/>
      <c r="O47" s="140">
        <f t="shared" si="5"/>
        <v>1</v>
      </c>
      <c r="P47" s="140"/>
      <c r="Q47" s="142"/>
      <c r="R47" s="142"/>
      <c r="S47" s="371" t="s">
        <v>945</v>
      </c>
    </row>
    <row r="48" spans="1:19" ht="15.75" thickBot="1" x14ac:dyDescent="0.25">
      <c r="A48" s="2"/>
      <c r="B48" s="53"/>
      <c r="C48" s="34"/>
      <c r="D48" s="25"/>
      <c r="E48" s="288"/>
      <c r="F48" s="289"/>
      <c r="G48" s="282"/>
      <c r="H48" s="283"/>
      <c r="I48" s="284"/>
      <c r="J48" s="290"/>
      <c r="K48" s="276"/>
      <c r="L48" s="20"/>
      <c r="M48" s="73"/>
      <c r="N48" s="42"/>
      <c r="O48" s="43" t="s">
        <v>276</v>
      </c>
    </row>
    <row r="49" spans="1:19" ht="24" customHeight="1" thickBot="1" x14ac:dyDescent="0.25">
      <c r="A49" s="2"/>
      <c r="B49" s="53"/>
      <c r="C49" s="34"/>
      <c r="D49" s="25"/>
      <c r="E49" s="128" t="s">
        <v>48</v>
      </c>
      <c r="F49" s="129"/>
      <c r="G49" s="129"/>
      <c r="H49" s="129"/>
      <c r="I49" s="129"/>
      <c r="J49" s="130"/>
      <c r="K49" s="197">
        <f>SUMIF(O50:O51,1,K50:K51)</f>
        <v>0</v>
      </c>
      <c r="L49" s="20"/>
      <c r="M49" s="73"/>
      <c r="N49" s="42"/>
      <c r="O49" s="43" t="s">
        <v>275</v>
      </c>
    </row>
    <row r="50" spans="1:19" s="143" customFormat="1" ht="19.149999999999999" customHeight="1" thickBot="1" x14ac:dyDescent="0.3">
      <c r="A50" s="3"/>
      <c r="B50" s="263"/>
      <c r="C50" s="8"/>
      <c r="D50" s="150"/>
      <c r="E50" s="368" t="s">
        <v>390</v>
      </c>
      <c r="F50" s="357"/>
      <c r="G50" s="342"/>
      <c r="H50" s="343">
        <v>0</v>
      </c>
      <c r="I50" s="344" t="s">
        <v>18</v>
      </c>
      <c r="J50" s="345"/>
      <c r="K50" s="346">
        <f>SUM(H50*J50)</f>
        <v>0</v>
      </c>
      <c r="L50" s="39"/>
      <c r="M50" s="138"/>
      <c r="N50" s="139"/>
      <c r="O50" s="140">
        <f>OR(NOT(ISERROR(SEARCH($F$5,Q50))),Q50=0)*OR(NOT(ISERROR(SEARCH($F$6,R50))),R50=0)</f>
        <v>1</v>
      </c>
      <c r="P50" s="140"/>
      <c r="Q50" s="142"/>
      <c r="R50" s="142"/>
      <c r="S50" s="371" t="s">
        <v>506</v>
      </c>
    </row>
    <row r="51" spans="1:19" s="143" customFormat="1" ht="19.149999999999999" customHeight="1" thickBot="1" x14ac:dyDescent="0.25">
      <c r="A51" s="3"/>
      <c r="B51" s="263"/>
      <c r="C51" s="8"/>
      <c r="D51" s="150"/>
      <c r="E51" s="347"/>
      <c r="F51" s="347"/>
      <c r="G51" s="347"/>
      <c r="H51" s="348"/>
      <c r="I51" s="349"/>
      <c r="J51" s="350"/>
      <c r="K51" s="351"/>
      <c r="L51" s="39"/>
      <c r="M51" s="138"/>
      <c r="N51" s="139"/>
      <c r="O51" s="43" t="s">
        <v>276</v>
      </c>
      <c r="P51" s="140"/>
      <c r="Q51" s="142"/>
      <c r="R51" s="142"/>
      <c r="S51" s="371"/>
    </row>
    <row r="52" spans="1:19" ht="24" customHeight="1" thickBot="1" x14ac:dyDescent="0.25">
      <c r="A52" s="2"/>
      <c r="B52" s="53"/>
      <c r="C52" s="34"/>
      <c r="D52" s="25"/>
      <c r="E52" s="128" t="s">
        <v>49</v>
      </c>
      <c r="F52" s="129"/>
      <c r="G52" s="129"/>
      <c r="H52" s="129"/>
      <c r="I52" s="129"/>
      <c r="J52" s="130"/>
      <c r="K52" s="197">
        <f>SUMIF(O54:O55,1,K54:K55)</f>
        <v>0</v>
      </c>
      <c r="L52" s="20"/>
      <c r="M52" s="73"/>
      <c r="N52" s="42"/>
      <c r="O52" s="43" t="s">
        <v>275</v>
      </c>
    </row>
    <row r="53" spans="1:19" ht="19.5" customHeight="1" x14ac:dyDescent="0.2">
      <c r="A53" s="2"/>
      <c r="B53" s="53"/>
      <c r="C53" s="34"/>
      <c r="D53" s="25"/>
      <c r="E53" s="719" t="s">
        <v>429</v>
      </c>
      <c r="F53" s="720"/>
      <c r="G53" s="144"/>
      <c r="H53" s="185">
        <v>0</v>
      </c>
      <c r="I53" s="188" t="s">
        <v>18</v>
      </c>
      <c r="J53" s="207"/>
      <c r="K53" s="193">
        <f>SUM(H53*J53)</f>
        <v>0</v>
      </c>
      <c r="L53" s="20"/>
      <c r="M53" s="73"/>
      <c r="N53" s="42"/>
      <c r="O53" s="140">
        <f>OR(NOT(ISERROR(SEARCH($F$5,Q53))),Q53=0)*OR(NOT(ISERROR(SEARCH($F$6,R53))),R53=0)</f>
        <v>1</v>
      </c>
      <c r="S53" s="371" t="s">
        <v>506</v>
      </c>
    </row>
    <row r="54" spans="1:19" s="143" customFormat="1" ht="19.149999999999999" customHeight="1" thickBot="1" x14ac:dyDescent="0.3">
      <c r="A54" s="3"/>
      <c r="B54" s="263"/>
      <c r="C54" s="8"/>
      <c r="D54" s="150"/>
      <c r="E54" s="352" t="s">
        <v>50</v>
      </c>
      <c r="F54" s="353"/>
      <c r="G54" s="268"/>
      <c r="H54" s="269">
        <v>0</v>
      </c>
      <c r="I54" s="279" t="s">
        <v>202</v>
      </c>
      <c r="J54" s="291">
        <v>65</v>
      </c>
      <c r="K54" s="281">
        <f>SUM(H54*J54)</f>
        <v>0</v>
      </c>
      <c r="L54" s="39"/>
      <c r="M54" s="138"/>
      <c r="N54" s="139"/>
      <c r="O54" s="140">
        <f>OR(NOT(ISERROR(SEARCH($F$5,Q54))),Q54=0)*OR(NOT(ISERROR(SEARCH($F$6,R54))),R54=0)</f>
        <v>1</v>
      </c>
      <c r="P54" s="140"/>
      <c r="Q54" s="142"/>
      <c r="R54" s="142"/>
      <c r="S54" s="371" t="s">
        <v>506</v>
      </c>
    </row>
    <row r="55" spans="1:19" ht="15.75" thickBot="1" x14ac:dyDescent="0.25">
      <c r="A55" s="2"/>
      <c r="B55" s="53"/>
      <c r="C55" s="34"/>
      <c r="D55" s="25"/>
      <c r="E55" s="288"/>
      <c r="F55" s="289"/>
      <c r="G55" s="282"/>
      <c r="H55" s="283"/>
      <c r="I55" s="284"/>
      <c r="J55" s="290"/>
      <c r="K55" s="276"/>
      <c r="L55" s="20"/>
      <c r="M55" s="73"/>
      <c r="N55" s="42"/>
      <c r="O55" s="43" t="s">
        <v>276</v>
      </c>
    </row>
    <row r="56" spans="1:19" ht="24" customHeight="1" thickBot="1" x14ac:dyDescent="0.25">
      <c r="A56" s="2"/>
      <c r="B56" s="53"/>
      <c r="C56" s="34"/>
      <c r="D56" s="25"/>
      <c r="E56" s="128" t="s">
        <v>51</v>
      </c>
      <c r="F56" s="129"/>
      <c r="G56" s="129"/>
      <c r="H56" s="129"/>
      <c r="I56" s="129"/>
      <c r="J56" s="130"/>
      <c r="K56" s="197">
        <f>SUMIF(O64:O65,1,K64:K65)</f>
        <v>0</v>
      </c>
      <c r="L56" s="20"/>
      <c r="M56" s="73"/>
      <c r="N56" s="42"/>
      <c r="O56" s="43" t="s">
        <v>275</v>
      </c>
    </row>
    <row r="57" spans="1:19" ht="19.350000000000001" customHeight="1" x14ac:dyDescent="0.2">
      <c r="A57" s="2"/>
      <c r="B57" s="53"/>
      <c r="C57" s="34"/>
      <c r="D57" s="25"/>
      <c r="E57" s="256" t="s">
        <v>52</v>
      </c>
      <c r="F57" s="257"/>
      <c r="G57" s="144"/>
      <c r="H57" s="185">
        <v>0</v>
      </c>
      <c r="I57" s="188" t="s">
        <v>54</v>
      </c>
      <c r="J57" s="214">
        <v>0</v>
      </c>
      <c r="K57" s="193">
        <f t="shared" ref="K57:K64" si="6">SUM(H57*J57)</f>
        <v>0</v>
      </c>
      <c r="L57" s="20"/>
      <c r="M57" s="73"/>
      <c r="N57" s="42"/>
      <c r="O57" s="140">
        <f t="shared" ref="O57:O64" si="7">OR(NOT(ISERROR(SEARCH($F$5,Q57))),Q57=0)*OR(NOT(ISERROR(SEARCH($F$6,R57))),R57=0)</f>
        <v>1</v>
      </c>
      <c r="S57" s="371" t="s">
        <v>506</v>
      </c>
    </row>
    <row r="58" spans="1:19" ht="19.350000000000001" customHeight="1" x14ac:dyDescent="0.2">
      <c r="A58" s="2"/>
      <c r="B58" s="53"/>
      <c r="C58" s="34"/>
      <c r="D58" s="25"/>
      <c r="E58" s="297" t="s">
        <v>461</v>
      </c>
      <c r="F58" s="298"/>
      <c r="G58" s="144"/>
      <c r="H58" s="185">
        <v>0</v>
      </c>
      <c r="I58" s="188" t="s">
        <v>18</v>
      </c>
      <c r="J58" s="207">
        <v>0</v>
      </c>
      <c r="K58" s="193">
        <f t="shared" si="6"/>
        <v>0</v>
      </c>
      <c r="L58" s="20"/>
      <c r="M58" s="73"/>
      <c r="N58" s="42"/>
      <c r="O58" s="140">
        <f t="shared" si="7"/>
        <v>0</v>
      </c>
      <c r="Q58" s="145" t="s">
        <v>449</v>
      </c>
      <c r="S58" s="371" t="s">
        <v>506</v>
      </c>
    </row>
    <row r="59" spans="1:19" ht="19.350000000000001" customHeight="1" x14ac:dyDescent="0.2">
      <c r="A59" s="2"/>
      <c r="B59" s="53"/>
      <c r="C59" s="34"/>
      <c r="D59" s="25"/>
      <c r="E59" s="256" t="s">
        <v>53</v>
      </c>
      <c r="F59" s="257"/>
      <c r="G59" s="144"/>
      <c r="H59" s="185">
        <v>0</v>
      </c>
      <c r="I59" s="188" t="s">
        <v>54</v>
      </c>
      <c r="J59" s="207">
        <v>100</v>
      </c>
      <c r="K59" s="193">
        <f t="shared" si="6"/>
        <v>0</v>
      </c>
      <c r="L59" s="20"/>
      <c r="M59" s="73"/>
      <c r="N59" s="42"/>
      <c r="O59" s="140">
        <f t="shared" si="7"/>
        <v>1</v>
      </c>
      <c r="S59" s="371" t="s">
        <v>506</v>
      </c>
    </row>
    <row r="60" spans="1:19" ht="19.350000000000001" customHeight="1" x14ac:dyDescent="0.2">
      <c r="A60" s="2"/>
      <c r="B60" s="53"/>
      <c r="C60" s="34"/>
      <c r="D60" s="25"/>
      <c r="E60" s="256" t="s">
        <v>55</v>
      </c>
      <c r="F60" s="257"/>
      <c r="G60" s="144"/>
      <c r="H60" s="185">
        <v>0</v>
      </c>
      <c r="I60" s="188" t="s">
        <v>54</v>
      </c>
      <c r="J60" s="207">
        <v>100</v>
      </c>
      <c r="K60" s="193">
        <f t="shared" si="6"/>
        <v>0</v>
      </c>
      <c r="L60" s="20"/>
      <c r="M60" s="73"/>
      <c r="N60" s="42"/>
      <c r="O60" s="140">
        <f t="shared" si="7"/>
        <v>1</v>
      </c>
      <c r="S60" s="371" t="s">
        <v>506</v>
      </c>
    </row>
    <row r="61" spans="1:19" ht="19.350000000000001" customHeight="1" x14ac:dyDescent="0.2">
      <c r="A61" s="2"/>
      <c r="B61" s="53"/>
      <c r="C61" s="34"/>
      <c r="D61" s="25"/>
      <c r="E61" s="256" t="s">
        <v>56</v>
      </c>
      <c r="F61" s="257"/>
      <c r="G61" s="144"/>
      <c r="H61" s="185">
        <v>0</v>
      </c>
      <c r="I61" s="188" t="s">
        <v>18</v>
      </c>
      <c r="J61" s="207">
        <v>0</v>
      </c>
      <c r="K61" s="193">
        <f t="shared" si="6"/>
        <v>0</v>
      </c>
      <c r="L61" s="20"/>
      <c r="M61" s="73"/>
      <c r="N61" s="42"/>
      <c r="O61" s="140">
        <f t="shared" si="7"/>
        <v>1</v>
      </c>
      <c r="S61" s="371" t="s">
        <v>506</v>
      </c>
    </row>
    <row r="62" spans="1:19" ht="19.350000000000001" customHeight="1" x14ac:dyDescent="0.2">
      <c r="A62" s="2"/>
      <c r="B62" s="53"/>
      <c r="C62" s="34"/>
      <c r="D62" s="25"/>
      <c r="E62" s="297" t="s">
        <v>462</v>
      </c>
      <c r="F62" s="298"/>
      <c r="G62" s="144"/>
      <c r="H62" s="185">
        <v>0</v>
      </c>
      <c r="I62" s="188" t="s">
        <v>54</v>
      </c>
      <c r="J62" s="207">
        <v>0</v>
      </c>
      <c r="K62" s="193">
        <f t="shared" si="6"/>
        <v>0</v>
      </c>
      <c r="L62" s="20"/>
      <c r="M62" s="73"/>
      <c r="N62" s="42"/>
      <c r="O62" s="140">
        <f t="shared" si="7"/>
        <v>0</v>
      </c>
      <c r="Q62" s="145" t="s">
        <v>449</v>
      </c>
      <c r="S62" s="371" t="s">
        <v>506</v>
      </c>
    </row>
    <row r="63" spans="1:19" ht="19.350000000000001" customHeight="1" x14ac:dyDescent="0.2">
      <c r="A63" s="2"/>
      <c r="B63" s="53"/>
      <c r="C63" s="34"/>
      <c r="D63" s="25"/>
      <c r="E63" s="297" t="s">
        <v>463</v>
      </c>
      <c r="F63" s="298"/>
      <c r="G63" s="144"/>
      <c r="H63" s="185">
        <v>0</v>
      </c>
      <c r="I63" s="188" t="s">
        <v>54</v>
      </c>
      <c r="J63" s="207">
        <v>0</v>
      </c>
      <c r="K63" s="193">
        <f t="shared" si="6"/>
        <v>0</v>
      </c>
      <c r="L63" s="20"/>
      <c r="M63" s="73"/>
      <c r="N63" s="42"/>
      <c r="O63" s="140">
        <f t="shared" si="7"/>
        <v>0</v>
      </c>
      <c r="Q63" s="145" t="s">
        <v>449</v>
      </c>
      <c r="S63" s="371" t="s">
        <v>506</v>
      </c>
    </row>
    <row r="64" spans="1:19" s="143" customFormat="1" ht="19.149999999999999" customHeight="1" thickBot="1" x14ac:dyDescent="0.3">
      <c r="A64" s="3"/>
      <c r="B64" s="263"/>
      <c r="C64" s="8"/>
      <c r="D64" s="150"/>
      <c r="E64" s="726" t="s">
        <v>464</v>
      </c>
      <c r="F64" s="727"/>
      <c r="G64" s="268"/>
      <c r="H64" s="354">
        <v>0</v>
      </c>
      <c r="I64" s="355" t="s">
        <v>54</v>
      </c>
      <c r="J64" s="291">
        <v>0</v>
      </c>
      <c r="K64" s="281">
        <f t="shared" si="6"/>
        <v>0</v>
      </c>
      <c r="L64" s="39"/>
      <c r="M64" s="138"/>
      <c r="N64" s="139"/>
      <c r="O64" s="140">
        <f t="shared" si="7"/>
        <v>0</v>
      </c>
      <c r="P64" s="140"/>
      <c r="Q64" s="145" t="s">
        <v>449</v>
      </c>
      <c r="R64" s="142"/>
      <c r="S64" s="371" t="s">
        <v>506</v>
      </c>
    </row>
    <row r="65" spans="1:19" ht="15.75" thickBot="1" x14ac:dyDescent="0.25">
      <c r="A65" s="2"/>
      <c r="B65" s="53"/>
      <c r="C65" s="34"/>
      <c r="D65" s="25"/>
      <c r="E65" s="288"/>
      <c r="F65" s="289"/>
      <c r="G65" s="282"/>
      <c r="H65" s="283"/>
      <c r="I65" s="284"/>
      <c r="J65" s="290"/>
      <c r="K65" s="276"/>
      <c r="L65" s="20"/>
      <c r="M65" s="73"/>
      <c r="N65" s="42"/>
      <c r="O65" s="43" t="s">
        <v>276</v>
      </c>
    </row>
    <row r="66" spans="1:19" ht="24" customHeight="1" thickBot="1" x14ac:dyDescent="0.25">
      <c r="A66" s="2"/>
      <c r="B66" s="53"/>
      <c r="C66" s="34"/>
      <c r="D66" s="25"/>
      <c r="E66" s="128" t="s">
        <v>57</v>
      </c>
      <c r="F66" s="129"/>
      <c r="G66" s="129"/>
      <c r="H66" s="129"/>
      <c r="I66" s="129"/>
      <c r="J66" s="130"/>
      <c r="K66" s="197">
        <f ca="1">SUMIF(O67:O84,1,K67:K84)</f>
        <v>0</v>
      </c>
      <c r="L66" s="20"/>
      <c r="M66" s="73"/>
      <c r="N66" s="42"/>
      <c r="O66" s="43" t="s">
        <v>275</v>
      </c>
    </row>
    <row r="67" spans="1:19" s="143" customFormat="1" ht="19.149999999999999" customHeight="1" x14ac:dyDescent="0.25">
      <c r="A67" s="3"/>
      <c r="B67" s="263"/>
      <c r="C67" s="8"/>
      <c r="D67" s="150"/>
      <c r="E67" s="266" t="s">
        <v>430</v>
      </c>
      <c r="F67" s="210"/>
      <c r="G67" s="137"/>
      <c r="H67" s="184">
        <v>0</v>
      </c>
      <c r="I67" s="187" t="s">
        <v>18</v>
      </c>
      <c r="J67" s="213">
        <f ca="1">LaborOLD!P14</f>
        <v>0</v>
      </c>
      <c r="K67" s="191">
        <f t="shared" ref="K67:K83" ca="1" si="8">SUM(H67*J67)</f>
        <v>0</v>
      </c>
      <c r="L67" s="39"/>
      <c r="M67" s="138"/>
      <c r="N67" s="139"/>
      <c r="O67" s="140">
        <f t="shared" ref="O67:O83" si="9">OR(NOT(ISERROR(SEARCH($F$5,Q67))),Q67=0)*OR(NOT(ISERROR(SEARCH($F$6,R67))),R67=0)</f>
        <v>1</v>
      </c>
      <c r="P67" s="140"/>
      <c r="Q67" s="142"/>
      <c r="R67" s="142"/>
      <c r="S67" s="371" t="s">
        <v>946</v>
      </c>
    </row>
    <row r="68" spans="1:19" s="143" customFormat="1" ht="19.149999999999999" customHeight="1" x14ac:dyDescent="0.25">
      <c r="A68" s="3"/>
      <c r="B68" s="263"/>
      <c r="C68" s="8"/>
      <c r="D68" s="150"/>
      <c r="E68" s="266" t="s">
        <v>58</v>
      </c>
      <c r="F68" s="211"/>
      <c r="G68" s="144"/>
      <c r="H68" s="185">
        <v>0</v>
      </c>
      <c r="I68" s="188" t="s">
        <v>59</v>
      </c>
      <c r="J68" s="207">
        <v>175</v>
      </c>
      <c r="K68" s="193">
        <f t="shared" si="8"/>
        <v>0</v>
      </c>
      <c r="L68" s="39"/>
      <c r="M68" s="138"/>
      <c r="N68" s="139"/>
      <c r="O68" s="140">
        <f t="shared" si="9"/>
        <v>1</v>
      </c>
      <c r="P68" s="140"/>
      <c r="Q68" s="142"/>
      <c r="R68" s="142"/>
      <c r="S68" s="371" t="s">
        <v>946</v>
      </c>
    </row>
    <row r="69" spans="1:19" s="143" customFormat="1" ht="19.149999999999999" customHeight="1" x14ac:dyDescent="0.25">
      <c r="A69" s="3"/>
      <c r="B69" s="263"/>
      <c r="C69" s="8"/>
      <c r="D69" s="150"/>
      <c r="E69" s="266" t="s">
        <v>60</v>
      </c>
      <c r="F69" s="257"/>
      <c r="G69" s="144"/>
      <c r="H69" s="185">
        <v>0</v>
      </c>
      <c r="I69" s="188" t="s">
        <v>18</v>
      </c>
      <c r="J69" s="214"/>
      <c r="K69" s="193">
        <f t="shared" si="8"/>
        <v>0</v>
      </c>
      <c r="L69" s="39"/>
      <c r="M69" s="138"/>
      <c r="N69" s="139"/>
      <c r="O69" s="140">
        <f t="shared" si="9"/>
        <v>1</v>
      </c>
      <c r="P69" s="140"/>
      <c r="Q69" s="142"/>
      <c r="R69" s="142"/>
      <c r="S69" s="371" t="s">
        <v>946</v>
      </c>
    </row>
    <row r="70" spans="1:19" s="143" customFormat="1" ht="19.149999999999999" customHeight="1" x14ac:dyDescent="0.25">
      <c r="A70" s="3"/>
      <c r="B70" s="263"/>
      <c r="C70" s="8"/>
      <c r="D70" s="150"/>
      <c r="E70" s="266" t="s">
        <v>61</v>
      </c>
      <c r="F70" s="267"/>
      <c r="G70" s="277"/>
      <c r="H70" s="278">
        <v>0</v>
      </c>
      <c r="I70" s="279" t="s">
        <v>18</v>
      </c>
      <c r="J70" s="292"/>
      <c r="K70" s="281">
        <f t="shared" si="8"/>
        <v>0</v>
      </c>
      <c r="L70" s="39"/>
      <c r="M70" s="138"/>
      <c r="N70" s="139"/>
      <c r="O70" s="140">
        <f t="shared" si="9"/>
        <v>1</v>
      </c>
      <c r="P70" s="140"/>
      <c r="Q70" s="142"/>
      <c r="R70" s="142"/>
      <c r="S70" s="371" t="s">
        <v>946</v>
      </c>
    </row>
    <row r="71" spans="1:19" s="143" customFormat="1" ht="19.149999999999999" customHeight="1" x14ac:dyDescent="0.25">
      <c r="A71" s="3"/>
      <c r="B71" s="263"/>
      <c r="C71" s="8"/>
      <c r="D71" s="150"/>
      <c r="E71" s="266" t="s">
        <v>62</v>
      </c>
      <c r="F71" s="267"/>
      <c r="G71" s="277"/>
      <c r="H71" s="278">
        <v>0</v>
      </c>
      <c r="I71" s="279" t="s">
        <v>18</v>
      </c>
      <c r="J71" s="292"/>
      <c r="K71" s="281">
        <f t="shared" si="8"/>
        <v>0</v>
      </c>
      <c r="L71" s="39"/>
      <c r="M71" s="138"/>
      <c r="N71" s="139"/>
      <c r="O71" s="140">
        <f t="shared" si="9"/>
        <v>1</v>
      </c>
      <c r="P71" s="140"/>
      <c r="Q71" s="142"/>
      <c r="R71" s="142"/>
      <c r="S71" s="371" t="s">
        <v>946</v>
      </c>
    </row>
    <row r="72" spans="1:19" s="143" customFormat="1" ht="19.149999999999999" customHeight="1" x14ac:dyDescent="0.25">
      <c r="A72" s="3"/>
      <c r="B72" s="263"/>
      <c r="C72" s="8"/>
      <c r="D72" s="150"/>
      <c r="E72" s="266" t="s">
        <v>63</v>
      </c>
      <c r="F72" s="267"/>
      <c r="G72" s="277"/>
      <c r="H72" s="278">
        <v>0</v>
      </c>
      <c r="I72" s="279" t="s">
        <v>21</v>
      </c>
      <c r="J72" s="292"/>
      <c r="K72" s="281">
        <f t="shared" si="8"/>
        <v>0</v>
      </c>
      <c r="L72" s="39"/>
      <c r="M72" s="138"/>
      <c r="N72" s="139"/>
      <c r="O72" s="140">
        <f t="shared" si="9"/>
        <v>1</v>
      </c>
      <c r="P72" s="140"/>
      <c r="Q72" s="142"/>
      <c r="R72" s="142"/>
      <c r="S72" s="371" t="s">
        <v>946</v>
      </c>
    </row>
    <row r="73" spans="1:19" s="143" customFormat="1" ht="19.149999999999999" customHeight="1" x14ac:dyDescent="0.25">
      <c r="A73" s="3"/>
      <c r="B73" s="263"/>
      <c r="C73" s="8"/>
      <c r="D73" s="150"/>
      <c r="E73" s="266" t="s">
        <v>64</v>
      </c>
      <c r="F73" s="267"/>
      <c r="G73" s="277"/>
      <c r="H73" s="278">
        <v>0</v>
      </c>
      <c r="I73" s="279" t="s">
        <v>21</v>
      </c>
      <c r="J73" s="292"/>
      <c r="K73" s="281">
        <f t="shared" si="8"/>
        <v>0</v>
      </c>
      <c r="L73" s="39"/>
      <c r="M73" s="138"/>
      <c r="N73" s="139"/>
      <c r="O73" s="140">
        <f t="shared" si="9"/>
        <v>1</v>
      </c>
      <c r="P73" s="140"/>
      <c r="Q73" s="142"/>
      <c r="R73" s="142"/>
      <c r="S73" s="371" t="s">
        <v>946</v>
      </c>
    </row>
    <row r="74" spans="1:19" s="143" customFormat="1" ht="19.149999999999999" customHeight="1" x14ac:dyDescent="0.25">
      <c r="A74" s="3"/>
      <c r="B74" s="299"/>
      <c r="C74" s="8"/>
      <c r="D74" s="150"/>
      <c r="E74" s="302" t="s">
        <v>465</v>
      </c>
      <c r="F74" s="303"/>
      <c r="G74" s="277"/>
      <c r="H74" s="278">
        <v>0</v>
      </c>
      <c r="I74" s="279" t="s">
        <v>21</v>
      </c>
      <c r="J74" s="292"/>
      <c r="K74" s="281">
        <f t="shared" si="8"/>
        <v>0</v>
      </c>
      <c r="L74" s="39"/>
      <c r="M74" s="138"/>
      <c r="N74" s="139"/>
      <c r="O74" s="140">
        <f t="shared" si="9"/>
        <v>0</v>
      </c>
      <c r="P74" s="140"/>
      <c r="Q74" s="145" t="s">
        <v>449</v>
      </c>
      <c r="R74" s="142"/>
      <c r="S74" s="371" t="s">
        <v>946</v>
      </c>
    </row>
    <row r="75" spans="1:19" s="143" customFormat="1" ht="19.149999999999999" customHeight="1" x14ac:dyDescent="0.25">
      <c r="A75" s="3"/>
      <c r="B75" s="299"/>
      <c r="C75" s="8"/>
      <c r="D75" s="150"/>
      <c r="E75" s="302" t="s">
        <v>466</v>
      </c>
      <c r="F75" s="303"/>
      <c r="G75" s="277"/>
      <c r="H75" s="278">
        <v>0</v>
      </c>
      <c r="I75" s="279" t="s">
        <v>18</v>
      </c>
      <c r="J75" s="292"/>
      <c r="K75" s="281">
        <f t="shared" si="8"/>
        <v>0</v>
      </c>
      <c r="L75" s="39"/>
      <c r="M75" s="138"/>
      <c r="N75" s="139"/>
      <c r="O75" s="140">
        <f t="shared" si="9"/>
        <v>0</v>
      </c>
      <c r="P75" s="140"/>
      <c r="Q75" s="145" t="s">
        <v>449</v>
      </c>
      <c r="R75" s="142"/>
      <c r="S75" s="371" t="s">
        <v>946</v>
      </c>
    </row>
    <row r="76" spans="1:19" s="143" customFormat="1" ht="19.149999999999999" customHeight="1" x14ac:dyDescent="0.25">
      <c r="A76" s="3"/>
      <c r="B76" s="299"/>
      <c r="C76" s="8"/>
      <c r="D76" s="150"/>
      <c r="E76" s="302" t="s">
        <v>467</v>
      </c>
      <c r="F76" s="303"/>
      <c r="G76" s="277"/>
      <c r="H76" s="278">
        <v>0</v>
      </c>
      <c r="I76" s="279" t="s">
        <v>18</v>
      </c>
      <c r="J76" s="292"/>
      <c r="K76" s="281">
        <f t="shared" si="8"/>
        <v>0</v>
      </c>
      <c r="L76" s="39"/>
      <c r="M76" s="138"/>
      <c r="N76" s="139"/>
      <c r="O76" s="140">
        <f t="shared" si="9"/>
        <v>0</v>
      </c>
      <c r="P76" s="140"/>
      <c r="Q76" s="145" t="s">
        <v>449</v>
      </c>
      <c r="R76" s="142"/>
      <c r="S76" s="371" t="s">
        <v>946</v>
      </c>
    </row>
    <row r="77" spans="1:19" s="143" customFormat="1" ht="19.149999999999999" customHeight="1" x14ac:dyDescent="0.25">
      <c r="A77" s="3"/>
      <c r="B77" s="299"/>
      <c r="C77" s="8"/>
      <c r="D77" s="150"/>
      <c r="E77" s="302" t="s">
        <v>468</v>
      </c>
      <c r="F77" s="303"/>
      <c r="G77" s="277"/>
      <c r="H77" s="278">
        <v>0</v>
      </c>
      <c r="I77" s="279" t="s">
        <v>18</v>
      </c>
      <c r="J77" s="292"/>
      <c r="K77" s="281">
        <f t="shared" si="8"/>
        <v>0</v>
      </c>
      <c r="L77" s="39"/>
      <c r="M77" s="138"/>
      <c r="N77" s="139"/>
      <c r="O77" s="140">
        <f t="shared" si="9"/>
        <v>0</v>
      </c>
      <c r="P77" s="140"/>
      <c r="Q77" s="145" t="s">
        <v>449</v>
      </c>
      <c r="R77" s="142"/>
      <c r="S77" s="371" t="s">
        <v>946</v>
      </c>
    </row>
    <row r="78" spans="1:19" s="143" customFormat="1" ht="19.149999999999999" customHeight="1" x14ac:dyDescent="0.25">
      <c r="A78" s="3"/>
      <c r="B78" s="299"/>
      <c r="C78" s="8"/>
      <c r="D78" s="150"/>
      <c r="E78" s="302" t="s">
        <v>469</v>
      </c>
      <c r="F78" s="303"/>
      <c r="G78" s="277"/>
      <c r="H78" s="278">
        <v>0</v>
      </c>
      <c r="I78" s="279" t="s">
        <v>18</v>
      </c>
      <c r="J78" s="292"/>
      <c r="K78" s="281">
        <f t="shared" si="8"/>
        <v>0</v>
      </c>
      <c r="L78" s="39"/>
      <c r="M78" s="138"/>
      <c r="N78" s="139"/>
      <c r="O78" s="140">
        <f t="shared" si="9"/>
        <v>0</v>
      </c>
      <c r="P78" s="140"/>
      <c r="Q78" s="145" t="s">
        <v>449</v>
      </c>
      <c r="R78" s="142"/>
      <c r="S78" s="371" t="s">
        <v>946</v>
      </c>
    </row>
    <row r="79" spans="1:19" s="143" customFormat="1" ht="19.149999999999999" customHeight="1" x14ac:dyDescent="0.25">
      <c r="A79" s="3"/>
      <c r="B79" s="299"/>
      <c r="C79" s="8"/>
      <c r="D79" s="150"/>
      <c r="E79" s="302" t="s">
        <v>470</v>
      </c>
      <c r="F79" s="303"/>
      <c r="G79" s="277"/>
      <c r="H79" s="278">
        <v>0</v>
      </c>
      <c r="I79" s="279" t="s">
        <v>18</v>
      </c>
      <c r="J79" s="292"/>
      <c r="K79" s="281">
        <f t="shared" si="8"/>
        <v>0</v>
      </c>
      <c r="L79" s="39"/>
      <c r="M79" s="138"/>
      <c r="N79" s="139"/>
      <c r="O79" s="140">
        <f t="shared" si="9"/>
        <v>0</v>
      </c>
      <c r="P79" s="140"/>
      <c r="Q79" s="145" t="s">
        <v>449</v>
      </c>
      <c r="R79" s="142"/>
      <c r="S79" s="371" t="s">
        <v>946</v>
      </c>
    </row>
    <row r="80" spans="1:19" s="143" customFormat="1" ht="19.149999999999999" customHeight="1" x14ac:dyDescent="0.25">
      <c r="A80" s="3"/>
      <c r="B80" s="299"/>
      <c r="C80" s="8"/>
      <c r="D80" s="150"/>
      <c r="E80" s="302" t="s">
        <v>471</v>
      </c>
      <c r="F80" s="303"/>
      <c r="G80" s="277"/>
      <c r="H80" s="278">
        <v>0</v>
      </c>
      <c r="I80" s="279" t="s">
        <v>18</v>
      </c>
      <c r="J80" s="292"/>
      <c r="K80" s="281">
        <f t="shared" si="8"/>
        <v>0</v>
      </c>
      <c r="L80" s="39"/>
      <c r="M80" s="138"/>
      <c r="N80" s="139"/>
      <c r="O80" s="140">
        <f t="shared" si="9"/>
        <v>0</v>
      </c>
      <c r="P80" s="140"/>
      <c r="Q80" s="145" t="s">
        <v>449</v>
      </c>
      <c r="R80" s="142"/>
      <c r="S80" s="371" t="s">
        <v>946</v>
      </c>
    </row>
    <row r="81" spans="1:19" s="143" customFormat="1" ht="19.149999999999999" customHeight="1" x14ac:dyDescent="0.25">
      <c r="A81" s="3"/>
      <c r="B81" s="299"/>
      <c r="C81" s="8"/>
      <c r="D81" s="150"/>
      <c r="E81" s="302" t="s">
        <v>472</v>
      </c>
      <c r="F81" s="303"/>
      <c r="G81" s="277"/>
      <c r="H81" s="278">
        <v>0</v>
      </c>
      <c r="I81" s="279" t="s">
        <v>18</v>
      </c>
      <c r="J81" s="292"/>
      <c r="K81" s="281">
        <f t="shared" si="8"/>
        <v>0</v>
      </c>
      <c r="L81" s="39"/>
      <c r="M81" s="138"/>
      <c r="N81" s="139"/>
      <c r="O81" s="140">
        <f t="shared" si="9"/>
        <v>0</v>
      </c>
      <c r="P81" s="140"/>
      <c r="Q81" s="145" t="s">
        <v>449</v>
      </c>
      <c r="R81" s="142"/>
      <c r="S81" s="371" t="s">
        <v>946</v>
      </c>
    </row>
    <row r="82" spans="1:19" s="143" customFormat="1" ht="19.149999999999999" customHeight="1" x14ac:dyDescent="0.25">
      <c r="A82" s="3"/>
      <c r="B82" s="263"/>
      <c r="C82" s="8"/>
      <c r="D82" s="150"/>
      <c r="E82" s="266" t="s">
        <v>65</v>
      </c>
      <c r="F82" s="267"/>
      <c r="G82" s="277"/>
      <c r="H82" s="278">
        <v>0</v>
      </c>
      <c r="I82" s="279" t="s">
        <v>21</v>
      </c>
      <c r="J82" s="292"/>
      <c r="K82" s="281">
        <f t="shared" si="8"/>
        <v>0</v>
      </c>
      <c r="L82" s="39"/>
      <c r="M82" s="138"/>
      <c r="N82" s="139"/>
      <c r="O82" s="140">
        <f t="shared" si="9"/>
        <v>1</v>
      </c>
      <c r="P82" s="140"/>
      <c r="Q82" s="142"/>
      <c r="R82" s="142"/>
      <c r="S82" s="371" t="s">
        <v>946</v>
      </c>
    </row>
    <row r="83" spans="1:19" s="143" customFormat="1" ht="19.149999999999999" customHeight="1" thickBot="1" x14ac:dyDescent="0.3">
      <c r="A83" s="3"/>
      <c r="B83" s="263"/>
      <c r="C83" s="8"/>
      <c r="D83" s="150"/>
      <c r="E83" s="340" t="s">
        <v>66</v>
      </c>
      <c r="F83" s="341"/>
      <c r="G83" s="277"/>
      <c r="H83" s="278">
        <v>0</v>
      </c>
      <c r="I83" s="279" t="s">
        <v>18</v>
      </c>
      <c r="J83" s="291">
        <v>100</v>
      </c>
      <c r="K83" s="281">
        <f t="shared" si="8"/>
        <v>0</v>
      </c>
      <c r="L83" s="39"/>
      <c r="M83" s="138"/>
      <c r="N83" s="139"/>
      <c r="O83" s="140">
        <f t="shared" si="9"/>
        <v>1</v>
      </c>
      <c r="P83" s="140"/>
      <c r="Q83" s="142"/>
      <c r="R83" s="142"/>
      <c r="S83" s="371" t="s">
        <v>946</v>
      </c>
    </row>
    <row r="84" spans="1:19" ht="15.75" thickBot="1" x14ac:dyDescent="0.25">
      <c r="A84" s="2"/>
      <c r="B84" s="53"/>
      <c r="C84" s="34"/>
      <c r="D84" s="25"/>
      <c r="E84" s="288"/>
      <c r="F84" s="289"/>
      <c r="G84" s="282"/>
      <c r="H84" s="283"/>
      <c r="I84" s="284"/>
      <c r="J84" s="290"/>
      <c r="K84" s="276"/>
      <c r="L84" s="20"/>
      <c r="M84" s="73"/>
      <c r="N84" s="42"/>
      <c r="O84" s="43" t="s">
        <v>276</v>
      </c>
    </row>
    <row r="85" spans="1:19" ht="24" customHeight="1" thickBot="1" x14ac:dyDescent="0.25">
      <c r="A85" s="2"/>
      <c r="B85" s="53"/>
      <c r="C85" s="34"/>
      <c r="D85" s="25"/>
      <c r="E85" s="128" t="s">
        <v>67</v>
      </c>
      <c r="F85" s="129"/>
      <c r="G85" s="129"/>
      <c r="H85" s="129"/>
      <c r="I85" s="129"/>
      <c r="J85" s="130"/>
      <c r="K85" s="197">
        <f>SUMIF(O86:O95,1,K86:K95)</f>
        <v>0</v>
      </c>
      <c r="L85" s="20"/>
      <c r="M85" s="73"/>
      <c r="N85" s="42"/>
      <c r="O85" s="43" t="s">
        <v>275</v>
      </c>
    </row>
    <row r="86" spans="1:19" s="143" customFormat="1" ht="19.149999999999999" customHeight="1" x14ac:dyDescent="0.25">
      <c r="A86" s="3"/>
      <c r="B86" s="263"/>
      <c r="C86" s="8"/>
      <c r="D86" s="135"/>
      <c r="E86" s="215" t="s">
        <v>68</v>
      </c>
      <c r="F86" s="216"/>
      <c r="G86" s="154"/>
      <c r="H86" s="217">
        <v>0</v>
      </c>
      <c r="I86" s="218" t="s">
        <v>69</v>
      </c>
      <c r="J86" s="219">
        <v>12</v>
      </c>
      <c r="K86" s="220">
        <f t="shared" ref="K86:K94" si="10">SUM(H86*J86)</f>
        <v>0</v>
      </c>
      <c r="L86" s="39"/>
      <c r="M86" s="138"/>
      <c r="N86" s="139"/>
      <c r="O86" s="140">
        <f t="shared" ref="O86:O94" si="11">OR(NOT(ISERROR(SEARCH($F$5,Q86))),Q86=0)*OR(NOT(ISERROR(SEARCH($F$6,R86))),R86=0)</f>
        <v>1</v>
      </c>
      <c r="P86" s="140"/>
      <c r="Q86" s="142"/>
      <c r="R86" s="142"/>
      <c r="S86" s="371" t="s">
        <v>949</v>
      </c>
    </row>
    <row r="87" spans="1:19" s="143" customFormat="1" ht="19.149999999999999" customHeight="1" x14ac:dyDescent="0.25">
      <c r="A87" s="3"/>
      <c r="B87" s="263"/>
      <c r="C87" s="8"/>
      <c r="D87" s="135"/>
      <c r="E87" s="719" t="s">
        <v>70</v>
      </c>
      <c r="F87" s="720"/>
      <c r="G87" s="144"/>
      <c r="H87" s="185">
        <v>0</v>
      </c>
      <c r="I87" s="188" t="s">
        <v>59</v>
      </c>
      <c r="J87" s="207">
        <v>10</v>
      </c>
      <c r="K87" s="193">
        <f t="shared" si="10"/>
        <v>0</v>
      </c>
      <c r="L87" s="39"/>
      <c r="M87" s="138"/>
      <c r="N87" s="139"/>
      <c r="O87" s="140">
        <f t="shared" si="11"/>
        <v>1</v>
      </c>
      <c r="P87" s="140"/>
      <c r="Q87" s="142"/>
      <c r="R87" s="142"/>
      <c r="S87" s="371" t="s">
        <v>949</v>
      </c>
    </row>
    <row r="88" spans="1:19" s="143" customFormat="1" ht="19.149999999999999" customHeight="1" x14ac:dyDescent="0.25">
      <c r="A88" s="3"/>
      <c r="B88" s="263"/>
      <c r="C88" s="8"/>
      <c r="D88" s="135"/>
      <c r="E88" s="266" t="s">
        <v>431</v>
      </c>
      <c r="F88" s="267"/>
      <c r="G88" s="277"/>
      <c r="H88" s="278">
        <v>0</v>
      </c>
      <c r="I88" s="279" t="s">
        <v>59</v>
      </c>
      <c r="J88" s="291">
        <v>18</v>
      </c>
      <c r="K88" s="281">
        <f t="shared" si="10"/>
        <v>0</v>
      </c>
      <c r="L88" s="39"/>
      <c r="M88" s="138"/>
      <c r="N88" s="139"/>
      <c r="O88" s="140">
        <f t="shared" si="11"/>
        <v>1</v>
      </c>
      <c r="P88" s="140"/>
      <c r="Q88" s="142"/>
      <c r="R88" s="142"/>
      <c r="S88" s="371" t="s">
        <v>949</v>
      </c>
    </row>
    <row r="89" spans="1:19" s="143" customFormat="1" ht="19.149999999999999" customHeight="1" x14ac:dyDescent="0.25">
      <c r="A89" s="3"/>
      <c r="B89" s="299"/>
      <c r="C89" s="8"/>
      <c r="D89" s="135"/>
      <c r="E89" s="302" t="s">
        <v>473</v>
      </c>
      <c r="F89" s="303"/>
      <c r="G89" s="277"/>
      <c r="H89" s="278">
        <v>0</v>
      </c>
      <c r="I89" s="279" t="s">
        <v>59</v>
      </c>
      <c r="J89" s="291">
        <v>18</v>
      </c>
      <c r="K89" s="281">
        <f t="shared" si="10"/>
        <v>0</v>
      </c>
      <c r="L89" s="39"/>
      <c r="M89" s="138"/>
      <c r="N89" s="139"/>
      <c r="O89" s="140">
        <f t="shared" si="11"/>
        <v>0</v>
      </c>
      <c r="P89" s="140"/>
      <c r="Q89" s="145" t="s">
        <v>449</v>
      </c>
      <c r="R89" s="142"/>
      <c r="S89" s="371" t="s">
        <v>949</v>
      </c>
    </row>
    <row r="90" spans="1:19" s="143" customFormat="1" ht="19.149999999999999" customHeight="1" x14ac:dyDescent="0.25">
      <c r="A90" s="3"/>
      <c r="B90" s="299"/>
      <c r="C90" s="8"/>
      <c r="D90" s="135"/>
      <c r="E90" s="302" t="s">
        <v>474</v>
      </c>
      <c r="F90" s="303"/>
      <c r="G90" s="277"/>
      <c r="H90" s="278">
        <v>0</v>
      </c>
      <c r="I90" s="279" t="s">
        <v>59</v>
      </c>
      <c r="J90" s="291">
        <v>18</v>
      </c>
      <c r="K90" s="281">
        <f t="shared" si="10"/>
        <v>0</v>
      </c>
      <c r="L90" s="39"/>
      <c r="M90" s="138"/>
      <c r="N90" s="139"/>
      <c r="O90" s="140">
        <f t="shared" si="11"/>
        <v>0</v>
      </c>
      <c r="P90" s="140"/>
      <c r="Q90" s="145" t="s">
        <v>449</v>
      </c>
      <c r="R90" s="142"/>
      <c r="S90" s="371" t="s">
        <v>949</v>
      </c>
    </row>
    <row r="91" spans="1:19" s="143" customFormat="1" ht="19.149999999999999" customHeight="1" x14ac:dyDescent="0.25">
      <c r="A91" s="3"/>
      <c r="B91" s="263"/>
      <c r="C91" s="8"/>
      <c r="D91" s="135"/>
      <c r="E91" s="266" t="s">
        <v>71</v>
      </c>
      <c r="F91" s="267"/>
      <c r="G91" s="277"/>
      <c r="H91" s="278">
        <v>0</v>
      </c>
      <c r="I91" s="279" t="s">
        <v>54</v>
      </c>
      <c r="J91" s="291">
        <v>500</v>
      </c>
      <c r="K91" s="281">
        <f t="shared" si="10"/>
        <v>0</v>
      </c>
      <c r="L91" s="39"/>
      <c r="M91" s="138"/>
      <c r="N91" s="139"/>
      <c r="O91" s="140">
        <f t="shared" si="11"/>
        <v>1</v>
      </c>
      <c r="P91" s="140"/>
      <c r="Q91" s="142"/>
      <c r="R91" s="142"/>
      <c r="S91" s="371" t="s">
        <v>949</v>
      </c>
    </row>
    <row r="92" spans="1:19" s="143" customFormat="1" ht="19.149999999999999" customHeight="1" x14ac:dyDescent="0.25">
      <c r="A92" s="3"/>
      <c r="B92" s="263"/>
      <c r="C92" s="8"/>
      <c r="D92" s="135"/>
      <c r="E92" s="266" t="s">
        <v>73</v>
      </c>
      <c r="F92" s="267"/>
      <c r="G92" s="277"/>
      <c r="H92" s="278">
        <v>0</v>
      </c>
      <c r="I92" s="279" t="s">
        <v>36</v>
      </c>
      <c r="J92" s="291">
        <v>0</v>
      </c>
      <c r="K92" s="281">
        <f t="shared" si="10"/>
        <v>0</v>
      </c>
      <c r="L92" s="39"/>
      <c r="M92" s="138"/>
      <c r="N92" s="139"/>
      <c r="O92" s="140">
        <f t="shared" si="11"/>
        <v>1</v>
      </c>
      <c r="P92" s="140"/>
      <c r="Q92" s="142"/>
      <c r="R92" s="142"/>
      <c r="S92" s="371" t="s">
        <v>949</v>
      </c>
    </row>
    <row r="93" spans="1:19" s="143" customFormat="1" ht="19.149999999999999" customHeight="1" x14ac:dyDescent="0.25">
      <c r="A93" s="3"/>
      <c r="B93" s="263"/>
      <c r="C93" s="8"/>
      <c r="D93" s="135"/>
      <c r="E93" s="266" t="s">
        <v>74</v>
      </c>
      <c r="F93" s="267"/>
      <c r="G93" s="277"/>
      <c r="H93" s="278">
        <v>0</v>
      </c>
      <c r="I93" s="279" t="s">
        <v>59</v>
      </c>
      <c r="J93" s="291">
        <v>0</v>
      </c>
      <c r="K93" s="281">
        <f t="shared" si="10"/>
        <v>0</v>
      </c>
      <c r="L93" s="39"/>
      <c r="M93" s="138"/>
      <c r="N93" s="139"/>
      <c r="O93" s="140">
        <f t="shared" si="11"/>
        <v>1</v>
      </c>
      <c r="P93" s="140"/>
      <c r="Q93" s="142"/>
      <c r="R93" s="142"/>
      <c r="S93" s="371" t="s">
        <v>949</v>
      </c>
    </row>
    <row r="94" spans="1:19" s="143" customFormat="1" ht="19.149999999999999" customHeight="1" thickBot="1" x14ac:dyDescent="0.3">
      <c r="A94" s="3"/>
      <c r="B94" s="263"/>
      <c r="C94" s="8"/>
      <c r="D94" s="135"/>
      <c r="E94" s="726" t="s">
        <v>75</v>
      </c>
      <c r="F94" s="727"/>
      <c r="G94" s="277"/>
      <c r="H94" s="278">
        <v>0</v>
      </c>
      <c r="I94" s="279" t="s">
        <v>39</v>
      </c>
      <c r="J94" s="291">
        <v>0</v>
      </c>
      <c r="K94" s="281">
        <f t="shared" si="10"/>
        <v>0</v>
      </c>
      <c r="L94" s="39"/>
      <c r="M94" s="138"/>
      <c r="N94" s="139"/>
      <c r="O94" s="140">
        <f t="shared" si="11"/>
        <v>1</v>
      </c>
      <c r="P94" s="140"/>
      <c r="Q94" s="142"/>
      <c r="R94" s="142"/>
      <c r="S94" s="371" t="s">
        <v>949</v>
      </c>
    </row>
    <row r="95" spans="1:19" ht="15.75" thickBot="1" x14ac:dyDescent="0.25">
      <c r="A95" s="2"/>
      <c r="B95" s="53"/>
      <c r="C95" s="34"/>
      <c r="D95" s="25"/>
      <c r="E95" s="288"/>
      <c r="F95" s="289"/>
      <c r="G95" s="282"/>
      <c r="H95" s="283"/>
      <c r="I95" s="284"/>
      <c r="J95" s="290"/>
      <c r="K95" s="276"/>
      <c r="L95" s="20"/>
      <c r="M95" s="73"/>
      <c r="N95" s="42"/>
      <c r="O95" s="43" t="s">
        <v>276</v>
      </c>
    </row>
    <row r="96" spans="1:19" ht="24" customHeight="1" thickBot="1" x14ac:dyDescent="0.25">
      <c r="A96" s="2"/>
      <c r="B96" s="53"/>
      <c r="C96" s="34"/>
      <c r="D96" s="24"/>
      <c r="E96" s="128" t="s">
        <v>77</v>
      </c>
      <c r="F96" s="129"/>
      <c r="G96" s="129"/>
      <c r="H96" s="129"/>
      <c r="I96" s="129"/>
      <c r="J96" s="130"/>
      <c r="K96" s="197">
        <f>SUMIF(O97:O105,1,K97:K105)</f>
        <v>0</v>
      </c>
      <c r="L96" s="20"/>
      <c r="M96" s="73"/>
      <c r="N96" s="42"/>
      <c r="O96" s="43" t="s">
        <v>275</v>
      </c>
    </row>
    <row r="97" spans="1:19" s="143" customFormat="1" ht="19.149999999999999" customHeight="1" x14ac:dyDescent="0.25">
      <c r="A97" s="3"/>
      <c r="B97" s="263"/>
      <c r="C97" s="8"/>
      <c r="D97" s="135"/>
      <c r="E97" s="182" t="s">
        <v>78</v>
      </c>
      <c r="F97" s="221"/>
      <c r="G97" s="137"/>
      <c r="H97" s="184">
        <v>0</v>
      </c>
      <c r="I97" s="187" t="s">
        <v>54</v>
      </c>
      <c r="J97" s="190">
        <v>200</v>
      </c>
      <c r="K97" s="191">
        <f>SUM(H97*J97)</f>
        <v>0</v>
      </c>
      <c r="L97" s="39"/>
      <c r="M97" s="138"/>
      <c r="N97" s="139"/>
      <c r="O97" s="140">
        <f t="shared" ref="O97:O104" si="12">OR(NOT(ISERROR(SEARCH($F$5,Q97))),Q97=0)*OR(NOT(ISERROR(SEARCH($F$6,R97))),R97=0)</f>
        <v>1</v>
      </c>
      <c r="P97" s="140"/>
      <c r="Q97" s="142"/>
      <c r="R97" s="142"/>
      <c r="S97" s="371" t="s">
        <v>946</v>
      </c>
    </row>
    <row r="98" spans="1:19" s="143" customFormat="1" ht="19.149999999999999" customHeight="1" x14ac:dyDescent="0.25">
      <c r="A98" s="3"/>
      <c r="B98" s="263"/>
      <c r="C98" s="8"/>
      <c r="D98" s="135"/>
      <c r="E98" s="266" t="s">
        <v>79</v>
      </c>
      <c r="F98" s="267"/>
      <c r="G98" s="277"/>
      <c r="H98" s="278">
        <v>0</v>
      </c>
      <c r="I98" s="279" t="s">
        <v>18</v>
      </c>
      <c r="J98" s="291">
        <v>0</v>
      </c>
      <c r="K98" s="281"/>
      <c r="L98" s="39"/>
      <c r="M98" s="138"/>
      <c r="N98" s="139"/>
      <c r="O98" s="140">
        <f t="shared" si="12"/>
        <v>1</v>
      </c>
      <c r="P98" s="140"/>
      <c r="Q98" s="142"/>
      <c r="R98" s="142"/>
      <c r="S98" s="371" t="s">
        <v>946</v>
      </c>
    </row>
    <row r="99" spans="1:19" s="143" customFormat="1" ht="19.149999999999999" customHeight="1" x14ac:dyDescent="0.25">
      <c r="A99" s="3"/>
      <c r="B99" s="263"/>
      <c r="C99" s="8"/>
      <c r="D99" s="135"/>
      <c r="E99" s="266" t="s">
        <v>80</v>
      </c>
      <c r="F99" s="267"/>
      <c r="G99" s="277"/>
      <c r="H99" s="278">
        <v>0</v>
      </c>
      <c r="I99" s="279" t="s">
        <v>21</v>
      </c>
      <c r="J99" s="291">
        <v>0</v>
      </c>
      <c r="K99" s="281"/>
      <c r="L99" s="39"/>
      <c r="M99" s="138"/>
      <c r="N99" s="139"/>
      <c r="O99" s="140">
        <f t="shared" si="12"/>
        <v>1</v>
      </c>
      <c r="P99" s="140"/>
      <c r="Q99" s="142"/>
      <c r="R99" s="142"/>
      <c r="S99" s="371" t="s">
        <v>946</v>
      </c>
    </row>
    <row r="100" spans="1:19" s="143" customFormat="1" ht="19.149999999999999" customHeight="1" x14ac:dyDescent="0.25">
      <c r="A100" s="3"/>
      <c r="B100" s="263"/>
      <c r="C100" s="8"/>
      <c r="D100" s="135"/>
      <c r="E100" s="266" t="s">
        <v>432</v>
      </c>
      <c r="F100" s="267"/>
      <c r="G100" s="277"/>
      <c r="H100" s="278">
        <v>0</v>
      </c>
      <c r="I100" s="279" t="s">
        <v>54</v>
      </c>
      <c r="J100" s="291">
        <v>200</v>
      </c>
      <c r="K100" s="281"/>
      <c r="L100" s="39"/>
      <c r="M100" s="138"/>
      <c r="N100" s="139"/>
      <c r="O100" s="140">
        <f t="shared" si="12"/>
        <v>1</v>
      </c>
      <c r="P100" s="140"/>
      <c r="Q100" s="145" t="s">
        <v>460</v>
      </c>
      <c r="R100" s="142"/>
      <c r="S100" s="371" t="s">
        <v>946</v>
      </c>
    </row>
    <row r="101" spans="1:19" s="143" customFormat="1" ht="19.149999999999999" customHeight="1" x14ac:dyDescent="0.25">
      <c r="A101" s="3"/>
      <c r="B101" s="263"/>
      <c r="C101" s="8"/>
      <c r="D101" s="135"/>
      <c r="E101" s="266" t="s">
        <v>433</v>
      </c>
      <c r="F101" s="267"/>
      <c r="G101" s="277"/>
      <c r="H101" s="278">
        <v>0</v>
      </c>
      <c r="I101" s="279" t="s">
        <v>54</v>
      </c>
      <c r="J101" s="291">
        <v>750</v>
      </c>
      <c r="K101" s="281"/>
      <c r="L101" s="39"/>
      <c r="M101" s="138"/>
      <c r="N101" s="139"/>
      <c r="O101" s="140">
        <f t="shared" si="12"/>
        <v>1</v>
      </c>
      <c r="P101" s="140"/>
      <c r="Q101" s="145" t="s">
        <v>460</v>
      </c>
      <c r="R101" s="142"/>
      <c r="S101" s="371" t="s">
        <v>946</v>
      </c>
    </row>
    <row r="102" spans="1:19" s="143" customFormat="1" ht="19.149999999999999" customHeight="1" x14ac:dyDescent="0.25">
      <c r="A102" s="3"/>
      <c r="B102" s="263"/>
      <c r="C102" s="8"/>
      <c r="D102" s="135"/>
      <c r="E102" s="266" t="s">
        <v>81</v>
      </c>
      <c r="F102" s="267"/>
      <c r="G102" s="277"/>
      <c r="H102" s="278">
        <v>0</v>
      </c>
      <c r="I102" s="279" t="s">
        <v>54</v>
      </c>
      <c r="J102" s="291">
        <v>5000</v>
      </c>
      <c r="K102" s="281"/>
      <c r="L102" s="39"/>
      <c r="M102" s="138"/>
      <c r="N102" s="139"/>
      <c r="O102" s="140">
        <f t="shared" si="12"/>
        <v>1</v>
      </c>
      <c r="P102" s="140"/>
      <c r="Q102" s="145" t="s">
        <v>460</v>
      </c>
      <c r="R102" s="142"/>
      <c r="S102" s="371" t="s">
        <v>946</v>
      </c>
    </row>
    <row r="103" spans="1:19" s="143" customFormat="1" ht="19.149999999999999" customHeight="1" x14ac:dyDescent="0.25">
      <c r="A103" s="3"/>
      <c r="B103" s="263"/>
      <c r="C103" s="8"/>
      <c r="D103" s="135"/>
      <c r="E103" s="266" t="s">
        <v>434</v>
      </c>
      <c r="F103" s="267"/>
      <c r="G103" s="277"/>
      <c r="H103" s="278">
        <v>0</v>
      </c>
      <c r="I103" s="279" t="s">
        <v>54</v>
      </c>
      <c r="J103" s="291">
        <v>25000</v>
      </c>
      <c r="K103" s="281"/>
      <c r="L103" s="39"/>
      <c r="M103" s="138"/>
      <c r="N103" s="139"/>
      <c r="O103" s="140">
        <f t="shared" si="12"/>
        <v>1</v>
      </c>
      <c r="P103" s="140"/>
      <c r="Q103" s="145" t="s">
        <v>460</v>
      </c>
      <c r="R103" s="142"/>
      <c r="S103" s="371" t="s">
        <v>946</v>
      </c>
    </row>
    <row r="104" spans="1:19" s="143" customFormat="1" ht="19.149999999999999" customHeight="1" thickBot="1" x14ac:dyDescent="0.3">
      <c r="A104" s="3"/>
      <c r="B104" s="263"/>
      <c r="C104" s="8"/>
      <c r="D104" s="135"/>
      <c r="E104" s="340" t="s">
        <v>435</v>
      </c>
      <c r="F104" s="341"/>
      <c r="G104" s="277"/>
      <c r="H104" s="278">
        <v>0</v>
      </c>
      <c r="I104" s="279" t="s">
        <v>21</v>
      </c>
      <c r="J104" s="280">
        <v>0</v>
      </c>
      <c r="K104" s="281">
        <f>SUM(H104*J104)</f>
        <v>0</v>
      </c>
      <c r="L104" s="39"/>
      <c r="M104" s="138"/>
      <c r="N104" s="139"/>
      <c r="O104" s="140">
        <f t="shared" si="12"/>
        <v>1</v>
      </c>
      <c r="P104" s="140"/>
      <c r="Q104" s="142"/>
      <c r="R104" s="142"/>
      <c r="S104" s="371" t="s">
        <v>946</v>
      </c>
    </row>
    <row r="105" spans="1:19" ht="7.9" customHeight="1" x14ac:dyDescent="0.2">
      <c r="A105" s="2"/>
      <c r="B105" s="53"/>
      <c r="C105" s="34"/>
      <c r="D105" s="25"/>
      <c r="E105" s="307"/>
      <c r="F105" s="307"/>
      <c r="G105" s="307"/>
      <c r="H105" s="308"/>
      <c r="I105" s="306"/>
      <c r="J105" s="309"/>
      <c r="K105" s="310"/>
      <c r="L105" s="20"/>
      <c r="M105" s="73"/>
      <c r="N105" s="42"/>
      <c r="O105" s="43" t="s">
        <v>276</v>
      </c>
    </row>
    <row r="106" spans="1:19" ht="7.9" customHeight="1" thickBot="1" x14ac:dyDescent="0.25">
      <c r="A106" s="2"/>
      <c r="B106" s="53"/>
      <c r="C106" s="34"/>
      <c r="D106" s="20"/>
      <c r="E106" s="20"/>
      <c r="F106" s="20"/>
      <c r="G106" s="20"/>
      <c r="H106" s="20"/>
      <c r="I106" s="20"/>
      <c r="J106" s="49"/>
      <c r="K106" s="20"/>
      <c r="L106" s="20"/>
      <c r="M106" s="73"/>
      <c r="N106" s="42"/>
    </row>
    <row r="107" spans="1:19" ht="24" customHeight="1" thickBot="1" x14ac:dyDescent="0.25">
      <c r="A107" s="2"/>
      <c r="B107" s="53"/>
      <c r="C107" s="34"/>
      <c r="D107" s="24"/>
      <c r="E107" s="128" t="s">
        <v>436</v>
      </c>
      <c r="F107" s="129"/>
      <c r="G107" s="129"/>
      <c r="H107" s="129"/>
      <c r="I107" s="129"/>
      <c r="J107" s="130"/>
      <c r="K107" s="197">
        <f>SUMIF(O108:O110,1,K108:K110)</f>
        <v>0</v>
      </c>
      <c r="L107" s="20"/>
      <c r="M107" s="73"/>
      <c r="N107" s="42"/>
      <c r="O107" s="43" t="s">
        <v>275</v>
      </c>
    </row>
    <row r="108" spans="1:19" s="143" customFormat="1" ht="19.149999999999999" customHeight="1" x14ac:dyDescent="0.25">
      <c r="A108" s="3"/>
      <c r="B108" s="263"/>
      <c r="C108" s="8"/>
      <c r="D108" s="135"/>
      <c r="E108" s="182" t="s">
        <v>82</v>
      </c>
      <c r="F108" s="221"/>
      <c r="G108" s="137"/>
      <c r="H108" s="184">
        <v>0</v>
      </c>
      <c r="I108" s="187" t="s">
        <v>18</v>
      </c>
      <c r="J108" s="190">
        <v>0</v>
      </c>
      <c r="K108" s="191">
        <f>SUM(H108*J108)</f>
        <v>0</v>
      </c>
      <c r="L108" s="39"/>
      <c r="M108" s="138"/>
      <c r="N108" s="139"/>
      <c r="O108" s="140">
        <f>OR(NOT(ISERROR(SEARCH($F$5,Q108))),Q108=0)*OR(NOT(ISERROR(SEARCH($F$6,R108))),R108=0)</f>
        <v>1</v>
      </c>
      <c r="P108" s="140"/>
      <c r="Q108" s="142"/>
      <c r="R108" s="142"/>
      <c r="S108" s="371" t="s">
        <v>946</v>
      </c>
    </row>
    <row r="109" spans="1:19" s="143" customFormat="1" ht="19.149999999999999" customHeight="1" thickBot="1" x14ac:dyDescent="0.3">
      <c r="A109" s="3"/>
      <c r="B109" s="263"/>
      <c r="C109" s="8"/>
      <c r="D109" s="135"/>
      <c r="E109" s="340" t="s">
        <v>83</v>
      </c>
      <c r="F109" s="341"/>
      <c r="G109" s="277"/>
      <c r="H109" s="278">
        <v>0</v>
      </c>
      <c r="I109" s="279" t="s">
        <v>76</v>
      </c>
      <c r="J109" s="280">
        <v>0</v>
      </c>
      <c r="K109" s="281">
        <f>SUM(H109*J109)</f>
        <v>0</v>
      </c>
      <c r="L109" s="39"/>
      <c r="M109" s="138"/>
      <c r="N109" s="139"/>
      <c r="O109" s="140">
        <f>OR(NOT(ISERROR(SEARCH($F$5,Q109))),Q109=0)*OR(NOT(ISERROR(SEARCH($F$6,R109))),R109=0)</f>
        <v>1</v>
      </c>
      <c r="P109" s="140"/>
      <c r="Q109" s="142"/>
      <c r="R109" s="142"/>
      <c r="S109" s="371" t="s">
        <v>946</v>
      </c>
    </row>
    <row r="110" spans="1:19" ht="7.9" customHeight="1" x14ac:dyDescent="0.2">
      <c r="A110" s="2"/>
      <c r="B110" s="53"/>
      <c r="C110" s="34"/>
      <c r="D110" s="25"/>
      <c r="E110" s="307"/>
      <c r="F110" s="307"/>
      <c r="G110" s="307"/>
      <c r="H110" s="308"/>
      <c r="I110" s="306"/>
      <c r="J110" s="309"/>
      <c r="K110" s="310"/>
      <c r="L110" s="20"/>
      <c r="M110" s="73"/>
      <c r="N110" s="42"/>
      <c r="O110" s="43" t="s">
        <v>276</v>
      </c>
    </row>
    <row r="111" spans="1:19" ht="7.9" customHeight="1" thickBot="1" x14ac:dyDescent="0.25">
      <c r="A111" s="2"/>
      <c r="B111" s="53"/>
      <c r="C111" s="34"/>
      <c r="D111" s="20"/>
      <c r="E111" s="20"/>
      <c r="F111" s="20"/>
      <c r="G111" s="20"/>
      <c r="H111" s="20"/>
      <c r="I111" s="20"/>
      <c r="J111" s="49"/>
      <c r="K111" s="20"/>
      <c r="L111" s="20"/>
      <c r="M111" s="73"/>
      <c r="N111" s="42"/>
    </row>
    <row r="112" spans="1:19" ht="24" customHeight="1" thickBot="1" x14ac:dyDescent="0.25">
      <c r="A112" s="2"/>
      <c r="B112" s="53"/>
      <c r="C112" s="34"/>
      <c r="D112" s="24"/>
      <c r="E112" s="128" t="s">
        <v>84</v>
      </c>
      <c r="F112" s="129"/>
      <c r="G112" s="129"/>
      <c r="H112" s="129"/>
      <c r="I112" s="129"/>
      <c r="J112" s="130"/>
      <c r="K112" s="197">
        <f>SUMIF(O113:O117,1,K113:K117)</f>
        <v>0</v>
      </c>
      <c r="L112" s="20"/>
      <c r="M112" s="73"/>
      <c r="N112" s="42"/>
      <c r="O112" s="43" t="s">
        <v>275</v>
      </c>
    </row>
    <row r="113" spans="1:19" s="143" customFormat="1" ht="19.149999999999999" customHeight="1" x14ac:dyDescent="0.25">
      <c r="A113" s="3"/>
      <c r="B113" s="263"/>
      <c r="C113" s="8"/>
      <c r="D113" s="135"/>
      <c r="E113" s="182" t="s">
        <v>85</v>
      </c>
      <c r="F113" s="221"/>
      <c r="G113" s="137"/>
      <c r="H113" s="184">
        <v>0</v>
      </c>
      <c r="I113" s="187" t="s">
        <v>18</v>
      </c>
      <c r="J113" s="190">
        <v>2000</v>
      </c>
      <c r="K113" s="191">
        <f>SUM(H113*J113)</f>
        <v>0</v>
      </c>
      <c r="L113" s="39"/>
      <c r="M113" s="138"/>
      <c r="N113" s="139"/>
      <c r="O113" s="140">
        <f>OR(NOT(ISERROR(SEARCH($F$5,Q113))),Q113=0)*OR(NOT(ISERROR(SEARCH($F$6,R113))),R113=0)</f>
        <v>1</v>
      </c>
      <c r="P113" s="140"/>
      <c r="Q113" s="142"/>
      <c r="R113" s="142"/>
      <c r="S113" s="371" t="s">
        <v>505</v>
      </c>
    </row>
    <row r="114" spans="1:19" s="143" customFormat="1" ht="19.149999999999999" customHeight="1" x14ac:dyDescent="0.25">
      <c r="A114" s="3"/>
      <c r="B114" s="263"/>
      <c r="C114" s="8"/>
      <c r="D114" s="135"/>
      <c r="E114" s="266" t="s">
        <v>86</v>
      </c>
      <c r="F114" s="267"/>
      <c r="G114" s="277"/>
      <c r="H114" s="278">
        <v>0</v>
      </c>
      <c r="I114" s="279" t="s">
        <v>87</v>
      </c>
      <c r="J114" s="291">
        <v>0</v>
      </c>
      <c r="K114" s="281">
        <f>SUM(H114*J114)</f>
        <v>0</v>
      </c>
      <c r="L114" s="39"/>
      <c r="M114" s="138"/>
      <c r="N114" s="139"/>
      <c r="O114" s="140">
        <f>OR(NOT(ISERROR(SEARCH($F$5,Q114))),Q114=0)*OR(NOT(ISERROR(SEARCH($F$6,R114))),R114=0)</f>
        <v>1</v>
      </c>
      <c r="P114" s="140"/>
      <c r="Q114" s="142"/>
      <c r="R114" s="142"/>
      <c r="S114" s="371" t="s">
        <v>505</v>
      </c>
    </row>
    <row r="115" spans="1:19" s="143" customFormat="1" ht="19.149999999999999" customHeight="1" x14ac:dyDescent="0.25">
      <c r="A115" s="3"/>
      <c r="B115" s="263"/>
      <c r="C115" s="8"/>
      <c r="D115" s="135"/>
      <c r="E115" s="266" t="s">
        <v>88</v>
      </c>
      <c r="F115" s="267"/>
      <c r="G115" s="277"/>
      <c r="H115" s="278">
        <v>0</v>
      </c>
      <c r="I115" s="279" t="s">
        <v>87</v>
      </c>
      <c r="J115" s="291">
        <v>0</v>
      </c>
      <c r="K115" s="281">
        <f>SUM(H115*J115)</f>
        <v>0</v>
      </c>
      <c r="L115" s="39"/>
      <c r="M115" s="138"/>
      <c r="N115" s="139"/>
      <c r="O115" s="140">
        <f>OR(NOT(ISERROR(SEARCH($F$5,Q115))),Q115=0)*OR(NOT(ISERROR(SEARCH($F$6,R115))),R115=0)</f>
        <v>1</v>
      </c>
      <c r="P115" s="140"/>
      <c r="Q115" s="142"/>
      <c r="R115" s="142"/>
      <c r="S115" s="371" t="s">
        <v>505</v>
      </c>
    </row>
    <row r="116" spans="1:19" s="143" customFormat="1" ht="19.149999999999999" customHeight="1" thickBot="1" x14ac:dyDescent="0.3">
      <c r="A116" s="3"/>
      <c r="B116" s="337"/>
      <c r="C116" s="8"/>
      <c r="D116" s="135"/>
      <c r="E116" s="340" t="s">
        <v>89</v>
      </c>
      <c r="F116" s="341"/>
      <c r="G116" s="277"/>
      <c r="H116" s="278">
        <v>0</v>
      </c>
      <c r="I116" s="279" t="s">
        <v>446</v>
      </c>
      <c r="J116" s="291">
        <v>0</v>
      </c>
      <c r="K116" s="281">
        <f>SUM(H116*J116)</f>
        <v>0</v>
      </c>
      <c r="L116" s="39"/>
      <c r="M116" s="138"/>
      <c r="N116" s="139"/>
      <c r="O116" s="140">
        <f>OR(NOT(ISERROR(SEARCH($F$5,Q116))),Q116=0)*OR(NOT(ISERROR(SEARCH($F$6,R116))),R116=0)</f>
        <v>1</v>
      </c>
      <c r="P116" s="140"/>
      <c r="Q116" s="142"/>
      <c r="R116" s="142"/>
      <c r="S116" s="371" t="s">
        <v>505</v>
      </c>
    </row>
    <row r="117" spans="1:19" ht="7.9" customHeight="1" x14ac:dyDescent="0.2">
      <c r="A117" s="2"/>
      <c r="B117" s="53"/>
      <c r="C117" s="34"/>
      <c r="D117" s="25"/>
      <c r="E117" s="307"/>
      <c r="F117" s="307"/>
      <c r="G117" s="307"/>
      <c r="H117" s="308"/>
      <c r="I117" s="306"/>
      <c r="J117" s="309"/>
      <c r="K117" s="310"/>
      <c r="L117" s="20"/>
      <c r="M117" s="73"/>
      <c r="N117" s="42"/>
      <c r="O117" s="43" t="s">
        <v>276</v>
      </c>
    </row>
    <row r="118" spans="1:19" ht="7.9" customHeight="1" thickBot="1" x14ac:dyDescent="0.25">
      <c r="A118" s="2"/>
      <c r="B118" s="53"/>
      <c r="C118" s="34"/>
      <c r="D118" s="20"/>
      <c r="E118" s="20"/>
      <c r="F118" s="20"/>
      <c r="G118" s="20"/>
      <c r="H118" s="20"/>
      <c r="I118" s="20"/>
      <c r="J118" s="49"/>
      <c r="K118" s="20"/>
      <c r="L118" s="20"/>
      <c r="M118" s="73"/>
      <c r="N118" s="42"/>
    </row>
    <row r="119" spans="1:19" ht="24" customHeight="1" thickBot="1" x14ac:dyDescent="0.25">
      <c r="A119" s="2"/>
      <c r="B119" s="53"/>
      <c r="C119" s="34"/>
      <c r="D119" s="24"/>
      <c r="E119" s="128" t="s">
        <v>97</v>
      </c>
      <c r="F119" s="129"/>
      <c r="G119" s="129"/>
      <c r="H119" s="129"/>
      <c r="I119" s="129"/>
      <c r="J119" s="130"/>
      <c r="K119" s="197">
        <f>SUMIF(O120:O122,1,K120:K122)</f>
        <v>0</v>
      </c>
      <c r="L119" s="20"/>
      <c r="M119" s="73"/>
      <c r="N119" s="42"/>
      <c r="O119" s="43" t="s">
        <v>275</v>
      </c>
    </row>
    <row r="120" spans="1:19" s="143" customFormat="1" ht="19.149999999999999" customHeight="1" x14ac:dyDescent="0.25">
      <c r="A120" s="3"/>
      <c r="B120" s="263"/>
      <c r="C120" s="8"/>
      <c r="D120" s="135"/>
      <c r="E120" s="182" t="s">
        <v>391</v>
      </c>
      <c r="F120" s="221"/>
      <c r="G120" s="137"/>
      <c r="H120" s="184">
        <v>0</v>
      </c>
      <c r="I120" s="187" t="s">
        <v>98</v>
      </c>
      <c r="J120" s="190"/>
      <c r="K120" s="191">
        <f>SUM(H120*J120)</f>
        <v>0</v>
      </c>
      <c r="L120" s="39"/>
      <c r="M120" s="138"/>
      <c r="N120" s="139"/>
      <c r="O120" s="140">
        <f>OR(NOT(ISERROR(SEARCH($F$5,Q120))),Q120=0)*OR(NOT(ISERROR(SEARCH($F$6,R120))),R120=0)</f>
        <v>1</v>
      </c>
      <c r="P120" s="140"/>
      <c r="Q120" s="142"/>
      <c r="R120" s="142"/>
      <c r="S120" s="371" t="s">
        <v>505</v>
      </c>
    </row>
    <row r="121" spans="1:19" s="143" customFormat="1" ht="19.149999999999999" customHeight="1" thickBot="1" x14ac:dyDescent="0.3">
      <c r="A121" s="3"/>
      <c r="B121" s="263"/>
      <c r="C121" s="8"/>
      <c r="D121" s="135"/>
      <c r="E121" s="340" t="s">
        <v>99</v>
      </c>
      <c r="F121" s="341"/>
      <c r="G121" s="277"/>
      <c r="H121" s="278">
        <v>0</v>
      </c>
      <c r="I121" s="279" t="s">
        <v>98</v>
      </c>
      <c r="J121" s="280"/>
      <c r="K121" s="281">
        <f>SUM(H121*J121)</f>
        <v>0</v>
      </c>
      <c r="L121" s="39"/>
      <c r="M121" s="138"/>
      <c r="N121" s="139"/>
      <c r="O121" s="140">
        <f>OR(NOT(ISERROR(SEARCH($F$5,Q121))),Q121=0)*OR(NOT(ISERROR(SEARCH($F$6,R121))),R121=0)</f>
        <v>1</v>
      </c>
      <c r="P121" s="140"/>
      <c r="Q121" s="142"/>
      <c r="R121" s="142"/>
      <c r="S121" s="371" t="s">
        <v>505</v>
      </c>
    </row>
    <row r="122" spans="1:19" ht="7.9" customHeight="1" x14ac:dyDescent="0.2">
      <c r="A122" s="2"/>
      <c r="B122" s="53"/>
      <c r="C122" s="34"/>
      <c r="D122" s="25"/>
      <c r="E122" s="307"/>
      <c r="F122" s="307"/>
      <c r="G122" s="307"/>
      <c r="H122" s="308"/>
      <c r="I122" s="306"/>
      <c r="J122" s="309"/>
      <c r="K122" s="310"/>
      <c r="L122" s="20"/>
      <c r="M122" s="73"/>
      <c r="N122" s="42"/>
      <c r="O122" s="43" t="s">
        <v>276</v>
      </c>
    </row>
    <row r="123" spans="1:19" ht="7.9" customHeight="1" thickBot="1" x14ac:dyDescent="0.25">
      <c r="A123" s="2"/>
      <c r="B123" s="53"/>
      <c r="C123" s="34"/>
      <c r="D123" s="20"/>
      <c r="E123" s="20"/>
      <c r="F123" s="20"/>
      <c r="G123" s="20"/>
      <c r="H123" s="20"/>
      <c r="I123" s="20"/>
      <c r="J123" s="49"/>
      <c r="K123" s="20"/>
      <c r="L123" s="20"/>
      <c r="M123" s="73"/>
      <c r="N123" s="42"/>
    </row>
    <row r="124" spans="1:19" ht="24" customHeight="1" thickBot="1" x14ac:dyDescent="0.25">
      <c r="A124" s="2"/>
      <c r="B124" s="53"/>
      <c r="C124" s="34"/>
      <c r="D124" s="24"/>
      <c r="E124" s="128" t="s">
        <v>100</v>
      </c>
      <c r="F124" s="129"/>
      <c r="G124" s="129"/>
      <c r="H124" s="129"/>
      <c r="I124" s="129"/>
      <c r="J124" s="130"/>
      <c r="K124" s="197">
        <f>SUMIF(O125:O158,1,K125:K158)</f>
        <v>0</v>
      </c>
      <c r="L124" s="20"/>
      <c r="M124" s="73"/>
      <c r="N124" s="42"/>
      <c r="O124" s="43" t="s">
        <v>275</v>
      </c>
    </row>
    <row r="125" spans="1:19" s="143" customFormat="1" ht="19.149999999999999" customHeight="1" x14ac:dyDescent="0.25">
      <c r="A125" s="3"/>
      <c r="B125" s="263"/>
      <c r="C125" s="8"/>
      <c r="D125" s="135"/>
      <c r="E125" s="182" t="s">
        <v>101</v>
      </c>
      <c r="F125" s="221"/>
      <c r="G125" s="137"/>
      <c r="H125" s="184">
        <v>0</v>
      </c>
      <c r="I125" s="187" t="s">
        <v>18</v>
      </c>
      <c r="J125" s="190"/>
      <c r="K125" s="191">
        <f>SUM(H125*J125)</f>
        <v>0</v>
      </c>
      <c r="L125" s="39"/>
      <c r="M125" s="138"/>
      <c r="N125" s="139"/>
      <c r="O125" s="140">
        <f>OR(NOT(ISERROR(SEARCH($F$5,Q125))),Q125=0)*OR(NOT(ISERROR(SEARCH($F$6,R125))),R125=0)</f>
        <v>1</v>
      </c>
      <c r="P125" s="140"/>
      <c r="Q125" s="142"/>
      <c r="R125" s="142"/>
      <c r="S125" s="371" t="s">
        <v>947</v>
      </c>
    </row>
    <row r="126" spans="1:19" s="143" customFormat="1" ht="19.149999999999999" customHeight="1" x14ac:dyDescent="0.25">
      <c r="A126" s="3"/>
      <c r="B126" s="263"/>
      <c r="C126" s="8"/>
      <c r="D126" s="135"/>
      <c r="E126" s="266" t="s">
        <v>440</v>
      </c>
      <c r="F126" s="267"/>
      <c r="G126" s="277"/>
      <c r="H126" s="278">
        <v>0</v>
      </c>
      <c r="I126" s="279" t="s">
        <v>18</v>
      </c>
      <c r="J126" s="291"/>
      <c r="K126" s="281"/>
      <c r="L126" s="39"/>
      <c r="M126" s="138"/>
      <c r="N126" s="139"/>
      <c r="O126" s="140">
        <f t="shared" ref="O126:O154" si="13">OR(NOT(ISERROR(SEARCH($F$5,Q126))),Q126=0)*OR(NOT(ISERROR(SEARCH($F$6,R126))),R126=0)</f>
        <v>1</v>
      </c>
      <c r="P126" s="140"/>
      <c r="Q126" s="142"/>
      <c r="R126" s="142"/>
      <c r="S126" s="371" t="s">
        <v>947</v>
      </c>
    </row>
    <row r="127" spans="1:19" s="143" customFormat="1" ht="19.149999999999999" customHeight="1" x14ac:dyDescent="0.25">
      <c r="A127" s="3"/>
      <c r="B127" s="263"/>
      <c r="C127" s="8"/>
      <c r="D127" s="135"/>
      <c r="E127" s="266" t="s">
        <v>441</v>
      </c>
      <c r="F127" s="267"/>
      <c r="G127" s="277"/>
      <c r="H127" s="278">
        <v>0</v>
      </c>
      <c r="I127" s="279" t="s">
        <v>18</v>
      </c>
      <c r="J127" s="291"/>
      <c r="K127" s="281"/>
      <c r="L127" s="39"/>
      <c r="M127" s="138"/>
      <c r="N127" s="139"/>
      <c r="O127" s="140">
        <f t="shared" si="13"/>
        <v>1</v>
      </c>
      <c r="P127" s="140"/>
      <c r="Q127" s="142"/>
      <c r="R127" s="142"/>
      <c r="S127" s="371" t="s">
        <v>947</v>
      </c>
    </row>
    <row r="128" spans="1:19" s="143" customFormat="1" ht="19.149999999999999" customHeight="1" x14ac:dyDescent="0.25">
      <c r="A128" s="3"/>
      <c r="B128" s="263"/>
      <c r="C128" s="8"/>
      <c r="D128" s="135"/>
      <c r="E128" s="266" t="s">
        <v>102</v>
      </c>
      <c r="F128" s="267"/>
      <c r="G128" s="277"/>
      <c r="H128" s="278">
        <v>0</v>
      </c>
      <c r="I128" s="279" t="s">
        <v>21</v>
      </c>
      <c r="J128" s="291"/>
      <c r="K128" s="281"/>
      <c r="L128" s="39"/>
      <c r="M128" s="138"/>
      <c r="N128" s="139"/>
      <c r="O128" s="140">
        <f t="shared" si="13"/>
        <v>1</v>
      </c>
      <c r="P128" s="140"/>
      <c r="Q128" s="142"/>
      <c r="R128" s="142"/>
      <c r="S128" s="371" t="s">
        <v>947</v>
      </c>
    </row>
    <row r="129" spans="1:19" s="143" customFormat="1" ht="19.149999999999999" customHeight="1" x14ac:dyDescent="0.25">
      <c r="A129" s="3"/>
      <c r="B129" s="263"/>
      <c r="C129" s="8"/>
      <c r="D129" s="135"/>
      <c r="E129" s="266" t="s">
        <v>103</v>
      </c>
      <c r="F129" s="267"/>
      <c r="G129" s="277"/>
      <c r="H129" s="278">
        <v>0</v>
      </c>
      <c r="I129" s="279" t="s">
        <v>21</v>
      </c>
      <c r="J129" s="291"/>
      <c r="K129" s="281"/>
      <c r="L129" s="39"/>
      <c r="M129" s="138"/>
      <c r="N129" s="139"/>
      <c r="O129" s="140">
        <f t="shared" si="13"/>
        <v>1</v>
      </c>
      <c r="P129" s="140"/>
      <c r="Q129" s="142"/>
      <c r="R129" s="142"/>
      <c r="S129" s="371" t="s">
        <v>947</v>
      </c>
    </row>
    <row r="130" spans="1:19" s="143" customFormat="1" ht="19.149999999999999" customHeight="1" x14ac:dyDescent="0.25">
      <c r="A130" s="3"/>
      <c r="B130" s="263"/>
      <c r="C130" s="8"/>
      <c r="D130" s="135"/>
      <c r="E130" s="266" t="s">
        <v>442</v>
      </c>
      <c r="F130" s="267"/>
      <c r="G130" s="277"/>
      <c r="H130" s="278">
        <v>0</v>
      </c>
      <c r="I130" s="279" t="s">
        <v>21</v>
      </c>
      <c r="J130" s="291"/>
      <c r="K130" s="281"/>
      <c r="L130" s="39"/>
      <c r="M130" s="138"/>
      <c r="N130" s="139"/>
      <c r="O130" s="140">
        <f t="shared" si="13"/>
        <v>1</v>
      </c>
      <c r="P130" s="140"/>
      <c r="Q130" s="142"/>
      <c r="R130" s="142"/>
      <c r="S130" s="371" t="s">
        <v>947</v>
      </c>
    </row>
    <row r="131" spans="1:19" s="143" customFormat="1" ht="19.149999999999999" customHeight="1" x14ac:dyDescent="0.25">
      <c r="A131" s="3"/>
      <c r="B131" s="299"/>
      <c r="C131" s="8"/>
      <c r="D131" s="135"/>
      <c r="E131" s="302" t="s">
        <v>476</v>
      </c>
      <c r="F131" s="303"/>
      <c r="G131" s="277"/>
      <c r="H131" s="278">
        <v>0</v>
      </c>
      <c r="I131" s="279" t="s">
        <v>18</v>
      </c>
      <c r="J131" s="291"/>
      <c r="K131" s="281"/>
      <c r="L131" s="39"/>
      <c r="M131" s="138"/>
      <c r="N131" s="139"/>
      <c r="O131" s="140">
        <f>OR(NOT(ISERROR(SEARCH($F$5,Q131))),Q131=0)*OR(NOT(ISERROR(SEARCH($F$6,R131))),R131=0)</f>
        <v>0</v>
      </c>
      <c r="P131" s="140"/>
      <c r="Q131" s="145" t="s">
        <v>449</v>
      </c>
      <c r="R131" s="142"/>
      <c r="S131" s="371" t="s">
        <v>947</v>
      </c>
    </row>
    <row r="132" spans="1:19" s="143" customFormat="1" ht="19.149999999999999" customHeight="1" x14ac:dyDescent="0.25">
      <c r="A132" s="3"/>
      <c r="B132" s="263"/>
      <c r="C132" s="8"/>
      <c r="D132" s="135"/>
      <c r="E132" s="266" t="s">
        <v>104</v>
      </c>
      <c r="F132" s="267"/>
      <c r="G132" s="277"/>
      <c r="H132" s="278">
        <v>0</v>
      </c>
      <c r="I132" s="279" t="s">
        <v>18</v>
      </c>
      <c r="J132" s="291"/>
      <c r="K132" s="281"/>
      <c r="L132" s="39"/>
      <c r="M132" s="138"/>
      <c r="N132" s="139"/>
      <c r="O132" s="140">
        <f t="shared" si="13"/>
        <v>1</v>
      </c>
      <c r="P132" s="140"/>
      <c r="Q132" s="142"/>
      <c r="R132" s="142"/>
      <c r="S132" s="371" t="s">
        <v>947</v>
      </c>
    </row>
    <row r="133" spans="1:19" s="143" customFormat="1" ht="19.149999999999999" customHeight="1" x14ac:dyDescent="0.25">
      <c r="A133" s="3"/>
      <c r="B133" s="263"/>
      <c r="C133" s="8"/>
      <c r="D133" s="135"/>
      <c r="E133" s="266" t="s">
        <v>105</v>
      </c>
      <c r="F133" s="267"/>
      <c r="G133" s="277"/>
      <c r="H133" s="278">
        <v>0</v>
      </c>
      <c r="I133" s="279" t="s">
        <v>21</v>
      </c>
      <c r="J133" s="291"/>
      <c r="K133" s="281"/>
      <c r="L133" s="39"/>
      <c r="M133" s="138"/>
      <c r="N133" s="139"/>
      <c r="O133" s="140">
        <f t="shared" si="13"/>
        <v>1</v>
      </c>
      <c r="P133" s="140"/>
      <c r="Q133" s="142"/>
      <c r="R133" s="142"/>
      <c r="S133" s="371" t="s">
        <v>947</v>
      </c>
    </row>
    <row r="134" spans="1:19" s="143" customFormat="1" ht="19.149999999999999" customHeight="1" x14ac:dyDescent="0.25">
      <c r="A134" s="3"/>
      <c r="B134" s="263"/>
      <c r="C134" s="8"/>
      <c r="D134" s="135"/>
      <c r="E134" s="266" t="s">
        <v>106</v>
      </c>
      <c r="F134" s="267"/>
      <c r="G134" s="277"/>
      <c r="H134" s="278">
        <v>0</v>
      </c>
      <c r="I134" s="279" t="s">
        <v>54</v>
      </c>
      <c r="J134" s="291"/>
      <c r="K134" s="281"/>
      <c r="L134" s="39"/>
      <c r="M134" s="138"/>
      <c r="N134" s="139"/>
      <c r="O134" s="140">
        <f t="shared" si="13"/>
        <v>1</v>
      </c>
      <c r="P134" s="140"/>
      <c r="Q134" s="142"/>
      <c r="R134" s="142"/>
      <c r="S134" s="371" t="s">
        <v>947</v>
      </c>
    </row>
    <row r="135" spans="1:19" s="143" customFormat="1" ht="19.149999999999999" customHeight="1" x14ac:dyDescent="0.25">
      <c r="A135" s="3"/>
      <c r="B135" s="263"/>
      <c r="C135" s="8"/>
      <c r="D135" s="135"/>
      <c r="E135" s="266" t="s">
        <v>107</v>
      </c>
      <c r="F135" s="267"/>
      <c r="G135" s="277"/>
      <c r="H135" s="278">
        <v>0</v>
      </c>
      <c r="I135" s="279" t="s">
        <v>54</v>
      </c>
      <c r="J135" s="291"/>
      <c r="K135" s="281"/>
      <c r="L135" s="39"/>
      <c r="M135" s="138"/>
      <c r="N135" s="139"/>
      <c r="O135" s="140">
        <f t="shared" si="13"/>
        <v>1</v>
      </c>
      <c r="P135" s="140"/>
      <c r="Q135" s="142"/>
      <c r="R135" s="142"/>
      <c r="S135" s="371" t="s">
        <v>947</v>
      </c>
    </row>
    <row r="136" spans="1:19" s="143" customFormat="1" ht="19.149999999999999" customHeight="1" x14ac:dyDescent="0.25">
      <c r="A136" s="3"/>
      <c r="B136" s="263"/>
      <c r="C136" s="8"/>
      <c r="D136" s="135"/>
      <c r="E136" s="266" t="s">
        <v>108</v>
      </c>
      <c r="F136" s="267"/>
      <c r="G136" s="277"/>
      <c r="H136" s="278">
        <v>0</v>
      </c>
      <c r="I136" s="279" t="s">
        <v>36</v>
      </c>
      <c r="J136" s="291"/>
      <c r="K136" s="281"/>
      <c r="L136" s="39"/>
      <c r="M136" s="138"/>
      <c r="N136" s="139"/>
      <c r="O136" s="140">
        <f t="shared" si="13"/>
        <v>1</v>
      </c>
      <c r="P136" s="140"/>
      <c r="Q136" s="142"/>
      <c r="R136" s="142"/>
      <c r="S136" s="371" t="s">
        <v>947</v>
      </c>
    </row>
    <row r="137" spans="1:19" s="143" customFormat="1" ht="19.149999999999999" customHeight="1" x14ac:dyDescent="0.25">
      <c r="A137" s="3"/>
      <c r="B137" s="263"/>
      <c r="C137" s="8"/>
      <c r="D137" s="135"/>
      <c r="E137" s="266" t="s">
        <v>109</v>
      </c>
      <c r="F137" s="267"/>
      <c r="G137" s="277"/>
      <c r="H137" s="278">
        <v>0</v>
      </c>
      <c r="I137" s="279" t="s">
        <v>36</v>
      </c>
      <c r="J137" s="291"/>
      <c r="K137" s="281"/>
      <c r="L137" s="39"/>
      <c r="M137" s="138"/>
      <c r="N137" s="139"/>
      <c r="O137" s="140">
        <f t="shared" si="13"/>
        <v>1</v>
      </c>
      <c r="P137" s="140"/>
      <c r="Q137" s="142"/>
      <c r="R137" s="142"/>
      <c r="S137" s="371" t="s">
        <v>947</v>
      </c>
    </row>
    <row r="138" spans="1:19" s="143" customFormat="1" ht="19.149999999999999" customHeight="1" x14ac:dyDescent="0.25">
      <c r="A138" s="3"/>
      <c r="B138" s="263"/>
      <c r="C138" s="8"/>
      <c r="D138" s="135"/>
      <c r="E138" s="266" t="s">
        <v>110</v>
      </c>
      <c r="F138" s="267"/>
      <c r="G138" s="277"/>
      <c r="H138" s="278">
        <v>0</v>
      </c>
      <c r="I138" s="279" t="s">
        <v>36</v>
      </c>
      <c r="J138" s="291"/>
      <c r="K138" s="281"/>
      <c r="L138" s="39"/>
      <c r="M138" s="138"/>
      <c r="N138" s="139"/>
      <c r="O138" s="140">
        <f t="shared" si="13"/>
        <v>1</v>
      </c>
      <c r="P138" s="140"/>
      <c r="Q138" s="142"/>
      <c r="R138" s="142"/>
      <c r="S138" s="371" t="s">
        <v>947</v>
      </c>
    </row>
    <row r="139" spans="1:19" s="143" customFormat="1" ht="19.149999999999999" customHeight="1" x14ac:dyDescent="0.25">
      <c r="A139" s="3"/>
      <c r="B139" s="263"/>
      <c r="C139" s="8"/>
      <c r="D139" s="135"/>
      <c r="E139" s="266" t="s">
        <v>111</v>
      </c>
      <c r="F139" s="267"/>
      <c r="G139" s="277"/>
      <c r="H139" s="278">
        <v>0</v>
      </c>
      <c r="I139" s="279" t="s">
        <v>36</v>
      </c>
      <c r="J139" s="291"/>
      <c r="K139" s="281"/>
      <c r="L139" s="39"/>
      <c r="M139" s="138"/>
      <c r="N139" s="139"/>
      <c r="O139" s="140">
        <f t="shared" si="13"/>
        <v>1</v>
      </c>
      <c r="P139" s="140"/>
      <c r="Q139" s="142"/>
      <c r="R139" s="142"/>
      <c r="S139" s="371" t="s">
        <v>947</v>
      </c>
    </row>
    <row r="140" spans="1:19" s="143" customFormat="1" ht="19.149999999999999" customHeight="1" x14ac:dyDescent="0.25">
      <c r="A140" s="3"/>
      <c r="B140" s="263"/>
      <c r="C140" s="8"/>
      <c r="D140" s="135"/>
      <c r="E140" s="266" t="s">
        <v>112</v>
      </c>
      <c r="F140" s="267"/>
      <c r="G140" s="277"/>
      <c r="H140" s="278">
        <v>0</v>
      </c>
      <c r="I140" s="279" t="s">
        <v>36</v>
      </c>
      <c r="J140" s="291"/>
      <c r="K140" s="281"/>
      <c r="L140" s="39"/>
      <c r="M140" s="138"/>
      <c r="N140" s="139"/>
      <c r="O140" s="140">
        <f t="shared" si="13"/>
        <v>1</v>
      </c>
      <c r="P140" s="140"/>
      <c r="Q140" s="142"/>
      <c r="R140" s="142"/>
      <c r="S140" s="371" t="s">
        <v>947</v>
      </c>
    </row>
    <row r="141" spans="1:19" s="143" customFormat="1" ht="19.149999999999999" customHeight="1" x14ac:dyDescent="0.25">
      <c r="A141" s="3"/>
      <c r="B141" s="263"/>
      <c r="C141" s="8"/>
      <c r="D141" s="135"/>
      <c r="E141" s="266" t="s">
        <v>113</v>
      </c>
      <c r="F141" s="267"/>
      <c r="G141" s="277"/>
      <c r="H141" s="278">
        <v>0</v>
      </c>
      <c r="I141" s="279" t="s">
        <v>36</v>
      </c>
      <c r="J141" s="291"/>
      <c r="K141" s="281"/>
      <c r="L141" s="39"/>
      <c r="M141" s="138"/>
      <c r="N141" s="139"/>
      <c r="O141" s="140">
        <f t="shared" si="13"/>
        <v>1</v>
      </c>
      <c r="P141" s="140"/>
      <c r="Q141" s="142"/>
      <c r="R141" s="142"/>
      <c r="S141" s="371" t="s">
        <v>947</v>
      </c>
    </row>
    <row r="142" spans="1:19" s="143" customFormat="1" ht="19.149999999999999" customHeight="1" x14ac:dyDescent="0.25">
      <c r="A142" s="3"/>
      <c r="B142" s="299"/>
      <c r="C142" s="8"/>
      <c r="D142" s="135"/>
      <c r="E142" s="302" t="s">
        <v>475</v>
      </c>
      <c r="F142" s="303"/>
      <c r="G142" s="277"/>
      <c r="H142" s="278">
        <v>0</v>
      </c>
      <c r="I142" s="279" t="s">
        <v>18</v>
      </c>
      <c r="J142" s="291"/>
      <c r="K142" s="281"/>
      <c r="L142" s="39"/>
      <c r="M142" s="138"/>
      <c r="N142" s="139"/>
      <c r="O142" s="140">
        <f>OR(NOT(ISERROR(SEARCH($F$5,Q142))),Q142=0)*OR(NOT(ISERROR(SEARCH($F$6,R142))),R142=0)</f>
        <v>0</v>
      </c>
      <c r="P142" s="140"/>
      <c r="Q142" s="145" t="s">
        <v>449</v>
      </c>
      <c r="R142" s="142"/>
      <c r="S142" s="371" t="s">
        <v>947</v>
      </c>
    </row>
    <row r="143" spans="1:19" s="143" customFormat="1" ht="19.149999999999999" customHeight="1" x14ac:dyDescent="0.25">
      <c r="A143" s="3"/>
      <c r="B143" s="263"/>
      <c r="C143" s="8"/>
      <c r="D143" s="135"/>
      <c r="E143" s="266" t="s">
        <v>114</v>
      </c>
      <c r="F143" s="267"/>
      <c r="G143" s="277"/>
      <c r="H143" s="278">
        <v>0</v>
      </c>
      <c r="I143" s="279" t="s">
        <v>21</v>
      </c>
      <c r="J143" s="291"/>
      <c r="K143" s="281"/>
      <c r="L143" s="39"/>
      <c r="M143" s="138"/>
      <c r="N143" s="139"/>
      <c r="O143" s="140">
        <f t="shared" si="13"/>
        <v>1</v>
      </c>
      <c r="P143" s="140"/>
      <c r="Q143" s="142"/>
      <c r="R143" s="142"/>
      <c r="S143" s="371" t="s">
        <v>947</v>
      </c>
    </row>
    <row r="144" spans="1:19" s="143" customFormat="1" ht="19.149999999999999" customHeight="1" x14ac:dyDescent="0.25">
      <c r="A144" s="3"/>
      <c r="B144" s="263"/>
      <c r="C144" s="8"/>
      <c r="D144" s="135"/>
      <c r="E144" s="266" t="s">
        <v>115</v>
      </c>
      <c r="F144" s="267"/>
      <c r="G144" s="277"/>
      <c r="H144" s="278">
        <v>0</v>
      </c>
      <c r="I144" s="279" t="s">
        <v>18</v>
      </c>
      <c r="J144" s="291"/>
      <c r="K144" s="281"/>
      <c r="L144" s="39"/>
      <c r="M144" s="138"/>
      <c r="N144" s="139"/>
      <c r="O144" s="140">
        <f t="shared" si="13"/>
        <v>1</v>
      </c>
      <c r="P144" s="140"/>
      <c r="Q144" s="142"/>
      <c r="R144" s="142"/>
      <c r="S144" s="371" t="s">
        <v>947</v>
      </c>
    </row>
    <row r="145" spans="1:19" s="143" customFormat="1" ht="19.149999999999999" customHeight="1" x14ac:dyDescent="0.25">
      <c r="A145" s="3"/>
      <c r="B145" s="299"/>
      <c r="C145" s="8"/>
      <c r="D145" s="135"/>
      <c r="E145" s="302" t="s">
        <v>477</v>
      </c>
      <c r="F145" s="303"/>
      <c r="G145" s="277"/>
      <c r="H145" s="278">
        <v>0</v>
      </c>
      <c r="I145" s="279" t="s">
        <v>18</v>
      </c>
      <c r="J145" s="291"/>
      <c r="K145" s="281"/>
      <c r="L145" s="39"/>
      <c r="M145" s="138"/>
      <c r="N145" s="139"/>
      <c r="O145" s="140">
        <f t="shared" ref="O145" si="14">OR(NOT(ISERROR(SEARCH($F$5,Q145))),Q145=0)*OR(NOT(ISERROR(SEARCH($F$6,R145))),R145=0)</f>
        <v>0</v>
      </c>
      <c r="P145" s="140"/>
      <c r="Q145" s="145" t="s">
        <v>449</v>
      </c>
      <c r="R145" s="142"/>
      <c r="S145" s="371" t="s">
        <v>947</v>
      </c>
    </row>
    <row r="146" spans="1:19" s="143" customFormat="1" ht="19.149999999999999" customHeight="1" x14ac:dyDescent="0.25">
      <c r="A146" s="3"/>
      <c r="B146" s="263"/>
      <c r="C146" s="8"/>
      <c r="D146" s="135"/>
      <c r="E146" s="293" t="s">
        <v>116</v>
      </c>
      <c r="F146" s="267"/>
      <c r="G146" s="277"/>
      <c r="H146" s="278">
        <v>0</v>
      </c>
      <c r="I146" s="279"/>
      <c r="J146" s="291"/>
      <c r="K146" s="281"/>
      <c r="L146" s="39"/>
      <c r="M146" s="138"/>
      <c r="N146" s="139"/>
      <c r="O146" s="140">
        <f t="shared" si="13"/>
        <v>1</v>
      </c>
      <c r="P146" s="140"/>
      <c r="Q146" s="142"/>
      <c r="R146" s="142"/>
      <c r="S146" s="371"/>
    </row>
    <row r="147" spans="1:19" s="143" customFormat="1" ht="19.149999999999999" customHeight="1" x14ac:dyDescent="0.25">
      <c r="A147" s="3"/>
      <c r="B147" s="263"/>
      <c r="C147" s="8"/>
      <c r="D147" s="135"/>
      <c r="E147" s="266" t="s">
        <v>117</v>
      </c>
      <c r="F147" s="267"/>
      <c r="G147" s="277"/>
      <c r="H147" s="278">
        <v>0</v>
      </c>
      <c r="I147" s="279" t="s">
        <v>54</v>
      </c>
      <c r="J147" s="291"/>
      <c r="K147" s="281"/>
      <c r="L147" s="39"/>
      <c r="M147" s="138"/>
      <c r="N147" s="139"/>
      <c r="O147" s="140">
        <f t="shared" si="13"/>
        <v>1</v>
      </c>
      <c r="P147" s="140"/>
      <c r="Q147" s="142"/>
      <c r="R147" s="142"/>
      <c r="S147" s="371" t="s">
        <v>947</v>
      </c>
    </row>
    <row r="148" spans="1:19" s="143" customFormat="1" ht="19.149999999999999" customHeight="1" x14ac:dyDescent="0.25">
      <c r="A148" s="3"/>
      <c r="B148" s="263"/>
      <c r="C148" s="8"/>
      <c r="D148" s="135"/>
      <c r="E148" s="266" t="s">
        <v>118</v>
      </c>
      <c r="F148" s="267"/>
      <c r="G148" s="277"/>
      <c r="H148" s="278">
        <v>0</v>
      </c>
      <c r="I148" s="279" t="s">
        <v>54</v>
      </c>
      <c r="J148" s="291"/>
      <c r="K148" s="281"/>
      <c r="L148" s="39"/>
      <c r="M148" s="138"/>
      <c r="N148" s="139"/>
      <c r="O148" s="140">
        <f t="shared" si="13"/>
        <v>1</v>
      </c>
      <c r="P148" s="140"/>
      <c r="Q148" s="142"/>
      <c r="R148" s="142"/>
      <c r="S148" s="371" t="s">
        <v>947</v>
      </c>
    </row>
    <row r="149" spans="1:19" s="143" customFormat="1" ht="19.149999999999999" customHeight="1" x14ac:dyDescent="0.25">
      <c r="A149" s="3"/>
      <c r="B149" s="263"/>
      <c r="C149" s="8"/>
      <c r="D149" s="135"/>
      <c r="E149" s="266" t="s">
        <v>119</v>
      </c>
      <c r="F149" s="267"/>
      <c r="G149" s="277"/>
      <c r="H149" s="278">
        <v>0</v>
      </c>
      <c r="I149" s="279" t="s">
        <v>54</v>
      </c>
      <c r="J149" s="291"/>
      <c r="K149" s="281"/>
      <c r="L149" s="39"/>
      <c r="M149" s="138"/>
      <c r="N149" s="139"/>
      <c r="O149" s="140">
        <f t="shared" si="13"/>
        <v>1</v>
      </c>
      <c r="P149" s="140"/>
      <c r="Q149" s="142"/>
      <c r="R149" s="142"/>
      <c r="S149" s="371" t="s">
        <v>947</v>
      </c>
    </row>
    <row r="150" spans="1:19" s="143" customFormat="1" ht="19.149999999999999" customHeight="1" x14ac:dyDescent="0.25">
      <c r="A150" s="3"/>
      <c r="B150" s="263"/>
      <c r="C150" s="8"/>
      <c r="D150" s="135"/>
      <c r="E150" s="266" t="s">
        <v>120</v>
      </c>
      <c r="F150" s="267"/>
      <c r="G150" s="277"/>
      <c r="H150" s="278">
        <v>0</v>
      </c>
      <c r="I150" s="279" t="s">
        <v>54</v>
      </c>
      <c r="J150" s="291"/>
      <c r="K150" s="281"/>
      <c r="L150" s="39"/>
      <c r="M150" s="138"/>
      <c r="N150" s="139"/>
      <c r="O150" s="140">
        <f t="shared" si="13"/>
        <v>1</v>
      </c>
      <c r="P150" s="140"/>
      <c r="Q150" s="142"/>
      <c r="R150" s="142"/>
      <c r="S150" s="371" t="s">
        <v>947</v>
      </c>
    </row>
    <row r="151" spans="1:19" s="143" customFormat="1" ht="19.149999999999999" customHeight="1" x14ac:dyDescent="0.25">
      <c r="A151" s="3"/>
      <c r="B151" s="263"/>
      <c r="C151" s="8"/>
      <c r="D151" s="135"/>
      <c r="E151" s="266" t="s">
        <v>121</v>
      </c>
      <c r="F151" s="267"/>
      <c r="G151" s="277"/>
      <c r="H151" s="278">
        <v>0</v>
      </c>
      <c r="I151" s="279" t="s">
        <v>18</v>
      </c>
      <c r="J151" s="291"/>
      <c r="K151" s="281"/>
      <c r="L151" s="39"/>
      <c r="M151" s="138"/>
      <c r="N151" s="139"/>
      <c r="O151" s="140">
        <f t="shared" si="13"/>
        <v>1</v>
      </c>
      <c r="P151" s="140"/>
      <c r="Q151" s="142"/>
      <c r="R151" s="142"/>
      <c r="S151" s="371" t="s">
        <v>947</v>
      </c>
    </row>
    <row r="152" spans="1:19" s="143" customFormat="1" ht="19.149999999999999" customHeight="1" x14ac:dyDescent="0.25">
      <c r="A152" s="3"/>
      <c r="B152" s="263"/>
      <c r="C152" s="8"/>
      <c r="D152" s="135"/>
      <c r="E152" s="266" t="s">
        <v>122</v>
      </c>
      <c r="F152" s="267"/>
      <c r="G152" s="277"/>
      <c r="H152" s="278">
        <v>0</v>
      </c>
      <c r="I152" s="279" t="s">
        <v>54</v>
      </c>
      <c r="J152" s="291"/>
      <c r="K152" s="281"/>
      <c r="L152" s="39"/>
      <c r="M152" s="138"/>
      <c r="N152" s="139"/>
      <c r="O152" s="140">
        <f t="shared" si="13"/>
        <v>1</v>
      </c>
      <c r="P152" s="140"/>
      <c r="Q152" s="142"/>
      <c r="R152" s="142"/>
      <c r="S152" s="371" t="s">
        <v>947</v>
      </c>
    </row>
    <row r="153" spans="1:19" s="143" customFormat="1" ht="19.149999999999999" customHeight="1" x14ac:dyDescent="0.25">
      <c r="A153" s="3"/>
      <c r="B153" s="263"/>
      <c r="C153" s="8"/>
      <c r="D153" s="135"/>
      <c r="E153" s="266" t="s">
        <v>123</v>
      </c>
      <c r="F153" s="267"/>
      <c r="G153" s="277"/>
      <c r="H153" s="278">
        <v>0</v>
      </c>
      <c r="I153" s="279" t="s">
        <v>54</v>
      </c>
      <c r="J153" s="291"/>
      <c r="K153" s="281"/>
      <c r="L153" s="39"/>
      <c r="M153" s="138"/>
      <c r="N153" s="139"/>
      <c r="O153" s="140">
        <f t="shared" si="13"/>
        <v>1</v>
      </c>
      <c r="P153" s="140"/>
      <c r="Q153" s="142"/>
      <c r="R153" s="142"/>
      <c r="S153" s="371" t="s">
        <v>947</v>
      </c>
    </row>
    <row r="154" spans="1:19" s="143" customFormat="1" ht="19.149999999999999" customHeight="1" x14ac:dyDescent="0.25">
      <c r="A154" s="3"/>
      <c r="B154" s="263"/>
      <c r="C154" s="8"/>
      <c r="D154" s="135"/>
      <c r="E154" s="266" t="s">
        <v>124</v>
      </c>
      <c r="F154" s="267"/>
      <c r="G154" s="277"/>
      <c r="H154" s="278">
        <v>0</v>
      </c>
      <c r="I154" s="279" t="s">
        <v>21</v>
      </c>
      <c r="J154" s="291"/>
      <c r="K154" s="281"/>
      <c r="L154" s="39"/>
      <c r="M154" s="138"/>
      <c r="N154" s="139"/>
      <c r="O154" s="140">
        <f t="shared" si="13"/>
        <v>1</v>
      </c>
      <c r="P154" s="140"/>
      <c r="Q154" s="142"/>
      <c r="R154" s="142"/>
      <c r="S154" s="371" t="s">
        <v>947</v>
      </c>
    </row>
    <row r="155" spans="1:19" s="143" customFormat="1" ht="19.149999999999999" customHeight="1" x14ac:dyDescent="0.25">
      <c r="A155" s="3"/>
      <c r="B155" s="299"/>
      <c r="C155" s="8"/>
      <c r="D155" s="135"/>
      <c r="E155" s="302" t="s">
        <v>478</v>
      </c>
      <c r="F155" s="303"/>
      <c r="G155" s="277"/>
      <c r="H155" s="278">
        <v>0</v>
      </c>
      <c r="I155" s="279" t="s">
        <v>21</v>
      </c>
      <c r="J155" s="291"/>
      <c r="K155" s="281"/>
      <c r="L155" s="39"/>
      <c r="M155" s="138"/>
      <c r="N155" s="139"/>
      <c r="O155" s="140">
        <f t="shared" ref="O155:O156" si="15">OR(NOT(ISERROR(SEARCH($F$5,Q155))),Q155=0)*OR(NOT(ISERROR(SEARCH($F$6,R155))),R155=0)</f>
        <v>1</v>
      </c>
      <c r="P155" s="140"/>
      <c r="Q155" s="142"/>
      <c r="R155" s="142"/>
      <c r="S155" s="371" t="s">
        <v>947</v>
      </c>
    </row>
    <row r="156" spans="1:19" s="143" customFormat="1" ht="19.149999999999999" customHeight="1" x14ac:dyDescent="0.25">
      <c r="A156" s="3"/>
      <c r="B156" s="299"/>
      <c r="C156" s="8"/>
      <c r="D156" s="135"/>
      <c r="E156" s="302" t="s">
        <v>479</v>
      </c>
      <c r="F156" s="303"/>
      <c r="G156" s="277"/>
      <c r="H156" s="278">
        <v>0</v>
      </c>
      <c r="I156" s="279" t="s">
        <v>21</v>
      </c>
      <c r="J156" s="291"/>
      <c r="K156" s="281"/>
      <c r="L156" s="39"/>
      <c r="M156" s="138"/>
      <c r="N156" s="139"/>
      <c r="O156" s="140">
        <f t="shared" si="15"/>
        <v>1</v>
      </c>
      <c r="P156" s="140"/>
      <c r="Q156" s="142"/>
      <c r="R156" s="142"/>
      <c r="S156" s="371" t="s">
        <v>947</v>
      </c>
    </row>
    <row r="157" spans="1:19" s="143" customFormat="1" ht="19.149999999999999" customHeight="1" thickBot="1" x14ac:dyDescent="0.3">
      <c r="A157" s="3"/>
      <c r="B157" s="263"/>
      <c r="C157" s="8"/>
      <c r="D157" s="135"/>
      <c r="E157" s="340" t="s">
        <v>480</v>
      </c>
      <c r="F157" s="341"/>
      <c r="G157" s="277"/>
      <c r="H157" s="278">
        <v>0</v>
      </c>
      <c r="I157" s="279" t="s">
        <v>21</v>
      </c>
      <c r="J157" s="280"/>
      <c r="K157" s="281"/>
      <c r="L157" s="39"/>
      <c r="M157" s="138"/>
      <c r="N157" s="139"/>
      <c r="O157" s="140">
        <f>OR(NOT(ISERROR(SEARCH($F$5,Q157))),Q157=0)*OR(NOT(ISERROR(SEARCH($F$6,R157))),R157=0)</f>
        <v>1</v>
      </c>
      <c r="P157" s="140"/>
      <c r="Q157" s="142"/>
      <c r="R157" s="142"/>
      <c r="S157" s="371" t="s">
        <v>947</v>
      </c>
    </row>
    <row r="158" spans="1:19" ht="7.9" customHeight="1" x14ac:dyDescent="0.2">
      <c r="A158" s="2"/>
      <c r="B158" s="53"/>
      <c r="C158" s="34"/>
      <c r="D158" s="25"/>
      <c r="E158" s="307"/>
      <c r="F158" s="307"/>
      <c r="G158" s="307"/>
      <c r="H158" s="308"/>
      <c r="I158" s="306"/>
      <c r="J158" s="309"/>
      <c r="K158" s="310"/>
      <c r="L158" s="20"/>
      <c r="M158" s="73"/>
      <c r="N158" s="42"/>
      <c r="O158" s="43" t="s">
        <v>276</v>
      </c>
    </row>
    <row r="159" spans="1:19" ht="7.9" customHeight="1" thickBot="1" x14ac:dyDescent="0.25">
      <c r="A159" s="2"/>
      <c r="B159" s="53"/>
      <c r="C159" s="34"/>
      <c r="D159" s="20"/>
      <c r="E159" s="20"/>
      <c r="F159" s="20"/>
      <c r="G159" s="20"/>
      <c r="H159" s="20"/>
      <c r="I159" s="20"/>
      <c r="J159" s="49"/>
      <c r="K159" s="20"/>
      <c r="L159" s="20"/>
      <c r="M159" s="73"/>
      <c r="N159" s="42"/>
    </row>
    <row r="160" spans="1:19" ht="24" customHeight="1" thickBot="1" x14ac:dyDescent="0.25">
      <c r="A160" s="2"/>
      <c r="B160" s="53"/>
      <c r="C160" s="34"/>
      <c r="D160" s="24"/>
      <c r="E160" s="128" t="s">
        <v>125</v>
      </c>
      <c r="F160" s="129"/>
      <c r="G160" s="129"/>
      <c r="H160" s="129"/>
      <c r="I160" s="129"/>
      <c r="J160" s="130"/>
      <c r="K160" s="197">
        <f ca="1">SUMIF(O161:O171,1,K161:K171)</f>
        <v>0</v>
      </c>
      <c r="L160" s="20"/>
      <c r="M160" s="73"/>
      <c r="N160" s="42"/>
      <c r="O160" s="43" t="s">
        <v>275</v>
      </c>
    </row>
    <row r="161" spans="1:19" s="143" customFormat="1" ht="19.149999999999999" customHeight="1" x14ac:dyDescent="0.25">
      <c r="A161" s="3"/>
      <c r="B161" s="263"/>
      <c r="C161" s="8"/>
      <c r="D161" s="135"/>
      <c r="E161" s="182" t="s">
        <v>443</v>
      </c>
      <c r="F161" s="221"/>
      <c r="G161" s="137"/>
      <c r="H161" s="184">
        <v>0</v>
      </c>
      <c r="I161" s="187" t="s">
        <v>18</v>
      </c>
      <c r="J161" s="190"/>
      <c r="K161" s="191">
        <f>SUM(H161*J161)</f>
        <v>0</v>
      </c>
      <c r="L161" s="39"/>
      <c r="M161" s="138"/>
      <c r="N161" s="139"/>
      <c r="O161" s="140">
        <f>OR(NOT(ISERROR(SEARCH($F$5,Q161))),Q161=0)*OR(NOT(ISERROR(SEARCH($F$6,R161))),R161=0)</f>
        <v>1</v>
      </c>
      <c r="P161" s="140"/>
      <c r="Q161" s="145" t="s">
        <v>487</v>
      </c>
      <c r="R161" s="142"/>
      <c r="S161" s="371" t="s">
        <v>948</v>
      </c>
    </row>
    <row r="162" spans="1:19" s="143" customFormat="1" ht="19.149999999999999" customHeight="1" x14ac:dyDescent="0.25">
      <c r="A162" s="3"/>
      <c r="B162" s="263"/>
      <c r="C162" s="8"/>
      <c r="D162" s="135"/>
      <c r="E162" s="266" t="s">
        <v>126</v>
      </c>
      <c r="F162" s="267"/>
      <c r="G162" s="277"/>
      <c r="H162" s="278">
        <v>0</v>
      </c>
      <c r="I162" s="279" t="s">
        <v>18</v>
      </c>
      <c r="J162" s="291"/>
      <c r="K162" s="281">
        <f t="shared" ref="K162:K170" si="16">SUM(H162*J162)</f>
        <v>0</v>
      </c>
      <c r="L162" s="39"/>
      <c r="M162" s="138"/>
      <c r="N162" s="139"/>
      <c r="O162" s="140">
        <f t="shared" ref="O162:O170" si="17">OR(NOT(ISERROR(SEARCH($F$5,Q162))),Q162=0)*OR(NOT(ISERROR(SEARCH($F$6,R162))),R162=0)</f>
        <v>1</v>
      </c>
      <c r="P162" s="140"/>
      <c r="Q162" s="145" t="s">
        <v>487</v>
      </c>
      <c r="R162" s="142"/>
      <c r="S162" s="371" t="s">
        <v>948</v>
      </c>
    </row>
    <row r="163" spans="1:19" s="143" customFormat="1" ht="19.149999999999999" customHeight="1" x14ac:dyDescent="0.25">
      <c r="A163" s="3"/>
      <c r="B163" s="263"/>
      <c r="C163" s="8"/>
      <c r="D163" s="135"/>
      <c r="E163" s="266" t="s">
        <v>127</v>
      </c>
      <c r="F163" s="267"/>
      <c r="G163" s="277"/>
      <c r="H163" s="278">
        <v>0</v>
      </c>
      <c r="I163" s="279" t="s">
        <v>18</v>
      </c>
      <c r="J163" s="291"/>
      <c r="K163" s="281">
        <f t="shared" si="16"/>
        <v>0</v>
      </c>
      <c r="L163" s="39"/>
      <c r="M163" s="138"/>
      <c r="N163" s="139"/>
      <c r="O163" s="140">
        <f t="shared" si="17"/>
        <v>1</v>
      </c>
      <c r="P163" s="140"/>
      <c r="Q163" s="145" t="s">
        <v>487</v>
      </c>
      <c r="R163" s="142"/>
      <c r="S163" s="371" t="s">
        <v>948</v>
      </c>
    </row>
    <row r="164" spans="1:19" s="143" customFormat="1" ht="19.149999999999999" customHeight="1" x14ac:dyDescent="0.25">
      <c r="A164" s="3"/>
      <c r="B164" s="263"/>
      <c r="C164" s="8"/>
      <c r="D164" s="135"/>
      <c r="E164" s="266" t="s">
        <v>128</v>
      </c>
      <c r="F164" s="267"/>
      <c r="G164" s="277"/>
      <c r="H164" s="278">
        <v>0</v>
      </c>
      <c r="I164" s="279" t="s">
        <v>21</v>
      </c>
      <c r="J164" s="291"/>
      <c r="K164" s="281">
        <f t="shared" si="16"/>
        <v>0</v>
      </c>
      <c r="L164" s="39"/>
      <c r="M164" s="138"/>
      <c r="N164" s="139"/>
      <c r="O164" s="140">
        <f t="shared" si="17"/>
        <v>1</v>
      </c>
      <c r="P164" s="140"/>
      <c r="Q164" s="145" t="s">
        <v>487</v>
      </c>
      <c r="R164" s="142"/>
      <c r="S164" s="371" t="s">
        <v>948</v>
      </c>
    </row>
    <row r="165" spans="1:19" s="143" customFormat="1" ht="19.149999999999999" customHeight="1" x14ac:dyDescent="0.25">
      <c r="A165" s="3"/>
      <c r="B165" s="263"/>
      <c r="C165" s="8"/>
      <c r="D165" s="135"/>
      <c r="E165" s="266" t="s">
        <v>444</v>
      </c>
      <c r="F165" s="267"/>
      <c r="G165" s="277"/>
      <c r="H165" s="278">
        <v>0</v>
      </c>
      <c r="I165" s="279" t="s">
        <v>21</v>
      </c>
      <c r="J165" s="291"/>
      <c r="K165" s="281">
        <f t="shared" si="16"/>
        <v>0</v>
      </c>
      <c r="L165" s="39"/>
      <c r="M165" s="138"/>
      <c r="N165" s="139"/>
      <c r="O165" s="140">
        <f t="shared" si="17"/>
        <v>1</v>
      </c>
      <c r="P165" s="140"/>
      <c r="Q165" s="145" t="s">
        <v>487</v>
      </c>
      <c r="R165" s="142"/>
      <c r="S165" s="371" t="s">
        <v>948</v>
      </c>
    </row>
    <row r="166" spans="1:19" s="143" customFormat="1" ht="19.149999999999999" customHeight="1" x14ac:dyDescent="0.25">
      <c r="A166" s="3"/>
      <c r="B166" s="263"/>
      <c r="C166" s="8"/>
      <c r="D166" s="135"/>
      <c r="E166" s="266" t="s">
        <v>129</v>
      </c>
      <c r="F166" s="267"/>
      <c r="G166" s="277"/>
      <c r="H166" s="278">
        <v>0</v>
      </c>
      <c r="I166" s="279" t="s">
        <v>21</v>
      </c>
      <c r="J166" s="291"/>
      <c r="K166" s="281">
        <f t="shared" si="16"/>
        <v>0</v>
      </c>
      <c r="L166" s="39"/>
      <c r="M166" s="138"/>
      <c r="N166" s="139"/>
      <c r="O166" s="140">
        <f t="shared" si="17"/>
        <v>1</v>
      </c>
      <c r="P166" s="140"/>
      <c r="Q166" s="145" t="s">
        <v>487</v>
      </c>
      <c r="R166" s="142"/>
      <c r="S166" s="371" t="s">
        <v>948</v>
      </c>
    </row>
    <row r="167" spans="1:19" s="143" customFormat="1" ht="19.149999999999999" customHeight="1" x14ac:dyDescent="0.25">
      <c r="A167" s="3"/>
      <c r="B167" s="263"/>
      <c r="C167" s="8"/>
      <c r="D167" s="135"/>
      <c r="E167" s="266" t="s">
        <v>130</v>
      </c>
      <c r="F167" s="267"/>
      <c r="G167" s="277"/>
      <c r="H167" s="278">
        <v>0</v>
      </c>
      <c r="I167" s="279" t="s">
        <v>18</v>
      </c>
      <c r="J167" s="291"/>
      <c r="K167" s="281">
        <f t="shared" si="16"/>
        <v>0</v>
      </c>
      <c r="L167" s="39"/>
      <c r="M167" s="138"/>
      <c r="N167" s="139"/>
      <c r="O167" s="140">
        <f t="shared" si="17"/>
        <v>1</v>
      </c>
      <c r="P167" s="140"/>
      <c r="Q167" s="145" t="s">
        <v>487</v>
      </c>
      <c r="R167" s="142"/>
      <c r="S167" s="371" t="s">
        <v>948</v>
      </c>
    </row>
    <row r="168" spans="1:19" s="143" customFormat="1" ht="19.149999999999999" customHeight="1" x14ac:dyDescent="0.25">
      <c r="A168" s="3"/>
      <c r="B168" s="263"/>
      <c r="C168" s="8"/>
      <c r="D168" s="135"/>
      <c r="E168" s="266" t="s">
        <v>445</v>
      </c>
      <c r="F168" s="267"/>
      <c r="G168" s="277"/>
      <c r="H168" s="278">
        <v>0</v>
      </c>
      <c r="I168" s="279" t="s">
        <v>21</v>
      </c>
      <c r="J168" s="291"/>
      <c r="K168" s="281">
        <f t="shared" si="16"/>
        <v>0</v>
      </c>
      <c r="L168" s="39"/>
      <c r="M168" s="138"/>
      <c r="N168" s="139"/>
      <c r="O168" s="140">
        <f t="shared" si="17"/>
        <v>1</v>
      </c>
      <c r="P168" s="140"/>
      <c r="Q168" s="145" t="s">
        <v>487</v>
      </c>
      <c r="R168" s="142"/>
      <c r="S168" s="371" t="s">
        <v>948</v>
      </c>
    </row>
    <row r="169" spans="1:19" s="143" customFormat="1" ht="19.149999999999999" customHeight="1" x14ac:dyDescent="0.25">
      <c r="A169" s="3"/>
      <c r="B169" s="263"/>
      <c r="C169" s="8"/>
      <c r="D169" s="135"/>
      <c r="E169" s="266" t="s">
        <v>369</v>
      </c>
      <c r="F169" s="267"/>
      <c r="G169" s="277"/>
      <c r="H169" s="278">
        <v>0</v>
      </c>
      <c r="I169" s="279" t="s">
        <v>18</v>
      </c>
      <c r="J169" s="291">
        <f ca="1">LaborOLD!X14</f>
        <v>0</v>
      </c>
      <c r="K169" s="281">
        <f t="shared" ca="1" si="16"/>
        <v>0</v>
      </c>
      <c r="L169" s="39"/>
      <c r="M169" s="138"/>
      <c r="N169" s="139"/>
      <c r="O169" s="140">
        <f t="shared" si="17"/>
        <v>1</v>
      </c>
      <c r="P169" s="140"/>
      <c r="Q169" s="145" t="s">
        <v>487</v>
      </c>
      <c r="R169" s="142"/>
      <c r="S169" s="371" t="s">
        <v>948</v>
      </c>
    </row>
    <row r="170" spans="1:19" s="143" customFormat="1" ht="19.149999999999999" customHeight="1" thickBot="1" x14ac:dyDescent="0.3">
      <c r="A170" s="3"/>
      <c r="B170" s="263"/>
      <c r="C170" s="8"/>
      <c r="D170" s="135"/>
      <c r="E170" s="340" t="s">
        <v>131</v>
      </c>
      <c r="F170" s="341"/>
      <c r="G170" s="277"/>
      <c r="H170" s="278">
        <v>0</v>
      </c>
      <c r="I170" s="279" t="s">
        <v>36</v>
      </c>
      <c r="J170" s="291"/>
      <c r="K170" s="281">
        <f t="shared" si="16"/>
        <v>0</v>
      </c>
      <c r="L170" s="39"/>
      <c r="M170" s="138"/>
      <c r="N170" s="139"/>
      <c r="O170" s="140">
        <f t="shared" si="17"/>
        <v>1</v>
      </c>
      <c r="P170" s="140"/>
      <c r="Q170" s="145" t="s">
        <v>487</v>
      </c>
      <c r="R170" s="142"/>
      <c r="S170" s="371" t="s">
        <v>948</v>
      </c>
    </row>
    <row r="171" spans="1:19" ht="7.9" customHeight="1" x14ac:dyDescent="0.2">
      <c r="A171" s="2"/>
      <c r="B171" s="53"/>
      <c r="C171" s="34"/>
      <c r="D171" s="25"/>
      <c r="E171" s="307"/>
      <c r="F171" s="307"/>
      <c r="G171" s="307"/>
      <c r="H171" s="308"/>
      <c r="I171" s="306"/>
      <c r="J171" s="309"/>
      <c r="K171" s="310"/>
      <c r="L171" s="20"/>
      <c r="M171" s="73"/>
      <c r="N171" s="42"/>
      <c r="O171" s="43" t="s">
        <v>276</v>
      </c>
    </row>
    <row r="172" spans="1:19" ht="7.9" customHeight="1" thickBot="1" x14ac:dyDescent="0.25">
      <c r="A172" s="2"/>
      <c r="B172" s="53"/>
      <c r="C172" s="34"/>
      <c r="D172" s="20"/>
      <c r="E172" s="20"/>
      <c r="F172" s="20"/>
      <c r="G172" s="20"/>
      <c r="H172" s="20"/>
      <c r="I172" s="20"/>
      <c r="J172" s="49"/>
      <c r="K172" s="20"/>
      <c r="L172" s="20"/>
      <c r="M172" s="73"/>
      <c r="N172" s="42"/>
    </row>
    <row r="173" spans="1:19" ht="24" customHeight="1" thickBot="1" x14ac:dyDescent="0.25">
      <c r="A173" s="2"/>
      <c r="B173" s="53"/>
      <c r="C173" s="34"/>
      <c r="D173" s="24"/>
      <c r="E173" s="128" t="s">
        <v>132</v>
      </c>
      <c r="F173" s="129"/>
      <c r="G173" s="129"/>
      <c r="H173" s="129"/>
      <c r="I173" s="129"/>
      <c r="J173" s="130"/>
      <c r="K173" s="197">
        <f>SUMIF(O174:O180,1,K174:K180)</f>
        <v>0</v>
      </c>
      <c r="L173" s="20"/>
      <c r="M173" s="73"/>
      <c r="N173" s="42"/>
      <c r="O173" s="43" t="s">
        <v>275</v>
      </c>
    </row>
    <row r="174" spans="1:19" s="143" customFormat="1" ht="19.149999999999999" customHeight="1" x14ac:dyDescent="0.25">
      <c r="A174" s="3"/>
      <c r="B174" s="263"/>
      <c r="C174" s="8"/>
      <c r="D174" s="135"/>
      <c r="E174" s="182" t="s">
        <v>133</v>
      </c>
      <c r="F174" s="221"/>
      <c r="G174" s="137"/>
      <c r="H174" s="184">
        <v>0</v>
      </c>
      <c r="I174" s="187" t="s">
        <v>54</v>
      </c>
      <c r="J174" s="190"/>
      <c r="K174" s="191">
        <f t="shared" ref="K174:K179" si="18">SUM(H174*J174)</f>
        <v>0</v>
      </c>
      <c r="L174" s="39"/>
      <c r="M174" s="138"/>
      <c r="N174" s="139"/>
      <c r="O174" s="140">
        <f>OR(NOT(ISERROR(SEARCH($F$5,Q174))),Q174=0)*OR(NOT(ISERROR(SEARCH($F$6,R174))),R174=0)</f>
        <v>1</v>
      </c>
      <c r="P174" s="140"/>
      <c r="Q174" s="142"/>
      <c r="R174" s="142"/>
      <c r="S174" s="371" t="s">
        <v>947</v>
      </c>
    </row>
    <row r="175" spans="1:19" s="143" customFormat="1" ht="19.149999999999999" customHeight="1" x14ac:dyDescent="0.25">
      <c r="A175" s="3"/>
      <c r="B175" s="263"/>
      <c r="C175" s="8"/>
      <c r="D175" s="135"/>
      <c r="E175" s="266" t="s">
        <v>134</v>
      </c>
      <c r="F175" s="267"/>
      <c r="G175" s="277"/>
      <c r="H175" s="278">
        <v>0</v>
      </c>
      <c r="I175" s="279" t="s">
        <v>21</v>
      </c>
      <c r="J175" s="291"/>
      <c r="K175" s="281">
        <f t="shared" si="18"/>
        <v>0</v>
      </c>
      <c r="L175" s="39"/>
      <c r="M175" s="138"/>
      <c r="N175" s="139"/>
      <c r="O175" s="140">
        <f t="shared" ref="O175:O179" si="19">OR(NOT(ISERROR(SEARCH($F$5,Q175))),Q175=0)*OR(NOT(ISERROR(SEARCH($F$6,R175))),R175=0)</f>
        <v>1</v>
      </c>
      <c r="P175" s="140"/>
      <c r="Q175" s="142"/>
      <c r="R175" s="142"/>
      <c r="S175" s="371" t="s">
        <v>947</v>
      </c>
    </row>
    <row r="176" spans="1:19" s="143" customFormat="1" ht="19.149999999999999" customHeight="1" x14ac:dyDescent="0.25">
      <c r="A176" s="3"/>
      <c r="B176" s="263"/>
      <c r="C176" s="8"/>
      <c r="D176" s="135"/>
      <c r="E176" s="266" t="s">
        <v>135</v>
      </c>
      <c r="F176" s="267"/>
      <c r="G176" s="277"/>
      <c r="H176" s="278">
        <v>0</v>
      </c>
      <c r="I176" s="279" t="s">
        <v>45</v>
      </c>
      <c r="J176" s="291"/>
      <c r="K176" s="281">
        <f t="shared" si="18"/>
        <v>0</v>
      </c>
      <c r="L176" s="39"/>
      <c r="M176" s="138"/>
      <c r="N176" s="139"/>
      <c r="O176" s="140">
        <f t="shared" si="19"/>
        <v>1</v>
      </c>
      <c r="P176" s="140"/>
      <c r="Q176" s="142"/>
      <c r="R176" s="142"/>
      <c r="S176" s="371" t="s">
        <v>947</v>
      </c>
    </row>
    <row r="177" spans="1:20" s="143" customFormat="1" ht="19.149999999999999" customHeight="1" x14ac:dyDescent="0.25">
      <c r="A177" s="3"/>
      <c r="B177" s="263"/>
      <c r="C177" s="8"/>
      <c r="D177" s="135"/>
      <c r="E177" s="266" t="s">
        <v>136</v>
      </c>
      <c r="F177" s="267"/>
      <c r="G177" s="277"/>
      <c r="H177" s="278">
        <v>0</v>
      </c>
      <c r="I177" s="279" t="s">
        <v>54</v>
      </c>
      <c r="J177" s="291"/>
      <c r="K177" s="281">
        <f t="shared" si="18"/>
        <v>0</v>
      </c>
      <c r="L177" s="39"/>
      <c r="M177" s="138"/>
      <c r="N177" s="139"/>
      <c r="O177" s="140">
        <f t="shared" si="19"/>
        <v>1</v>
      </c>
      <c r="P177" s="140"/>
      <c r="Q177" s="142"/>
      <c r="R177" s="142"/>
      <c r="S177" s="371" t="s">
        <v>947</v>
      </c>
    </row>
    <row r="178" spans="1:20" s="143" customFormat="1" ht="19.149999999999999" customHeight="1" x14ac:dyDescent="0.25">
      <c r="A178" s="3"/>
      <c r="B178" s="263"/>
      <c r="C178" s="8"/>
      <c r="D178" s="135"/>
      <c r="E178" s="266" t="s">
        <v>137</v>
      </c>
      <c r="F178" s="267"/>
      <c r="G178" s="277"/>
      <c r="H178" s="278">
        <v>0</v>
      </c>
      <c r="I178" s="279" t="s">
        <v>21</v>
      </c>
      <c r="J178" s="291"/>
      <c r="K178" s="281">
        <f t="shared" si="18"/>
        <v>0</v>
      </c>
      <c r="L178" s="39"/>
      <c r="M178" s="138"/>
      <c r="N178" s="139"/>
      <c r="O178" s="140">
        <f t="shared" si="19"/>
        <v>1</v>
      </c>
      <c r="P178" s="140"/>
      <c r="Q178" s="142"/>
      <c r="R178" s="142"/>
      <c r="S178" s="371" t="s">
        <v>947</v>
      </c>
    </row>
    <row r="179" spans="1:20" s="143" customFormat="1" ht="19.149999999999999" customHeight="1" thickBot="1" x14ac:dyDescent="0.3">
      <c r="A179" s="3"/>
      <c r="B179" s="263"/>
      <c r="C179" s="8"/>
      <c r="D179" s="135"/>
      <c r="E179" s="340" t="s">
        <v>138</v>
      </c>
      <c r="F179" s="341"/>
      <c r="G179" s="277"/>
      <c r="H179" s="278">
        <v>0</v>
      </c>
      <c r="I179" s="279" t="s">
        <v>45</v>
      </c>
      <c r="J179" s="291"/>
      <c r="K179" s="281">
        <f t="shared" si="18"/>
        <v>0</v>
      </c>
      <c r="L179" s="39"/>
      <c r="M179" s="138"/>
      <c r="N179" s="139"/>
      <c r="O179" s="140">
        <f t="shared" si="19"/>
        <v>1</v>
      </c>
      <c r="P179" s="140"/>
      <c r="Q179" s="142"/>
      <c r="R179" s="142"/>
      <c r="S179" s="371" t="s">
        <v>947</v>
      </c>
    </row>
    <row r="180" spans="1:20" ht="7.9" customHeight="1" x14ac:dyDescent="0.2">
      <c r="A180" s="2"/>
      <c r="B180" s="53"/>
      <c r="C180" s="34"/>
      <c r="D180" s="25"/>
      <c r="E180" s="307"/>
      <c r="F180" s="307"/>
      <c r="G180" s="307"/>
      <c r="H180" s="308"/>
      <c r="I180" s="306"/>
      <c r="J180" s="309"/>
      <c r="K180" s="310"/>
      <c r="L180" s="20"/>
      <c r="M180" s="73"/>
      <c r="N180" s="42"/>
      <c r="O180" s="43" t="s">
        <v>276</v>
      </c>
    </row>
    <row r="181" spans="1:20" ht="7.9" customHeight="1" thickBot="1" x14ac:dyDescent="0.25">
      <c r="A181" s="2"/>
      <c r="B181" s="53"/>
      <c r="C181" s="34"/>
      <c r="D181" s="20"/>
      <c r="E181" s="20"/>
      <c r="F181" s="20"/>
      <c r="G181" s="20"/>
      <c r="H181" s="20"/>
      <c r="I181" s="20"/>
      <c r="J181" s="49"/>
      <c r="K181" s="20"/>
      <c r="L181" s="20"/>
      <c r="M181" s="73"/>
      <c r="N181" s="42"/>
    </row>
    <row r="182" spans="1:20" ht="24" customHeight="1" thickBot="1" x14ac:dyDescent="0.25">
      <c r="A182" s="2"/>
      <c r="B182" s="53"/>
      <c r="C182" s="34"/>
      <c r="D182" s="24"/>
      <c r="E182" s="128" t="s">
        <v>139</v>
      </c>
      <c r="F182" s="129"/>
      <c r="G182" s="129"/>
      <c r="H182" s="129"/>
      <c r="I182" s="129"/>
      <c r="J182" s="130"/>
      <c r="K182" s="197">
        <f>SUMIF(O183:O188,1,K183:K188)</f>
        <v>0</v>
      </c>
      <c r="L182" s="20"/>
      <c r="M182" s="73"/>
      <c r="N182" s="42"/>
      <c r="O182" s="43" t="s">
        <v>275</v>
      </c>
    </row>
    <row r="183" spans="1:20" s="143" customFormat="1" ht="19.149999999999999" customHeight="1" x14ac:dyDescent="0.25">
      <c r="A183" s="3"/>
      <c r="B183" s="263"/>
      <c r="C183" s="8"/>
      <c r="D183" s="135"/>
      <c r="E183" s="182" t="s">
        <v>140</v>
      </c>
      <c r="F183" s="221"/>
      <c r="G183" s="137"/>
      <c r="H183" s="184">
        <v>0</v>
      </c>
      <c r="I183" s="187" t="s">
        <v>54</v>
      </c>
      <c r="J183" s="190"/>
      <c r="K183" s="191">
        <f>SUM(H183*J183)</f>
        <v>0</v>
      </c>
      <c r="L183" s="39"/>
      <c r="M183" s="138"/>
      <c r="N183" s="139"/>
      <c r="O183" s="140">
        <f>OR(NOT(ISERROR(SEARCH($F$5,Q183))),Q183=0)*OR(NOT(ISERROR(SEARCH($F$6,R183))),R183=0)</f>
        <v>1</v>
      </c>
      <c r="P183" s="140"/>
      <c r="Q183" s="142"/>
      <c r="R183" s="142"/>
      <c r="S183" s="371" t="s">
        <v>950</v>
      </c>
    </row>
    <row r="184" spans="1:20" s="143" customFormat="1" ht="19.149999999999999" customHeight="1" x14ac:dyDescent="0.25">
      <c r="A184" s="3"/>
      <c r="B184" s="263"/>
      <c r="C184" s="8"/>
      <c r="D184" s="135"/>
      <c r="E184" s="266" t="s">
        <v>141</v>
      </c>
      <c r="F184" s="267"/>
      <c r="G184" s="277"/>
      <c r="H184" s="278">
        <v>0</v>
      </c>
      <c r="I184" s="279" t="s">
        <v>54</v>
      </c>
      <c r="J184" s="291"/>
      <c r="K184" s="281">
        <f t="shared" ref="K184:K186" si="20">SUM(H184*J184)</f>
        <v>0</v>
      </c>
      <c r="L184" s="39"/>
      <c r="M184" s="138"/>
      <c r="N184" s="139"/>
      <c r="O184" s="140">
        <f t="shared" ref="O184:O186" si="21">OR(NOT(ISERROR(SEARCH($F$5,Q184))),Q184=0)*OR(NOT(ISERROR(SEARCH($F$6,R184))),R184=0)</f>
        <v>1</v>
      </c>
      <c r="P184" s="140"/>
      <c r="Q184" s="142"/>
      <c r="R184" s="142"/>
      <c r="S184" s="371" t="s">
        <v>950</v>
      </c>
    </row>
    <row r="185" spans="1:20" s="143" customFormat="1" ht="19.149999999999999" customHeight="1" x14ac:dyDescent="0.25">
      <c r="A185" s="3"/>
      <c r="B185" s="263"/>
      <c r="C185" s="8"/>
      <c r="D185" s="135"/>
      <c r="E185" s="266" t="s">
        <v>142</v>
      </c>
      <c r="F185" s="267"/>
      <c r="G185" s="277"/>
      <c r="H185" s="278">
        <v>0</v>
      </c>
      <c r="I185" s="279" t="s">
        <v>54</v>
      </c>
      <c r="J185" s="291"/>
      <c r="K185" s="281">
        <f t="shared" si="20"/>
        <v>0</v>
      </c>
      <c r="L185" s="39"/>
      <c r="M185" s="138"/>
      <c r="N185" s="139"/>
      <c r="O185" s="140">
        <f t="shared" si="21"/>
        <v>1</v>
      </c>
      <c r="P185" s="140"/>
      <c r="Q185" s="142"/>
      <c r="R185" s="142"/>
      <c r="S185" s="371" t="s">
        <v>950</v>
      </c>
    </row>
    <row r="186" spans="1:20" s="143" customFormat="1" ht="19.149999999999999" customHeight="1" x14ac:dyDescent="0.25">
      <c r="A186" s="3"/>
      <c r="B186" s="263"/>
      <c r="C186" s="8"/>
      <c r="D186" s="135"/>
      <c r="E186" s="266" t="s">
        <v>143</v>
      </c>
      <c r="F186" s="267"/>
      <c r="G186" s="277"/>
      <c r="H186" s="278">
        <v>0</v>
      </c>
      <c r="I186" s="279" t="s">
        <v>54</v>
      </c>
      <c r="J186" s="291"/>
      <c r="K186" s="281">
        <f t="shared" si="20"/>
        <v>0</v>
      </c>
      <c r="L186" s="39"/>
      <c r="M186" s="138"/>
      <c r="N186" s="139"/>
      <c r="O186" s="140">
        <f t="shared" si="21"/>
        <v>1</v>
      </c>
      <c r="P186" s="140"/>
      <c r="Q186" s="142"/>
      <c r="R186" s="142"/>
      <c r="S186" s="371" t="s">
        <v>950</v>
      </c>
    </row>
    <row r="187" spans="1:20" s="143" customFormat="1" ht="19.149999999999999" customHeight="1" thickBot="1" x14ac:dyDescent="0.3">
      <c r="A187" s="3"/>
      <c r="B187" s="263"/>
      <c r="C187" s="8"/>
      <c r="D187" s="135"/>
      <c r="E187" s="340" t="s">
        <v>144</v>
      </c>
      <c r="F187" s="341"/>
      <c r="G187" s="277"/>
      <c r="H187" s="278">
        <v>0</v>
      </c>
      <c r="I187" s="279" t="s">
        <v>54</v>
      </c>
      <c r="J187" s="280"/>
      <c r="K187" s="281">
        <f>SUM(H187*J187)</f>
        <v>0</v>
      </c>
      <c r="L187" s="39"/>
      <c r="M187" s="138"/>
      <c r="N187" s="139"/>
      <c r="O187" s="140">
        <f>OR(NOT(ISERROR(SEARCH($F$5,Q187))),Q187=0)*OR(NOT(ISERROR(SEARCH($F$6,R187))),R187=0)</f>
        <v>1</v>
      </c>
      <c r="P187" s="140"/>
      <c r="Q187" s="142"/>
      <c r="R187" s="142"/>
      <c r="S187" s="371" t="s">
        <v>950</v>
      </c>
    </row>
    <row r="188" spans="1:20" ht="7.9" customHeight="1" x14ac:dyDescent="0.2">
      <c r="A188" s="2"/>
      <c r="B188" s="53"/>
      <c r="C188" s="34"/>
      <c r="D188" s="25"/>
      <c r="E188" s="307"/>
      <c r="F188" s="307"/>
      <c r="G188" s="307"/>
      <c r="H188" s="308"/>
      <c r="I188" s="306"/>
      <c r="J188" s="309"/>
      <c r="K188" s="310"/>
      <c r="L188" s="20"/>
      <c r="M188" s="73"/>
      <c r="N188" s="42"/>
      <c r="O188" s="43" t="s">
        <v>276</v>
      </c>
    </row>
    <row r="189" spans="1:20" ht="7.9" customHeight="1" thickBot="1" x14ac:dyDescent="0.25">
      <c r="A189" s="2"/>
      <c r="B189" s="53"/>
      <c r="C189" s="34"/>
      <c r="D189" s="20"/>
      <c r="E189" s="20"/>
      <c r="F189" s="20"/>
      <c r="G189" s="20"/>
      <c r="H189" s="20"/>
      <c r="I189" s="20"/>
      <c r="J189" s="49"/>
      <c r="K189" s="20"/>
      <c r="L189" s="20"/>
      <c r="M189" s="73"/>
      <c r="N189" s="42"/>
    </row>
    <row r="190" spans="1:20" ht="24" customHeight="1" thickBot="1" x14ac:dyDescent="0.25">
      <c r="A190" s="2"/>
      <c r="B190" s="53"/>
      <c r="C190" s="34"/>
      <c r="D190" s="24"/>
      <c r="E190" s="128" t="s">
        <v>961</v>
      </c>
      <c r="F190" s="129"/>
      <c r="G190" s="129"/>
      <c r="H190" s="129"/>
      <c r="I190" s="129"/>
      <c r="J190" s="130"/>
      <c r="K190" s="317">
        <f ca="1">SUMIF(O191:O198,1,K191:K198)</f>
        <v>0</v>
      </c>
      <c r="L190" s="20"/>
      <c r="M190" s="73"/>
      <c r="N190" s="42"/>
      <c r="O190" s="43" t="s">
        <v>275</v>
      </c>
    </row>
    <row r="191" spans="1:20" s="43" customFormat="1" ht="19.350000000000001" customHeight="1" x14ac:dyDescent="0.2">
      <c r="A191" s="304"/>
      <c r="B191" s="53"/>
      <c r="C191" s="8"/>
      <c r="D191" s="135"/>
      <c r="E191" s="297" t="str">
        <f>'Non-Staff Labor'!$F$11</f>
        <v>Clean-Up Labor</v>
      </c>
      <c r="F191" s="298"/>
      <c r="G191" s="203"/>
      <c r="H191" s="199">
        <v>0</v>
      </c>
      <c r="I191" s="203" t="s">
        <v>18</v>
      </c>
      <c r="J191" s="252">
        <f ca="1">LaborOLD!H14</f>
        <v>0</v>
      </c>
      <c r="K191" s="191">
        <f t="shared" ref="K191:K195" ca="1" si="22">SUM(H191*J191)</f>
        <v>0</v>
      </c>
      <c r="L191" s="39"/>
      <c r="M191" s="138"/>
      <c r="N191" s="42"/>
      <c r="O191" s="140">
        <f t="shared" ref="O191:O196" si="23">OR(NOT(ISERROR(SEARCH($F$5,Q191))),Q191=0)*OR(NOT(ISERROR(SEARCH($F$6,R191))),R191=0)</f>
        <v>1</v>
      </c>
      <c r="Q191" s="44"/>
      <c r="R191" s="44"/>
      <c r="S191" s="370"/>
      <c r="T191" s="1"/>
    </row>
    <row r="192" spans="1:20" s="43" customFormat="1" ht="19.350000000000001" customHeight="1" x14ac:dyDescent="0.2">
      <c r="A192" s="304"/>
      <c r="B192" s="53"/>
      <c r="C192" s="8"/>
      <c r="D192" s="135"/>
      <c r="E192" s="297" t="str">
        <f>'Non-Staff Labor'!$I$11</f>
        <v>Safety (C &amp; L)</v>
      </c>
      <c r="F192" s="298"/>
      <c r="G192" s="203"/>
      <c r="H192" s="199">
        <v>0</v>
      </c>
      <c r="I192" s="203" t="s">
        <v>18</v>
      </c>
      <c r="J192" s="252">
        <f ca="1">LaborOLD!L14</f>
        <v>0</v>
      </c>
      <c r="K192" s="191">
        <f t="shared" ca="1" si="22"/>
        <v>0</v>
      </c>
      <c r="L192" s="39"/>
      <c r="M192" s="138"/>
      <c r="N192" s="42"/>
      <c r="O192" s="140">
        <f t="shared" si="23"/>
        <v>1</v>
      </c>
      <c r="Q192" s="44"/>
      <c r="R192" s="44"/>
      <c r="S192" s="370"/>
      <c r="T192" s="1"/>
    </row>
    <row r="193" spans="1:20" s="43" customFormat="1" ht="19.350000000000001" customHeight="1" x14ac:dyDescent="0.2">
      <c r="A193" s="304"/>
      <c r="B193" s="53"/>
      <c r="C193" s="8"/>
      <c r="D193" s="135"/>
      <c r="E193" s="297" t="str">
        <f>'Non-Staff Labor'!$L$11</f>
        <v>Police</v>
      </c>
      <c r="F193" s="298"/>
      <c r="G193" s="203"/>
      <c r="H193" s="199">
        <v>0</v>
      </c>
      <c r="I193" s="203" t="s">
        <v>18</v>
      </c>
      <c r="J193" s="252">
        <f ca="1">LaborOLD!P14</f>
        <v>0</v>
      </c>
      <c r="K193" s="191">
        <f t="shared" ca="1" si="22"/>
        <v>0</v>
      </c>
      <c r="L193" s="39"/>
      <c r="M193" s="138"/>
      <c r="N193" s="42"/>
      <c r="O193" s="140">
        <f t="shared" si="23"/>
        <v>1</v>
      </c>
      <c r="Q193" s="44"/>
      <c r="R193" s="44"/>
      <c r="S193" s="370"/>
      <c r="T193" s="1"/>
    </row>
    <row r="194" spans="1:20" s="43" customFormat="1" ht="19.350000000000001" customHeight="1" x14ac:dyDescent="0.2">
      <c r="A194" s="304"/>
      <c r="B194" s="53"/>
      <c r="C194" s="8"/>
      <c r="D194" s="135"/>
      <c r="E194" s="297" t="str">
        <f>'Non-Staff Labor'!$O$11</f>
        <v>Labor Steward</v>
      </c>
      <c r="F194" s="298"/>
      <c r="G194" s="203"/>
      <c r="H194" s="199">
        <v>0</v>
      </c>
      <c r="I194" s="203" t="s">
        <v>18</v>
      </c>
      <c r="J194" s="252">
        <f ca="1">LaborOLD!T14</f>
        <v>0</v>
      </c>
      <c r="K194" s="191">
        <f t="shared" ca="1" si="22"/>
        <v>0</v>
      </c>
      <c r="L194" s="39"/>
      <c r="M194" s="138"/>
      <c r="N194" s="42"/>
      <c r="O194" s="140">
        <f t="shared" si="23"/>
        <v>1</v>
      </c>
      <c r="Q194" s="44"/>
      <c r="R194" s="44"/>
      <c r="S194" s="370"/>
      <c r="T194" s="1"/>
    </row>
    <row r="195" spans="1:20" s="43" customFormat="1" ht="19.350000000000001" customHeight="1" x14ac:dyDescent="0.2">
      <c r="A195" s="304"/>
      <c r="B195" s="53"/>
      <c r="C195" s="8"/>
      <c r="D195" s="135"/>
      <c r="E195" s="297" t="str">
        <f>'Non-Staff Labor'!$R$11</f>
        <v>Carpenter Steward</v>
      </c>
      <c r="F195" s="298"/>
      <c r="G195" s="203"/>
      <c r="H195" s="199">
        <v>0</v>
      </c>
      <c r="I195" s="203" t="s">
        <v>18</v>
      </c>
      <c r="J195" s="252">
        <f ca="1">LaborOLD!X14</f>
        <v>0</v>
      </c>
      <c r="K195" s="191">
        <f t="shared" ca="1" si="22"/>
        <v>0</v>
      </c>
      <c r="L195" s="39"/>
      <c r="M195" s="138"/>
      <c r="N195" s="42"/>
      <c r="O195" s="140">
        <f t="shared" si="23"/>
        <v>1</v>
      </c>
      <c r="Q195" s="44"/>
      <c r="R195" s="44"/>
      <c r="S195" s="370"/>
      <c r="T195" s="1"/>
    </row>
    <row r="196" spans="1:20" s="43" customFormat="1" ht="19.350000000000001" customHeight="1" x14ac:dyDescent="0.2">
      <c r="A196" s="304"/>
      <c r="B196" s="53"/>
      <c r="C196" s="8"/>
      <c r="D196" s="135"/>
      <c r="E196" s="335" t="str">
        <f>'Non-Staff Labor'!$U$11</f>
        <v>Fire Watch</v>
      </c>
      <c r="F196" s="336"/>
      <c r="G196" s="203"/>
      <c r="H196" s="199">
        <v>0</v>
      </c>
      <c r="I196" s="203" t="s">
        <v>18</v>
      </c>
      <c r="J196" s="252">
        <f ca="1">LaborOLD!AB14</f>
        <v>0</v>
      </c>
      <c r="K196" s="193">
        <f ca="1">SUM(H196*J196)</f>
        <v>0</v>
      </c>
      <c r="L196" s="39"/>
      <c r="M196" s="138"/>
      <c r="N196" s="42"/>
      <c r="O196" s="140">
        <f t="shared" si="23"/>
        <v>1</v>
      </c>
      <c r="Q196" s="44"/>
      <c r="R196" s="44"/>
      <c r="S196" s="370"/>
      <c r="T196" s="1"/>
    </row>
    <row r="197" spans="1:20" s="143" customFormat="1" ht="6.75" customHeight="1" thickBot="1" x14ac:dyDescent="0.3">
      <c r="A197" s="3"/>
      <c r="B197" s="299"/>
      <c r="C197" s="8"/>
      <c r="D197" s="135"/>
      <c r="E197" s="300"/>
      <c r="F197" s="301"/>
      <c r="G197" s="312"/>
      <c r="H197" s="313"/>
      <c r="I197" s="314"/>
      <c r="J197" s="315"/>
      <c r="K197" s="316"/>
      <c r="L197" s="39"/>
      <c r="M197" s="138"/>
      <c r="N197" s="139"/>
      <c r="O197" s="140"/>
      <c r="P197" s="140"/>
      <c r="Q197" s="142"/>
      <c r="R197" s="142"/>
      <c r="S197" s="371"/>
    </row>
    <row r="198" spans="1:20" ht="7.9" customHeight="1" x14ac:dyDescent="0.2">
      <c r="A198" s="2"/>
      <c r="B198" s="53"/>
      <c r="C198" s="34"/>
      <c r="D198" s="25"/>
      <c r="E198" s="26"/>
      <c r="F198" s="26"/>
      <c r="G198" s="26"/>
      <c r="H198" s="27"/>
      <c r="I198" s="28"/>
      <c r="J198" s="29"/>
      <c r="K198" s="30"/>
      <c r="L198" s="20"/>
      <c r="M198" s="73"/>
      <c r="N198" s="42"/>
      <c r="O198" s="43" t="s">
        <v>276</v>
      </c>
    </row>
    <row r="199" spans="1:20" ht="7.9" customHeight="1" x14ac:dyDescent="0.2">
      <c r="A199" s="2"/>
      <c r="B199" s="53"/>
      <c r="C199" s="34"/>
      <c r="D199" s="20"/>
      <c r="E199" s="20"/>
      <c r="F199" s="20"/>
      <c r="G199" s="20"/>
      <c r="H199" s="20"/>
      <c r="I199" s="20"/>
      <c r="J199" s="49"/>
      <c r="K199" s="20"/>
      <c r="L199" s="20"/>
      <c r="M199" s="73"/>
      <c r="N199" s="42"/>
    </row>
    <row r="200" spans="1:20" s="5" customFormat="1" ht="15" hidden="1" x14ac:dyDescent="0.2">
      <c r="A200" s="2"/>
      <c r="B200" s="53"/>
      <c r="C200" s="2"/>
      <c r="D200" s="7"/>
      <c r="E200" s="7"/>
      <c r="F200" s="7"/>
      <c r="G200" s="7"/>
      <c r="H200" s="7"/>
      <c r="I200" s="7"/>
      <c r="J200" s="127"/>
      <c r="K200" s="7"/>
      <c r="L200" s="7"/>
      <c r="M200" s="42"/>
      <c r="N200" s="2"/>
      <c r="O200" s="43"/>
      <c r="P200" s="43"/>
      <c r="Q200" s="44"/>
      <c r="R200" s="44"/>
      <c r="S200" s="370"/>
      <c r="T200" s="1"/>
    </row>
    <row r="201" spans="1:20" s="5" customFormat="1" ht="17.45" hidden="1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126"/>
      <c r="K201" s="2"/>
      <c r="L201" s="2"/>
      <c r="M201" s="42"/>
      <c r="N201" s="2"/>
      <c r="O201" s="43"/>
      <c r="P201" s="43"/>
      <c r="Q201" s="44"/>
      <c r="R201" s="44"/>
      <c r="S201" s="370"/>
      <c r="T201" s="1"/>
    </row>
    <row r="202" spans="1:20" ht="14.25" hidden="1" x14ac:dyDescent="0.2">
      <c r="A202" s="132"/>
      <c r="B202" s="132"/>
      <c r="C202" s="132"/>
      <c r="D202" s="132"/>
      <c r="E202" s="132"/>
      <c r="F202" s="132"/>
      <c r="G202" s="132"/>
      <c r="H202" s="132"/>
      <c r="I202" s="132"/>
      <c r="J202" s="133"/>
      <c r="K202" s="132"/>
      <c r="L202" s="132"/>
      <c r="M202" s="132"/>
      <c r="N202" s="132"/>
    </row>
    <row r="203" spans="1:20" ht="19.149999999999999" hidden="1" customHeight="1" x14ac:dyDescent="0.2"/>
    <row r="204" spans="1:20" ht="14.25" hidden="1" x14ac:dyDescent="0.2"/>
    <row r="205" spans="1:20" ht="14.25" hidden="1" x14ac:dyDescent="0.2"/>
    <row r="206" spans="1:20" ht="14.25" hidden="1" x14ac:dyDescent="0.2"/>
    <row r="207" spans="1:20" ht="14.25" hidden="1" x14ac:dyDescent="0.2"/>
    <row r="208" spans="1:20" ht="15" hidden="1" thickBot="1" x14ac:dyDescent="0.25"/>
    <row r="209" spans="1:20" ht="15" hidden="1" thickBot="1" x14ac:dyDescent="0.25">
      <c r="C209" s="264">
        <f>K209</f>
        <v>0</v>
      </c>
      <c r="D209" s="178"/>
    </row>
    <row r="210" spans="1:20" ht="14.25" hidden="1" x14ac:dyDescent="0.2"/>
    <row r="211" spans="1:20" ht="14.25" hidden="1" x14ac:dyDescent="0.2">
      <c r="C211" s="8"/>
      <c r="H211" s="1">
        <f>tbl(\t_trailer,E1)</f>
        <v>0</v>
      </c>
    </row>
    <row r="212" spans="1:20" ht="14.25" hidden="1" x14ac:dyDescent="0.2"/>
    <row r="213" spans="1:20" ht="14.25" hidden="1" x14ac:dyDescent="0.2"/>
    <row r="214" spans="1:20" ht="13.9" hidden="1" customHeight="1" x14ac:dyDescent="0.2"/>
    <row r="215" spans="1:20" ht="13.9" hidden="1" customHeight="1" x14ac:dyDescent="0.2"/>
    <row r="216" spans="1:20" ht="13.9" hidden="1" customHeight="1" x14ac:dyDescent="0.2"/>
    <row r="217" spans="1:20" ht="13.9" hidden="1" customHeight="1" x14ac:dyDescent="0.2"/>
    <row r="218" spans="1:20" ht="13.9" hidden="1" customHeight="1" x14ac:dyDescent="0.2"/>
    <row r="219" spans="1:20" s="43" customFormat="1" ht="13.9" hidden="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50"/>
      <c r="K219" s="1"/>
      <c r="L219" s="1"/>
      <c r="M219" s="1"/>
      <c r="N219" s="1"/>
      <c r="Q219" s="44"/>
      <c r="R219" s="44"/>
      <c r="S219" s="370"/>
      <c r="T219" s="1"/>
    </row>
    <row r="220" spans="1:20" s="43" customFormat="1" ht="13.9" hidden="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50"/>
      <c r="K220" s="1"/>
      <c r="L220" s="1"/>
      <c r="M220" s="1"/>
      <c r="N220" s="1"/>
      <c r="Q220" s="44"/>
      <c r="R220" s="44"/>
      <c r="S220" s="370"/>
      <c r="T220" s="1"/>
    </row>
    <row r="221" spans="1:20" s="43" customFormat="1" ht="19.350000000000001" hidden="1" customHeight="1" x14ac:dyDescent="0.2">
      <c r="A221" s="304"/>
      <c r="B221" s="53"/>
      <c r="C221" s="8"/>
      <c r="D221" s="135"/>
      <c r="E221" s="256"/>
      <c r="F221" s="257"/>
      <c r="G221" s="203"/>
      <c r="H221" s="199">
        <v>1</v>
      </c>
      <c r="I221" s="203" t="s">
        <v>18</v>
      </c>
      <c r="J221" s="252"/>
      <c r="K221" s="193">
        <f>SUM(H221*J221)</f>
        <v>0</v>
      </c>
      <c r="L221" s="39"/>
      <c r="M221" s="138"/>
      <c r="N221" s="42"/>
      <c r="O221" s="140">
        <f t="shared" ref="O221" si="24">OR(NOT(ISERROR(SEARCH($F$5,Q221))),Q221=0)*OR(NOT(ISERROR(SEARCH($F$6,R221))),R221=0)</f>
        <v>1</v>
      </c>
      <c r="Q221" s="44"/>
      <c r="R221" s="44"/>
      <c r="S221" s="370"/>
      <c r="T221" s="1"/>
    </row>
    <row r="222" spans="1:20" s="43" customFormat="1" ht="13.9" hidden="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50"/>
      <c r="K222" s="1"/>
      <c r="L222" s="1"/>
      <c r="M222" s="1"/>
      <c r="N222" s="1"/>
      <c r="Q222" s="44"/>
      <c r="R222" s="44"/>
      <c r="S222" s="370"/>
      <c r="T222" s="1"/>
    </row>
    <row r="223" spans="1:20" s="43" customFormat="1" ht="13.9" hidden="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50"/>
      <c r="K223" s="1"/>
      <c r="L223" s="1"/>
      <c r="M223" s="1"/>
      <c r="N223" s="1"/>
      <c r="Q223" s="44"/>
      <c r="R223" s="44"/>
      <c r="S223" s="370"/>
      <c r="T223" s="1"/>
    </row>
    <row r="224" spans="1:20" s="43" customFormat="1" ht="13.9" hidden="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50"/>
      <c r="K224" s="1"/>
      <c r="L224" s="1"/>
      <c r="M224" s="1"/>
      <c r="N224" s="1"/>
      <c r="Q224" s="44"/>
      <c r="R224" s="44"/>
      <c r="S224" s="370"/>
      <c r="T224" s="1"/>
    </row>
    <row r="225" spans="1:20" s="43" customFormat="1" ht="13.9" hidden="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50"/>
      <c r="K225" s="1"/>
      <c r="L225" s="1"/>
      <c r="M225" s="1"/>
      <c r="N225" s="1"/>
      <c r="Q225" s="44"/>
      <c r="R225" s="44"/>
      <c r="S225" s="370"/>
      <c r="T225" s="1"/>
    </row>
    <row r="226" spans="1:20" s="43" customFormat="1" ht="13.9" hidden="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50"/>
      <c r="K226" s="1"/>
      <c r="L226" s="1"/>
      <c r="M226" s="1"/>
      <c r="N226" s="1"/>
      <c r="Q226" s="44"/>
      <c r="R226" s="44"/>
      <c r="S226" s="370"/>
      <c r="T226" s="1"/>
    </row>
    <row r="227" spans="1:20" s="43" customFormat="1" ht="13.9" hidden="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50"/>
      <c r="K227" s="1"/>
      <c r="L227" s="1"/>
      <c r="M227" s="1"/>
      <c r="N227" s="1"/>
      <c r="Q227" s="44"/>
      <c r="R227" s="44"/>
      <c r="S227" s="370"/>
      <c r="T227" s="1"/>
    </row>
    <row r="228" spans="1:20" ht="13.9" hidden="1" customHeight="1" x14ac:dyDescent="0.2"/>
    <row r="229" spans="1:20" ht="13.9" hidden="1" customHeight="1" x14ac:dyDescent="0.2"/>
    <row r="230" spans="1:20" ht="13.9" hidden="1" customHeight="1" x14ac:dyDescent="0.2"/>
    <row r="231" spans="1:20" ht="13.9" hidden="1" customHeight="1" x14ac:dyDescent="0.2"/>
    <row r="232" spans="1:20" ht="13.9" hidden="1" customHeight="1" x14ac:dyDescent="0.2"/>
    <row r="233" spans="1:20" ht="13.9" hidden="1" customHeight="1" x14ac:dyDescent="0.2"/>
    <row r="234" spans="1:20" ht="13.9" hidden="1" customHeight="1" x14ac:dyDescent="0.2"/>
    <row r="235" spans="1:20" ht="13.9" hidden="1" customHeight="1" x14ac:dyDescent="0.2"/>
    <row r="236" spans="1:20" ht="13.9" hidden="1" customHeight="1" x14ac:dyDescent="0.2"/>
    <row r="237" spans="1:20" ht="13.9" hidden="1" customHeight="1" x14ac:dyDescent="0.2"/>
  </sheetData>
  <sheetProtection sheet="1" scenarios="1" formatCells="0" formatColumns="0" formatRows="0" insertColumns="0" insertRows="0" insertHyperlinks="0" deleteColumns="0" deleteRows="0" sort="0" autoFilter="0" pivotTables="0"/>
  <mergeCells count="12">
    <mergeCell ref="E37:F37"/>
    <mergeCell ref="E38:F38"/>
    <mergeCell ref="E94:F94"/>
    <mergeCell ref="E53:F53"/>
    <mergeCell ref="E64:F64"/>
    <mergeCell ref="E87:F87"/>
    <mergeCell ref="E39:F39"/>
    <mergeCell ref="E2:F2"/>
    <mergeCell ref="J2:K2"/>
    <mergeCell ref="E3:F3"/>
    <mergeCell ref="A14:A15"/>
    <mergeCell ref="E34:F34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733"/>
  <sheetViews>
    <sheetView topLeftCell="D4" zoomScale="85" zoomScaleNormal="85" workbookViewId="0">
      <selection activeCell="A12" sqref="A12:XFD12"/>
    </sheetView>
  </sheetViews>
  <sheetFormatPr defaultColWidth="0" defaultRowHeight="0" customHeight="1" zeroHeight="1" x14ac:dyDescent="0.25"/>
  <cols>
    <col min="1" max="1" width="1.7109375" style="2" hidden="1" customWidth="1"/>
    <col min="2" max="2" width="29.7109375" style="2" hidden="1" customWidth="1"/>
    <col min="3" max="3" width="2.28515625" style="2" hidden="1" customWidth="1"/>
    <col min="4" max="4" width="4.85546875" style="1" customWidth="1"/>
    <col min="5" max="5" width="36.140625" style="1" customWidth="1"/>
    <col min="6" max="6" width="25.7109375" style="1" customWidth="1"/>
    <col min="7" max="7" width="1.85546875" style="1" customWidth="1"/>
    <col min="8" max="8" width="16.5703125" style="1" customWidth="1"/>
    <col min="9" max="9" width="19.85546875" style="1" bestFit="1" customWidth="1"/>
    <col min="10" max="10" width="14.7109375" style="1" customWidth="1"/>
    <col min="11" max="11" width="9" style="1" bestFit="1" customWidth="1"/>
    <col min="12" max="12" width="28.7109375" style="1" customWidth="1"/>
    <col min="13" max="13" width="4.28515625" style="1" customWidth="1"/>
    <col min="14" max="14" width="18.28515625" style="2" hidden="1" customWidth="1"/>
  </cols>
  <sheetData>
    <row r="1" spans="2:14" ht="41.45" hidden="1" customHeight="1" x14ac:dyDescent="0.25">
      <c r="B1" s="4"/>
      <c r="C1" s="4"/>
      <c r="D1" s="66"/>
      <c r="E1" s="67"/>
      <c r="F1" s="67"/>
      <c r="G1" s="67"/>
      <c r="H1" s="67"/>
      <c r="I1" s="67"/>
      <c r="J1" s="67"/>
      <c r="K1" s="67"/>
      <c r="L1" s="67"/>
      <c r="M1" s="67"/>
      <c r="N1" s="4"/>
    </row>
    <row r="2" spans="2:14" ht="6.6" hidden="1" customHeight="1" x14ac:dyDescent="0.25">
      <c r="D2" s="68"/>
      <c r="E2" s="69"/>
      <c r="F2" s="69"/>
      <c r="G2" s="69"/>
      <c r="H2" s="69"/>
      <c r="I2" s="69"/>
      <c r="J2" s="69"/>
      <c r="K2" s="69"/>
      <c r="L2" s="69"/>
      <c r="M2" s="69"/>
    </row>
    <row r="3" spans="2:14" ht="6.6" hidden="1" customHeight="1" thickBot="1" x14ac:dyDescent="0.3">
      <c r="D3" s="70"/>
      <c r="E3" s="71"/>
      <c r="F3" s="71"/>
      <c r="G3" s="71"/>
      <c r="H3" s="71"/>
      <c r="I3" s="71"/>
      <c r="J3" s="71"/>
      <c r="K3" s="71"/>
      <c r="L3" s="71"/>
      <c r="M3" s="71"/>
    </row>
    <row r="4" spans="2:14" ht="24.6" customHeight="1" x14ac:dyDescent="0.25">
      <c r="C4" s="34"/>
      <c r="D4" s="72"/>
      <c r="E4" s="20"/>
      <c r="F4" s="20"/>
      <c r="G4" s="20"/>
      <c r="H4" s="20"/>
      <c r="I4" s="20"/>
      <c r="J4" s="20"/>
      <c r="K4" s="20"/>
      <c r="L4" s="20"/>
      <c r="M4" s="20"/>
      <c r="N4" s="73"/>
    </row>
    <row r="5" spans="2:14" ht="19.5" x14ac:dyDescent="0.25">
      <c r="C5" s="34"/>
      <c r="D5" s="244">
        <f>Settings!D4</f>
        <v>0</v>
      </c>
      <c r="E5" s="74"/>
      <c r="F5" s="74"/>
      <c r="G5" s="74"/>
      <c r="H5" s="74"/>
      <c r="I5" s="74"/>
      <c r="J5" s="74"/>
      <c r="K5" s="74"/>
      <c r="L5" s="74"/>
      <c r="M5" s="74"/>
      <c r="N5" s="73"/>
    </row>
    <row r="6" spans="2:14" ht="19.5" x14ac:dyDescent="0.25">
      <c r="C6" s="34"/>
      <c r="D6" s="75" t="s">
        <v>398</v>
      </c>
      <c r="E6" s="76"/>
      <c r="F6" s="76"/>
      <c r="G6" s="77"/>
      <c r="H6" s="77"/>
      <c r="I6" s="77"/>
      <c r="J6" s="77"/>
      <c r="K6" s="77"/>
      <c r="L6" s="77"/>
      <c r="M6" s="77"/>
      <c r="N6" s="73"/>
    </row>
    <row r="7" spans="2:14" ht="15.75" x14ac:dyDescent="0.25">
      <c r="C7" s="34"/>
      <c r="D7" s="78"/>
      <c r="E7" s="78"/>
      <c r="F7" s="78"/>
      <c r="G7" s="78"/>
      <c r="H7" s="78"/>
      <c r="I7" s="78"/>
      <c r="J7" s="78"/>
      <c r="K7" s="78"/>
      <c r="L7" s="243">
        <f ca="1">Settings!\date</f>
        <v>43321.535509490743</v>
      </c>
      <c r="M7" s="79"/>
      <c r="N7" s="73"/>
    </row>
    <row r="8" spans="2:14" ht="42" customHeight="1" x14ac:dyDescent="0.25">
      <c r="C8" s="34"/>
      <c r="D8" s="78"/>
      <c r="E8" s="78"/>
      <c r="F8" s="78"/>
      <c r="G8" s="78"/>
      <c r="H8" s="78"/>
      <c r="I8" s="78"/>
      <c r="J8" s="78"/>
      <c r="K8" s="78"/>
      <c r="L8" s="80"/>
      <c r="M8" s="80"/>
      <c r="N8" s="73"/>
    </row>
    <row r="9" spans="2:14" ht="21.6" customHeight="1" x14ac:dyDescent="0.25">
      <c r="C9" s="34"/>
      <c r="D9" s="81"/>
      <c r="E9" s="82" t="s">
        <v>399</v>
      </c>
      <c r="F9" s="83"/>
      <c r="G9" s="84"/>
      <c r="H9" s="85" t="s">
        <v>400</v>
      </c>
      <c r="I9" s="85" t="s">
        <v>401</v>
      </c>
      <c r="J9" s="86" t="s">
        <v>402</v>
      </c>
      <c r="K9" s="86" t="s">
        <v>389</v>
      </c>
      <c r="L9" s="87" t="s">
        <v>253</v>
      </c>
      <c r="M9" s="87"/>
      <c r="N9" s="73"/>
    </row>
    <row r="10" spans="2:14" ht="21.6" customHeight="1" x14ac:dyDescent="0.25">
      <c r="C10" s="34"/>
      <c r="D10" s="81"/>
      <c r="E10" s="174" t="str">
        <f>'Staff Detail'!B13</f>
        <v>Precon</v>
      </c>
      <c r="F10" s="242">
        <f>'Staff Detail'!C13</f>
        <v>0</v>
      </c>
      <c r="G10" s="89"/>
      <c r="H10" s="170">
        <f>'Staff Detail'!K13</f>
        <v>0</v>
      </c>
      <c r="I10" s="171">
        <f>'Staff Detail'!AK13</f>
        <v>0</v>
      </c>
      <c r="J10" s="172">
        <f>'Staff Detail'!AM13</f>
        <v>0</v>
      </c>
      <c r="K10" s="172" t="s">
        <v>36</v>
      </c>
      <c r="L10" s="173">
        <f t="shared" ref="L10:L11" si="0">J10*I10</f>
        <v>0</v>
      </c>
      <c r="M10" s="92"/>
      <c r="N10" s="73"/>
    </row>
    <row r="11" spans="2:14" ht="21.6" customHeight="1" x14ac:dyDescent="0.25">
      <c r="C11" s="34"/>
      <c r="D11" s="81"/>
      <c r="E11" s="174" t="str">
        <f>'Staff Detail'!B15</f>
        <v>Construction</v>
      </c>
      <c r="F11" s="242">
        <f>'Staff Detail'!C15</f>
        <v>0</v>
      </c>
      <c r="G11" s="89"/>
      <c r="H11" s="170">
        <f>'Staff Detail'!K15</f>
        <v>0</v>
      </c>
      <c r="I11" s="171">
        <f>'Staff Detail'!AK15</f>
        <v>0</v>
      </c>
      <c r="J11" s="172">
        <f>'Staff Detail'!AM15</f>
        <v>0</v>
      </c>
      <c r="K11" s="172" t="s">
        <v>36</v>
      </c>
      <c r="L11" s="173">
        <f t="shared" si="0"/>
        <v>0</v>
      </c>
      <c r="M11" s="92"/>
      <c r="N11" s="73"/>
    </row>
    <row r="12" spans="2:14" ht="18.75" customHeight="1" x14ac:dyDescent="0.25">
      <c r="C12" s="34"/>
      <c r="D12" s="81"/>
      <c r="E12" s="88" t="str">
        <f>'Staff Detail'!B16</f>
        <v>Safety Manager 2</v>
      </c>
      <c r="F12" s="117">
        <f>'Staff Detail'!C16</f>
        <v>0</v>
      </c>
      <c r="G12" s="89"/>
      <c r="H12" s="237">
        <f>'Staff Detail'!K16</f>
        <v>0.1</v>
      </c>
      <c r="I12" s="238">
        <f ca="1">'Staff Detail'!AK16</f>
        <v>108.24953468667741</v>
      </c>
      <c r="J12" s="239">
        <f>'Staff Detail'!AM16</f>
        <v>7.5142857142857142</v>
      </c>
      <c r="K12" s="240" t="s">
        <v>36</v>
      </c>
      <c r="L12" s="241">
        <f t="shared" ref="L12" ca="1" si="1">J12*I12</f>
        <v>813.41793207417595</v>
      </c>
      <c r="M12" s="92"/>
      <c r="N12" s="73"/>
    </row>
    <row r="13" spans="2:14" ht="18.75" customHeight="1" x14ac:dyDescent="0.25">
      <c r="C13" s="34"/>
      <c r="D13" s="81"/>
      <c r="E13" s="88" t="str">
        <f>'Staff Detail'!B17</f>
        <v>Safety Manager 1</v>
      </c>
      <c r="F13" s="117">
        <f>'Staff Detail'!C17</f>
        <v>0</v>
      </c>
      <c r="G13" s="89"/>
      <c r="H13" s="237">
        <f>'Staff Detail'!K17</f>
        <v>0.5</v>
      </c>
      <c r="I13" s="238">
        <f ca="1">'Staff Detail'!AK17</f>
        <v>70.013592378985095</v>
      </c>
      <c r="J13" s="239">
        <f>'Staff Detail'!AM17</f>
        <v>37.571428571428569</v>
      </c>
      <c r="K13" s="240" t="s">
        <v>36</v>
      </c>
      <c r="L13" s="241">
        <f t="shared" ref="L13" ca="1" si="2">J13*I13</f>
        <v>2630.5106850961542</v>
      </c>
      <c r="M13" s="92"/>
      <c r="N13" s="73"/>
    </row>
    <row r="14" spans="2:14" ht="18.75" customHeight="1" x14ac:dyDescent="0.25">
      <c r="C14" s="34"/>
      <c r="D14" s="81"/>
      <c r="E14" s="550">
        <f>'Staff Detail'!B18</f>
        <v>0</v>
      </c>
      <c r="F14" s="117"/>
      <c r="G14" s="89"/>
      <c r="H14" s="237"/>
      <c r="I14" s="238"/>
      <c r="J14" s="239"/>
      <c r="K14" s="240"/>
      <c r="L14" s="241"/>
      <c r="M14" s="582"/>
      <c r="N14" s="73"/>
    </row>
    <row r="15" spans="2:14" ht="18.75" customHeight="1" x14ac:dyDescent="0.25">
      <c r="C15" s="34"/>
      <c r="D15" s="81"/>
      <c r="E15" s="583" t="s">
        <v>956</v>
      </c>
      <c r="F15" s="584"/>
      <c r="G15" s="585"/>
      <c r="H15" s="586"/>
      <c r="I15" s="587"/>
      <c r="J15" s="588"/>
      <c r="K15" s="589"/>
      <c r="L15" s="590">
        <f ca="1">SUM(L10:L14)</f>
        <v>3443.9286171703302</v>
      </c>
      <c r="M15" s="92"/>
      <c r="N15" s="73"/>
    </row>
    <row r="16" spans="2:14" ht="21.6" customHeight="1" x14ac:dyDescent="0.25">
      <c r="C16" s="34"/>
      <c r="D16" s="81"/>
      <c r="E16" s="88"/>
      <c r="F16" s="117"/>
      <c r="G16" s="89"/>
      <c r="H16" s="122"/>
      <c r="I16" s="118"/>
      <c r="J16" s="119"/>
      <c r="K16" s="119"/>
      <c r="L16" s="120"/>
      <c r="M16" s="92"/>
      <c r="N16" s="73"/>
    </row>
    <row r="17" spans="3:14" ht="18.75" customHeight="1" x14ac:dyDescent="0.25">
      <c r="C17" s="34"/>
      <c r="D17" s="81"/>
      <c r="E17" s="82" t="str">
        <f>'GCs Detail'!$E9</f>
        <v>PROJECT STAFFING EXPENSES</v>
      </c>
      <c r="F17" s="576"/>
      <c r="G17" s="553"/>
      <c r="H17" s="553"/>
      <c r="I17" s="554">
        <f>'GCs Detail'!$J9</f>
        <v>0</v>
      </c>
      <c r="J17" s="555">
        <f>'GCs Detail'!$H9</f>
        <v>0</v>
      </c>
      <c r="K17" s="556">
        <f>'GCs Detail'!$I9</f>
        <v>0</v>
      </c>
      <c r="L17" s="557">
        <f t="shared" ref="L17:L48" si="3">$I17*$J17</f>
        <v>0</v>
      </c>
      <c r="M17" s="92"/>
      <c r="N17" s="73"/>
    </row>
    <row r="18" spans="3:14" ht="18.75" customHeight="1" x14ac:dyDescent="0.25">
      <c r="C18" s="34"/>
      <c r="D18" s="81"/>
      <c r="E18" s="88" t="str">
        <f>'GCs Detail'!$E10</f>
        <v>Weekly Parking Fees</v>
      </c>
      <c r="F18" s="117"/>
      <c r="G18" s="89"/>
      <c r="H18" s="237"/>
      <c r="I18" s="238">
        <f>'GCs Detail'!$J10</f>
        <v>300</v>
      </c>
      <c r="J18" s="239">
        <f>'GCs Detail'!$H10</f>
        <v>0</v>
      </c>
      <c r="K18" s="240" t="str">
        <f>'GCs Detail'!$I10</f>
        <v>wks</v>
      </c>
      <c r="L18" s="241">
        <f t="shared" si="3"/>
        <v>0</v>
      </c>
      <c r="M18" s="92"/>
      <c r="N18" s="73"/>
    </row>
    <row r="19" spans="3:14" ht="18.75" customHeight="1" x14ac:dyDescent="0.25">
      <c r="C19" s="34"/>
      <c r="D19" s="81"/>
      <c r="E19" s="88" t="str">
        <f>'GCs Detail'!$E11</f>
        <v>Recruiting Charges</v>
      </c>
      <c r="F19" s="117"/>
      <c r="G19" s="89"/>
      <c r="H19" s="237"/>
      <c r="I19" s="238">
        <f>'GCs Detail'!$J11</f>
        <v>0</v>
      </c>
      <c r="J19" s="239">
        <f>'GCs Detail'!$H11</f>
        <v>0</v>
      </c>
      <c r="K19" s="240" t="str">
        <f>'GCs Detail'!$I11</f>
        <v>lsum</v>
      </c>
      <c r="L19" s="241">
        <f t="shared" si="3"/>
        <v>0</v>
      </c>
      <c r="M19" s="92"/>
      <c r="N19" s="73"/>
    </row>
    <row r="20" spans="3:14" ht="18.75" customHeight="1" x14ac:dyDescent="0.25">
      <c r="C20" s="34"/>
      <c r="D20" s="81"/>
      <c r="E20" s="88" t="str">
        <f>'GCs Detail'!$E12</f>
        <v>Mileage</v>
      </c>
      <c r="F20" s="117"/>
      <c r="G20" s="89"/>
      <c r="H20" s="237"/>
      <c r="I20" s="238">
        <f>'GCs Detail'!$J12</f>
        <v>0.55000000000000004</v>
      </c>
      <c r="J20" s="239">
        <f>'GCs Detail'!$H12</f>
        <v>0</v>
      </c>
      <c r="K20" s="240" t="str">
        <f>'GCs Detail'!$I12</f>
        <v>miles</v>
      </c>
      <c r="L20" s="241">
        <f t="shared" si="3"/>
        <v>0</v>
      </c>
      <c r="M20" s="92"/>
      <c r="N20" s="73"/>
    </row>
    <row r="21" spans="3:14" ht="18.75" customHeight="1" x14ac:dyDescent="0.25">
      <c r="C21" s="34"/>
      <c r="D21" s="81"/>
      <c r="E21" s="88" t="str">
        <f>'GCs Detail'!$E13</f>
        <v>Airfare</v>
      </c>
      <c r="F21" s="117"/>
      <c r="G21" s="89"/>
      <c r="H21" s="237"/>
      <c r="I21" s="238">
        <f>'GCs Detail'!$J13</f>
        <v>0</v>
      </c>
      <c r="J21" s="239">
        <f>'GCs Detail'!$H13</f>
        <v>0</v>
      </c>
      <c r="K21" s="240" t="str">
        <f>'GCs Detail'!$I13</f>
        <v>flights</v>
      </c>
      <c r="L21" s="241">
        <f t="shared" si="3"/>
        <v>0</v>
      </c>
      <c r="M21" s="92"/>
      <c r="N21" s="73"/>
    </row>
    <row r="22" spans="3:14" ht="18.75" customHeight="1" x14ac:dyDescent="0.25">
      <c r="C22" s="34"/>
      <c r="D22" s="81"/>
      <c r="E22" s="88" t="str">
        <f>'GCs Detail'!$E14</f>
        <v>TBD</v>
      </c>
      <c r="F22" s="117"/>
      <c r="G22" s="89"/>
      <c r="H22" s="237"/>
      <c r="I22" s="238">
        <f>'GCs Detail'!$J14</f>
        <v>0</v>
      </c>
      <c r="J22" s="239">
        <f>'GCs Detail'!$H14</f>
        <v>0</v>
      </c>
      <c r="K22" s="240" t="str">
        <f>'GCs Detail'!$I14</f>
        <v>nights</v>
      </c>
      <c r="L22" s="241">
        <f t="shared" si="3"/>
        <v>0</v>
      </c>
      <c r="M22" s="92"/>
      <c r="N22" s="73"/>
    </row>
    <row r="23" spans="3:14" ht="18.75" customHeight="1" x14ac:dyDescent="0.25">
      <c r="C23" s="34"/>
      <c r="D23" s="81"/>
      <c r="E23" s="88" t="str">
        <f>'GCs Detail'!$E15</f>
        <v>Car Rental</v>
      </c>
      <c r="F23" s="117"/>
      <c r="G23" s="89"/>
      <c r="H23" s="237"/>
      <c r="I23" s="238">
        <f>'GCs Detail'!$J15</f>
        <v>400</v>
      </c>
      <c r="J23" s="239">
        <f>'GCs Detail'!$H15</f>
        <v>0</v>
      </c>
      <c r="K23" s="240" t="str">
        <f>'GCs Detail'!$I15</f>
        <v>days</v>
      </c>
      <c r="L23" s="241">
        <f t="shared" si="3"/>
        <v>0</v>
      </c>
      <c r="M23" s="92"/>
      <c r="N23" s="73"/>
    </row>
    <row r="24" spans="3:14" ht="18.75" customHeight="1" x14ac:dyDescent="0.25">
      <c r="C24" s="34"/>
      <c r="D24" s="81"/>
      <c r="E24" s="88" t="str">
        <f>'GCs Detail'!$E16</f>
        <v>House/Apartment Rental</v>
      </c>
      <c r="F24" s="117"/>
      <c r="G24" s="89"/>
      <c r="H24" s="237"/>
      <c r="I24" s="238">
        <f>'GCs Detail'!$J16</f>
        <v>0</v>
      </c>
      <c r="J24" s="239">
        <f>'GCs Detail'!$H16</f>
        <v>0</v>
      </c>
      <c r="K24" s="240" t="str">
        <f>'GCs Detail'!$I16</f>
        <v>mos</v>
      </c>
      <c r="L24" s="241">
        <f t="shared" si="3"/>
        <v>0</v>
      </c>
      <c r="M24" s="92"/>
      <c r="N24" s="73"/>
    </row>
    <row r="25" spans="3:14" ht="18.75" customHeight="1" x14ac:dyDescent="0.25">
      <c r="C25" s="34"/>
      <c r="D25" s="81"/>
      <c r="E25" s="88" t="str">
        <f>'GCs Detail'!$E17</f>
        <v>Moving/Relocation</v>
      </c>
      <c r="F25" s="117"/>
      <c r="G25" s="89"/>
      <c r="H25" s="237"/>
      <c r="I25" s="238">
        <f>'GCs Detail'!$J17</f>
        <v>0</v>
      </c>
      <c r="J25" s="239">
        <f>'GCs Detail'!$H17</f>
        <v>0</v>
      </c>
      <c r="K25" s="240" t="str">
        <f>'GCs Detail'!$I17</f>
        <v>mos</v>
      </c>
      <c r="L25" s="241">
        <f t="shared" si="3"/>
        <v>0</v>
      </c>
      <c r="M25" s="92"/>
      <c r="N25" s="73"/>
    </row>
    <row r="26" spans="3:14" ht="18.75" customHeight="1" x14ac:dyDescent="0.25">
      <c r="C26" s="34"/>
      <c r="D26" s="81"/>
      <c r="E26" s="88" t="str">
        <f>'GCs Detail'!$E18</f>
        <v>Tolls</v>
      </c>
      <c r="F26" s="117"/>
      <c r="G26" s="89"/>
      <c r="H26" s="237"/>
      <c r="I26" s="238">
        <f>'GCs Detail'!$J18</f>
        <v>0</v>
      </c>
      <c r="J26" s="239">
        <f>'GCs Detail'!$H18</f>
        <v>0</v>
      </c>
      <c r="K26" s="240" t="str">
        <f>'GCs Detail'!$I18</f>
        <v>wks</v>
      </c>
      <c r="L26" s="241">
        <f t="shared" si="3"/>
        <v>0</v>
      </c>
      <c r="M26" s="92"/>
      <c r="N26" s="73"/>
    </row>
    <row r="27" spans="3:14" ht="18.75" customHeight="1" x14ac:dyDescent="0.25">
      <c r="C27" s="34"/>
      <c r="D27" s="81"/>
      <c r="E27" s="88" t="str">
        <f>'GCs Detail'!$E19</f>
        <v>Food Allowance</v>
      </c>
      <c r="F27" s="117"/>
      <c r="G27" s="89"/>
      <c r="H27" s="237"/>
      <c r="I27" s="238">
        <f>'GCs Detail'!$J19</f>
        <v>0</v>
      </c>
      <c r="J27" s="239">
        <f>'GCs Detail'!$H19</f>
        <v>0</v>
      </c>
      <c r="K27" s="240" t="str">
        <f>'GCs Detail'!$I19</f>
        <v>wks</v>
      </c>
      <c r="L27" s="241">
        <f t="shared" si="3"/>
        <v>0</v>
      </c>
      <c r="M27" s="92"/>
      <c r="N27" s="73"/>
    </row>
    <row r="28" spans="3:14" ht="18.75" customHeight="1" x14ac:dyDescent="0.25">
      <c r="C28" s="34"/>
      <c r="D28" s="81"/>
      <c r="E28" s="552">
        <f>'GCs Detail'!$E20</f>
        <v>0</v>
      </c>
      <c r="F28" s="552"/>
      <c r="G28" s="553"/>
      <c r="H28" s="553"/>
      <c r="I28" s="554">
        <f>'GCs Detail'!$J20</f>
        <v>0</v>
      </c>
      <c r="J28" s="555">
        <f>'GCs Detail'!$H20</f>
        <v>0</v>
      </c>
      <c r="K28" s="556">
        <f>'GCs Detail'!$I20</f>
        <v>0</v>
      </c>
      <c r="L28" s="557">
        <f t="shared" si="3"/>
        <v>0</v>
      </c>
      <c r="M28" s="92"/>
      <c r="N28" s="73"/>
    </row>
    <row r="29" spans="3:14" ht="18.75" customHeight="1" x14ac:dyDescent="0.25">
      <c r="C29" s="34"/>
      <c r="D29" s="81"/>
      <c r="E29" s="82" t="str">
        <f>'GCs Detail'!$E21</f>
        <v>PROJECT TRAILERS</v>
      </c>
      <c r="F29" s="576"/>
      <c r="G29" s="553"/>
      <c r="H29" s="553"/>
      <c r="I29" s="554">
        <f>'GCs Detail'!$J21</f>
        <v>0</v>
      </c>
      <c r="J29" s="555">
        <f>'GCs Detail'!$H21</f>
        <v>0</v>
      </c>
      <c r="K29" s="556">
        <f>'GCs Detail'!$I21</f>
        <v>0</v>
      </c>
      <c r="L29" s="557">
        <f t="shared" si="3"/>
        <v>0</v>
      </c>
      <c r="M29" s="92"/>
      <c r="N29" s="73"/>
    </row>
    <row r="30" spans="3:14" ht="4.5" customHeight="1" x14ac:dyDescent="0.25">
      <c r="C30" s="34"/>
      <c r="D30" s="81"/>
      <c r="E30" s="552">
        <f>'GCs Detail'!$E22</f>
        <v>0</v>
      </c>
      <c r="F30" s="552"/>
      <c r="G30" s="553"/>
      <c r="H30" s="553"/>
      <c r="I30" s="554">
        <f>'GCs Detail'!$J22</f>
        <v>0</v>
      </c>
      <c r="J30" s="555">
        <f>'GCs Detail'!$H22</f>
        <v>0</v>
      </c>
      <c r="K30" s="556">
        <f>'GCs Detail'!$I22</f>
        <v>0</v>
      </c>
      <c r="L30" s="557">
        <f t="shared" si="3"/>
        <v>0</v>
      </c>
      <c r="M30" s="92"/>
      <c r="N30" s="73"/>
    </row>
    <row r="31" spans="3:14" ht="18.75" customHeight="1" x14ac:dyDescent="0.25">
      <c r="C31" s="34"/>
      <c r="D31" s="81"/>
      <c r="E31" s="552">
        <f>'GCs Detail'!$E23</f>
        <v>0</v>
      </c>
      <c r="F31" s="552"/>
      <c r="G31" s="553"/>
      <c r="H31" s="553"/>
      <c r="I31" s="554">
        <f>'GCs Detail'!$J23</f>
        <v>0</v>
      </c>
      <c r="J31" s="555">
        <f>'GCs Detail'!$H23</f>
        <v>0</v>
      </c>
      <c r="K31" s="556">
        <f>'GCs Detail'!$I23</f>
        <v>0</v>
      </c>
      <c r="L31" s="557">
        <f t="shared" si="3"/>
        <v>0</v>
      </c>
      <c r="M31" s="92"/>
      <c r="N31" s="73"/>
    </row>
    <row r="32" spans="3:14" ht="18.75" customHeight="1" x14ac:dyDescent="0.25">
      <c r="C32" s="34"/>
      <c r="D32" s="81"/>
      <c r="E32" s="82" t="str">
        <f>'GCs Detail'!$E25</f>
        <v>TEMPORARY OFFICE RENTAL</v>
      </c>
      <c r="F32" s="576"/>
      <c r="G32" s="553"/>
      <c r="H32" s="553"/>
      <c r="I32" s="554">
        <f>'GCs Detail'!$J25</f>
        <v>0</v>
      </c>
      <c r="J32" s="555">
        <f>'GCs Detail'!$H25</f>
        <v>0</v>
      </c>
      <c r="K32" s="556">
        <f>'GCs Detail'!$I25</f>
        <v>0</v>
      </c>
      <c r="L32" s="557">
        <f t="shared" si="3"/>
        <v>0</v>
      </c>
      <c r="M32" s="92"/>
      <c r="N32" s="73"/>
    </row>
    <row r="33" spans="3:14" ht="18.75" customHeight="1" x14ac:dyDescent="0.25">
      <c r="C33" s="34"/>
      <c r="D33" s="81"/>
      <c r="E33" s="88" t="str">
        <f>'GCs Detail'!$E26</f>
        <v>Rental Fees</v>
      </c>
      <c r="F33" s="117"/>
      <c r="G33" s="89"/>
      <c r="H33" s="237"/>
      <c r="I33" s="238">
        <f>'GCs Detail'!$J26</f>
        <v>0</v>
      </c>
      <c r="J33" s="239">
        <f>'GCs Detail'!$H26</f>
        <v>0</v>
      </c>
      <c r="K33" s="240" t="str">
        <f>'GCs Detail'!$I26</f>
        <v>mos</v>
      </c>
      <c r="L33" s="241">
        <f t="shared" si="3"/>
        <v>0</v>
      </c>
      <c r="M33" s="92"/>
      <c r="N33" s="73"/>
    </row>
    <row r="34" spans="3:14" ht="18.75" customHeight="1" x14ac:dyDescent="0.25">
      <c r="C34" s="34"/>
      <c r="D34" s="81"/>
      <c r="E34" s="88" t="str">
        <f>'GCs Detail'!$E27</f>
        <v>Build-Out Of Office Space</v>
      </c>
      <c r="F34" s="117"/>
      <c r="G34" s="89"/>
      <c r="H34" s="237"/>
      <c r="I34" s="238">
        <f>'GCs Detail'!$J27</f>
        <v>0</v>
      </c>
      <c r="J34" s="239">
        <f>'GCs Detail'!$H27</f>
        <v>0</v>
      </c>
      <c r="K34" s="240" t="str">
        <f>'GCs Detail'!$I27</f>
        <v>lsum</v>
      </c>
      <c r="L34" s="241">
        <f t="shared" si="3"/>
        <v>0</v>
      </c>
      <c r="M34" s="92"/>
      <c r="N34" s="73"/>
    </row>
    <row r="35" spans="3:14" ht="18.75" customHeight="1" x14ac:dyDescent="0.25">
      <c r="C35" s="34"/>
      <c r="D35" s="81"/>
      <c r="E35" s="88" t="str">
        <f>'GCs Detail'!$E28</f>
        <v>Utilities</v>
      </c>
      <c r="F35" s="117"/>
      <c r="G35" s="89"/>
      <c r="H35" s="237"/>
      <c r="I35" s="238">
        <f>'GCs Detail'!$J28</f>
        <v>0</v>
      </c>
      <c r="J35" s="239">
        <f>'GCs Detail'!$H28</f>
        <v>0</v>
      </c>
      <c r="K35" s="240" t="str">
        <f>'GCs Detail'!$I28</f>
        <v>mos</v>
      </c>
      <c r="L35" s="241">
        <f t="shared" si="3"/>
        <v>0</v>
      </c>
      <c r="M35" s="92"/>
      <c r="N35" s="73"/>
    </row>
    <row r="36" spans="3:14" ht="18.75" customHeight="1" x14ac:dyDescent="0.25">
      <c r="C36" s="34"/>
      <c r="D36" s="81"/>
      <c r="E36" s="88" t="str">
        <f>'GCs Detail'!$E29</f>
        <v>Demolition &amp; Restore to Original Condition</v>
      </c>
      <c r="F36" s="117"/>
      <c r="G36" s="89"/>
      <c r="H36" s="237"/>
      <c r="I36" s="238">
        <f>'GCs Detail'!$J29</f>
        <v>0</v>
      </c>
      <c r="J36" s="239">
        <f>'GCs Detail'!$H29</f>
        <v>0</v>
      </c>
      <c r="K36" s="240" t="str">
        <f>'GCs Detail'!$I29</f>
        <v>lsum</v>
      </c>
      <c r="L36" s="241">
        <f t="shared" si="3"/>
        <v>0</v>
      </c>
      <c r="M36" s="92"/>
      <c r="N36" s="73"/>
    </row>
    <row r="37" spans="3:14" ht="18.75" customHeight="1" x14ac:dyDescent="0.25">
      <c r="C37" s="34"/>
      <c r="D37" s="81"/>
      <c r="E37" s="552">
        <f>'GCs Detail'!$E30</f>
        <v>0</v>
      </c>
      <c r="F37" s="552"/>
      <c r="G37" s="553"/>
      <c r="H37" s="553"/>
      <c r="I37" s="554">
        <f>'GCs Detail'!$J30</f>
        <v>0</v>
      </c>
      <c r="J37" s="555">
        <f>'GCs Detail'!$H30</f>
        <v>0</v>
      </c>
      <c r="K37" s="556">
        <f>'GCs Detail'!$I30</f>
        <v>0</v>
      </c>
      <c r="L37" s="557">
        <f t="shared" si="3"/>
        <v>0</v>
      </c>
      <c r="M37" s="92"/>
      <c r="N37" s="73"/>
    </row>
    <row r="38" spans="3:14" ht="18.75" customHeight="1" x14ac:dyDescent="0.25">
      <c r="C38" s="34"/>
      <c r="D38" s="81"/>
      <c r="E38" s="82" t="str">
        <f>'GCs Detail'!$E31</f>
        <v xml:space="preserve">SUFFOLK OFFICE FUNITURE &amp; EQUIPMENT </v>
      </c>
      <c r="F38" s="576"/>
      <c r="G38" s="553"/>
      <c r="H38" s="553"/>
      <c r="I38" s="554">
        <f>'GCs Detail'!$J31</f>
        <v>0</v>
      </c>
      <c r="J38" s="555">
        <f>'GCs Detail'!$H31</f>
        <v>0</v>
      </c>
      <c r="K38" s="556">
        <f>'GCs Detail'!$I31</f>
        <v>0</v>
      </c>
      <c r="L38" s="557">
        <f t="shared" si="3"/>
        <v>0</v>
      </c>
      <c r="M38" s="92"/>
      <c r="N38" s="73"/>
    </row>
    <row r="39" spans="3:14" ht="18.75" customHeight="1" x14ac:dyDescent="0.25">
      <c r="C39" s="34"/>
      <c r="D39" s="81"/>
      <c r="E39" s="88" t="str">
        <f>'GCs Detail'!$E32</f>
        <v>Digital Camera</v>
      </c>
      <c r="F39" s="117"/>
      <c r="G39" s="89"/>
      <c r="H39" s="237"/>
      <c r="I39" s="238">
        <f>'GCs Detail'!$J32</f>
        <v>500</v>
      </c>
      <c r="J39" s="239">
        <f>'GCs Detail'!$H32</f>
        <v>0</v>
      </c>
      <c r="K39" s="240" t="str">
        <f>'GCs Detail'!$I32</f>
        <v>each</v>
      </c>
      <c r="L39" s="241">
        <f t="shared" si="3"/>
        <v>0</v>
      </c>
      <c r="M39" s="92"/>
      <c r="N39" s="73"/>
    </row>
    <row r="40" spans="3:14" ht="18.75" customHeight="1" x14ac:dyDescent="0.25">
      <c r="C40" s="34"/>
      <c r="D40" s="81"/>
      <c r="E40" s="88" t="str">
        <f>'GCs Detail'!$E33</f>
        <v>Jobsite Live Streaming Camera - Earthcam</v>
      </c>
      <c r="F40" s="117"/>
      <c r="G40" s="89"/>
      <c r="H40" s="237"/>
      <c r="I40" s="238">
        <f>'GCs Detail'!$J33</f>
        <v>12000</v>
      </c>
      <c r="J40" s="239">
        <f>'GCs Detail'!$H33</f>
        <v>0</v>
      </c>
      <c r="K40" s="240" t="str">
        <f>'GCs Detail'!$I33</f>
        <v>set-up</v>
      </c>
      <c r="L40" s="241">
        <f t="shared" si="3"/>
        <v>0</v>
      </c>
      <c r="M40" s="92"/>
      <c r="N40" s="73"/>
    </row>
    <row r="41" spans="3:14" ht="18.75" customHeight="1" x14ac:dyDescent="0.25">
      <c r="C41" s="34"/>
      <c r="D41" s="81"/>
      <c r="E41" s="88" t="str">
        <f>'GCs Detail'!$E34</f>
        <v>Jobsite Live Streaming  Camera - Earthcam ($600/mth fee plus $300/mth for internet fee)</v>
      </c>
      <c r="F41" s="117"/>
      <c r="G41" s="89"/>
      <c r="H41" s="237"/>
      <c r="I41" s="238">
        <f>'GCs Detail'!$J34</f>
        <v>900</v>
      </c>
      <c r="J41" s="239">
        <f>'GCs Detail'!$H34</f>
        <v>0</v>
      </c>
      <c r="K41" s="240" t="str">
        <f>'GCs Detail'!$I34</f>
        <v>mos</v>
      </c>
      <c r="L41" s="241">
        <f t="shared" si="3"/>
        <v>0</v>
      </c>
      <c r="M41" s="92"/>
      <c r="N41" s="73"/>
    </row>
    <row r="42" spans="3:14" ht="18.75" customHeight="1" x14ac:dyDescent="0.25">
      <c r="C42" s="34"/>
      <c r="D42" s="81"/>
      <c r="E42" s="88" t="str">
        <f>'GCs Detail'!$E35</f>
        <v>Cell Phone Charging Stations</v>
      </c>
      <c r="F42" s="117"/>
      <c r="G42" s="89"/>
      <c r="H42" s="237"/>
      <c r="I42" s="238">
        <f>'GCs Detail'!$J35</f>
        <v>1250</v>
      </c>
      <c r="J42" s="239">
        <f>'GCs Detail'!$H35</f>
        <v>0</v>
      </c>
      <c r="K42" s="240" t="str">
        <f>'GCs Detail'!$I35</f>
        <v>each</v>
      </c>
      <c r="L42" s="241">
        <f t="shared" si="3"/>
        <v>0</v>
      </c>
      <c r="M42" s="92"/>
      <c r="N42" s="73"/>
    </row>
    <row r="43" spans="3:14" ht="18.75" customHeight="1" x14ac:dyDescent="0.25">
      <c r="C43" s="34"/>
      <c r="D43" s="81"/>
      <c r="E43" s="88" t="str">
        <f>'GCs Detail'!$E36</f>
        <v xml:space="preserve">Copiers </v>
      </c>
      <c r="F43" s="117"/>
      <c r="G43" s="89"/>
      <c r="H43" s="237"/>
      <c r="I43" s="238">
        <f>'GCs Detail'!$J36</f>
        <v>2000</v>
      </c>
      <c r="J43" s="239">
        <f>'GCs Detail'!$H36</f>
        <v>0</v>
      </c>
      <c r="K43" s="240" t="str">
        <f>'GCs Detail'!$I36</f>
        <v>each</v>
      </c>
      <c r="L43" s="241">
        <f t="shared" si="3"/>
        <v>0</v>
      </c>
      <c r="M43" s="92"/>
      <c r="N43" s="73"/>
    </row>
    <row r="44" spans="3:14" ht="18.75" customHeight="1" x14ac:dyDescent="0.25">
      <c r="C44" s="34"/>
      <c r="D44" s="81"/>
      <c r="E44" s="88" t="str">
        <f>'GCs Detail'!$E37</f>
        <v>Copier Maintenance</v>
      </c>
      <c r="F44" s="117"/>
      <c r="G44" s="89"/>
      <c r="H44" s="237"/>
      <c r="I44" s="238">
        <f>'GCs Detail'!$J37</f>
        <v>0</v>
      </c>
      <c r="J44" s="239">
        <f>'GCs Detail'!$H37</f>
        <v>0</v>
      </c>
      <c r="K44" s="240" t="str">
        <f>'GCs Detail'!$I37</f>
        <v>each</v>
      </c>
      <c r="L44" s="241">
        <f t="shared" si="3"/>
        <v>0</v>
      </c>
      <c r="M44" s="92"/>
      <c r="N44" s="73"/>
    </row>
    <row r="45" spans="3:14" ht="18.75" customHeight="1" x14ac:dyDescent="0.25">
      <c r="C45" s="34"/>
      <c r="D45" s="81"/>
      <c r="E45" s="88" t="str">
        <f>'GCs Detail'!$E38</f>
        <v>Office Supplies</v>
      </c>
      <c r="F45" s="117"/>
      <c r="G45" s="89"/>
      <c r="H45" s="237"/>
      <c r="I45" s="238">
        <f>'GCs Detail'!$J38</f>
        <v>350</v>
      </c>
      <c r="J45" s="239">
        <f>'GCs Detail'!$H38</f>
        <v>0</v>
      </c>
      <c r="K45" s="240" t="str">
        <f>'GCs Detail'!$I38</f>
        <v>mos</v>
      </c>
      <c r="L45" s="241">
        <f t="shared" si="3"/>
        <v>0</v>
      </c>
      <c r="M45" s="92"/>
      <c r="N45" s="73"/>
    </row>
    <row r="46" spans="3:14" ht="18.75" customHeight="1" x14ac:dyDescent="0.25">
      <c r="C46" s="34"/>
      <c r="D46" s="81"/>
      <c r="E46" s="88" t="str">
        <f>'GCs Detail'!$E39</f>
        <v xml:space="preserve">Office Furniture for each staff member  (Desks, Chairs, File Cabinet) </v>
      </c>
      <c r="F46" s="117"/>
      <c r="G46" s="89"/>
      <c r="H46" s="237"/>
      <c r="I46" s="238">
        <f>'GCs Detail'!$J39</f>
        <v>600</v>
      </c>
      <c r="J46" s="239">
        <f>'GCs Detail'!$H39</f>
        <v>0</v>
      </c>
      <c r="K46" s="240" t="str">
        <f>'GCs Detail'!$I39</f>
        <v>each</v>
      </c>
      <c r="L46" s="241">
        <f t="shared" si="3"/>
        <v>0</v>
      </c>
      <c r="M46" s="92"/>
      <c r="N46" s="73"/>
    </row>
    <row r="47" spans="3:14" ht="18.75" customHeight="1" x14ac:dyDescent="0.25">
      <c r="C47" s="34"/>
      <c r="D47" s="81"/>
      <c r="E47" s="88" t="str">
        <f>'GCs Detail'!$E40</f>
        <v xml:space="preserve">Office Furniture (Conf. Tables, Chairs, Plan Tables, Filing Cabinets) </v>
      </c>
      <c r="F47" s="117"/>
      <c r="G47" s="89"/>
      <c r="H47" s="237"/>
      <c r="I47" s="238">
        <f>'GCs Detail'!$J40</f>
        <v>600</v>
      </c>
      <c r="J47" s="239">
        <f>'GCs Detail'!$H40</f>
        <v>0</v>
      </c>
      <c r="K47" s="240" t="str">
        <f>'GCs Detail'!$I40</f>
        <v>ls</v>
      </c>
      <c r="L47" s="241">
        <f t="shared" si="3"/>
        <v>0</v>
      </c>
      <c r="M47" s="92"/>
      <c r="N47" s="73"/>
    </row>
    <row r="48" spans="3:14" ht="18.75" customHeight="1" x14ac:dyDescent="0.25">
      <c r="C48" s="34"/>
      <c r="D48" s="81"/>
      <c r="E48" s="88" t="str">
        <f>'GCs Detail'!$E41</f>
        <v>Consumables</v>
      </c>
      <c r="F48" s="117"/>
      <c r="G48" s="89"/>
      <c r="H48" s="237"/>
      <c r="I48" s="238">
        <f>'GCs Detail'!$J41</f>
        <v>200</v>
      </c>
      <c r="J48" s="239">
        <f>'GCs Detail'!$H41</f>
        <v>0</v>
      </c>
      <c r="K48" s="240" t="str">
        <f>'GCs Detail'!$I41</f>
        <v>mos</v>
      </c>
      <c r="L48" s="241">
        <f t="shared" si="3"/>
        <v>0</v>
      </c>
      <c r="M48" s="92"/>
      <c r="N48" s="73"/>
    </row>
    <row r="49" spans="3:14" ht="18.75" customHeight="1" x14ac:dyDescent="0.25">
      <c r="C49" s="34"/>
      <c r="D49" s="81"/>
      <c r="E49" s="88" t="str">
        <f>'GCs Detail'!$E42</f>
        <v>Team Lunch (Owner Meetings)</v>
      </c>
      <c r="F49" s="117"/>
      <c r="G49" s="89"/>
      <c r="H49" s="237"/>
      <c r="I49" s="238">
        <f>'GCs Detail'!$J42</f>
        <v>0</v>
      </c>
      <c r="J49" s="239">
        <f>'GCs Detail'!$H42</f>
        <v>0</v>
      </c>
      <c r="K49" s="240" t="str">
        <f>'GCs Detail'!$I42</f>
        <v>mos</v>
      </c>
      <c r="L49" s="241">
        <f t="shared" ref="L49:L72" si="4">$I49*$J49</f>
        <v>0</v>
      </c>
      <c r="M49" s="92"/>
      <c r="N49" s="73"/>
    </row>
    <row r="50" spans="3:14" ht="18.75" customHeight="1" x14ac:dyDescent="0.25">
      <c r="C50" s="34"/>
      <c r="D50" s="81"/>
      <c r="E50" s="88" t="str">
        <f>'GCs Detail'!$E43</f>
        <v>Bottled Water/Coffee</v>
      </c>
      <c r="F50" s="117"/>
      <c r="G50" s="89"/>
      <c r="H50" s="237"/>
      <c r="I50" s="238">
        <f>'GCs Detail'!$J43</f>
        <v>250</v>
      </c>
      <c r="J50" s="239">
        <f>'GCs Detail'!$H43</f>
        <v>0</v>
      </c>
      <c r="K50" s="240" t="str">
        <f>'GCs Detail'!$I43</f>
        <v>mos</v>
      </c>
      <c r="L50" s="241">
        <f t="shared" si="4"/>
        <v>0</v>
      </c>
      <c r="M50" s="92"/>
      <c r="N50" s="73"/>
    </row>
    <row r="51" spans="3:14" ht="18.75" customHeight="1" x14ac:dyDescent="0.25">
      <c r="C51" s="34"/>
      <c r="D51" s="81"/>
      <c r="E51" s="552">
        <f>'GCs Detail'!$E44</f>
        <v>0</v>
      </c>
      <c r="F51" s="552"/>
      <c r="G51" s="553"/>
      <c r="H51" s="553"/>
      <c r="I51" s="554">
        <f>'GCs Detail'!$J44</f>
        <v>0</v>
      </c>
      <c r="J51" s="555">
        <f>'GCs Detail'!$H44</f>
        <v>0</v>
      </c>
      <c r="K51" s="556">
        <f>'GCs Detail'!$I44</f>
        <v>0</v>
      </c>
      <c r="L51" s="557">
        <f t="shared" si="4"/>
        <v>0</v>
      </c>
      <c r="M51" s="92"/>
      <c r="N51" s="73"/>
    </row>
    <row r="52" spans="3:14" ht="18.75" customHeight="1" x14ac:dyDescent="0.25">
      <c r="C52" s="34"/>
      <c r="D52" s="81"/>
      <c r="E52" s="82" t="str">
        <f>'GCs Detail'!$E45</f>
        <v>INFORMATION TECHNOLOGY &amp; SUPPORT</v>
      </c>
      <c r="F52" s="576"/>
      <c r="G52" s="553"/>
      <c r="H52" s="553"/>
      <c r="I52" s="554">
        <f>'GCs Detail'!$J45</f>
        <v>0</v>
      </c>
      <c r="J52" s="555">
        <f>'GCs Detail'!$H45</f>
        <v>0</v>
      </c>
      <c r="K52" s="556">
        <f>'GCs Detail'!$I45</f>
        <v>0</v>
      </c>
      <c r="L52" s="557">
        <f t="shared" si="4"/>
        <v>0</v>
      </c>
      <c r="M52" s="92"/>
      <c r="N52" s="73"/>
    </row>
    <row r="53" spans="3:14" ht="18.75" customHeight="1" x14ac:dyDescent="0.25">
      <c r="C53" s="34"/>
      <c r="D53" s="81"/>
      <c r="E53" s="88" t="str">
        <f>'GCs Detail'!$E46</f>
        <v>Internet set-up / job site set up</v>
      </c>
      <c r="F53" s="117"/>
      <c r="G53" s="89"/>
      <c r="H53" s="237"/>
      <c r="I53" s="238">
        <f>'GCs Detail'!$J46</f>
        <v>1000</v>
      </c>
      <c r="J53" s="239">
        <f>'GCs Detail'!$H46</f>
        <v>0</v>
      </c>
      <c r="K53" s="240" t="str">
        <f>'GCs Detail'!$I46</f>
        <v>lines</v>
      </c>
      <c r="L53" s="241">
        <f t="shared" si="4"/>
        <v>0</v>
      </c>
      <c r="M53" s="92"/>
      <c r="N53" s="73"/>
    </row>
    <row r="54" spans="3:14" ht="18.75" customHeight="1" x14ac:dyDescent="0.25">
      <c r="C54" s="34"/>
      <c r="D54" s="81"/>
      <c r="E54" s="88" t="str">
        <f>'GCs Detail'!$E47</f>
        <v>Internet Monthly Cost</v>
      </c>
      <c r="F54" s="117"/>
      <c r="G54" s="89"/>
      <c r="H54" s="237"/>
      <c r="I54" s="238">
        <f>'GCs Detail'!$J47</f>
        <v>0</v>
      </c>
      <c r="J54" s="239">
        <f>'GCs Detail'!$H47</f>
        <v>0</v>
      </c>
      <c r="K54" s="240" t="str">
        <f>'GCs Detail'!$I47</f>
        <v>mos</v>
      </c>
      <c r="L54" s="241">
        <f t="shared" si="4"/>
        <v>0</v>
      </c>
      <c r="M54" s="92"/>
      <c r="N54" s="73"/>
    </row>
    <row r="55" spans="3:14" ht="18.75" customHeight="1" x14ac:dyDescent="0.25">
      <c r="C55" s="34"/>
      <c r="D55" s="81"/>
      <c r="E55" s="88" t="str">
        <f>'GCs Detail'!$E48</f>
        <v>Mifi Set-up Cost (Cradlepoints)</v>
      </c>
      <c r="F55" s="117"/>
      <c r="G55" s="89"/>
      <c r="H55" s="237"/>
      <c r="I55" s="238">
        <f>'GCs Detail'!$J48</f>
        <v>300</v>
      </c>
      <c r="J55" s="239">
        <f>'GCs Detail'!$H48</f>
        <v>0</v>
      </c>
      <c r="K55" s="240" t="str">
        <f>'GCs Detail'!$I48</f>
        <v>ea</v>
      </c>
      <c r="L55" s="241">
        <f t="shared" si="4"/>
        <v>0</v>
      </c>
      <c r="M55" s="92"/>
      <c r="N55" s="73"/>
    </row>
    <row r="56" spans="3:14" ht="18.75" customHeight="1" x14ac:dyDescent="0.25">
      <c r="C56" s="34"/>
      <c r="D56" s="81"/>
      <c r="E56" s="88" t="str">
        <f>'GCs Detail'!$E49</f>
        <v>Mifi Monthly Cost</v>
      </c>
      <c r="F56" s="117"/>
      <c r="G56" s="89"/>
      <c r="H56" s="237"/>
      <c r="I56" s="238">
        <f>'GCs Detail'!$J49</f>
        <v>265</v>
      </c>
      <c r="J56" s="239">
        <f>'GCs Detail'!$H49</f>
        <v>0</v>
      </c>
      <c r="K56" s="240" t="str">
        <f>'GCs Detail'!$I49</f>
        <v>mos</v>
      </c>
      <c r="L56" s="241">
        <f t="shared" si="4"/>
        <v>0</v>
      </c>
      <c r="M56" s="92"/>
      <c r="N56" s="73"/>
    </row>
    <row r="57" spans="3:14" ht="18.75" customHeight="1" x14ac:dyDescent="0.25">
      <c r="C57" s="34"/>
      <c r="D57" s="81"/>
      <c r="E57" s="88" t="str">
        <f>'GCs Detail'!$E50</f>
        <v>Cisco PoE Switch (One required for every job) - Good for Up to 20 Users</v>
      </c>
      <c r="F57" s="117"/>
      <c r="G57" s="89"/>
      <c r="H57" s="237"/>
      <c r="I57" s="238">
        <f>'GCs Detail'!$J50</f>
        <v>4600</v>
      </c>
      <c r="J57" s="239">
        <f>'GCs Detail'!$H50</f>
        <v>0</v>
      </c>
      <c r="K57" s="240" t="str">
        <f>'GCs Detail'!$I50</f>
        <v>each</v>
      </c>
      <c r="L57" s="241">
        <f t="shared" si="4"/>
        <v>0</v>
      </c>
      <c r="M57" s="92"/>
      <c r="N57" s="73"/>
    </row>
    <row r="58" spans="3:14" ht="18.75" customHeight="1" x14ac:dyDescent="0.25">
      <c r="C58" s="34"/>
      <c r="D58" s="81"/>
      <c r="E58" s="88" t="str">
        <f>'GCs Detail'!$E51</f>
        <v>Internal Wireless Access Point (Trailer)</v>
      </c>
      <c r="F58" s="117"/>
      <c r="G58" s="89"/>
      <c r="H58" s="237"/>
      <c r="I58" s="238">
        <f>'GCs Detail'!$J51</f>
        <v>600</v>
      </c>
      <c r="J58" s="239">
        <f>'GCs Detail'!$H51</f>
        <v>0</v>
      </c>
      <c r="K58" s="240" t="str">
        <f>'GCs Detail'!$I51</f>
        <v>ea</v>
      </c>
      <c r="L58" s="241">
        <f t="shared" si="4"/>
        <v>0</v>
      </c>
      <c r="M58" s="92"/>
      <c r="N58" s="73"/>
    </row>
    <row r="59" spans="3:14" ht="18.75" customHeight="1" x14ac:dyDescent="0.25">
      <c r="C59" s="34"/>
      <c r="D59" s="81"/>
      <c r="E59" s="88" t="str">
        <f>'GCs Detail'!$E52</f>
        <v>External Wireless Access Point (Site)</v>
      </c>
      <c r="F59" s="117"/>
      <c r="G59" s="89"/>
      <c r="H59" s="237"/>
      <c r="I59" s="238">
        <f>'GCs Detail'!$J52</f>
        <v>1820</v>
      </c>
      <c r="J59" s="239">
        <f>'GCs Detail'!$H52</f>
        <v>0</v>
      </c>
      <c r="K59" s="240" t="str">
        <f>'GCs Detail'!$I52</f>
        <v>ea</v>
      </c>
      <c r="L59" s="241">
        <f t="shared" si="4"/>
        <v>0</v>
      </c>
      <c r="M59" s="92"/>
      <c r="N59" s="73"/>
    </row>
    <row r="60" spans="3:14" ht="18.75" customHeight="1" x14ac:dyDescent="0.25">
      <c r="C60" s="34"/>
      <c r="D60" s="81"/>
      <c r="E60" s="88" t="str">
        <f>'GCs Detail'!$E53</f>
        <v>Cisco VoiP phone</v>
      </c>
      <c r="F60" s="117"/>
      <c r="G60" s="89"/>
      <c r="H60" s="237"/>
      <c r="I60" s="238">
        <f>'GCs Detail'!$J53</f>
        <v>750</v>
      </c>
      <c r="J60" s="239">
        <f>'GCs Detail'!$H53</f>
        <v>0</v>
      </c>
      <c r="K60" s="240" t="str">
        <f>'GCs Detail'!$I53</f>
        <v>each</v>
      </c>
      <c r="L60" s="241">
        <f t="shared" si="4"/>
        <v>0</v>
      </c>
      <c r="M60" s="92"/>
      <c r="N60" s="73"/>
    </row>
    <row r="61" spans="3:14" ht="18.75" customHeight="1" x14ac:dyDescent="0.25">
      <c r="C61" s="34"/>
      <c r="D61" s="81"/>
      <c r="E61" s="88" t="str">
        <f>'GCs Detail'!$E54</f>
        <v>Cisco Conference Star phone</v>
      </c>
      <c r="F61" s="117"/>
      <c r="G61" s="89"/>
      <c r="H61" s="237"/>
      <c r="I61" s="238">
        <f>'GCs Detail'!$J54</f>
        <v>1200</v>
      </c>
      <c r="J61" s="239">
        <f>'GCs Detail'!$H54</f>
        <v>0</v>
      </c>
      <c r="K61" s="240" t="str">
        <f>'GCs Detail'!$I54</f>
        <v>each</v>
      </c>
      <c r="L61" s="241">
        <f t="shared" si="4"/>
        <v>0</v>
      </c>
      <c r="M61" s="92"/>
      <c r="N61" s="73"/>
    </row>
    <row r="62" spans="3:14" ht="18.75" customHeight="1" x14ac:dyDescent="0.25">
      <c r="C62" s="34"/>
      <c r="D62" s="81"/>
      <c r="E62" s="88" t="str">
        <f>'GCs Detail'!$E55</f>
        <v>Red Analog Emergency Phone</v>
      </c>
      <c r="F62" s="117"/>
      <c r="G62" s="89"/>
      <c r="H62" s="237"/>
      <c r="I62" s="238">
        <f>'GCs Detail'!$J55</f>
        <v>50</v>
      </c>
      <c r="J62" s="239">
        <f>'GCs Detail'!$H55</f>
        <v>0</v>
      </c>
      <c r="K62" s="240" t="str">
        <f>'GCs Detail'!$I55</f>
        <v>each</v>
      </c>
      <c r="L62" s="241">
        <f t="shared" si="4"/>
        <v>0</v>
      </c>
      <c r="M62" s="92"/>
      <c r="N62" s="73"/>
    </row>
    <row r="63" spans="3:14" ht="18.75" customHeight="1" x14ac:dyDescent="0.25">
      <c r="C63" s="34"/>
      <c r="D63" s="81"/>
      <c r="E63" s="88" t="str">
        <f>'GCs Detail'!$E56</f>
        <v>File Server, Rack, UPS, SkySync License</v>
      </c>
      <c r="F63" s="117"/>
      <c r="G63" s="89"/>
      <c r="H63" s="237"/>
      <c r="I63" s="238">
        <f>'GCs Detail'!$J56</f>
        <v>25000</v>
      </c>
      <c r="J63" s="239">
        <f>'GCs Detail'!$H56</f>
        <v>0</v>
      </c>
      <c r="K63" s="240" t="str">
        <f>'GCs Detail'!$I56</f>
        <v>each</v>
      </c>
      <c r="L63" s="241">
        <f t="shared" si="4"/>
        <v>0</v>
      </c>
      <c r="M63" s="92"/>
      <c r="N63" s="73"/>
    </row>
    <row r="64" spans="3:14" ht="18.75" customHeight="1" x14ac:dyDescent="0.25">
      <c r="C64" s="34"/>
      <c r="D64" s="81"/>
      <c r="E64" s="552">
        <f>'GCs Detail'!$E57</f>
        <v>0</v>
      </c>
      <c r="F64" s="552"/>
      <c r="G64" s="553"/>
      <c r="H64" s="553"/>
      <c r="I64" s="554">
        <f>'GCs Detail'!$J57</f>
        <v>0</v>
      </c>
      <c r="J64" s="555">
        <f>'GCs Detail'!$H57</f>
        <v>0</v>
      </c>
      <c r="K64" s="556">
        <f>'GCs Detail'!$I57</f>
        <v>0</v>
      </c>
      <c r="L64" s="557">
        <f t="shared" si="4"/>
        <v>0</v>
      </c>
      <c r="M64" s="92"/>
      <c r="N64" s="73"/>
    </row>
    <row r="65" spans="3:14" ht="18.75" customHeight="1" x14ac:dyDescent="0.25">
      <c r="C65" s="34"/>
      <c r="D65" s="81"/>
      <c r="E65" s="82" t="str">
        <f>'GCs Detail'!$E58</f>
        <v xml:space="preserve">COMPUTER EQUIPMENT   </v>
      </c>
      <c r="F65" s="576"/>
      <c r="G65" s="553"/>
      <c r="H65" s="553"/>
      <c r="I65" s="554">
        <f>'GCs Detail'!$J58</f>
        <v>0</v>
      </c>
      <c r="J65" s="555">
        <f>'GCs Detail'!$H58</f>
        <v>0</v>
      </c>
      <c r="K65" s="556">
        <f>'GCs Detail'!$I58</f>
        <v>0</v>
      </c>
      <c r="L65" s="557">
        <f t="shared" si="4"/>
        <v>0</v>
      </c>
      <c r="M65" s="92"/>
      <c r="N65" s="73"/>
    </row>
    <row r="66" spans="3:14" ht="18.75" customHeight="1" x14ac:dyDescent="0.25">
      <c r="C66" s="34"/>
      <c r="D66" s="81"/>
      <c r="E66" s="88" t="str">
        <f>'GCs Detail'!$E59</f>
        <v>Printer</v>
      </c>
      <c r="F66" s="117"/>
      <c r="G66" s="89"/>
      <c r="H66" s="237"/>
      <c r="I66" s="238">
        <f>'GCs Detail'!$J59</f>
        <v>450</v>
      </c>
      <c r="J66" s="239">
        <f>'GCs Detail'!$H59</f>
        <v>0</v>
      </c>
      <c r="K66" s="240" t="str">
        <f>'GCs Detail'!$I59</f>
        <v>each</v>
      </c>
      <c r="L66" s="241">
        <f t="shared" si="4"/>
        <v>0</v>
      </c>
      <c r="M66" s="92"/>
      <c r="N66" s="73"/>
    </row>
    <row r="67" spans="3:14" ht="18.75" customHeight="1" x14ac:dyDescent="0.25">
      <c r="C67" s="34"/>
      <c r="D67" s="81"/>
      <c r="E67" s="88" t="str">
        <f>'GCs Detail'!$E60</f>
        <v>Desktop Computer</v>
      </c>
      <c r="F67" s="117"/>
      <c r="G67" s="89"/>
      <c r="H67" s="237"/>
      <c r="I67" s="238">
        <f>'GCs Detail'!$J60</f>
        <v>2265</v>
      </c>
      <c r="J67" s="239">
        <f>'GCs Detail'!$H60</f>
        <v>0</v>
      </c>
      <c r="K67" s="240" t="str">
        <f>'GCs Detail'!$I60</f>
        <v>each</v>
      </c>
      <c r="L67" s="241">
        <f t="shared" si="4"/>
        <v>0</v>
      </c>
      <c r="M67" s="92"/>
      <c r="N67" s="73"/>
    </row>
    <row r="68" spans="3:14" ht="18.75" customHeight="1" x14ac:dyDescent="0.25">
      <c r="C68" s="34"/>
      <c r="D68" s="81"/>
      <c r="E68" s="88" t="str">
        <f>'GCs Detail'!$E61</f>
        <v xml:space="preserve">Laptop Standard </v>
      </c>
      <c r="F68" s="117"/>
      <c r="G68" s="89"/>
      <c r="H68" s="237"/>
      <c r="I68" s="238">
        <f>'GCs Detail'!$J61</f>
        <v>1500</v>
      </c>
      <c r="J68" s="239">
        <f>'GCs Detail'!$H61</f>
        <v>0</v>
      </c>
      <c r="K68" s="240" t="str">
        <f>'GCs Detail'!$I61</f>
        <v>each</v>
      </c>
      <c r="L68" s="241">
        <f t="shared" si="4"/>
        <v>0</v>
      </c>
      <c r="M68" s="92"/>
      <c r="N68" s="73"/>
    </row>
    <row r="69" spans="3:14" ht="18.75" customHeight="1" x14ac:dyDescent="0.25">
      <c r="C69" s="34"/>
      <c r="D69" s="81"/>
      <c r="E69" s="88" t="str">
        <f>'GCs Detail'!$E62</f>
        <v>Laptop BIM High Spec</v>
      </c>
      <c r="F69" s="117"/>
      <c r="G69" s="89"/>
      <c r="H69" s="237"/>
      <c r="I69" s="238">
        <f>'GCs Detail'!$J62</f>
        <v>4500</v>
      </c>
      <c r="J69" s="239">
        <f>'GCs Detail'!$H62</f>
        <v>0</v>
      </c>
      <c r="K69" s="240" t="str">
        <f>'GCs Detail'!$I62</f>
        <v>each</v>
      </c>
      <c r="L69" s="241">
        <f t="shared" si="4"/>
        <v>0</v>
      </c>
      <c r="M69" s="92"/>
      <c r="N69" s="73"/>
    </row>
    <row r="70" spans="3:14" ht="18.75" customHeight="1" x14ac:dyDescent="0.25">
      <c r="C70" s="34"/>
      <c r="D70" s="81"/>
      <c r="E70" s="88" t="str">
        <f>'GCs Detail'!$E63</f>
        <v>24" Monitor</v>
      </c>
      <c r="F70" s="117"/>
      <c r="G70" s="89"/>
      <c r="H70" s="237"/>
      <c r="I70" s="238">
        <f>'GCs Detail'!$J63</f>
        <v>150</v>
      </c>
      <c r="J70" s="239">
        <f>'GCs Detail'!$H63</f>
        <v>0</v>
      </c>
      <c r="K70" s="240" t="str">
        <f>'GCs Detail'!$I63</f>
        <v>each</v>
      </c>
      <c r="L70" s="241">
        <f t="shared" si="4"/>
        <v>0</v>
      </c>
      <c r="M70" s="92"/>
      <c r="N70" s="73"/>
    </row>
    <row r="71" spans="3:14" ht="18.75" customHeight="1" x14ac:dyDescent="0.25">
      <c r="C71" s="34"/>
      <c r="D71" s="81"/>
      <c r="E71" s="88" t="str">
        <f>'GCs Detail'!$E64</f>
        <v>27" Monitor</v>
      </c>
      <c r="F71" s="117"/>
      <c r="G71" s="89"/>
      <c r="H71" s="237"/>
      <c r="I71" s="238">
        <f>'GCs Detail'!$J64</f>
        <v>150</v>
      </c>
      <c r="J71" s="239">
        <f>'GCs Detail'!$H64</f>
        <v>0</v>
      </c>
      <c r="K71" s="240" t="str">
        <f>'GCs Detail'!$I64</f>
        <v>each</v>
      </c>
      <c r="L71" s="241">
        <f t="shared" si="4"/>
        <v>0</v>
      </c>
      <c r="M71" s="92"/>
      <c r="N71" s="73"/>
    </row>
    <row r="72" spans="3:14" ht="18.75" customHeight="1" x14ac:dyDescent="0.25">
      <c r="C72" s="34"/>
      <c r="D72" s="81"/>
      <c r="E72" s="88" t="str">
        <f>'GCs Detail'!$E65</f>
        <v>27" DELL 4K monitor</v>
      </c>
      <c r="F72" s="117"/>
      <c r="G72" s="89"/>
      <c r="H72" s="237"/>
      <c r="I72" s="238">
        <f>'GCs Detail'!$J65</f>
        <v>450</v>
      </c>
      <c r="J72" s="239">
        <f>'GCs Detail'!$H65</f>
        <v>0</v>
      </c>
      <c r="K72" s="240" t="str">
        <f>'GCs Detail'!$I65</f>
        <v>each</v>
      </c>
      <c r="L72" s="241">
        <f t="shared" si="4"/>
        <v>0</v>
      </c>
      <c r="M72" s="92"/>
      <c r="N72" s="73"/>
    </row>
    <row r="73" spans="3:14" ht="18.75" customHeight="1" x14ac:dyDescent="0.25">
      <c r="C73" s="34"/>
      <c r="D73" s="81"/>
      <c r="E73" s="88" t="str">
        <f>'GCs Detail'!$E66</f>
        <v>Digital Signage</v>
      </c>
      <c r="F73" s="117"/>
      <c r="G73" s="89"/>
      <c r="H73" s="237"/>
      <c r="I73" s="238">
        <f>'GCs Detail'!$J66</f>
        <v>2500</v>
      </c>
      <c r="J73" s="239">
        <f>'GCs Detail'!$H66</f>
        <v>0</v>
      </c>
      <c r="K73" s="240" t="str">
        <f>'GCs Detail'!$I66</f>
        <v>each</v>
      </c>
      <c r="L73" s="241">
        <f t="shared" ref="L73:L102" si="5">$I73*$J73</f>
        <v>0</v>
      </c>
      <c r="M73" s="92"/>
      <c r="N73" s="73"/>
    </row>
    <row r="74" spans="3:14" ht="18.75" customHeight="1" x14ac:dyDescent="0.25">
      <c r="C74" s="34"/>
      <c r="D74" s="81"/>
      <c r="E74" s="88" t="str">
        <f>'GCs Detail'!$E67</f>
        <v>Microsoft Surface Hub</v>
      </c>
      <c r="F74" s="117"/>
      <c r="G74" s="89"/>
      <c r="H74" s="237"/>
      <c r="I74" s="238">
        <f>'GCs Detail'!$J67</f>
        <v>1500</v>
      </c>
      <c r="J74" s="239">
        <f>'GCs Detail'!$H67</f>
        <v>0</v>
      </c>
      <c r="K74" s="240" t="str">
        <f>'GCs Detail'!$I67</f>
        <v>each</v>
      </c>
      <c r="L74" s="241">
        <f t="shared" si="5"/>
        <v>0</v>
      </c>
      <c r="M74" s="92"/>
      <c r="N74" s="73"/>
    </row>
    <row r="75" spans="3:14" ht="18.75" customHeight="1" x14ac:dyDescent="0.25">
      <c r="C75" s="34"/>
      <c r="D75" s="81"/>
      <c r="E75" s="88" t="str">
        <f>'GCs Detail'!$E68</f>
        <v>Apple TV (iPad Screen Mirroring)</v>
      </c>
      <c r="F75" s="117"/>
      <c r="G75" s="89"/>
      <c r="H75" s="237"/>
      <c r="I75" s="238">
        <f>'GCs Detail'!$J68</f>
        <v>70</v>
      </c>
      <c r="J75" s="239">
        <f>'GCs Detail'!$H68</f>
        <v>0</v>
      </c>
      <c r="K75" s="240" t="str">
        <f>'GCs Detail'!$I68</f>
        <v>each</v>
      </c>
      <c r="L75" s="241">
        <f t="shared" si="5"/>
        <v>0</v>
      </c>
      <c r="M75" s="92"/>
      <c r="N75" s="73"/>
    </row>
    <row r="76" spans="3:14" ht="18.75" customHeight="1" x14ac:dyDescent="0.25">
      <c r="C76" s="34"/>
      <c r="D76" s="81"/>
      <c r="E76" s="88" t="str">
        <f>'GCs Detail'!$E69</f>
        <v>Field iPad</v>
      </c>
      <c r="F76" s="117"/>
      <c r="G76" s="89"/>
      <c r="H76" s="237"/>
      <c r="I76" s="238">
        <f>'GCs Detail'!$J69</f>
        <v>860</v>
      </c>
      <c r="J76" s="239">
        <f>'GCs Detail'!$H69</f>
        <v>0</v>
      </c>
      <c r="K76" s="240" t="str">
        <f>'GCs Detail'!$I69</f>
        <v>each</v>
      </c>
      <c r="L76" s="241">
        <f t="shared" si="5"/>
        <v>0</v>
      </c>
      <c r="M76" s="92"/>
      <c r="N76" s="73"/>
    </row>
    <row r="77" spans="3:14" ht="18.75" customHeight="1" x14ac:dyDescent="0.25">
      <c r="C77" s="34"/>
      <c r="D77" s="81"/>
      <c r="E77" s="552">
        <f>'GCs Detail'!$E70</f>
        <v>0</v>
      </c>
      <c r="F77" s="552"/>
      <c r="G77" s="553"/>
      <c r="H77" s="553"/>
      <c r="I77" s="554">
        <f>'GCs Detail'!$J70</f>
        <v>0</v>
      </c>
      <c r="J77" s="555">
        <f>'GCs Detail'!$H70</f>
        <v>0</v>
      </c>
      <c r="K77" s="556">
        <f>'GCs Detail'!$I70</f>
        <v>0</v>
      </c>
      <c r="L77" s="557">
        <f t="shared" si="5"/>
        <v>0</v>
      </c>
      <c r="M77" s="92"/>
      <c r="N77" s="73"/>
    </row>
    <row r="78" spans="3:14" ht="18.75" customHeight="1" x14ac:dyDescent="0.25">
      <c r="C78" s="34"/>
      <c r="D78" s="81"/>
      <c r="E78" s="82" t="str">
        <f>'GCs Detail'!$E71</f>
        <v>PROCORE</v>
      </c>
      <c r="F78" s="576"/>
      <c r="G78" s="553"/>
      <c r="H78" s="553"/>
      <c r="I78" s="554">
        <f>'GCs Detail'!$J71</f>
        <v>0</v>
      </c>
      <c r="J78" s="555">
        <f>'GCs Detail'!$H71</f>
        <v>0</v>
      </c>
      <c r="K78" s="556">
        <f>'GCs Detail'!$I71</f>
        <v>0</v>
      </c>
      <c r="L78" s="557">
        <f t="shared" si="5"/>
        <v>0</v>
      </c>
      <c r="M78" s="92"/>
      <c r="N78" s="73"/>
    </row>
    <row r="79" spans="3:14" ht="18.75" customHeight="1" x14ac:dyDescent="0.25">
      <c r="C79" s="34"/>
      <c r="D79" s="81"/>
      <c r="E79" s="88" t="str">
        <f>'GCs Detail'!$E72</f>
        <v>Procore Fee</v>
      </c>
      <c r="F79" s="117"/>
      <c r="G79" s="89"/>
      <c r="H79" s="237"/>
      <c r="I79" s="238">
        <f>'GCs Detail'!$J72</f>
        <v>6.9999999999999999E-4</v>
      </c>
      <c r="J79" s="239">
        <f>'GCs Detail'!$H72</f>
        <v>0</v>
      </c>
      <c r="K79" s="240" t="str">
        <f>'GCs Detail'!$I72</f>
        <v>contract</v>
      </c>
      <c r="L79" s="241">
        <f t="shared" si="5"/>
        <v>0</v>
      </c>
      <c r="M79" s="92"/>
      <c r="N79" s="73"/>
    </row>
    <row r="80" spans="3:14" ht="18.75" customHeight="1" x14ac:dyDescent="0.25">
      <c r="C80" s="34"/>
      <c r="D80" s="81"/>
      <c r="E80" s="552">
        <f>'GCs Detail'!$E73</f>
        <v>0</v>
      </c>
      <c r="F80" s="552"/>
      <c r="G80" s="553"/>
      <c r="H80" s="553"/>
      <c r="I80" s="554">
        <f>'GCs Detail'!$J73</f>
        <v>0</v>
      </c>
      <c r="J80" s="555">
        <f>'GCs Detail'!$H73</f>
        <v>0</v>
      </c>
      <c r="K80" s="556">
        <f>'GCs Detail'!$I73</f>
        <v>0</v>
      </c>
      <c r="L80" s="557">
        <f t="shared" si="5"/>
        <v>0</v>
      </c>
      <c r="M80" s="92"/>
      <c r="N80" s="73"/>
    </row>
    <row r="81" spans="3:14" ht="18.75" customHeight="1" x14ac:dyDescent="0.25">
      <c r="C81" s="34"/>
      <c r="D81" s="81"/>
      <c r="E81" s="82" t="str">
        <f>'GCs Detail'!$E74</f>
        <v>SUFFOLK SAFETY APPLICATION</v>
      </c>
      <c r="F81" s="576"/>
      <c r="G81" s="553"/>
      <c r="H81" s="553"/>
      <c r="I81" s="554">
        <f>'GCs Detail'!$J74</f>
        <v>0</v>
      </c>
      <c r="J81" s="555">
        <f>'GCs Detail'!$H74</f>
        <v>0</v>
      </c>
      <c r="K81" s="556">
        <f>'GCs Detail'!$I74</f>
        <v>0</v>
      </c>
      <c r="L81" s="557">
        <f t="shared" si="5"/>
        <v>0</v>
      </c>
      <c r="M81" s="92"/>
      <c r="N81" s="73"/>
    </row>
    <row r="82" spans="3:14" ht="18.75" customHeight="1" x14ac:dyDescent="0.25">
      <c r="C82" s="34"/>
      <c r="D82" s="81"/>
      <c r="E82" s="88" t="str">
        <f>'GCs Detail'!$E75</f>
        <v>Safety Application - per each on site staff</v>
      </c>
      <c r="F82" s="117"/>
      <c r="G82" s="89"/>
      <c r="H82" s="237"/>
      <c r="I82" s="238">
        <f>'GCs Detail'!$J75</f>
        <v>65</v>
      </c>
      <c r="J82" s="239">
        <f>'GCs Detail'!$H75</f>
        <v>0</v>
      </c>
      <c r="K82" s="240" t="str">
        <f>'GCs Detail'!$I75</f>
        <v>months</v>
      </c>
      <c r="L82" s="241">
        <f t="shared" si="5"/>
        <v>0</v>
      </c>
      <c r="M82" s="92"/>
      <c r="N82" s="73"/>
    </row>
    <row r="83" spans="3:14" ht="18.75" customHeight="1" x14ac:dyDescent="0.25">
      <c r="C83" s="34"/>
      <c r="D83" s="81"/>
      <c r="E83" s="552">
        <f>'GCs Detail'!$E76</f>
        <v>0</v>
      </c>
      <c r="F83" s="552"/>
      <c r="G83" s="553"/>
      <c r="H83" s="553"/>
      <c r="I83" s="554">
        <f>'GCs Detail'!$J76</f>
        <v>0</v>
      </c>
      <c r="J83" s="555">
        <f>'GCs Detail'!$H76</f>
        <v>0</v>
      </c>
      <c r="K83" s="556">
        <f>'GCs Detail'!$I76</f>
        <v>0</v>
      </c>
      <c r="L83" s="557">
        <f t="shared" si="5"/>
        <v>0</v>
      </c>
      <c r="M83" s="92"/>
      <c r="N83" s="73"/>
    </row>
    <row r="84" spans="3:14" ht="18.75" customHeight="1" x14ac:dyDescent="0.25">
      <c r="C84" s="34"/>
      <c r="D84" s="81"/>
      <c r="E84" s="82" t="str">
        <f>'GCs Detail'!$E77</f>
        <v>BIM 360</v>
      </c>
      <c r="F84" s="576"/>
      <c r="G84" s="553"/>
      <c r="H84" s="553"/>
      <c r="I84" s="554">
        <f>'GCs Detail'!$J77</f>
        <v>0</v>
      </c>
      <c r="J84" s="555">
        <f>'GCs Detail'!$H77</f>
        <v>0</v>
      </c>
      <c r="K84" s="556">
        <f>'GCs Detail'!$I77</f>
        <v>0</v>
      </c>
      <c r="L84" s="557">
        <f t="shared" si="5"/>
        <v>0</v>
      </c>
      <c r="M84" s="92"/>
      <c r="N84" s="73"/>
    </row>
    <row r="85" spans="3:14" ht="18.75" customHeight="1" x14ac:dyDescent="0.25">
      <c r="C85" s="34"/>
      <c r="D85" s="81"/>
      <c r="E85" s="88" t="str">
        <f>'GCs Detail'!$E78</f>
        <v>BIM 360</v>
      </c>
      <c r="F85" s="117"/>
      <c r="G85" s="89"/>
      <c r="H85" s="237"/>
      <c r="I85" s="238">
        <f>'GCs Detail'!$J78</f>
        <v>2.5000000000000001E-4</v>
      </c>
      <c r="J85" s="239">
        <f>'GCs Detail'!$H78</f>
        <v>0</v>
      </c>
      <c r="K85" s="240" t="str">
        <f>'GCs Detail'!$I78</f>
        <v>contract</v>
      </c>
      <c r="L85" s="241">
        <f t="shared" si="5"/>
        <v>0</v>
      </c>
      <c r="M85" s="92"/>
      <c r="N85" s="73"/>
    </row>
    <row r="86" spans="3:14" ht="18.75" customHeight="1" x14ac:dyDescent="0.25">
      <c r="C86" s="34"/>
      <c r="D86" s="81"/>
      <c r="E86" s="552">
        <f>'GCs Detail'!$E79</f>
        <v>0</v>
      </c>
      <c r="F86" s="552"/>
      <c r="G86" s="553"/>
      <c r="H86" s="553"/>
      <c r="I86" s="554">
        <f>'GCs Detail'!$J79</f>
        <v>0</v>
      </c>
      <c r="J86" s="555">
        <f>'GCs Detail'!$H79</f>
        <v>0</v>
      </c>
      <c r="K86" s="556">
        <f>'GCs Detail'!$I79</f>
        <v>0</v>
      </c>
      <c r="L86" s="557">
        <f t="shared" si="5"/>
        <v>0</v>
      </c>
      <c r="M86" s="92"/>
      <c r="N86" s="73"/>
    </row>
    <row r="87" spans="3:14" ht="18.75" customHeight="1" x14ac:dyDescent="0.25">
      <c r="C87" s="34"/>
      <c r="D87" s="81"/>
      <c r="E87" s="82" t="str">
        <f>'GCs Detail'!$E80</f>
        <v>BIM</v>
      </c>
      <c r="F87" s="576"/>
      <c r="G87" s="553"/>
      <c r="H87" s="553"/>
      <c r="I87" s="554">
        <f>'GCs Detail'!$J80</f>
        <v>0</v>
      </c>
      <c r="J87" s="555">
        <f>'GCs Detail'!$H80</f>
        <v>0</v>
      </c>
      <c r="K87" s="556">
        <f>'GCs Detail'!$I80</f>
        <v>0</v>
      </c>
      <c r="L87" s="557">
        <f t="shared" si="5"/>
        <v>0</v>
      </c>
      <c r="M87" s="92"/>
      <c r="N87" s="73"/>
    </row>
    <row r="88" spans="3:14" ht="18.75" customHeight="1" x14ac:dyDescent="0.25">
      <c r="C88" s="34"/>
      <c r="D88" s="81"/>
      <c r="E88" s="88" t="str">
        <f>'GCs Detail'!$E81</f>
        <v>Scanning an Existing Building</v>
      </c>
      <c r="F88" s="117"/>
      <c r="G88" s="89"/>
      <c r="H88" s="237"/>
      <c r="I88" s="238">
        <f>'GCs Detail'!$J81</f>
        <v>0.3</v>
      </c>
      <c r="J88" s="239">
        <f>'GCs Detail'!$H81</f>
        <v>0</v>
      </c>
      <c r="K88" s="240" t="str">
        <f>'GCs Detail'!$I81</f>
        <v>sf</v>
      </c>
      <c r="L88" s="241">
        <f t="shared" si="5"/>
        <v>0</v>
      </c>
      <c r="M88" s="92"/>
      <c r="N88" s="73"/>
    </row>
    <row r="89" spans="3:14" ht="18.75" customHeight="1" x14ac:dyDescent="0.25">
      <c r="C89" s="34"/>
      <c r="D89" s="81"/>
      <c r="E89" s="88" t="str">
        <f>'GCs Detail'!$E82</f>
        <v>QA/QC of a New Building</v>
      </c>
      <c r="F89" s="117"/>
      <c r="G89" s="89"/>
      <c r="H89" s="237"/>
      <c r="I89" s="238">
        <f>'GCs Detail'!$J82</f>
        <v>0.6</v>
      </c>
      <c r="J89" s="239">
        <f>'GCs Detail'!$H82</f>
        <v>0</v>
      </c>
      <c r="K89" s="240" t="str">
        <f>'GCs Detail'!$I82</f>
        <v>sf</v>
      </c>
      <c r="L89" s="241">
        <f t="shared" si="5"/>
        <v>0</v>
      </c>
      <c r="M89" s="92"/>
      <c r="N89" s="73"/>
    </row>
    <row r="90" spans="3:14" ht="18.75" customHeight="1" x14ac:dyDescent="0.25">
      <c r="C90" s="34"/>
      <c r="D90" s="81"/>
      <c r="E90" s="552">
        <f>'GCs Detail'!$E83</f>
        <v>0</v>
      </c>
      <c r="F90" s="552"/>
      <c r="G90" s="553"/>
      <c r="H90" s="553"/>
      <c r="I90" s="554">
        <f>'GCs Detail'!$J83</f>
        <v>0</v>
      </c>
      <c r="J90" s="555">
        <f>'GCs Detail'!$H83</f>
        <v>0</v>
      </c>
      <c r="K90" s="556">
        <f>'GCs Detail'!$I83</f>
        <v>0</v>
      </c>
      <c r="L90" s="557">
        <f t="shared" si="5"/>
        <v>0</v>
      </c>
      <c r="M90" s="92"/>
      <c r="N90" s="73"/>
    </row>
    <row r="91" spans="3:14" ht="18.75" customHeight="1" x14ac:dyDescent="0.25">
      <c r="C91" s="34"/>
      <c r="D91" s="81"/>
      <c r="E91" s="82" t="str">
        <f>'GCs Detail'!$E84</f>
        <v>LEAN CONSULTING</v>
      </c>
      <c r="F91" s="576"/>
      <c r="G91" s="553"/>
      <c r="H91" s="553"/>
      <c r="I91" s="554">
        <f>'GCs Detail'!$J84</f>
        <v>0</v>
      </c>
      <c r="J91" s="555">
        <f>'GCs Detail'!$H84</f>
        <v>0</v>
      </c>
      <c r="K91" s="556">
        <f>'GCs Detail'!$I84</f>
        <v>0</v>
      </c>
      <c r="L91" s="557">
        <f t="shared" si="5"/>
        <v>0</v>
      </c>
      <c r="M91" s="92"/>
      <c r="N91" s="73"/>
    </row>
    <row r="92" spans="3:14" ht="18.75" customHeight="1" x14ac:dyDescent="0.25">
      <c r="C92" s="34"/>
      <c r="D92" s="81"/>
      <c r="E92" s="88" t="str">
        <f>'GCs Detail'!$E85</f>
        <v>Internal Consulting</v>
      </c>
      <c r="F92" s="117"/>
      <c r="G92" s="89"/>
      <c r="H92" s="237"/>
      <c r="I92" s="238">
        <f>'GCs Detail'!$J85</f>
        <v>0</v>
      </c>
      <c r="J92" s="239">
        <f>'GCs Detail'!$H85</f>
        <v>0</v>
      </c>
      <c r="K92" s="240" t="str">
        <f>'GCs Detail'!$I85</f>
        <v>months</v>
      </c>
      <c r="L92" s="241">
        <f t="shared" si="5"/>
        <v>0</v>
      </c>
      <c r="M92" s="92"/>
      <c r="N92" s="73"/>
    </row>
    <row r="93" spans="3:14" ht="18.75" customHeight="1" x14ac:dyDescent="0.25">
      <c r="C93" s="34"/>
      <c r="D93" s="81"/>
      <c r="E93" s="88" t="str">
        <f>'GCs Detail'!$E86</f>
        <v>Touchplan Fees, Monthly</v>
      </c>
      <c r="F93" s="117"/>
      <c r="G93" s="89"/>
      <c r="H93" s="237"/>
      <c r="I93" s="238">
        <f>'GCs Detail'!$J86</f>
        <v>0</v>
      </c>
      <c r="J93" s="239">
        <f>'GCs Detail'!$H86</f>
        <v>0</v>
      </c>
      <c r="K93" s="240" t="str">
        <f>'GCs Detail'!$I86</f>
        <v>months</v>
      </c>
      <c r="L93" s="241">
        <f t="shared" si="5"/>
        <v>0</v>
      </c>
      <c r="M93" s="92"/>
      <c r="N93" s="73"/>
    </row>
    <row r="94" spans="3:14" ht="18.75" customHeight="1" x14ac:dyDescent="0.25">
      <c r="C94" s="34"/>
      <c r="D94" s="81"/>
      <c r="E94" s="88" t="str">
        <f>'GCs Detail'!$E87</f>
        <v>Touchplan Fees, One Time Fee</v>
      </c>
      <c r="F94" s="117"/>
      <c r="G94" s="89"/>
      <c r="H94" s="237"/>
      <c r="I94" s="238">
        <f>'GCs Detail'!$J87</f>
        <v>0</v>
      </c>
      <c r="J94" s="239">
        <f>'GCs Detail'!$H87</f>
        <v>0</v>
      </c>
      <c r="K94" s="240" t="str">
        <f>'GCs Detail'!$I87</f>
        <v>ls</v>
      </c>
      <c r="L94" s="241">
        <f t="shared" si="5"/>
        <v>0</v>
      </c>
      <c r="M94" s="92"/>
      <c r="N94" s="73"/>
    </row>
    <row r="95" spans="3:14" ht="18.75" customHeight="1" x14ac:dyDescent="0.25">
      <c r="C95" s="34"/>
      <c r="D95" s="81"/>
      <c r="E95" s="552">
        <f>'GCs Detail'!$E88</f>
        <v>0</v>
      </c>
      <c r="F95" s="552"/>
      <c r="G95" s="553"/>
      <c r="H95" s="553"/>
      <c r="I95" s="554">
        <f>'GCs Detail'!$J88</f>
        <v>0</v>
      </c>
      <c r="J95" s="555">
        <f>'GCs Detail'!$H88</f>
        <v>0</v>
      </c>
      <c r="K95" s="556">
        <f>'GCs Detail'!$I88</f>
        <v>0</v>
      </c>
      <c r="L95" s="557">
        <f t="shared" si="5"/>
        <v>0</v>
      </c>
      <c r="M95" s="92"/>
      <c r="N95" s="73"/>
    </row>
    <row r="96" spans="3:14" ht="18.75" customHeight="1" x14ac:dyDescent="0.25">
      <c r="C96" s="34"/>
      <c r="D96" s="81"/>
      <c r="E96" s="82" t="str">
        <f>'GCs Detail'!$E89</f>
        <v>MISCELLANEOUS EXPENSES</v>
      </c>
      <c r="F96" s="576"/>
      <c r="G96" s="553"/>
      <c r="H96" s="553"/>
      <c r="I96" s="554">
        <f>'GCs Detail'!$J89</f>
        <v>0</v>
      </c>
      <c r="J96" s="555">
        <f>'GCs Detail'!$H89</f>
        <v>0</v>
      </c>
      <c r="K96" s="556">
        <f>'GCs Detail'!$I89</f>
        <v>0</v>
      </c>
      <c r="L96" s="557">
        <f t="shared" si="5"/>
        <v>0</v>
      </c>
      <c r="M96" s="92"/>
      <c r="N96" s="73"/>
    </row>
    <row r="97" spans="3:14" ht="18.75" customHeight="1" x14ac:dyDescent="0.25">
      <c r="C97" s="34"/>
      <c r="D97" s="81"/>
      <c r="E97" s="88" t="str">
        <f>'GCs Detail'!$E90</f>
        <v>Suffolk Project Sign</v>
      </c>
      <c r="F97" s="117"/>
      <c r="G97" s="89"/>
      <c r="H97" s="237"/>
      <c r="I97" s="238">
        <f>'GCs Detail'!$J90</f>
        <v>5000</v>
      </c>
      <c r="J97" s="239">
        <f>'GCs Detail'!$H90</f>
        <v>0</v>
      </c>
      <c r="K97" s="240" t="str">
        <f>'GCs Detail'!$I90</f>
        <v>lsum</v>
      </c>
      <c r="L97" s="241">
        <f t="shared" si="5"/>
        <v>0</v>
      </c>
      <c r="M97" s="92"/>
      <c r="N97" s="73"/>
    </row>
    <row r="98" spans="3:14" ht="18.75" customHeight="1" x14ac:dyDescent="0.25">
      <c r="C98" s="34"/>
      <c r="D98" s="81"/>
      <c r="E98" s="88" t="str">
        <f>'GCs Detail'!$E91</f>
        <v>Marketing Photographs</v>
      </c>
      <c r="F98" s="117"/>
      <c r="G98" s="89"/>
      <c r="H98" s="237"/>
      <c r="I98" s="238">
        <f>'GCs Detail'!$J91</f>
        <v>0</v>
      </c>
      <c r="J98" s="239">
        <f>'GCs Detail'!$H91</f>
        <v>0</v>
      </c>
      <c r="K98" s="240" t="str">
        <f>'GCs Detail'!$I91</f>
        <v>lsum</v>
      </c>
      <c r="L98" s="241">
        <f t="shared" si="5"/>
        <v>0</v>
      </c>
      <c r="M98" s="92"/>
      <c r="N98" s="73"/>
    </row>
    <row r="99" spans="3:14" ht="18.75" customHeight="1" x14ac:dyDescent="0.25">
      <c r="C99" s="34"/>
      <c r="D99" s="81"/>
      <c r="E99" s="88" t="str">
        <f>'GCs Detail'!$E92</f>
        <v>Aerial Photos</v>
      </c>
      <c r="F99" s="117"/>
      <c r="G99" s="89"/>
      <c r="H99" s="237"/>
      <c r="I99" s="238">
        <f>'GCs Detail'!$J92</f>
        <v>0</v>
      </c>
      <c r="J99" s="239">
        <f>'GCs Detail'!$H92</f>
        <v>0</v>
      </c>
      <c r="K99" s="240" t="str">
        <f>'GCs Detail'!$I92</f>
        <v>lsum</v>
      </c>
      <c r="L99" s="241">
        <f t="shared" si="5"/>
        <v>0</v>
      </c>
      <c r="M99" s="92"/>
      <c r="N99" s="73"/>
    </row>
    <row r="100" spans="3:14" ht="18.75" customHeight="1" x14ac:dyDescent="0.25">
      <c r="C100" s="34"/>
      <c r="D100" s="81"/>
      <c r="E100" s="88" t="str">
        <f>'GCs Detail'!$E93</f>
        <v>Client Entertainment</v>
      </c>
      <c r="F100" s="117"/>
      <c r="G100" s="89"/>
      <c r="H100" s="237"/>
      <c r="I100" s="238">
        <f>'GCs Detail'!$J93</f>
        <v>0</v>
      </c>
      <c r="J100" s="239">
        <f>'GCs Detail'!$H93</f>
        <v>0</v>
      </c>
      <c r="K100" s="240" t="str">
        <f>'GCs Detail'!$I93</f>
        <v>lsum</v>
      </c>
      <c r="L100" s="241">
        <f t="shared" si="5"/>
        <v>0</v>
      </c>
      <c r="M100" s="92"/>
      <c r="N100" s="73"/>
    </row>
    <row r="101" spans="3:14" ht="18.75" customHeight="1" x14ac:dyDescent="0.25">
      <c r="C101" s="34"/>
      <c r="D101" s="81"/>
      <c r="E101" s="88" t="str">
        <f>'GCs Detail'!$E94</f>
        <v>Topping Off Ceremony</v>
      </c>
      <c r="F101" s="117"/>
      <c r="G101" s="89"/>
      <c r="H101" s="237"/>
      <c r="I101" s="238">
        <f>'GCs Detail'!$J94</f>
        <v>0</v>
      </c>
      <c r="J101" s="239">
        <f>'GCs Detail'!$H94</f>
        <v>0</v>
      </c>
      <c r="K101" s="240" t="str">
        <f>'GCs Detail'!$I94</f>
        <v>lsum</v>
      </c>
      <c r="L101" s="241">
        <f t="shared" si="5"/>
        <v>0</v>
      </c>
      <c r="M101" s="92"/>
      <c r="N101" s="73"/>
    </row>
    <row r="102" spans="3:14" ht="18.75" customHeight="1" x14ac:dyDescent="0.25">
      <c r="C102" s="34"/>
      <c r="D102" s="81"/>
      <c r="E102" s="552">
        <f>'GCs Detail'!$E95</f>
        <v>0</v>
      </c>
      <c r="F102" s="552"/>
      <c r="G102" s="553"/>
      <c r="H102" s="553"/>
      <c r="I102" s="554">
        <f>'GCs Detail'!$J95</f>
        <v>0</v>
      </c>
      <c r="J102" s="555">
        <f>'GCs Detail'!$H95</f>
        <v>0</v>
      </c>
      <c r="K102" s="556">
        <f>'GCs Detail'!$I95</f>
        <v>0</v>
      </c>
      <c r="L102" s="557">
        <f t="shared" si="5"/>
        <v>0</v>
      </c>
      <c r="M102" s="92"/>
      <c r="N102" s="73"/>
    </row>
    <row r="103" spans="3:14" ht="21.6" customHeight="1" x14ac:dyDescent="0.25">
      <c r="C103" s="34"/>
      <c r="D103" s="20"/>
      <c r="E103" s="95"/>
      <c r="F103" s="95"/>
      <c r="G103" s="96"/>
      <c r="H103" s="96"/>
      <c r="I103" s="97"/>
      <c r="J103" s="98"/>
      <c r="K103" s="99"/>
      <c r="L103" s="100"/>
      <c r="M103" s="100"/>
      <c r="N103" s="73"/>
    </row>
    <row r="104" spans="3:14" ht="21.6" customHeight="1" x14ac:dyDescent="0.25">
      <c r="C104" s="34"/>
      <c r="D104" s="20"/>
      <c r="E104" s="101" t="s">
        <v>397</v>
      </c>
      <c r="F104" s="101"/>
      <c r="G104" s="102"/>
      <c r="H104" s="102"/>
      <c r="I104" s="102"/>
      <c r="J104" s="102"/>
      <c r="K104" s="103"/>
      <c r="L104" s="593">
        <f>SUM(L103:L103)</f>
        <v>0</v>
      </c>
      <c r="M104" s="104"/>
      <c r="N104" s="73"/>
    </row>
    <row r="105" spans="3:14" ht="21.6" customHeight="1" x14ac:dyDescent="0.25">
      <c r="C105" s="34"/>
      <c r="D105" s="20"/>
      <c r="E105" s="20"/>
      <c r="F105" s="20"/>
      <c r="G105" s="20"/>
      <c r="H105" s="20"/>
      <c r="I105" s="20"/>
      <c r="J105" s="20"/>
      <c r="K105" s="594" t="s">
        <v>957</v>
      </c>
      <c r="L105" s="596">
        <f>CEILING('GCs Detail'!J2-\gctotal,2)</f>
        <v>0</v>
      </c>
      <c r="M105" s="20"/>
      <c r="N105" s="73"/>
    </row>
    <row r="106" spans="3:14" ht="15" hidden="1" x14ac:dyDescent="0.25"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4" ht="16.5" hidden="1" thickBot="1" x14ac:dyDescent="0.3">
      <c r="C107" s="42"/>
      <c r="D107" s="105" t="s">
        <v>393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spans="3:14" ht="15" hidden="1" x14ac:dyDescent="0.25">
      <c r="C108" s="34"/>
      <c r="D108" s="106"/>
      <c r="E108" s="107"/>
      <c r="F108" s="107"/>
      <c r="G108" s="107"/>
      <c r="H108" s="107"/>
      <c r="I108" s="107"/>
      <c r="J108" s="107"/>
      <c r="K108" s="107"/>
      <c r="L108" s="107"/>
      <c r="M108" s="108"/>
      <c r="N108" s="73"/>
    </row>
    <row r="109" spans="3:14" ht="15.75" hidden="1" thickBot="1" x14ac:dyDescent="0.3">
      <c r="C109" s="34"/>
      <c r="D109" s="109"/>
      <c r="E109" s="110"/>
      <c r="F109" s="110"/>
      <c r="G109" s="110"/>
      <c r="H109" s="110"/>
      <c r="I109" s="110"/>
      <c r="J109" s="110"/>
      <c r="K109" s="110"/>
      <c r="L109" s="110"/>
      <c r="M109" s="111"/>
      <c r="N109" s="73"/>
    </row>
    <row r="110" spans="3:14" ht="120.6" hidden="1" customHeight="1" x14ac:dyDescent="0.25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spans="3:14" ht="15" hidden="1" x14ac:dyDescent="0.25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</row>
    <row r="112" spans="3:14" ht="15" hidden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4" ht="18.75" hidden="1" customHeight="1" x14ac:dyDescent="0.25">
      <c r="C113" s="34"/>
      <c r="D113" s="81"/>
      <c r="E113" s="88" t="s">
        <v>394</v>
      </c>
      <c r="F113" s="117"/>
      <c r="G113" s="89"/>
      <c r="H113" s="237"/>
      <c r="I113" s="238"/>
      <c r="J113" s="239"/>
      <c r="K113" s="240"/>
      <c r="L113" s="241"/>
      <c r="M113" s="92"/>
      <c r="N113" s="73"/>
    </row>
    <row r="114" spans="1:14" ht="18.75" hidden="1" customHeight="1" x14ac:dyDescent="0.25">
      <c r="C114" s="34"/>
      <c r="D114" s="81"/>
      <c r="E114" s="82" t="s">
        <v>395</v>
      </c>
      <c r="F114" s="576"/>
      <c r="G114" s="553"/>
      <c r="H114" s="553"/>
      <c r="I114" s="554"/>
      <c r="J114" s="555"/>
      <c r="K114" s="556"/>
      <c r="L114" s="557"/>
      <c r="M114" s="92"/>
      <c r="N114" s="73"/>
    </row>
    <row r="115" spans="1:14" ht="18.75" hidden="1" customHeight="1" x14ac:dyDescent="0.25">
      <c r="C115" s="34"/>
      <c r="D115" s="81"/>
      <c r="E115" s="552"/>
      <c r="F115" s="552"/>
      <c r="G115" s="553"/>
      <c r="H115" s="553"/>
      <c r="I115" s="554"/>
      <c r="J115" s="555"/>
      <c r="K115" s="556"/>
      <c r="L115" s="557"/>
      <c r="M115" s="92"/>
      <c r="N115" s="73"/>
    </row>
    <row r="116" spans="1:14" ht="15" hidden="1" x14ac:dyDescent="0.25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</row>
    <row r="117" spans="1:14" s="575" customFormat="1" ht="18.75" hidden="1" customHeight="1" x14ac:dyDescent="0.25">
      <c r="A117" s="569" t="e">
        <f>#REF!</f>
        <v>#REF!</v>
      </c>
      <c r="B117" s="569"/>
      <c r="C117" s="570"/>
      <c r="D117" s="81"/>
      <c r="E117" s="82"/>
      <c r="F117" s="82"/>
      <c r="G117" s="89"/>
      <c r="H117" s="571"/>
      <c r="I117" s="572"/>
      <c r="J117" s="238"/>
      <c r="K117" s="573"/>
      <c r="L117" s="92"/>
      <c r="M117" s="92"/>
      <c r="N117" s="574"/>
    </row>
    <row r="118" spans="1:14" ht="18.75" hidden="1" customHeight="1" x14ac:dyDescent="0.25">
      <c r="A118" s="2" t="e">
        <f>#REF!</f>
        <v>#REF!</v>
      </c>
      <c r="C118" s="34"/>
      <c r="D118" s="81"/>
      <c r="E118" s="82"/>
      <c r="F118" s="82"/>
      <c r="G118" s="89"/>
      <c r="H118" s="89"/>
      <c r="I118" s="90"/>
      <c r="J118" s="91"/>
      <c r="K118" s="93"/>
      <c r="L118" s="92"/>
      <c r="M118" s="92"/>
      <c r="N118" s="73"/>
    </row>
    <row r="119" spans="1:14" ht="18.75" hidden="1" customHeight="1" x14ac:dyDescent="0.25">
      <c r="A119" s="2" t="e">
        <f>#REF!</f>
        <v>#REF!</v>
      </c>
      <c r="C119" s="34"/>
      <c r="D119" s="81"/>
      <c r="E119" s="82"/>
      <c r="F119" s="82"/>
      <c r="G119" s="89"/>
      <c r="H119" s="89"/>
      <c r="I119" s="90"/>
      <c r="J119" s="91"/>
      <c r="K119" s="93"/>
      <c r="L119" s="92"/>
      <c r="M119" s="92"/>
      <c r="N119" s="73"/>
    </row>
    <row r="120" spans="1:14" ht="18.75" hidden="1" customHeight="1" x14ac:dyDescent="0.25">
      <c r="A120" s="2" t="e">
        <f>#REF!</f>
        <v>#REF!</v>
      </c>
      <c r="C120" s="34"/>
      <c r="D120" s="81"/>
      <c r="E120" s="82"/>
      <c r="F120" s="82"/>
      <c r="G120" s="89"/>
      <c r="H120" s="89"/>
      <c r="I120" s="90"/>
      <c r="J120" s="91"/>
      <c r="K120" s="93"/>
      <c r="L120" s="92"/>
      <c r="M120" s="92"/>
      <c r="N120" s="73"/>
    </row>
    <row r="121" spans="1:14" ht="18.75" hidden="1" customHeight="1" x14ac:dyDescent="0.25">
      <c r="A121" s="2" t="e">
        <f>#REF!</f>
        <v>#REF!</v>
      </c>
      <c r="C121" s="34"/>
      <c r="D121" s="81"/>
      <c r="E121" s="88" t="str">
        <f>'GCs Detail'!$E$53</f>
        <v>Cisco VoiP phone</v>
      </c>
      <c r="F121" s="117"/>
      <c r="G121" s="89"/>
      <c r="H121" s="237"/>
      <c r="I121" s="238" t="e">
        <f>'GCs Detail'!#REF!</f>
        <v>#REF!</v>
      </c>
      <c r="J121" s="239" t="e">
        <f>'GCs Detail'!#REF!</f>
        <v>#REF!</v>
      </c>
      <c r="K121" s="240" t="e">
        <f>'GCs Detail'!#REF!</f>
        <v>#REF!</v>
      </c>
      <c r="L121" s="94" t="e">
        <f t="shared" ref="L121" si="6">SUM(I121*J121)</f>
        <v>#REF!</v>
      </c>
      <c r="M121" s="92"/>
      <c r="N121" s="73"/>
    </row>
    <row r="122" spans="1:14" ht="18.75" hidden="1" customHeight="1" x14ac:dyDescent="0.25">
      <c r="A122" s="2" t="e">
        <f>#REF!</f>
        <v>#REF!</v>
      </c>
      <c r="C122" s="34"/>
      <c r="D122" s="81"/>
      <c r="E122" s="551" t="e">
        <f>'Staff Detail'!#REF!</f>
        <v>#REF!</v>
      </c>
      <c r="F122" s="552" t="e">
        <f>'Staff Detail'!#REF!</f>
        <v>#REF!</v>
      </c>
      <c r="G122" s="553"/>
      <c r="H122" s="553" t="e">
        <f>'Staff Detail'!#REF!</f>
        <v>#REF!</v>
      </c>
      <c r="I122" s="554" t="e">
        <f>'Staff Detail'!#REF!</f>
        <v>#REF!</v>
      </c>
      <c r="J122" s="555" t="e">
        <f>'Staff Detail'!#REF!</f>
        <v>#REF!</v>
      </c>
      <c r="K122" s="556" t="s">
        <v>36</v>
      </c>
      <c r="L122" s="557" t="e">
        <f t="shared" ref="L122" si="7">J122*I122</f>
        <v>#REF!</v>
      </c>
      <c r="M122" s="557"/>
      <c r="N122" s="73"/>
    </row>
    <row r="123" spans="1:14" ht="18.75" hidden="1" customHeight="1" x14ac:dyDescent="0.25">
      <c r="A123" s="2" t="e">
        <f>#REF!</f>
        <v>#REF!</v>
      </c>
      <c r="C123" s="34"/>
      <c r="D123" s="81"/>
      <c r="E123" s="551" t="e">
        <f>'Staff Detail'!#REF!</f>
        <v>#REF!</v>
      </c>
      <c r="F123" s="552" t="e">
        <f>'Staff Detail'!#REF!</f>
        <v>#REF!</v>
      </c>
      <c r="G123" s="553"/>
      <c r="H123" s="553" t="e">
        <f>'Staff Detail'!#REF!</f>
        <v>#REF!</v>
      </c>
      <c r="I123" s="554" t="e">
        <f>'Staff Detail'!#REF!</f>
        <v>#REF!</v>
      </c>
      <c r="J123" s="555" t="e">
        <f>'Staff Detail'!#REF!</f>
        <v>#REF!</v>
      </c>
      <c r="K123" s="556" t="s">
        <v>36</v>
      </c>
      <c r="L123" s="557" t="e">
        <f t="shared" ref="L123" si="8">J123*I123</f>
        <v>#REF!</v>
      </c>
      <c r="M123" s="557"/>
      <c r="N123" s="73"/>
    </row>
    <row r="124" spans="1:14" ht="15" hidden="1" x14ac:dyDescent="0.25">
      <c r="A124" s="116"/>
      <c r="B124" s="116"/>
      <c r="C124" s="116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16"/>
    </row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>
      <c r="C127" s="34"/>
      <c r="D127" s="81"/>
      <c r="E127" s="551" t="s">
        <v>513</v>
      </c>
      <c r="F127" s="552"/>
      <c r="G127" s="553"/>
      <c r="H127" s="553"/>
      <c r="I127" s="554"/>
      <c r="J127" s="555"/>
      <c r="K127" s="556"/>
      <c r="L127" s="557"/>
      <c r="M127" s="557"/>
      <c r="N127" s="73"/>
    </row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18.75" hidden="1" customHeight="1" x14ac:dyDescent="0.25"/>
    <row r="166" ht="18.75" hidden="1" customHeight="1" x14ac:dyDescent="0.25"/>
    <row r="167" ht="18.75" hidden="1" customHeight="1" x14ac:dyDescent="0.25"/>
    <row r="168" ht="18.75" hidden="1" customHeight="1" x14ac:dyDescent="0.25"/>
    <row r="169" ht="18.75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  <row r="557" ht="0" hidden="1" customHeight="1" x14ac:dyDescent="0.25"/>
    <row r="558" ht="0" hidden="1" customHeight="1" x14ac:dyDescent="0.25"/>
    <row r="559" ht="0" hidden="1" customHeight="1" x14ac:dyDescent="0.25"/>
    <row r="560" ht="0" hidden="1" customHeight="1" x14ac:dyDescent="0.25"/>
    <row r="561" ht="0" hidden="1" customHeight="1" x14ac:dyDescent="0.25"/>
    <row r="562" ht="0" hidden="1" customHeight="1" x14ac:dyDescent="0.25"/>
    <row r="563" ht="0" hidden="1" customHeight="1" x14ac:dyDescent="0.25"/>
    <row r="564" ht="0" hidden="1" customHeight="1" x14ac:dyDescent="0.25"/>
    <row r="565" ht="0" hidden="1" customHeight="1" x14ac:dyDescent="0.25"/>
    <row r="566" ht="0" hidden="1" customHeight="1" x14ac:dyDescent="0.25"/>
    <row r="567" ht="0" hidden="1" customHeight="1" x14ac:dyDescent="0.25"/>
    <row r="568" ht="0" hidden="1" customHeight="1" x14ac:dyDescent="0.25"/>
    <row r="569" ht="0" hidden="1" customHeight="1" x14ac:dyDescent="0.25"/>
    <row r="570" ht="0" hidden="1" customHeight="1" x14ac:dyDescent="0.25"/>
    <row r="571" ht="0" hidden="1" customHeight="1" x14ac:dyDescent="0.25"/>
    <row r="572" ht="0" hidden="1" customHeight="1" x14ac:dyDescent="0.25"/>
    <row r="573" ht="0" hidden="1" customHeight="1" x14ac:dyDescent="0.25"/>
    <row r="574" ht="0" hidden="1" customHeight="1" x14ac:dyDescent="0.25"/>
    <row r="575" ht="0" hidden="1" customHeight="1" x14ac:dyDescent="0.25"/>
    <row r="576" ht="0" hidden="1" customHeight="1" x14ac:dyDescent="0.25"/>
    <row r="577" ht="0" hidden="1" customHeight="1" x14ac:dyDescent="0.25"/>
    <row r="578" ht="0" hidden="1" customHeight="1" x14ac:dyDescent="0.25"/>
    <row r="579" ht="0" hidden="1" customHeight="1" x14ac:dyDescent="0.25"/>
    <row r="580" ht="0" hidden="1" customHeight="1" x14ac:dyDescent="0.25"/>
    <row r="581" ht="0" hidden="1" customHeight="1" x14ac:dyDescent="0.25"/>
    <row r="582" ht="0" hidden="1" customHeight="1" x14ac:dyDescent="0.25"/>
    <row r="583" ht="0" hidden="1" customHeight="1" x14ac:dyDescent="0.25"/>
    <row r="584" ht="0" hidden="1" customHeight="1" x14ac:dyDescent="0.25"/>
    <row r="585" ht="0" hidden="1" customHeight="1" x14ac:dyDescent="0.25"/>
    <row r="586" ht="0" hidden="1" customHeight="1" x14ac:dyDescent="0.25"/>
    <row r="587" ht="0" hidden="1" customHeight="1" x14ac:dyDescent="0.25"/>
    <row r="588" ht="0" hidden="1" customHeight="1" x14ac:dyDescent="0.25"/>
    <row r="589" ht="0" hidden="1" customHeight="1" x14ac:dyDescent="0.25"/>
    <row r="590" ht="0" hidden="1" customHeight="1" x14ac:dyDescent="0.25"/>
    <row r="591" ht="0" hidden="1" customHeight="1" x14ac:dyDescent="0.25"/>
    <row r="592" ht="0" hidden="1" customHeight="1" x14ac:dyDescent="0.25"/>
    <row r="593" ht="0" hidden="1" customHeight="1" x14ac:dyDescent="0.25"/>
    <row r="594" ht="0" hidden="1" customHeight="1" x14ac:dyDescent="0.25"/>
    <row r="595" ht="0" hidden="1" customHeight="1" x14ac:dyDescent="0.25"/>
    <row r="596" ht="0" hidden="1" customHeight="1" x14ac:dyDescent="0.25"/>
    <row r="597" ht="0" hidden="1" customHeight="1" x14ac:dyDescent="0.25"/>
    <row r="598" ht="0" hidden="1" customHeight="1" x14ac:dyDescent="0.25"/>
    <row r="599" ht="0" hidden="1" customHeight="1" x14ac:dyDescent="0.25"/>
    <row r="600" ht="0" hidden="1" customHeight="1" x14ac:dyDescent="0.25"/>
    <row r="601" ht="0" hidden="1" customHeight="1" x14ac:dyDescent="0.25"/>
    <row r="602" ht="0" hidden="1" customHeight="1" x14ac:dyDescent="0.25"/>
    <row r="603" ht="0" hidden="1" customHeight="1" x14ac:dyDescent="0.25"/>
    <row r="604" ht="0" hidden="1" customHeight="1" x14ac:dyDescent="0.25"/>
    <row r="605" ht="0" hidden="1" customHeight="1" x14ac:dyDescent="0.25"/>
    <row r="606" ht="0" hidden="1" customHeight="1" x14ac:dyDescent="0.25"/>
    <row r="607" ht="0" hidden="1" customHeight="1" x14ac:dyDescent="0.25"/>
    <row r="608" ht="0" hidden="1" customHeight="1" x14ac:dyDescent="0.25"/>
    <row r="609" ht="0" hidden="1" customHeight="1" x14ac:dyDescent="0.25"/>
    <row r="610" ht="0" hidden="1" customHeight="1" x14ac:dyDescent="0.25"/>
    <row r="611" ht="0" hidden="1" customHeight="1" x14ac:dyDescent="0.25"/>
    <row r="612" ht="0" hidden="1" customHeight="1" x14ac:dyDescent="0.25"/>
    <row r="613" ht="0" hidden="1" customHeight="1" x14ac:dyDescent="0.25"/>
    <row r="614" ht="0" hidden="1" customHeight="1" x14ac:dyDescent="0.25"/>
    <row r="615" ht="0" hidden="1" customHeight="1" x14ac:dyDescent="0.25"/>
    <row r="616" ht="0" hidden="1" customHeight="1" x14ac:dyDescent="0.25"/>
    <row r="617" ht="0" hidden="1" customHeight="1" x14ac:dyDescent="0.25"/>
    <row r="618" ht="0" hidden="1" customHeight="1" x14ac:dyDescent="0.25"/>
    <row r="619" ht="0" hidden="1" customHeight="1" x14ac:dyDescent="0.25"/>
    <row r="620" ht="0" hidden="1" customHeight="1" x14ac:dyDescent="0.25"/>
    <row r="621" ht="0" hidden="1" customHeight="1" x14ac:dyDescent="0.25"/>
    <row r="622" ht="0" hidden="1" customHeight="1" x14ac:dyDescent="0.25"/>
    <row r="623" ht="0" hidden="1" customHeight="1" x14ac:dyDescent="0.25"/>
    <row r="624" ht="0" hidden="1" customHeight="1" x14ac:dyDescent="0.25"/>
    <row r="625" ht="0" hidden="1" customHeight="1" x14ac:dyDescent="0.25"/>
    <row r="626" ht="0" hidden="1" customHeight="1" x14ac:dyDescent="0.25"/>
    <row r="627" ht="0" hidden="1" customHeight="1" x14ac:dyDescent="0.25"/>
    <row r="628" ht="0" hidden="1" customHeight="1" x14ac:dyDescent="0.25"/>
    <row r="629" ht="0" hidden="1" customHeight="1" x14ac:dyDescent="0.25"/>
    <row r="630" ht="0" hidden="1" customHeight="1" x14ac:dyDescent="0.25"/>
    <row r="631" ht="0" hidden="1" customHeight="1" x14ac:dyDescent="0.25"/>
    <row r="632" ht="0" hidden="1" customHeight="1" x14ac:dyDescent="0.25"/>
    <row r="633" ht="0" hidden="1" customHeight="1" x14ac:dyDescent="0.25"/>
    <row r="634" ht="0" hidden="1" customHeight="1" x14ac:dyDescent="0.25"/>
    <row r="635" ht="0" hidden="1" customHeight="1" x14ac:dyDescent="0.25"/>
    <row r="636" ht="0" hidden="1" customHeight="1" x14ac:dyDescent="0.25"/>
    <row r="637" ht="0" hidden="1" customHeight="1" x14ac:dyDescent="0.25"/>
    <row r="638" ht="0" hidden="1" customHeight="1" x14ac:dyDescent="0.25"/>
    <row r="639" ht="0" hidden="1" customHeight="1" x14ac:dyDescent="0.25"/>
    <row r="640" ht="0" hidden="1" customHeight="1" x14ac:dyDescent="0.25"/>
    <row r="641" ht="0" hidden="1" customHeight="1" x14ac:dyDescent="0.25"/>
    <row r="642" ht="0" hidden="1" customHeight="1" x14ac:dyDescent="0.25"/>
    <row r="643" ht="0" hidden="1" customHeight="1" x14ac:dyDescent="0.25"/>
    <row r="644" ht="0" hidden="1" customHeight="1" x14ac:dyDescent="0.25"/>
    <row r="645" ht="0" hidden="1" customHeight="1" x14ac:dyDescent="0.25"/>
    <row r="646" ht="0" hidden="1" customHeight="1" x14ac:dyDescent="0.25"/>
    <row r="647" ht="0" hidden="1" customHeight="1" x14ac:dyDescent="0.25"/>
    <row r="648" ht="0" hidden="1" customHeight="1" x14ac:dyDescent="0.25"/>
    <row r="649" ht="0" hidden="1" customHeight="1" x14ac:dyDescent="0.25"/>
    <row r="650" ht="0" hidden="1" customHeight="1" x14ac:dyDescent="0.25"/>
    <row r="651" ht="0" hidden="1" customHeight="1" x14ac:dyDescent="0.25"/>
    <row r="652" ht="0" hidden="1" customHeight="1" x14ac:dyDescent="0.25"/>
    <row r="653" ht="0" hidden="1" customHeight="1" x14ac:dyDescent="0.25"/>
    <row r="654" ht="0" hidden="1" customHeight="1" x14ac:dyDescent="0.25"/>
    <row r="655" ht="0" hidden="1" customHeight="1" x14ac:dyDescent="0.25"/>
    <row r="656" ht="0" hidden="1" customHeight="1" x14ac:dyDescent="0.25"/>
    <row r="657" ht="0" hidden="1" customHeight="1" x14ac:dyDescent="0.25"/>
    <row r="658" ht="0" hidden="1" customHeight="1" x14ac:dyDescent="0.25"/>
    <row r="659" ht="0" hidden="1" customHeight="1" x14ac:dyDescent="0.25"/>
    <row r="660" ht="0" hidden="1" customHeight="1" x14ac:dyDescent="0.25"/>
    <row r="661" ht="0" hidden="1" customHeight="1" x14ac:dyDescent="0.25"/>
    <row r="662" ht="0" hidden="1" customHeight="1" x14ac:dyDescent="0.25"/>
    <row r="663" ht="0" hidden="1" customHeight="1" x14ac:dyDescent="0.25"/>
    <row r="664" ht="0" hidden="1" customHeight="1" x14ac:dyDescent="0.25"/>
    <row r="665" ht="0" hidden="1" customHeight="1" x14ac:dyDescent="0.25"/>
    <row r="666" ht="0" hidden="1" customHeight="1" x14ac:dyDescent="0.25"/>
    <row r="667" ht="0" hidden="1" customHeight="1" x14ac:dyDescent="0.25"/>
    <row r="668" ht="0" hidden="1" customHeight="1" x14ac:dyDescent="0.25"/>
    <row r="669" ht="0" hidden="1" customHeight="1" x14ac:dyDescent="0.25"/>
    <row r="670" ht="0" hidden="1" customHeight="1" x14ac:dyDescent="0.25"/>
    <row r="671" ht="0" hidden="1" customHeight="1" x14ac:dyDescent="0.25"/>
    <row r="672" ht="0" hidden="1" customHeight="1" x14ac:dyDescent="0.25"/>
    <row r="673" ht="0" hidden="1" customHeight="1" x14ac:dyDescent="0.25"/>
    <row r="674" ht="0" hidden="1" customHeight="1" x14ac:dyDescent="0.25"/>
    <row r="675" ht="0" hidden="1" customHeight="1" x14ac:dyDescent="0.25"/>
    <row r="676" ht="0" hidden="1" customHeight="1" x14ac:dyDescent="0.25"/>
    <row r="677" ht="0" hidden="1" customHeight="1" x14ac:dyDescent="0.25"/>
    <row r="678" ht="0" hidden="1" customHeight="1" x14ac:dyDescent="0.25"/>
    <row r="679" ht="0" hidden="1" customHeight="1" x14ac:dyDescent="0.25"/>
    <row r="680" ht="0" hidden="1" customHeight="1" x14ac:dyDescent="0.25"/>
    <row r="681" ht="0" hidden="1" customHeight="1" x14ac:dyDescent="0.25"/>
    <row r="682" ht="0" hidden="1" customHeight="1" x14ac:dyDescent="0.25"/>
    <row r="683" ht="0" hidden="1" customHeight="1" x14ac:dyDescent="0.25"/>
    <row r="684" ht="0" hidden="1" customHeight="1" x14ac:dyDescent="0.25"/>
    <row r="685" ht="0" hidden="1" customHeight="1" x14ac:dyDescent="0.25"/>
    <row r="686" ht="0" hidden="1" customHeight="1" x14ac:dyDescent="0.25"/>
    <row r="687" ht="0" hidden="1" customHeight="1" x14ac:dyDescent="0.25"/>
    <row r="688" ht="0" hidden="1" customHeight="1" x14ac:dyDescent="0.25"/>
    <row r="689" ht="0" hidden="1" customHeight="1" x14ac:dyDescent="0.25"/>
    <row r="690" ht="0" hidden="1" customHeight="1" x14ac:dyDescent="0.25"/>
    <row r="691" ht="0" hidden="1" customHeight="1" x14ac:dyDescent="0.25"/>
    <row r="692" ht="0" hidden="1" customHeight="1" x14ac:dyDescent="0.25"/>
    <row r="693" ht="0" hidden="1" customHeight="1" x14ac:dyDescent="0.25"/>
    <row r="694" ht="0" hidden="1" customHeight="1" x14ac:dyDescent="0.25"/>
    <row r="695" ht="0" hidden="1" customHeight="1" x14ac:dyDescent="0.25"/>
    <row r="696" ht="0" hidden="1" customHeight="1" x14ac:dyDescent="0.25"/>
    <row r="697" ht="0" hidden="1" customHeight="1" x14ac:dyDescent="0.25"/>
    <row r="698" ht="0" hidden="1" customHeight="1" x14ac:dyDescent="0.25"/>
    <row r="699" ht="0" hidden="1" customHeight="1" x14ac:dyDescent="0.25"/>
    <row r="700" ht="0" hidden="1" customHeight="1" x14ac:dyDescent="0.25"/>
    <row r="701" ht="0" hidden="1" customHeight="1" x14ac:dyDescent="0.25"/>
    <row r="702" ht="0" hidden="1" customHeight="1" x14ac:dyDescent="0.25"/>
    <row r="703" ht="0" hidden="1" customHeight="1" x14ac:dyDescent="0.25"/>
    <row r="704" ht="0" hidden="1" customHeight="1" x14ac:dyDescent="0.25"/>
    <row r="705" ht="0" hidden="1" customHeight="1" x14ac:dyDescent="0.25"/>
    <row r="706" ht="0" hidden="1" customHeight="1" x14ac:dyDescent="0.25"/>
    <row r="707" ht="0" hidden="1" customHeight="1" x14ac:dyDescent="0.25"/>
    <row r="708" ht="0" hidden="1" customHeight="1" x14ac:dyDescent="0.25"/>
    <row r="709" ht="0" hidden="1" customHeight="1" x14ac:dyDescent="0.25"/>
    <row r="710" ht="0" hidden="1" customHeight="1" x14ac:dyDescent="0.25"/>
    <row r="711" ht="0" hidden="1" customHeight="1" x14ac:dyDescent="0.25"/>
    <row r="712" ht="0" hidden="1" customHeight="1" x14ac:dyDescent="0.25"/>
    <row r="713" ht="0" hidden="1" customHeight="1" x14ac:dyDescent="0.25"/>
    <row r="714" ht="0" hidden="1" customHeight="1" x14ac:dyDescent="0.25"/>
    <row r="715" ht="0" hidden="1" customHeight="1" x14ac:dyDescent="0.25"/>
    <row r="716" ht="0" hidden="1" customHeight="1" x14ac:dyDescent="0.25"/>
    <row r="717" ht="0" hidden="1" customHeight="1" x14ac:dyDescent="0.25"/>
    <row r="718" ht="0" hidden="1" customHeight="1" x14ac:dyDescent="0.25"/>
    <row r="719" ht="0" hidden="1" customHeight="1" x14ac:dyDescent="0.25"/>
    <row r="720" ht="0" hidden="1" customHeight="1" x14ac:dyDescent="0.25"/>
    <row r="721" ht="0" hidden="1" customHeight="1" x14ac:dyDescent="0.25"/>
    <row r="722" ht="0" hidden="1" customHeight="1" x14ac:dyDescent="0.25"/>
    <row r="723" ht="0" hidden="1" customHeight="1" x14ac:dyDescent="0.25"/>
    <row r="724" ht="0" hidden="1" customHeight="1" x14ac:dyDescent="0.25"/>
    <row r="725" ht="0" hidden="1" customHeight="1" x14ac:dyDescent="0.25"/>
    <row r="726" ht="0" hidden="1" customHeight="1" x14ac:dyDescent="0.25"/>
    <row r="727" ht="0" hidden="1" customHeight="1" x14ac:dyDescent="0.25"/>
    <row r="728" ht="0" hidden="1" customHeight="1" x14ac:dyDescent="0.25"/>
    <row r="729" ht="0" hidden="1" customHeight="1" x14ac:dyDescent="0.25"/>
    <row r="730" ht="0" hidden="1" customHeight="1" x14ac:dyDescent="0.25"/>
    <row r="731" ht="0" hidden="1" customHeight="1" x14ac:dyDescent="0.25"/>
    <row r="732" ht="0" hidden="1" customHeight="1" x14ac:dyDescent="0.25"/>
    <row r="733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$L$104&lt;&gt;'GCs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L104</xm:sqref>
        </x14:conditionalFormatting>
        <x14:conditionalFormatting xmlns:xm="http://schemas.microsoft.com/office/excel/2006/main">
          <x14:cfRule type="expression" priority="2" id="{C902A3B1-F93A-4AB6-98C9-B60A5E8BC07E}">
            <xm:f>$L$104&lt;&gt;'GCs Detail'!$J$2:$K$2</xm:f>
            <x14:dxf>
              <font>
                <b/>
                <i/>
                <color rgb="FFFF0000"/>
              </font>
            </x14:dxf>
          </x14:cfRule>
          <xm:sqref>K105</xm:sqref>
        </x14:conditionalFormatting>
        <x14:conditionalFormatting xmlns:xm="http://schemas.microsoft.com/office/excel/2006/main">
          <x14:cfRule type="expression" priority="1" id="{06912F96-D668-45BD-9914-85C64A638CF4}">
            <xm:f>$L$104&lt;&gt;'GCs Detail'!$J$2:$K$2</xm:f>
            <x14:dxf>
              <font>
                <b/>
                <i/>
                <color rgb="FFFF0000"/>
              </font>
            </x14:dxf>
          </x14:cfRule>
          <xm:sqref>L105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682"/>
  <sheetViews>
    <sheetView topLeftCell="D4" zoomScale="85" zoomScaleNormal="85" workbookViewId="0">
      <selection activeCell="E21" sqref="E21"/>
    </sheetView>
  </sheetViews>
  <sheetFormatPr defaultColWidth="0" defaultRowHeight="15" zeroHeight="1" x14ac:dyDescent="0.25"/>
  <cols>
    <col min="1" max="1" width="1.7109375" style="2" hidden="1" customWidth="1"/>
    <col min="2" max="2" width="29.7109375" style="2" hidden="1" customWidth="1"/>
    <col min="3" max="3" width="2.28515625" style="2" hidden="1" customWidth="1"/>
    <col min="4" max="4" width="4.85546875" style="1" customWidth="1"/>
    <col min="5" max="5" width="33.28515625" style="1" customWidth="1"/>
    <col min="6" max="6" width="25.7109375" style="1" customWidth="1"/>
    <col min="7" max="8" width="1.85546875" style="1" customWidth="1"/>
    <col min="9" max="9" width="19.7109375" style="1" customWidth="1"/>
    <col min="10" max="10" width="17.28515625" style="1" bestFit="1" customWidth="1"/>
    <col min="11" max="11" width="9" style="1" bestFit="1" customWidth="1"/>
    <col min="12" max="12" width="26.7109375" style="1" bestFit="1" customWidth="1"/>
    <col min="13" max="13" width="4.28515625" style="1" customWidth="1"/>
    <col min="14" max="14" width="18.28515625" style="2" hidden="1" customWidth="1"/>
  </cols>
  <sheetData>
    <row r="1" spans="2:14" ht="41.45" hidden="1" customHeight="1" x14ac:dyDescent="0.25">
      <c r="B1" s="4"/>
      <c r="C1" s="4"/>
      <c r="D1" s="66"/>
      <c r="E1" s="67"/>
      <c r="F1" s="67"/>
      <c r="G1" s="67"/>
      <c r="H1" s="67"/>
      <c r="I1" s="67"/>
      <c r="J1" s="67"/>
      <c r="K1" s="67"/>
      <c r="L1" s="67"/>
      <c r="M1" s="67"/>
      <c r="N1" s="4"/>
    </row>
    <row r="2" spans="2:14" ht="6.6" hidden="1" customHeight="1" x14ac:dyDescent="0.25">
      <c r="D2" s="68"/>
      <c r="E2" s="69"/>
      <c r="F2" s="69"/>
      <c r="G2" s="69"/>
      <c r="H2" s="69"/>
      <c r="I2" s="69"/>
      <c r="J2" s="69"/>
      <c r="K2" s="69"/>
      <c r="L2" s="69"/>
      <c r="M2" s="69"/>
    </row>
    <row r="3" spans="2:14" ht="6.6" hidden="1" customHeight="1" thickBot="1" x14ac:dyDescent="0.3">
      <c r="D3" s="70"/>
      <c r="E3" s="71"/>
      <c r="F3" s="71"/>
      <c r="G3" s="71"/>
      <c r="H3" s="71"/>
      <c r="I3" s="71"/>
      <c r="J3" s="71"/>
      <c r="K3" s="71"/>
      <c r="L3" s="71"/>
      <c r="M3" s="71"/>
    </row>
    <row r="4" spans="2:14" ht="24.6" customHeight="1" x14ac:dyDescent="0.25">
      <c r="C4" s="34"/>
      <c r="D4" s="72"/>
      <c r="E4" s="20"/>
      <c r="F4" s="20"/>
      <c r="G4" s="20"/>
      <c r="H4" s="20"/>
      <c r="I4" s="20"/>
      <c r="J4" s="20"/>
      <c r="K4" s="20"/>
      <c r="L4" s="20"/>
      <c r="M4" s="20"/>
      <c r="N4" s="73"/>
    </row>
    <row r="5" spans="2:14" ht="19.5" x14ac:dyDescent="0.25">
      <c r="C5" s="34"/>
      <c r="D5" s="244">
        <f>Settings!D4</f>
        <v>0</v>
      </c>
      <c r="E5" s="74"/>
      <c r="F5" s="74"/>
      <c r="G5" s="74"/>
      <c r="H5" s="74"/>
      <c r="I5" s="74"/>
      <c r="J5" s="74"/>
      <c r="K5" s="74"/>
      <c r="L5" s="74"/>
      <c r="M5" s="74"/>
      <c r="N5" s="73"/>
    </row>
    <row r="6" spans="2:14" ht="19.5" x14ac:dyDescent="0.25">
      <c r="C6" s="34"/>
      <c r="D6" s="75" t="s">
        <v>388</v>
      </c>
      <c r="E6" s="76"/>
      <c r="F6" s="76"/>
      <c r="G6" s="77"/>
      <c r="H6" s="77"/>
      <c r="I6" s="77"/>
      <c r="J6" s="77"/>
      <c r="K6" s="77"/>
      <c r="L6" s="77"/>
      <c r="M6" s="77"/>
      <c r="N6" s="73"/>
    </row>
    <row r="7" spans="2:14" ht="15.75" x14ac:dyDescent="0.25">
      <c r="C7" s="34"/>
      <c r="D7" s="78"/>
      <c r="E7" s="78"/>
      <c r="F7" s="78"/>
      <c r="G7" s="78"/>
      <c r="H7" s="78"/>
      <c r="I7" s="78"/>
      <c r="J7" s="78"/>
      <c r="K7" s="78"/>
      <c r="L7" s="243">
        <f ca="1">Settings!\date</f>
        <v>43321.535509490743</v>
      </c>
      <c r="M7" s="79"/>
      <c r="N7" s="73"/>
    </row>
    <row r="8" spans="2:14" ht="36.6" customHeight="1" x14ac:dyDescent="0.25">
      <c r="C8" s="34"/>
      <c r="D8" s="78"/>
      <c r="E8" s="78"/>
      <c r="F8" s="78"/>
      <c r="G8" s="78"/>
      <c r="H8" s="78"/>
      <c r="I8" s="78"/>
      <c r="J8" s="78"/>
      <c r="K8" s="78"/>
      <c r="L8" s="80"/>
      <c r="M8" s="80"/>
      <c r="N8" s="73"/>
    </row>
    <row r="9" spans="2:14" ht="25.9" customHeight="1" x14ac:dyDescent="0.25">
      <c r="C9" s="34"/>
      <c r="D9" s="78"/>
      <c r="E9" s="78"/>
      <c r="F9" s="78"/>
      <c r="G9" s="78"/>
      <c r="H9" s="78"/>
      <c r="I9" s="558" t="s">
        <v>515</v>
      </c>
      <c r="J9" s="578" t="s">
        <v>402</v>
      </c>
      <c r="K9" s="558" t="s">
        <v>389</v>
      </c>
      <c r="L9" s="559" t="s">
        <v>514</v>
      </c>
      <c r="M9" s="80"/>
      <c r="N9" s="73"/>
    </row>
    <row r="10" spans="2:14" ht="6" customHeight="1" x14ac:dyDescent="0.25">
      <c r="C10" s="34"/>
      <c r="D10" s="78"/>
      <c r="E10" s="78"/>
      <c r="F10" s="78"/>
      <c r="G10" s="78"/>
      <c r="H10" s="78"/>
      <c r="I10" s="78"/>
      <c r="J10" s="78"/>
      <c r="K10" s="78"/>
      <c r="L10" s="80"/>
      <c r="M10" s="80"/>
      <c r="N10" s="73"/>
    </row>
    <row r="11" spans="2:14" ht="21" customHeight="1" x14ac:dyDescent="0.25">
      <c r="C11" s="34"/>
      <c r="D11" s="81"/>
      <c r="E11" s="82" t="str">
        <f>'GRs Detail'!$E9</f>
        <v>REPROGRAPHICS</v>
      </c>
      <c r="F11" s="576"/>
      <c r="G11" s="553"/>
      <c r="H11" s="553"/>
      <c r="I11" s="554">
        <f>'GRs Detail'!$J9</f>
        <v>0</v>
      </c>
      <c r="J11" s="555">
        <f>'GRs Detail'!$H9</f>
        <v>0</v>
      </c>
      <c r="K11" s="556">
        <f>'GRs Detail'!$I9</f>
        <v>0</v>
      </c>
      <c r="L11" s="557">
        <f t="shared" ref="L11:L42" si="0">$I11*$J11</f>
        <v>0</v>
      </c>
      <c r="M11" s="92"/>
      <c r="N11" s="73"/>
    </row>
    <row r="12" spans="2:14" ht="21" customHeight="1" x14ac:dyDescent="0.25">
      <c r="C12" s="34"/>
      <c r="D12" s="81"/>
      <c r="E12" s="88" t="str">
        <f>'GRs Detail'!$E10</f>
        <v>Pre-Construction</v>
      </c>
      <c r="F12" s="88"/>
      <c r="G12" s="89"/>
      <c r="H12" s="112"/>
      <c r="I12" s="91">
        <f>'GRs Detail'!$J10</f>
        <v>250</v>
      </c>
      <c r="J12" s="113">
        <f>'GRs Detail'!$H10</f>
        <v>0</v>
      </c>
      <c r="K12" s="114" t="str">
        <f>'GRs Detail'!$I10</f>
        <v>lsum</v>
      </c>
      <c r="L12" s="115">
        <f t="shared" si="0"/>
        <v>0</v>
      </c>
      <c r="M12" s="92"/>
      <c r="N12" s="73"/>
    </row>
    <row r="13" spans="2:14" ht="21" customHeight="1" x14ac:dyDescent="0.25">
      <c r="C13" s="34"/>
      <c r="D13" s="81"/>
      <c r="E13" s="88" t="str">
        <f>'GRs Detail'!$E11</f>
        <v>Construction</v>
      </c>
      <c r="F13" s="88"/>
      <c r="G13" s="89"/>
      <c r="H13" s="112"/>
      <c r="I13" s="91">
        <f>'GRs Detail'!$J11</f>
        <v>600</v>
      </c>
      <c r="J13" s="113">
        <f>'GRs Detail'!$H11</f>
        <v>0</v>
      </c>
      <c r="K13" s="114" t="str">
        <f>'GRs Detail'!$I11</f>
        <v>mos</v>
      </c>
      <c r="L13" s="115">
        <f t="shared" si="0"/>
        <v>0</v>
      </c>
      <c r="M13" s="92"/>
      <c r="N13" s="73"/>
    </row>
    <row r="14" spans="2:14" ht="21" customHeight="1" x14ac:dyDescent="0.25">
      <c r="C14" s="34"/>
      <c r="D14" s="81"/>
      <c r="E14" s="552">
        <f>'GRs Detail'!$E12</f>
        <v>0</v>
      </c>
      <c r="F14" s="552"/>
      <c r="G14" s="553"/>
      <c r="H14" s="553"/>
      <c r="I14" s="554">
        <f>'GRs Detail'!$J12</f>
        <v>0</v>
      </c>
      <c r="J14" s="555">
        <f>'GRs Detail'!$H12</f>
        <v>0</v>
      </c>
      <c r="K14" s="556">
        <f>'GRs Detail'!$I12</f>
        <v>0</v>
      </c>
      <c r="L14" s="557">
        <f t="shared" si="0"/>
        <v>0</v>
      </c>
      <c r="M14" s="92"/>
      <c r="N14" s="73"/>
    </row>
    <row r="15" spans="2:14" ht="21" customHeight="1" x14ac:dyDescent="0.25">
      <c r="C15" s="34"/>
      <c r="D15" s="81"/>
      <c r="E15" s="82" t="str">
        <f>'GRs Detail'!$E13</f>
        <v>POSTAGE &amp; COURIER</v>
      </c>
      <c r="F15" s="576"/>
      <c r="G15" s="553"/>
      <c r="H15" s="553"/>
      <c r="I15" s="554">
        <f>'GRs Detail'!$J13</f>
        <v>0</v>
      </c>
      <c r="J15" s="555">
        <f>'GRs Detail'!$H13</f>
        <v>0</v>
      </c>
      <c r="K15" s="556">
        <f>'GRs Detail'!$I13</f>
        <v>0</v>
      </c>
      <c r="L15" s="557">
        <f t="shared" si="0"/>
        <v>0</v>
      </c>
      <c r="M15" s="92"/>
      <c r="N15" s="73"/>
    </row>
    <row r="16" spans="2:14" ht="21" customHeight="1" x14ac:dyDescent="0.25">
      <c r="C16" s="34"/>
      <c r="D16" s="81"/>
      <c r="E16" s="88" t="str">
        <f>'GRs Detail'!$E14</f>
        <v>Pre-Construction</v>
      </c>
      <c r="F16" s="88"/>
      <c r="G16" s="89"/>
      <c r="H16" s="112"/>
      <c r="I16" s="91">
        <f>'GRs Detail'!$J14</f>
        <v>0</v>
      </c>
      <c r="J16" s="113">
        <f>'GRs Detail'!$H14</f>
        <v>2</v>
      </c>
      <c r="K16" s="114" t="str">
        <f>'GRs Detail'!$I14</f>
        <v>lsum</v>
      </c>
      <c r="L16" s="115">
        <f t="shared" si="0"/>
        <v>0</v>
      </c>
      <c r="M16" s="92"/>
      <c r="N16" s="73"/>
    </row>
    <row r="17" spans="3:14" ht="21" customHeight="1" x14ac:dyDescent="0.25">
      <c r="C17" s="34"/>
      <c r="D17" s="81"/>
      <c r="E17" s="88" t="str">
        <f>'GRs Detail'!$E15</f>
        <v>Construction</v>
      </c>
      <c r="F17" s="88"/>
      <c r="G17" s="89"/>
      <c r="H17" s="112"/>
      <c r="I17" s="91">
        <f>'GRs Detail'!$J15</f>
        <v>0</v>
      </c>
      <c r="J17" s="113">
        <f>'GRs Detail'!$H15</f>
        <v>0</v>
      </c>
      <c r="K17" s="114" t="str">
        <f>'GRs Detail'!$I15</f>
        <v>lsum</v>
      </c>
      <c r="L17" s="115">
        <f t="shared" si="0"/>
        <v>0</v>
      </c>
      <c r="M17" s="92"/>
      <c r="N17" s="73"/>
    </row>
    <row r="18" spans="3:14" ht="21" customHeight="1" x14ac:dyDescent="0.25">
      <c r="C18" s="34"/>
      <c r="D18" s="81"/>
      <c r="E18" s="552">
        <f>'GRs Detail'!$E16</f>
        <v>0</v>
      </c>
      <c r="F18" s="552"/>
      <c r="G18" s="553"/>
      <c r="H18" s="553"/>
      <c r="I18" s="554">
        <f>'GRs Detail'!$J16</f>
        <v>0</v>
      </c>
      <c r="J18" s="555">
        <f>'GRs Detail'!$H16</f>
        <v>0</v>
      </c>
      <c r="K18" s="556">
        <f>'GRs Detail'!$I16</f>
        <v>0</v>
      </c>
      <c r="L18" s="557">
        <f t="shared" si="0"/>
        <v>0</v>
      </c>
      <c r="M18" s="92"/>
      <c r="N18" s="73"/>
    </row>
    <row r="19" spans="3:14" ht="21" customHeight="1" x14ac:dyDescent="0.25">
      <c r="C19" s="34"/>
      <c r="D19" s="81"/>
      <c r="E19" s="82" t="str">
        <f>'GRs Detail'!$E17</f>
        <v>EXPLORITORY &amp; SURVEYING SERVICES</v>
      </c>
      <c r="F19" s="576"/>
      <c r="G19" s="553"/>
      <c r="H19" s="553"/>
      <c r="I19" s="554">
        <f>'GRs Detail'!$J17</f>
        <v>0</v>
      </c>
      <c r="J19" s="555">
        <f>'GRs Detail'!$H17</f>
        <v>0</v>
      </c>
      <c r="K19" s="556">
        <f>'GRs Detail'!$I17</f>
        <v>0</v>
      </c>
      <c r="L19" s="557">
        <f t="shared" si="0"/>
        <v>0</v>
      </c>
      <c r="M19" s="92"/>
      <c r="N19" s="73"/>
    </row>
    <row r="20" spans="3:14" ht="21" customHeight="1" x14ac:dyDescent="0.25">
      <c r="C20" s="34"/>
      <c r="D20" s="81"/>
      <c r="E20" s="88" t="str">
        <f>'GRs Detail'!$E18</f>
        <v>Exploratory Investigations</v>
      </c>
      <c r="F20" s="88"/>
      <c r="G20" s="89"/>
      <c r="H20" s="112"/>
      <c r="I20" s="91">
        <f>'GRs Detail'!$J18</f>
        <v>0</v>
      </c>
      <c r="J20" s="113">
        <f>'GRs Detail'!$H18</f>
        <v>0</v>
      </c>
      <c r="K20" s="114" t="str">
        <f>'GRs Detail'!$I18</f>
        <v>lsum</v>
      </c>
      <c r="L20" s="115">
        <f t="shared" si="0"/>
        <v>0</v>
      </c>
      <c r="M20" s="92"/>
      <c r="N20" s="73"/>
    </row>
    <row r="21" spans="3:14" ht="21" customHeight="1" x14ac:dyDescent="0.25">
      <c r="C21" s="34"/>
      <c r="D21" s="81"/>
      <c r="E21" s="88" t="str">
        <f>'GRs Detail'!$E19</f>
        <v>Surveying Equipment</v>
      </c>
      <c r="F21" s="88"/>
      <c r="G21" s="89"/>
      <c r="H21" s="112"/>
      <c r="I21" s="91">
        <f>'GRs Detail'!$J19</f>
        <v>0</v>
      </c>
      <c r="J21" s="113">
        <f>'GRs Detail'!$H19</f>
        <v>0</v>
      </c>
      <c r="K21" s="114" t="str">
        <f>'GRs Detail'!$I19</f>
        <v>lsum</v>
      </c>
      <c r="L21" s="115">
        <f t="shared" si="0"/>
        <v>0</v>
      </c>
      <c r="M21" s="92"/>
      <c r="N21" s="73"/>
    </row>
    <row r="22" spans="3:14" ht="21" customHeight="1" x14ac:dyDescent="0.25">
      <c r="C22" s="34"/>
      <c r="D22" s="81"/>
      <c r="E22" s="88" t="str">
        <f>'GRs Detail'!$E20</f>
        <v>Surveying Services</v>
      </c>
      <c r="F22" s="88"/>
      <c r="G22" s="89"/>
      <c r="H22" s="112"/>
      <c r="I22" s="91">
        <f>'GRs Detail'!$J20</f>
        <v>1600</v>
      </c>
      <c r="J22" s="113">
        <f>'GRs Detail'!$H20</f>
        <v>0</v>
      </c>
      <c r="K22" s="114" t="str">
        <f>'GRs Detail'!$I20</f>
        <v>day</v>
      </c>
      <c r="L22" s="115">
        <f t="shared" si="0"/>
        <v>0</v>
      </c>
      <c r="M22" s="92"/>
      <c r="N22" s="73"/>
    </row>
    <row r="23" spans="3:14" ht="21" customHeight="1" x14ac:dyDescent="0.25">
      <c r="C23" s="34"/>
      <c r="D23" s="81"/>
      <c r="E23" s="88" t="str">
        <f>'GRs Detail'!$E21</f>
        <v>Survey Exist. Cond. / As-Builts</v>
      </c>
      <c r="F23" s="88"/>
      <c r="G23" s="89"/>
      <c r="H23" s="112"/>
      <c r="I23" s="91">
        <f>'GRs Detail'!$J21</f>
        <v>0</v>
      </c>
      <c r="J23" s="113">
        <f>'GRs Detail'!$H21</f>
        <v>0</v>
      </c>
      <c r="K23" s="114" t="str">
        <f>'GRs Detail'!$I21</f>
        <v>lsum</v>
      </c>
      <c r="L23" s="115">
        <f t="shared" si="0"/>
        <v>0</v>
      </c>
      <c r="M23" s="92"/>
      <c r="N23" s="73"/>
    </row>
    <row r="24" spans="3:14" ht="21" customHeight="1" x14ac:dyDescent="0.25">
      <c r="C24" s="34"/>
      <c r="D24" s="81"/>
      <c r="E24" s="552">
        <f>'GRs Detail'!$E22</f>
        <v>0</v>
      </c>
      <c r="F24" s="552"/>
      <c r="G24" s="553"/>
      <c r="H24" s="553"/>
      <c r="I24" s="554">
        <f>'GRs Detail'!$J22</f>
        <v>0</v>
      </c>
      <c r="J24" s="555">
        <f>'GRs Detail'!$H22</f>
        <v>0</v>
      </c>
      <c r="K24" s="556">
        <f>'GRs Detail'!$I22</f>
        <v>0</v>
      </c>
      <c r="L24" s="557">
        <f t="shared" si="0"/>
        <v>0</v>
      </c>
      <c r="M24" s="92"/>
      <c r="N24" s="73"/>
    </row>
    <row r="25" spans="3:14" ht="21" customHeight="1" x14ac:dyDescent="0.25">
      <c r="C25" s="34"/>
      <c r="D25" s="81"/>
      <c r="E25" s="82" t="str">
        <f>'GRs Detail'!$E23</f>
        <v>PARKING SHUTTLES</v>
      </c>
      <c r="F25" s="576"/>
      <c r="G25" s="553"/>
      <c r="H25" s="553"/>
      <c r="I25" s="554">
        <f>'GRs Detail'!$J23</f>
        <v>0</v>
      </c>
      <c r="J25" s="555">
        <f>'GRs Detail'!$H23</f>
        <v>0</v>
      </c>
      <c r="K25" s="556">
        <f>'GRs Detail'!$I23</f>
        <v>0</v>
      </c>
      <c r="L25" s="557">
        <f t="shared" si="0"/>
        <v>0</v>
      </c>
      <c r="M25" s="92"/>
      <c r="N25" s="73"/>
    </row>
    <row r="26" spans="3:14" ht="21" customHeight="1" x14ac:dyDescent="0.25">
      <c r="C26" s="34"/>
      <c r="D26" s="81"/>
      <c r="E26" s="88" t="str">
        <f>'GRs Detail'!$E24</f>
        <v>Rental of Offsite Parking Lot</v>
      </c>
      <c r="F26" s="88"/>
      <c r="G26" s="89"/>
      <c r="H26" s="112"/>
      <c r="I26" s="91">
        <f>'GRs Detail'!$J24</f>
        <v>0</v>
      </c>
      <c r="J26" s="113">
        <f>'GRs Detail'!$H24</f>
        <v>0</v>
      </c>
      <c r="K26" s="114" t="str">
        <f>'GRs Detail'!$I24</f>
        <v>lsum</v>
      </c>
      <c r="L26" s="115">
        <f t="shared" si="0"/>
        <v>0</v>
      </c>
      <c r="M26" s="92"/>
      <c r="N26" s="73"/>
    </row>
    <row r="27" spans="3:14" ht="21" customHeight="1" x14ac:dyDescent="0.25">
      <c r="C27" s="34"/>
      <c r="D27" s="81"/>
      <c r="E27" s="88" t="str">
        <f>'GRs Detail'!$E25</f>
        <v>Parking Shuttle Van</v>
      </c>
      <c r="F27" s="88"/>
      <c r="G27" s="89"/>
      <c r="H27" s="112"/>
      <c r="I27" s="91">
        <f>'GRs Detail'!$J25</f>
        <v>0</v>
      </c>
      <c r="J27" s="113">
        <f>'GRs Detail'!$H25</f>
        <v>0</v>
      </c>
      <c r="K27" s="114" t="str">
        <f>'GRs Detail'!$I25</f>
        <v>lsum</v>
      </c>
      <c r="L27" s="115">
        <f t="shared" si="0"/>
        <v>0</v>
      </c>
      <c r="M27" s="92"/>
      <c r="N27" s="73"/>
    </row>
    <row r="28" spans="3:14" ht="21" customHeight="1" x14ac:dyDescent="0.25">
      <c r="C28" s="34"/>
      <c r="D28" s="81"/>
      <c r="E28" s="88" t="str">
        <f>'GRs Detail'!$E26</f>
        <v>Parking Shuttle Van Driver</v>
      </c>
      <c r="F28" s="88"/>
      <c r="G28" s="89"/>
      <c r="H28" s="112"/>
      <c r="I28" s="91">
        <f>'GRs Detail'!$J26</f>
        <v>280</v>
      </c>
      <c r="J28" s="113">
        <f>'GRs Detail'!$H26</f>
        <v>0</v>
      </c>
      <c r="K28" s="114" t="str">
        <f>'GRs Detail'!$I26</f>
        <v>day</v>
      </c>
      <c r="L28" s="115">
        <f t="shared" si="0"/>
        <v>0</v>
      </c>
      <c r="M28" s="92"/>
      <c r="N28" s="73"/>
    </row>
    <row r="29" spans="3:14" ht="21" customHeight="1" x14ac:dyDescent="0.25">
      <c r="C29" s="34"/>
      <c r="D29" s="81"/>
      <c r="E29" s="552">
        <f>'GRs Detail'!$E27</f>
        <v>0</v>
      </c>
      <c r="F29" s="552"/>
      <c r="G29" s="553"/>
      <c r="H29" s="553"/>
      <c r="I29" s="554">
        <f>'GRs Detail'!$J27</f>
        <v>0</v>
      </c>
      <c r="J29" s="555">
        <f>'GRs Detail'!$H27</f>
        <v>0</v>
      </c>
      <c r="K29" s="556">
        <f>'GRs Detail'!$I27</f>
        <v>0</v>
      </c>
      <c r="L29" s="557">
        <f t="shared" si="0"/>
        <v>0</v>
      </c>
      <c r="M29" s="92"/>
      <c r="N29" s="73"/>
    </row>
    <row r="30" spans="3:14" ht="21" customHeight="1" x14ac:dyDescent="0.25">
      <c r="C30" s="34"/>
      <c r="D30" s="81"/>
      <c r="E30" s="82" t="str">
        <f>'GRs Detail'!$E28</f>
        <v>CONSULTING SERVICES</v>
      </c>
      <c r="F30" s="576"/>
      <c r="G30" s="553"/>
      <c r="H30" s="553"/>
      <c r="I30" s="554">
        <f>'GRs Detail'!$J28</f>
        <v>0</v>
      </c>
      <c r="J30" s="555">
        <f>'GRs Detail'!$H28</f>
        <v>0</v>
      </c>
      <c r="K30" s="556">
        <f>'GRs Detail'!$I28</f>
        <v>0</v>
      </c>
      <c r="L30" s="557">
        <f t="shared" si="0"/>
        <v>0</v>
      </c>
      <c r="M30" s="92"/>
      <c r="N30" s="73"/>
    </row>
    <row r="31" spans="3:14" ht="21" customHeight="1" x14ac:dyDescent="0.25">
      <c r="C31" s="34"/>
      <c r="D31" s="81"/>
      <c r="E31" s="88" t="str">
        <f>'GRs Detail'!$E29</f>
        <v>Consulting Services</v>
      </c>
      <c r="F31" s="88"/>
      <c r="G31" s="89"/>
      <c r="H31" s="112"/>
      <c r="I31" s="91">
        <f>'GRs Detail'!$J29</f>
        <v>0</v>
      </c>
      <c r="J31" s="113">
        <f>'GRs Detail'!$H29</f>
        <v>0</v>
      </c>
      <c r="K31" s="114" t="str">
        <f>'GRs Detail'!$I29</f>
        <v>lsum</v>
      </c>
      <c r="L31" s="115">
        <f t="shared" si="0"/>
        <v>0</v>
      </c>
      <c r="M31" s="92"/>
      <c r="N31" s="73"/>
    </row>
    <row r="32" spans="3:14" ht="21" customHeight="1" x14ac:dyDescent="0.25">
      <c r="C32" s="34"/>
      <c r="D32" s="81"/>
      <c r="E32" s="88" t="str">
        <f>'GRs Detail'!$E30</f>
        <v>Legal Services</v>
      </c>
      <c r="F32" s="88"/>
      <c r="G32" s="89"/>
      <c r="H32" s="112"/>
      <c r="I32" s="91">
        <f>'GRs Detail'!$J30</f>
        <v>0</v>
      </c>
      <c r="J32" s="113">
        <f>'GRs Detail'!$H30</f>
        <v>0</v>
      </c>
      <c r="K32" s="114" t="str">
        <f>'GRs Detail'!$I30</f>
        <v>lsum</v>
      </c>
      <c r="L32" s="115">
        <f t="shared" si="0"/>
        <v>0</v>
      </c>
      <c r="M32" s="92"/>
      <c r="N32" s="73"/>
    </row>
    <row r="33" spans="3:14" ht="21" customHeight="1" x14ac:dyDescent="0.25">
      <c r="C33" s="34"/>
      <c r="D33" s="81"/>
      <c r="E33" s="88" t="str">
        <f>'GRs Detail'!$E31</f>
        <v>Smoke Control</v>
      </c>
      <c r="F33" s="88"/>
      <c r="G33" s="89"/>
      <c r="H33" s="112"/>
      <c r="I33" s="91">
        <f>'GRs Detail'!$J31</f>
        <v>0</v>
      </c>
      <c r="J33" s="113">
        <f>'GRs Detail'!$H31</f>
        <v>0</v>
      </c>
      <c r="K33" s="114" t="str">
        <f>'GRs Detail'!$I31</f>
        <v>lsum</v>
      </c>
      <c r="L33" s="115">
        <f t="shared" si="0"/>
        <v>0</v>
      </c>
      <c r="M33" s="92"/>
      <c r="N33" s="73"/>
    </row>
    <row r="34" spans="3:14" ht="21" customHeight="1" x14ac:dyDescent="0.25">
      <c r="C34" s="34"/>
      <c r="D34" s="81"/>
      <c r="E34" s="88" t="str">
        <f>'GRs Detail'!$E32</f>
        <v>Small Business/Work Force Compliance Consultant</v>
      </c>
      <c r="F34" s="88"/>
      <c r="G34" s="89"/>
      <c r="H34" s="112"/>
      <c r="I34" s="91">
        <f>'GRs Detail'!$J32</f>
        <v>0</v>
      </c>
      <c r="J34" s="113">
        <f>'GRs Detail'!$H32</f>
        <v>0</v>
      </c>
      <c r="K34" s="114" t="str">
        <f>'GRs Detail'!$I32</f>
        <v>lsum</v>
      </c>
      <c r="L34" s="115">
        <f t="shared" si="0"/>
        <v>0</v>
      </c>
      <c r="M34" s="92"/>
      <c r="N34" s="73"/>
    </row>
    <row r="35" spans="3:14" ht="21" customHeight="1" x14ac:dyDescent="0.25">
      <c r="C35" s="34"/>
      <c r="D35" s="81"/>
      <c r="E35" s="88" t="str">
        <f>'GRs Detail'!$E33</f>
        <v>Lean Consulting Services</v>
      </c>
      <c r="F35" s="88"/>
      <c r="G35" s="89"/>
      <c r="H35" s="112"/>
      <c r="I35" s="91">
        <f>'GRs Detail'!$J33</f>
        <v>0</v>
      </c>
      <c r="J35" s="113">
        <f>'GRs Detail'!$H33</f>
        <v>0</v>
      </c>
      <c r="K35" s="114" t="str">
        <f>'GRs Detail'!$I33</f>
        <v>lsum</v>
      </c>
      <c r="L35" s="115">
        <f t="shared" si="0"/>
        <v>0</v>
      </c>
      <c r="M35" s="92"/>
      <c r="N35" s="73"/>
    </row>
    <row r="36" spans="3:14" ht="21" customHeight="1" x14ac:dyDescent="0.25">
      <c r="C36" s="34"/>
      <c r="D36" s="81"/>
      <c r="E36" s="88" t="str">
        <f>'GRs Detail'!$E34</f>
        <v>Partnering Session</v>
      </c>
      <c r="F36" s="88"/>
      <c r="G36" s="89"/>
      <c r="H36" s="112"/>
      <c r="I36" s="91">
        <f>'GRs Detail'!$J34</f>
        <v>0</v>
      </c>
      <c r="J36" s="113">
        <f>'GRs Detail'!$H34</f>
        <v>0</v>
      </c>
      <c r="K36" s="114" t="str">
        <f>'GRs Detail'!$I34</f>
        <v>lsum</v>
      </c>
      <c r="L36" s="115">
        <f t="shared" si="0"/>
        <v>0</v>
      </c>
      <c r="M36" s="92"/>
      <c r="N36" s="73"/>
    </row>
    <row r="37" spans="3:14" ht="21" customHeight="1" x14ac:dyDescent="0.25">
      <c r="C37" s="34"/>
      <c r="D37" s="81"/>
      <c r="E37" s="552">
        <f>'GRs Detail'!$E35</f>
        <v>0</v>
      </c>
      <c r="F37" s="552"/>
      <c r="G37" s="553"/>
      <c r="H37" s="553"/>
      <c r="I37" s="554">
        <f>'GRs Detail'!$J35</f>
        <v>0</v>
      </c>
      <c r="J37" s="555">
        <f>'GRs Detail'!$H35</f>
        <v>0</v>
      </c>
      <c r="K37" s="556">
        <f>'GRs Detail'!$I35</f>
        <v>0</v>
      </c>
      <c r="L37" s="557">
        <f t="shared" si="0"/>
        <v>0</v>
      </c>
      <c r="M37" s="92"/>
      <c r="N37" s="73"/>
    </row>
    <row r="38" spans="3:14" ht="21" customHeight="1" x14ac:dyDescent="0.25">
      <c r="C38" s="34"/>
      <c r="D38" s="81"/>
      <c r="E38" s="82" t="str">
        <f>'GRs Detail'!$E36</f>
        <v>MISCELLANEOUS SUPPORT &amp; EQUIPMENT</v>
      </c>
      <c r="F38" s="576"/>
      <c r="G38" s="553"/>
      <c r="H38" s="553"/>
      <c r="I38" s="554">
        <f>'GRs Detail'!$J36</f>
        <v>0</v>
      </c>
      <c r="J38" s="555">
        <f>'GRs Detail'!$H36</f>
        <v>0</v>
      </c>
      <c r="K38" s="556">
        <f>'GRs Detail'!$I36</f>
        <v>0</v>
      </c>
      <c r="L38" s="557">
        <f t="shared" si="0"/>
        <v>0</v>
      </c>
      <c r="M38" s="92"/>
      <c r="N38" s="73"/>
    </row>
    <row r="39" spans="3:14" ht="21" customHeight="1" x14ac:dyDescent="0.25">
      <c r="C39" s="34"/>
      <c r="D39" s="81"/>
      <c r="E39" s="88" t="str">
        <f>'GRs Detail'!$E37</f>
        <v>Master Mechanic</v>
      </c>
      <c r="F39" s="88"/>
      <c r="G39" s="89"/>
      <c r="H39" s="112"/>
      <c r="I39" s="91">
        <f>'GRs Detail'!$J37</f>
        <v>6000</v>
      </c>
      <c r="J39" s="113">
        <f>'GRs Detail'!$H37</f>
        <v>0</v>
      </c>
      <c r="K39" s="114" t="str">
        <f>'GRs Detail'!$I37</f>
        <v>wks</v>
      </c>
      <c r="L39" s="115">
        <f t="shared" si="0"/>
        <v>0</v>
      </c>
      <c r="M39" s="92"/>
      <c r="N39" s="73"/>
    </row>
    <row r="40" spans="3:14" ht="21" customHeight="1" x14ac:dyDescent="0.25">
      <c r="C40" s="34"/>
      <c r="D40" s="81"/>
      <c r="E40" s="88" t="str">
        <f>'GRs Detail'!$E38</f>
        <v>Teamster</v>
      </c>
      <c r="F40" s="88"/>
      <c r="G40" s="89"/>
      <c r="H40" s="112"/>
      <c r="I40" s="91">
        <f>'GRs Detail'!$J38</f>
        <v>5000</v>
      </c>
      <c r="J40" s="113">
        <f>'GRs Detail'!$H38</f>
        <v>0</v>
      </c>
      <c r="K40" s="114" t="str">
        <f>'GRs Detail'!$I38</f>
        <v>wks</v>
      </c>
      <c r="L40" s="115">
        <f t="shared" si="0"/>
        <v>0</v>
      </c>
      <c r="M40" s="92"/>
      <c r="N40" s="73"/>
    </row>
    <row r="41" spans="3:14" ht="21" customHeight="1" x14ac:dyDescent="0.25">
      <c r="C41" s="34"/>
      <c r="D41" s="81"/>
      <c r="E41" s="88" t="str">
        <f>'GRs Detail'!$E39</f>
        <v>Trucking/Transportation</v>
      </c>
      <c r="F41" s="88"/>
      <c r="G41" s="89"/>
      <c r="H41" s="112"/>
      <c r="I41" s="91">
        <f>'GRs Detail'!$J39</f>
        <v>0</v>
      </c>
      <c r="J41" s="113">
        <f>'GRs Detail'!$H39</f>
        <v>0</v>
      </c>
      <c r="K41" s="114" t="str">
        <f>'GRs Detail'!$I39</f>
        <v>lsum</v>
      </c>
      <c r="L41" s="115">
        <f t="shared" si="0"/>
        <v>0</v>
      </c>
      <c r="M41" s="92"/>
      <c r="N41" s="73"/>
    </row>
    <row r="42" spans="3:14" ht="21" customHeight="1" x14ac:dyDescent="0.25">
      <c r="C42" s="34"/>
      <c r="D42" s="81"/>
      <c r="E42" s="88" t="str">
        <f>'GRs Detail'!$E40</f>
        <v>Storage Trailer</v>
      </c>
      <c r="F42" s="88"/>
      <c r="G42" s="89"/>
      <c r="H42" s="112"/>
      <c r="I42" s="91">
        <f>'GRs Detail'!$J40</f>
        <v>165</v>
      </c>
      <c r="J42" s="113">
        <f>'GRs Detail'!$H40</f>
        <v>0</v>
      </c>
      <c r="K42" s="114" t="str">
        <f>'GRs Detail'!$I40</f>
        <v>mos</v>
      </c>
      <c r="L42" s="115">
        <f t="shared" si="0"/>
        <v>0</v>
      </c>
      <c r="M42" s="92"/>
      <c r="N42" s="73"/>
    </row>
    <row r="43" spans="3:14" ht="21" customHeight="1" x14ac:dyDescent="0.25">
      <c r="C43" s="34"/>
      <c r="D43" s="81"/>
      <c r="E43" s="88" t="str">
        <f>'GRs Detail'!$E41</f>
        <v>Tools &amp; Equipment</v>
      </c>
      <c r="F43" s="88"/>
      <c r="G43" s="89"/>
      <c r="H43" s="112"/>
      <c r="I43" s="91">
        <f>'GRs Detail'!$J41</f>
        <v>1000</v>
      </c>
      <c r="J43" s="113">
        <f>'GRs Detail'!$H41</f>
        <v>0</v>
      </c>
      <c r="K43" s="114" t="str">
        <f>'GRs Detail'!$I41</f>
        <v>mos</v>
      </c>
      <c r="L43" s="115">
        <f t="shared" ref="L43:L74" si="1">$I43*$J43</f>
        <v>0</v>
      </c>
      <c r="M43" s="92"/>
      <c r="N43" s="73"/>
    </row>
    <row r="44" spans="3:14" ht="21" customHeight="1" x14ac:dyDescent="0.25">
      <c r="C44" s="34"/>
      <c r="D44" s="81"/>
      <c r="E44" s="88" t="str">
        <f>'GRs Detail'!$E42</f>
        <v>Radios</v>
      </c>
      <c r="F44" s="88"/>
      <c r="G44" s="89"/>
      <c r="H44" s="112"/>
      <c r="I44" s="91">
        <f>'GRs Detail'!$J42</f>
        <v>0</v>
      </c>
      <c r="J44" s="113">
        <f>'GRs Detail'!$H42</f>
        <v>0</v>
      </c>
      <c r="K44" s="114" t="str">
        <f>'GRs Detail'!$I42</f>
        <v>ea</v>
      </c>
      <c r="L44" s="115">
        <f t="shared" si="1"/>
        <v>0</v>
      </c>
      <c r="M44" s="92"/>
      <c r="N44" s="73"/>
    </row>
    <row r="45" spans="3:14" ht="21" customHeight="1" x14ac:dyDescent="0.25">
      <c r="C45" s="34"/>
      <c r="D45" s="81"/>
      <c r="E45" s="88" t="str">
        <f>'GRs Detail'!$E43</f>
        <v>Rodent Control</v>
      </c>
      <c r="F45" s="88"/>
      <c r="G45" s="89"/>
      <c r="H45" s="112"/>
      <c r="I45" s="91">
        <f>'GRs Detail'!$J43</f>
        <v>300</v>
      </c>
      <c r="J45" s="113">
        <f>'GRs Detail'!$H43</f>
        <v>0</v>
      </c>
      <c r="K45" s="114" t="str">
        <f>'GRs Detail'!$I43</f>
        <v>mos</v>
      </c>
      <c r="L45" s="115">
        <f t="shared" si="1"/>
        <v>0</v>
      </c>
      <c r="M45" s="92"/>
      <c r="N45" s="73"/>
    </row>
    <row r="46" spans="3:14" ht="21" customHeight="1" x14ac:dyDescent="0.25">
      <c r="C46" s="34"/>
      <c r="D46" s="81"/>
      <c r="E46" s="88" t="str">
        <f>'GRs Detail'!$E44</f>
        <v>Mock Ups (include removal)</v>
      </c>
      <c r="F46" s="88"/>
      <c r="G46" s="89"/>
      <c r="H46" s="112"/>
      <c r="I46" s="91">
        <f>'GRs Detail'!$J44</f>
        <v>0</v>
      </c>
      <c r="J46" s="113">
        <f>'GRs Detail'!$H44</f>
        <v>0</v>
      </c>
      <c r="K46" s="114" t="str">
        <f>'GRs Detail'!$I44</f>
        <v>lsum</v>
      </c>
      <c r="L46" s="115">
        <f t="shared" si="1"/>
        <v>0</v>
      </c>
      <c r="M46" s="92"/>
      <c r="N46" s="73"/>
    </row>
    <row r="47" spans="3:14" ht="21" customHeight="1" x14ac:dyDescent="0.25">
      <c r="C47" s="34"/>
      <c r="D47" s="81"/>
      <c r="E47" s="88" t="str">
        <f>'GRs Detail'!$E45</f>
        <v>Off Hours Work Permit</v>
      </c>
      <c r="F47" s="88"/>
      <c r="G47" s="89"/>
      <c r="H47" s="112"/>
      <c r="I47" s="91">
        <f>'GRs Detail'!$J45</f>
        <v>100</v>
      </c>
      <c r="J47" s="113">
        <f>'GRs Detail'!$H45</f>
        <v>0</v>
      </c>
      <c r="K47" s="114" t="str">
        <f>'GRs Detail'!$I45</f>
        <v>days</v>
      </c>
      <c r="L47" s="115">
        <f t="shared" si="1"/>
        <v>0</v>
      </c>
      <c r="M47" s="92"/>
      <c r="N47" s="73"/>
    </row>
    <row r="48" spans="3:14" ht="21" customHeight="1" x14ac:dyDescent="0.25">
      <c r="C48" s="34"/>
      <c r="D48" s="81"/>
      <c r="E48" s="88" t="str">
        <f>'GRs Detail'!$E46</f>
        <v>Punch List</v>
      </c>
      <c r="F48" s="88"/>
      <c r="G48" s="89"/>
      <c r="H48" s="112"/>
      <c r="I48" s="91">
        <f>'GRs Detail'!$J46</f>
        <v>0</v>
      </c>
      <c r="J48" s="113">
        <f>'GRs Detail'!$H46</f>
        <v>0</v>
      </c>
      <c r="K48" s="114" t="str">
        <f>'GRs Detail'!$I46</f>
        <v>lsum</v>
      </c>
      <c r="L48" s="115">
        <f t="shared" si="1"/>
        <v>0</v>
      </c>
      <c r="M48" s="92"/>
      <c r="N48" s="73"/>
    </row>
    <row r="49" spans="3:14" ht="21" customHeight="1" x14ac:dyDescent="0.25">
      <c r="C49" s="34"/>
      <c r="D49" s="81"/>
      <c r="E49" s="88" t="str">
        <f>'GRs Detail'!$E47</f>
        <v>Cut &amp; Patch</v>
      </c>
      <c r="F49" s="88"/>
      <c r="G49" s="89"/>
      <c r="H49" s="112"/>
      <c r="I49" s="91">
        <f>'GRs Detail'!$J47</f>
        <v>0</v>
      </c>
      <c r="J49" s="113">
        <f>'GRs Detail'!$H47</f>
        <v>0</v>
      </c>
      <c r="K49" s="114" t="str">
        <f>'GRs Detail'!$I47</f>
        <v>lsum</v>
      </c>
      <c r="L49" s="115">
        <f t="shared" si="1"/>
        <v>0</v>
      </c>
      <c r="M49" s="92"/>
      <c r="N49" s="73"/>
    </row>
    <row r="50" spans="3:14" ht="21" customHeight="1" x14ac:dyDescent="0.25">
      <c r="C50" s="34"/>
      <c r="D50" s="81"/>
      <c r="E50" s="552">
        <f>'GRs Detail'!$E48</f>
        <v>0</v>
      </c>
      <c r="F50" s="552"/>
      <c r="G50" s="553"/>
      <c r="H50" s="553"/>
      <c r="I50" s="554">
        <f>'GRs Detail'!$J48</f>
        <v>0</v>
      </c>
      <c r="J50" s="555">
        <f>'GRs Detail'!$H48</f>
        <v>0</v>
      </c>
      <c r="K50" s="556">
        <f>'GRs Detail'!$I48</f>
        <v>0</v>
      </c>
      <c r="L50" s="557">
        <f t="shared" si="1"/>
        <v>0</v>
      </c>
      <c r="M50" s="92"/>
      <c r="N50" s="73"/>
    </row>
    <row r="51" spans="3:14" ht="21" customHeight="1" x14ac:dyDescent="0.25">
      <c r="C51" s="34"/>
      <c r="D51" s="81"/>
      <c r="E51" s="82" t="str">
        <f>'GRs Detail'!$E49</f>
        <v>WATER CONSUMPTION</v>
      </c>
      <c r="F51" s="576"/>
      <c r="G51" s="553"/>
      <c r="H51" s="553"/>
      <c r="I51" s="554">
        <f>'GRs Detail'!$J49</f>
        <v>0</v>
      </c>
      <c r="J51" s="555">
        <f>'GRs Detail'!$H49</f>
        <v>0</v>
      </c>
      <c r="K51" s="556">
        <f>'GRs Detail'!$I49</f>
        <v>0</v>
      </c>
      <c r="L51" s="557">
        <f t="shared" si="1"/>
        <v>0</v>
      </c>
      <c r="M51" s="92"/>
      <c r="N51" s="73"/>
    </row>
    <row r="52" spans="3:14" ht="21" customHeight="1" x14ac:dyDescent="0.25">
      <c r="C52" s="34"/>
      <c r="D52" s="81"/>
      <c r="E52" s="88" t="str">
        <f>'GRs Detail'!$E50</f>
        <v>Water Consumption</v>
      </c>
      <c r="F52" s="88"/>
      <c r="G52" s="89"/>
      <c r="H52" s="112"/>
      <c r="I52" s="91">
        <f>'GRs Detail'!$J50</f>
        <v>0</v>
      </c>
      <c r="J52" s="113">
        <f>'GRs Detail'!$H50</f>
        <v>0</v>
      </c>
      <c r="K52" s="114" t="str">
        <f>'GRs Detail'!$I50</f>
        <v>lsum</v>
      </c>
      <c r="L52" s="115">
        <f t="shared" si="1"/>
        <v>0</v>
      </c>
      <c r="M52" s="92"/>
      <c r="N52" s="73"/>
    </row>
    <row r="53" spans="3:14" ht="21" customHeight="1" x14ac:dyDescent="0.25">
      <c r="C53" s="34"/>
      <c r="D53" s="81"/>
      <c r="E53" s="552">
        <f>'GRs Detail'!$E51</f>
        <v>0</v>
      </c>
      <c r="F53" s="552"/>
      <c r="G53" s="553"/>
      <c r="H53" s="553"/>
      <c r="I53" s="554">
        <f>'GRs Detail'!$J51</f>
        <v>0</v>
      </c>
      <c r="J53" s="555">
        <f>'GRs Detail'!$H51</f>
        <v>0</v>
      </c>
      <c r="K53" s="556">
        <f>'GRs Detail'!$I51</f>
        <v>0</v>
      </c>
      <c r="L53" s="557">
        <f t="shared" si="1"/>
        <v>0</v>
      </c>
      <c r="M53" s="92"/>
      <c r="N53" s="73"/>
    </row>
    <row r="54" spans="3:14" ht="21" customHeight="1" x14ac:dyDescent="0.25">
      <c r="C54" s="34"/>
      <c r="D54" s="81"/>
      <c r="E54" s="82" t="str">
        <f>'GRs Detail'!$E52</f>
        <v>ELECTRICITY CONSUMPTION</v>
      </c>
      <c r="F54" s="576"/>
      <c r="G54" s="553"/>
      <c r="H54" s="553"/>
      <c r="I54" s="554">
        <f>'GRs Detail'!$J52</f>
        <v>0</v>
      </c>
      <c r="J54" s="555">
        <f>'GRs Detail'!$H52</f>
        <v>0</v>
      </c>
      <c r="K54" s="556">
        <f>'GRs Detail'!$I52</f>
        <v>0</v>
      </c>
      <c r="L54" s="557">
        <f t="shared" si="1"/>
        <v>0</v>
      </c>
      <c r="M54" s="92"/>
      <c r="N54" s="73"/>
    </row>
    <row r="55" spans="3:14" ht="21" customHeight="1" x14ac:dyDescent="0.25">
      <c r="C55" s="34"/>
      <c r="D55" s="81"/>
      <c r="E55" s="88" t="str">
        <f>'GRs Detail'!$E53</f>
        <v>Electric Consumption</v>
      </c>
      <c r="F55" s="88"/>
      <c r="G55" s="89"/>
      <c r="H55" s="112"/>
      <c r="I55" s="91">
        <f>'GRs Detail'!$J53</f>
        <v>0</v>
      </c>
      <c r="J55" s="113">
        <f>'GRs Detail'!$H53</f>
        <v>0</v>
      </c>
      <c r="K55" s="114" t="str">
        <f>'GRs Detail'!$I53</f>
        <v>lsum</v>
      </c>
      <c r="L55" s="115">
        <f t="shared" si="1"/>
        <v>0</v>
      </c>
      <c r="M55" s="92"/>
      <c r="N55" s="73"/>
    </row>
    <row r="56" spans="3:14" ht="21" customHeight="1" x14ac:dyDescent="0.25">
      <c r="C56" s="34"/>
      <c r="D56" s="81"/>
      <c r="E56" s="88" t="str">
        <f>'GRs Detail'!$E54</f>
        <v>Temp. Electric Vault &amp; Service</v>
      </c>
      <c r="F56" s="88"/>
      <c r="G56" s="89"/>
      <c r="H56" s="112"/>
      <c r="I56" s="91">
        <f>'GRs Detail'!$J54</f>
        <v>65</v>
      </c>
      <c r="J56" s="113">
        <f>'GRs Detail'!$H54</f>
        <v>0</v>
      </c>
      <c r="K56" s="114" t="str">
        <f>'GRs Detail'!$I54</f>
        <v>months</v>
      </c>
      <c r="L56" s="115">
        <f t="shared" si="1"/>
        <v>0</v>
      </c>
      <c r="M56" s="92"/>
      <c r="N56" s="73"/>
    </row>
    <row r="57" spans="3:14" ht="21" customHeight="1" x14ac:dyDescent="0.25">
      <c r="C57" s="34"/>
      <c r="D57" s="81"/>
      <c r="E57" s="552">
        <f>'GRs Detail'!$E55</f>
        <v>0</v>
      </c>
      <c r="F57" s="552"/>
      <c r="G57" s="553"/>
      <c r="H57" s="553"/>
      <c r="I57" s="554">
        <f>'GRs Detail'!$J55</f>
        <v>0</v>
      </c>
      <c r="J57" s="555">
        <f>'GRs Detail'!$H55</f>
        <v>0</v>
      </c>
      <c r="K57" s="556">
        <f>'GRs Detail'!$I55</f>
        <v>0</v>
      </c>
      <c r="L57" s="557">
        <f t="shared" si="1"/>
        <v>0</v>
      </c>
      <c r="M57" s="92"/>
      <c r="N57" s="73"/>
    </row>
    <row r="58" spans="3:14" ht="21" customHeight="1" x14ac:dyDescent="0.25">
      <c r="C58" s="34"/>
      <c r="D58" s="81"/>
      <c r="E58" s="82" t="str">
        <f>'GRs Detail'!$E56</f>
        <v xml:space="preserve">TEMPORARY TOILETS </v>
      </c>
      <c r="F58" s="576"/>
      <c r="G58" s="553"/>
      <c r="H58" s="553"/>
      <c r="I58" s="554">
        <f>'GRs Detail'!$J56</f>
        <v>0</v>
      </c>
      <c r="J58" s="555">
        <f>'GRs Detail'!$H56</f>
        <v>0</v>
      </c>
      <c r="K58" s="556">
        <f>'GRs Detail'!$I56</f>
        <v>0</v>
      </c>
      <c r="L58" s="557">
        <f t="shared" si="1"/>
        <v>0</v>
      </c>
      <c r="M58" s="92"/>
      <c r="N58" s="73"/>
    </row>
    <row r="59" spans="3:14" ht="21" customHeight="1" x14ac:dyDescent="0.25">
      <c r="C59" s="34"/>
      <c r="D59" s="81"/>
      <c r="E59" s="88" t="str">
        <f>'GRs Detail'!$E57</f>
        <v>Portables</v>
      </c>
      <c r="F59" s="88"/>
      <c r="G59" s="89"/>
      <c r="H59" s="112"/>
      <c r="I59" s="91">
        <f>'GRs Detail'!$J57</f>
        <v>0</v>
      </c>
      <c r="J59" s="113">
        <f>'GRs Detail'!$H57</f>
        <v>0</v>
      </c>
      <c r="K59" s="114" t="str">
        <f>'GRs Detail'!$I57</f>
        <v>ea</v>
      </c>
      <c r="L59" s="115">
        <f t="shared" si="1"/>
        <v>0</v>
      </c>
      <c r="M59" s="92"/>
      <c r="N59" s="73"/>
    </row>
    <row r="60" spans="3:14" ht="21" customHeight="1" x14ac:dyDescent="0.25">
      <c r="C60" s="34"/>
      <c r="D60" s="81"/>
      <c r="E60" s="88" t="str">
        <f>'GRs Detail'!$E58</f>
        <v>Portable Unit Delivery Fee</v>
      </c>
      <c r="F60" s="88"/>
      <c r="G60" s="89"/>
      <c r="H60" s="112"/>
      <c r="I60" s="91">
        <f>'GRs Detail'!$J58</f>
        <v>0</v>
      </c>
      <c r="J60" s="113">
        <f>'GRs Detail'!$H58</f>
        <v>0</v>
      </c>
      <c r="K60" s="114" t="str">
        <f>'GRs Detail'!$I58</f>
        <v>lsum</v>
      </c>
      <c r="L60" s="115">
        <f t="shared" si="1"/>
        <v>0</v>
      </c>
      <c r="M60" s="92"/>
      <c r="N60" s="73"/>
    </row>
    <row r="61" spans="3:14" ht="21" customHeight="1" x14ac:dyDescent="0.25">
      <c r="C61" s="34"/>
      <c r="D61" s="81"/>
      <c r="E61" s="88" t="str">
        <f>'GRs Detail'!$E59</f>
        <v>Temp Bathroom Install</v>
      </c>
      <c r="F61" s="88"/>
      <c r="G61" s="89"/>
      <c r="H61" s="112"/>
      <c r="I61" s="91">
        <f>'GRs Detail'!$J59</f>
        <v>100</v>
      </c>
      <c r="J61" s="113">
        <f>'GRs Detail'!$H59</f>
        <v>0</v>
      </c>
      <c r="K61" s="114" t="str">
        <f>'GRs Detail'!$I59</f>
        <v>ea</v>
      </c>
      <c r="L61" s="115">
        <f t="shared" si="1"/>
        <v>0</v>
      </c>
      <c r="M61" s="92"/>
      <c r="N61" s="73"/>
    </row>
    <row r="62" spans="3:14" ht="21" customHeight="1" x14ac:dyDescent="0.25">
      <c r="C62" s="34"/>
      <c r="D62" s="81"/>
      <c r="E62" s="88" t="str">
        <f>'GRs Detail'!$E60</f>
        <v>Temp Bathroom Remove</v>
      </c>
      <c r="F62" s="88"/>
      <c r="G62" s="89"/>
      <c r="H62" s="112"/>
      <c r="I62" s="91">
        <f>'GRs Detail'!$J60</f>
        <v>100</v>
      </c>
      <c r="J62" s="113">
        <f>'GRs Detail'!$H60</f>
        <v>0</v>
      </c>
      <c r="K62" s="114" t="str">
        <f>'GRs Detail'!$I60</f>
        <v>ea</v>
      </c>
      <c r="L62" s="115">
        <f t="shared" si="1"/>
        <v>0</v>
      </c>
      <c r="M62" s="92"/>
      <c r="N62" s="73"/>
    </row>
    <row r="63" spans="3:14" ht="21" customHeight="1" x14ac:dyDescent="0.25">
      <c r="C63" s="34"/>
      <c r="D63" s="81"/>
      <c r="E63" s="88" t="str">
        <f>'GRs Detail'!$E61</f>
        <v>Temp Bathroom Cleaning</v>
      </c>
      <c r="F63" s="88"/>
      <c r="G63" s="89"/>
      <c r="H63" s="112"/>
      <c r="I63" s="91">
        <f>'GRs Detail'!$J61</f>
        <v>0</v>
      </c>
      <c r="J63" s="113">
        <f>'GRs Detail'!$H61</f>
        <v>0</v>
      </c>
      <c r="K63" s="114" t="str">
        <f>'GRs Detail'!$I61</f>
        <v>lsum</v>
      </c>
      <c r="L63" s="115">
        <f t="shared" si="1"/>
        <v>0</v>
      </c>
      <c r="M63" s="92"/>
      <c r="N63" s="73"/>
    </row>
    <row r="64" spans="3:14" ht="21" customHeight="1" x14ac:dyDescent="0.25">
      <c r="C64" s="34"/>
      <c r="D64" s="81"/>
      <c r="E64" s="88" t="str">
        <f>'GRs Detail'!$E62</f>
        <v>Hand Sanitizer</v>
      </c>
      <c r="F64" s="88"/>
      <c r="G64" s="89"/>
      <c r="H64" s="112"/>
      <c r="I64" s="91">
        <f>'GRs Detail'!$J62</f>
        <v>0</v>
      </c>
      <c r="J64" s="113">
        <f>'GRs Detail'!$H62</f>
        <v>0</v>
      </c>
      <c r="K64" s="114" t="str">
        <f>'GRs Detail'!$I62</f>
        <v>ea</v>
      </c>
      <c r="L64" s="115">
        <f t="shared" si="1"/>
        <v>0</v>
      </c>
      <c r="M64" s="92"/>
      <c r="N64" s="73"/>
    </row>
    <row r="65" spans="3:14" ht="21" customHeight="1" x14ac:dyDescent="0.25">
      <c r="C65" s="34"/>
      <c r="D65" s="81"/>
      <c r="E65" s="88" t="str">
        <f>'GRs Detail'!$E63</f>
        <v>Gel Pak</v>
      </c>
      <c r="F65" s="88"/>
      <c r="G65" s="89"/>
      <c r="H65" s="112"/>
      <c r="I65" s="91">
        <f>'GRs Detail'!$J63</f>
        <v>0</v>
      </c>
      <c r="J65" s="113">
        <f>'GRs Detail'!$H63</f>
        <v>0</v>
      </c>
      <c r="K65" s="114" t="str">
        <f>'GRs Detail'!$I63</f>
        <v>ea</v>
      </c>
      <c r="L65" s="115">
        <f t="shared" si="1"/>
        <v>0</v>
      </c>
      <c r="M65" s="92"/>
      <c r="N65" s="73"/>
    </row>
    <row r="66" spans="3:14" ht="21" customHeight="1" x14ac:dyDescent="0.25">
      <c r="C66" s="34"/>
      <c r="D66" s="81"/>
      <c r="E66" s="88" t="str">
        <f>'GRs Detail'!$E64</f>
        <v>Holding Tanks</v>
      </c>
      <c r="F66" s="88"/>
      <c r="G66" s="89"/>
      <c r="H66" s="112"/>
      <c r="I66" s="91">
        <f>'GRs Detail'!$J64</f>
        <v>0</v>
      </c>
      <c r="J66" s="113">
        <f>'GRs Detail'!$H64</f>
        <v>0</v>
      </c>
      <c r="K66" s="114" t="str">
        <f>'GRs Detail'!$I64</f>
        <v>ea</v>
      </c>
      <c r="L66" s="115">
        <f t="shared" si="1"/>
        <v>0</v>
      </c>
      <c r="M66" s="92"/>
      <c r="N66" s="73"/>
    </row>
    <row r="67" spans="3:14" ht="21" customHeight="1" x14ac:dyDescent="0.25">
      <c r="C67" s="34"/>
      <c r="D67" s="81"/>
      <c r="E67" s="552">
        <f>'GRs Detail'!$E65</f>
        <v>0</v>
      </c>
      <c r="F67" s="552"/>
      <c r="G67" s="553"/>
      <c r="H67" s="553"/>
      <c r="I67" s="554">
        <f>'GRs Detail'!$J65</f>
        <v>0</v>
      </c>
      <c r="J67" s="555">
        <f>'GRs Detail'!$H65</f>
        <v>0</v>
      </c>
      <c r="K67" s="556">
        <f>'GRs Detail'!$I65</f>
        <v>0</v>
      </c>
      <c r="L67" s="557">
        <f t="shared" si="1"/>
        <v>0</v>
      </c>
      <c r="M67" s="92"/>
      <c r="N67" s="73"/>
    </row>
    <row r="68" spans="3:14" ht="21" customHeight="1" x14ac:dyDescent="0.25">
      <c r="C68" s="34"/>
      <c r="D68" s="81"/>
      <c r="E68" s="82" t="str">
        <f>'GRs Detail'!$E66</f>
        <v>CONSTRUCTION MANAGEMENT PLAN</v>
      </c>
      <c r="F68" s="576"/>
      <c r="G68" s="553"/>
      <c r="H68" s="553"/>
      <c r="I68" s="554">
        <f>'GRs Detail'!$J66</f>
        <v>0</v>
      </c>
      <c r="J68" s="555">
        <f>'GRs Detail'!$H66</f>
        <v>0</v>
      </c>
      <c r="K68" s="556">
        <f>'GRs Detail'!$I66</f>
        <v>0</v>
      </c>
      <c r="L68" s="557">
        <f t="shared" si="1"/>
        <v>0</v>
      </c>
      <c r="M68" s="92"/>
      <c r="N68" s="73"/>
    </row>
    <row r="69" spans="3:14" ht="21" customHeight="1" x14ac:dyDescent="0.25">
      <c r="C69" s="34"/>
      <c r="D69" s="81"/>
      <c r="E69" s="88" t="str">
        <f>'GRs Detail'!$E67</f>
        <v>Police Details</v>
      </c>
      <c r="F69" s="88"/>
      <c r="G69" s="89"/>
      <c r="H69" s="112"/>
      <c r="I69" s="91">
        <f ca="1">'GRs Detail'!$J67</f>
        <v>0</v>
      </c>
      <c r="J69" s="113">
        <f>'GRs Detail'!$H67</f>
        <v>0</v>
      </c>
      <c r="K69" s="114" t="str">
        <f>'GRs Detail'!$I67</f>
        <v>lsum</v>
      </c>
      <c r="L69" s="115">
        <f t="shared" ca="1" si="1"/>
        <v>0</v>
      </c>
      <c r="M69" s="92"/>
      <c r="N69" s="73"/>
    </row>
    <row r="70" spans="3:14" ht="21" customHeight="1" x14ac:dyDescent="0.25">
      <c r="C70" s="34"/>
      <c r="D70" s="81"/>
      <c r="E70" s="88" t="str">
        <f>'GRs Detail'!$E68</f>
        <v>Sidewalk Bridge</v>
      </c>
      <c r="F70" s="88"/>
      <c r="G70" s="89"/>
      <c r="H70" s="112"/>
      <c r="I70" s="91">
        <f>'GRs Detail'!$J68</f>
        <v>175</v>
      </c>
      <c r="J70" s="113">
        <f>'GRs Detail'!$H68</f>
        <v>0</v>
      </c>
      <c r="K70" s="114" t="str">
        <f>'GRs Detail'!$I68</f>
        <v>lf</v>
      </c>
      <c r="L70" s="115">
        <f t="shared" si="1"/>
        <v>0</v>
      </c>
      <c r="M70" s="92"/>
      <c r="N70" s="73"/>
    </row>
    <row r="71" spans="3:14" ht="21" customHeight="1" x14ac:dyDescent="0.25">
      <c r="C71" s="34"/>
      <c r="D71" s="81"/>
      <c r="E71" s="88" t="str">
        <f>'GRs Detail'!$E69</f>
        <v>New Traffic Markings</v>
      </c>
      <c r="F71" s="88"/>
      <c r="G71" s="89"/>
      <c r="H71" s="112"/>
      <c r="I71" s="91">
        <f>'GRs Detail'!$J69</f>
        <v>0</v>
      </c>
      <c r="J71" s="113">
        <f>'GRs Detail'!$H69</f>
        <v>0</v>
      </c>
      <c r="K71" s="114" t="str">
        <f>'GRs Detail'!$I69</f>
        <v>lsum</v>
      </c>
      <c r="L71" s="115">
        <f t="shared" si="1"/>
        <v>0</v>
      </c>
      <c r="M71" s="92"/>
      <c r="N71" s="73"/>
    </row>
    <row r="72" spans="3:14" ht="21" customHeight="1" x14ac:dyDescent="0.25">
      <c r="C72" s="34"/>
      <c r="D72" s="81"/>
      <c r="E72" s="88" t="str">
        <f>'GRs Detail'!$E70</f>
        <v>Remove Old/Existing Traffic Markings</v>
      </c>
      <c r="F72" s="88"/>
      <c r="G72" s="89"/>
      <c r="H72" s="112"/>
      <c r="I72" s="91">
        <f>'GRs Detail'!$J70</f>
        <v>0</v>
      </c>
      <c r="J72" s="113">
        <f>'GRs Detail'!$H70</f>
        <v>0</v>
      </c>
      <c r="K72" s="114" t="str">
        <f>'GRs Detail'!$I70</f>
        <v>lsum</v>
      </c>
      <c r="L72" s="115">
        <f t="shared" si="1"/>
        <v>0</v>
      </c>
      <c r="M72" s="92"/>
      <c r="N72" s="73"/>
    </row>
    <row r="73" spans="3:14" ht="21" customHeight="1" x14ac:dyDescent="0.25">
      <c r="C73" s="34"/>
      <c r="D73" s="81"/>
      <c r="E73" s="88" t="str">
        <f>'GRs Detail'!$E71</f>
        <v>Temporary Road Signs</v>
      </c>
      <c r="F73" s="88"/>
      <c r="G73" s="89"/>
      <c r="H73" s="112"/>
      <c r="I73" s="91">
        <f>'GRs Detail'!$J71</f>
        <v>0</v>
      </c>
      <c r="J73" s="113">
        <f>'GRs Detail'!$H71</f>
        <v>0</v>
      </c>
      <c r="K73" s="114" t="str">
        <f>'GRs Detail'!$I71</f>
        <v>lsum</v>
      </c>
      <c r="L73" s="115">
        <f t="shared" si="1"/>
        <v>0</v>
      </c>
      <c r="M73" s="92"/>
      <c r="N73" s="73"/>
    </row>
    <row r="74" spans="3:14" ht="21" customHeight="1" x14ac:dyDescent="0.25">
      <c r="C74" s="34"/>
      <c r="D74" s="81"/>
      <c r="E74" s="88" t="str">
        <f>'GRs Detail'!$E72</f>
        <v>Sidewalk Rental</v>
      </c>
      <c r="F74" s="88"/>
      <c r="G74" s="89"/>
      <c r="H74" s="112"/>
      <c r="I74" s="91">
        <f>'GRs Detail'!$J72</f>
        <v>0</v>
      </c>
      <c r="J74" s="113">
        <f>'GRs Detail'!$H72</f>
        <v>0</v>
      </c>
      <c r="K74" s="114" t="str">
        <f>'GRs Detail'!$I72</f>
        <v>mos</v>
      </c>
      <c r="L74" s="115">
        <f t="shared" si="1"/>
        <v>0</v>
      </c>
      <c r="M74" s="92"/>
      <c r="N74" s="73"/>
    </row>
    <row r="75" spans="3:14" ht="21" customHeight="1" x14ac:dyDescent="0.25">
      <c r="C75" s="34"/>
      <c r="D75" s="81"/>
      <c r="E75" s="88" t="str">
        <f>'GRs Detail'!$E73</f>
        <v>Street Rental</v>
      </c>
      <c r="F75" s="88"/>
      <c r="G75" s="89"/>
      <c r="H75" s="112"/>
      <c r="I75" s="91">
        <f>'GRs Detail'!$J73</f>
        <v>0</v>
      </c>
      <c r="J75" s="113">
        <f>'GRs Detail'!$H73</f>
        <v>0</v>
      </c>
      <c r="K75" s="114" t="str">
        <f>'GRs Detail'!$I73</f>
        <v>mos</v>
      </c>
      <c r="L75" s="115">
        <f t="shared" ref="L75:L106" si="2">$I75*$J75</f>
        <v>0</v>
      </c>
      <c r="M75" s="92"/>
      <c r="N75" s="73"/>
    </row>
    <row r="76" spans="3:14" ht="21" customHeight="1" x14ac:dyDescent="0.25">
      <c r="C76" s="34"/>
      <c r="D76" s="81"/>
      <c r="E76" s="88" t="str">
        <f>'GRs Detail'!$E74</f>
        <v>Railway Spotter</v>
      </c>
      <c r="F76" s="88"/>
      <c r="G76" s="89"/>
      <c r="H76" s="112"/>
      <c r="I76" s="91">
        <f>'GRs Detail'!$J74</f>
        <v>0</v>
      </c>
      <c r="J76" s="113">
        <f>'GRs Detail'!$H74</f>
        <v>0</v>
      </c>
      <c r="K76" s="114" t="str">
        <f>'GRs Detail'!$I74</f>
        <v>mos</v>
      </c>
      <c r="L76" s="115">
        <f t="shared" si="2"/>
        <v>0</v>
      </c>
      <c r="M76" s="92"/>
      <c r="N76" s="73"/>
    </row>
    <row r="77" spans="3:14" ht="21" customHeight="1" x14ac:dyDescent="0.25">
      <c r="C77" s="34"/>
      <c r="D77" s="81"/>
      <c r="E77" s="88" t="str">
        <f>'GRs Detail'!$E75</f>
        <v>Car/Boat Detailing</v>
      </c>
      <c r="F77" s="88"/>
      <c r="G77" s="89"/>
      <c r="H77" s="112"/>
      <c r="I77" s="91">
        <f>'GRs Detail'!$J75</f>
        <v>0</v>
      </c>
      <c r="J77" s="113">
        <f>'GRs Detail'!$H75</f>
        <v>0</v>
      </c>
      <c r="K77" s="114" t="str">
        <f>'GRs Detail'!$I75</f>
        <v>lsum</v>
      </c>
      <c r="L77" s="115">
        <f t="shared" si="2"/>
        <v>0</v>
      </c>
      <c r="M77" s="92"/>
      <c r="N77" s="73"/>
    </row>
    <row r="78" spans="3:14" ht="21" customHeight="1" x14ac:dyDescent="0.25">
      <c r="C78" s="34"/>
      <c r="D78" s="81"/>
      <c r="E78" s="88" t="str">
        <f>'GRs Detail'!$E76</f>
        <v>Clean Adjacent Building</v>
      </c>
      <c r="F78" s="88"/>
      <c r="G78" s="89"/>
      <c r="H78" s="112"/>
      <c r="I78" s="91">
        <f>'GRs Detail'!$J76</f>
        <v>0</v>
      </c>
      <c r="J78" s="113">
        <f>'GRs Detail'!$H76</f>
        <v>0</v>
      </c>
      <c r="K78" s="114" t="str">
        <f>'GRs Detail'!$I76</f>
        <v>lsum</v>
      </c>
      <c r="L78" s="115">
        <f t="shared" si="2"/>
        <v>0</v>
      </c>
      <c r="M78" s="92"/>
      <c r="N78" s="73"/>
    </row>
    <row r="79" spans="3:14" ht="21" customHeight="1" x14ac:dyDescent="0.25">
      <c r="C79" s="34"/>
      <c r="D79" s="81"/>
      <c r="E79" s="88" t="str">
        <f>'GRs Detail'!$E77</f>
        <v>MOT Plan</v>
      </c>
      <c r="F79" s="88"/>
      <c r="G79" s="89"/>
      <c r="H79" s="112"/>
      <c r="I79" s="91">
        <f>'GRs Detail'!$J77</f>
        <v>0</v>
      </c>
      <c r="J79" s="113">
        <f>'GRs Detail'!$H77</f>
        <v>0</v>
      </c>
      <c r="K79" s="114" t="str">
        <f>'GRs Detail'!$I77</f>
        <v>lsum</v>
      </c>
      <c r="L79" s="115">
        <f t="shared" si="2"/>
        <v>0</v>
      </c>
      <c r="M79" s="92"/>
      <c r="N79" s="73"/>
    </row>
    <row r="80" spans="3:14" ht="21" customHeight="1" x14ac:dyDescent="0.25">
      <c r="C80" s="34"/>
      <c r="D80" s="81"/>
      <c r="E80" s="88" t="str">
        <f>'GRs Detail'!$E78</f>
        <v>Miscellaneous Permits</v>
      </c>
      <c r="F80" s="88"/>
      <c r="G80" s="89"/>
      <c r="H80" s="112"/>
      <c r="I80" s="91">
        <f>'GRs Detail'!$J78</f>
        <v>0</v>
      </c>
      <c r="J80" s="113">
        <f>'GRs Detail'!$H78</f>
        <v>0</v>
      </c>
      <c r="K80" s="114" t="str">
        <f>'GRs Detail'!$I78</f>
        <v>lsum</v>
      </c>
      <c r="L80" s="115">
        <f t="shared" si="2"/>
        <v>0</v>
      </c>
      <c r="M80" s="92"/>
      <c r="N80" s="73"/>
    </row>
    <row r="81" spans="3:14" ht="21" customHeight="1" x14ac:dyDescent="0.25">
      <c r="C81" s="34"/>
      <c r="D81" s="81"/>
      <c r="E81" s="88" t="str">
        <f>'GRs Detail'!$E79</f>
        <v>Overtime Inspection Costs</v>
      </c>
      <c r="F81" s="88"/>
      <c r="G81" s="89"/>
      <c r="H81" s="112"/>
      <c r="I81" s="91">
        <f>'GRs Detail'!$J79</f>
        <v>0</v>
      </c>
      <c r="J81" s="113">
        <f>'GRs Detail'!$H79</f>
        <v>0</v>
      </c>
      <c r="K81" s="114" t="str">
        <f>'GRs Detail'!$I79</f>
        <v>lsum</v>
      </c>
      <c r="L81" s="115">
        <f t="shared" si="2"/>
        <v>0</v>
      </c>
      <c r="M81" s="92"/>
      <c r="N81" s="73"/>
    </row>
    <row r="82" spans="3:14" ht="21" customHeight="1" x14ac:dyDescent="0.25">
      <c r="C82" s="34"/>
      <c r="D82" s="81"/>
      <c r="E82" s="88" t="str">
        <f>'GRs Detail'!$E80</f>
        <v>Access Point Turnstiles</v>
      </c>
      <c r="F82" s="88"/>
      <c r="G82" s="89"/>
      <c r="H82" s="112"/>
      <c r="I82" s="91">
        <f>'GRs Detail'!$J80</f>
        <v>0</v>
      </c>
      <c r="J82" s="113">
        <f>'GRs Detail'!$H80</f>
        <v>0</v>
      </c>
      <c r="K82" s="114" t="str">
        <f>'GRs Detail'!$I80</f>
        <v>lsum</v>
      </c>
      <c r="L82" s="115">
        <f t="shared" si="2"/>
        <v>0</v>
      </c>
      <c r="M82" s="92"/>
      <c r="N82" s="73"/>
    </row>
    <row r="83" spans="3:14" ht="21" customHeight="1" x14ac:dyDescent="0.25">
      <c r="C83" s="34"/>
      <c r="D83" s="81"/>
      <c r="E83" s="88" t="str">
        <f>'GRs Detail'!$E81</f>
        <v>Hurricane Preparation</v>
      </c>
      <c r="F83" s="88"/>
      <c r="G83" s="89"/>
      <c r="H83" s="112"/>
      <c r="I83" s="91">
        <f>'GRs Detail'!$J81</f>
        <v>0</v>
      </c>
      <c r="J83" s="113">
        <f>'GRs Detail'!$H81</f>
        <v>0</v>
      </c>
      <c r="K83" s="114" t="str">
        <f>'GRs Detail'!$I81</f>
        <v>lsum</v>
      </c>
      <c r="L83" s="115">
        <f t="shared" si="2"/>
        <v>0</v>
      </c>
      <c r="M83" s="92"/>
      <c r="N83" s="73"/>
    </row>
    <row r="84" spans="3:14" ht="21" customHeight="1" x14ac:dyDescent="0.25">
      <c r="C84" s="34"/>
      <c r="D84" s="81"/>
      <c r="E84" s="88" t="str">
        <f>'GRs Detail'!$E82</f>
        <v>Parking Meter Fees</v>
      </c>
      <c r="F84" s="88"/>
      <c r="G84" s="89"/>
      <c r="H84" s="112"/>
      <c r="I84" s="91">
        <f>'GRs Detail'!$J82</f>
        <v>0</v>
      </c>
      <c r="J84" s="113">
        <f>'GRs Detail'!$H82</f>
        <v>0</v>
      </c>
      <c r="K84" s="114" t="str">
        <f>'GRs Detail'!$I82</f>
        <v>mos</v>
      </c>
      <c r="L84" s="115">
        <f t="shared" si="2"/>
        <v>0</v>
      </c>
      <c r="M84" s="92"/>
      <c r="N84" s="73"/>
    </row>
    <row r="85" spans="3:14" ht="21" customHeight="1" x14ac:dyDescent="0.25">
      <c r="C85" s="34"/>
      <c r="D85" s="81"/>
      <c r="E85" s="88" t="str">
        <f>'GRs Detail'!$E83</f>
        <v>Off Hours Permit</v>
      </c>
      <c r="F85" s="88"/>
      <c r="G85" s="89"/>
      <c r="H85" s="112"/>
      <c r="I85" s="91">
        <f>'GRs Detail'!$J83</f>
        <v>100</v>
      </c>
      <c r="J85" s="113">
        <f>'GRs Detail'!$H83</f>
        <v>0</v>
      </c>
      <c r="K85" s="114" t="str">
        <f>'GRs Detail'!$I83</f>
        <v>lsum</v>
      </c>
      <c r="L85" s="115">
        <f t="shared" si="2"/>
        <v>0</v>
      </c>
      <c r="M85" s="92"/>
      <c r="N85" s="73"/>
    </row>
    <row r="86" spans="3:14" ht="21" customHeight="1" x14ac:dyDescent="0.25">
      <c r="C86" s="34"/>
      <c r="D86" s="81"/>
      <c r="E86" s="552">
        <f>'GRs Detail'!$E84</f>
        <v>0</v>
      </c>
      <c r="F86" s="552"/>
      <c r="G86" s="553"/>
      <c r="H86" s="553"/>
      <c r="I86" s="554">
        <f>'GRs Detail'!$J84</f>
        <v>0</v>
      </c>
      <c r="J86" s="555">
        <f>'GRs Detail'!$H84</f>
        <v>0</v>
      </c>
      <c r="K86" s="556">
        <f>'GRs Detail'!$I84</f>
        <v>0</v>
      </c>
      <c r="L86" s="557">
        <f t="shared" si="2"/>
        <v>0</v>
      </c>
      <c r="M86" s="92"/>
      <c r="N86" s="73"/>
    </row>
    <row r="87" spans="3:14" ht="21" customHeight="1" x14ac:dyDescent="0.25">
      <c r="C87" s="34"/>
      <c r="D87" s="81"/>
      <c r="E87" s="82" t="str">
        <f>'GRs Detail'!$E85</f>
        <v>CONSTRUCTION FENCE</v>
      </c>
      <c r="F87" s="576"/>
      <c r="G87" s="553"/>
      <c r="H87" s="553"/>
      <c r="I87" s="554">
        <f>'GRs Detail'!$J85</f>
        <v>0</v>
      </c>
      <c r="J87" s="555">
        <f>'GRs Detail'!$H85</f>
        <v>0</v>
      </c>
      <c r="K87" s="556">
        <f>'GRs Detail'!$I85</f>
        <v>0</v>
      </c>
      <c r="L87" s="557">
        <f t="shared" si="2"/>
        <v>0</v>
      </c>
      <c r="M87" s="92"/>
      <c r="N87" s="73"/>
    </row>
    <row r="88" spans="3:14" ht="21" customHeight="1" x14ac:dyDescent="0.25">
      <c r="C88" s="34"/>
      <c r="D88" s="81"/>
      <c r="E88" s="88" t="str">
        <f>'GRs Detail'!$E86</f>
        <v>Jersey Barriers</v>
      </c>
      <c r="F88" s="88"/>
      <c r="G88" s="89"/>
      <c r="H88" s="112"/>
      <c r="I88" s="91">
        <f>'GRs Detail'!$J86</f>
        <v>12</v>
      </c>
      <c r="J88" s="113">
        <f>'GRs Detail'!$H86</f>
        <v>0</v>
      </c>
      <c r="K88" s="114" t="str">
        <f>'GRs Detail'!$I86</f>
        <v>lf/month</v>
      </c>
      <c r="L88" s="115">
        <f t="shared" si="2"/>
        <v>0</v>
      </c>
      <c r="M88" s="92"/>
      <c r="N88" s="73"/>
    </row>
    <row r="89" spans="3:14" ht="21" customHeight="1" x14ac:dyDescent="0.25">
      <c r="C89" s="34"/>
      <c r="D89" s="81"/>
      <c r="E89" s="88" t="str">
        <f>'GRs Detail'!$E87</f>
        <v>Fence on top of Jersey Barriers</v>
      </c>
      <c r="F89" s="88"/>
      <c r="G89" s="89"/>
      <c r="H89" s="112"/>
      <c r="I89" s="91">
        <f>'GRs Detail'!$J87</f>
        <v>10</v>
      </c>
      <c r="J89" s="113">
        <f>'GRs Detail'!$H87</f>
        <v>0</v>
      </c>
      <c r="K89" s="114" t="str">
        <f>'GRs Detail'!$I87</f>
        <v>lf</v>
      </c>
      <c r="L89" s="115">
        <f t="shared" si="2"/>
        <v>0</v>
      </c>
      <c r="M89" s="92"/>
      <c r="N89" s="73"/>
    </row>
    <row r="90" spans="3:14" ht="21" customHeight="1" x14ac:dyDescent="0.25">
      <c r="C90" s="34"/>
      <c r="D90" s="81"/>
      <c r="E90" s="88" t="str">
        <f>'GRs Detail'!$E88</f>
        <v>Chain Link Fence</v>
      </c>
      <c r="F90" s="88"/>
      <c r="G90" s="89"/>
      <c r="H90" s="112"/>
      <c r="I90" s="91">
        <f>'GRs Detail'!$J88</f>
        <v>18</v>
      </c>
      <c r="J90" s="113">
        <f>'GRs Detail'!$H88</f>
        <v>0</v>
      </c>
      <c r="K90" s="114" t="str">
        <f>'GRs Detail'!$I88</f>
        <v>lf</v>
      </c>
      <c r="L90" s="115">
        <f t="shared" si="2"/>
        <v>0</v>
      </c>
      <c r="M90" s="92"/>
      <c r="N90" s="73"/>
    </row>
    <row r="91" spans="3:14" ht="21" customHeight="1" x14ac:dyDescent="0.25">
      <c r="C91" s="34"/>
      <c r="D91" s="81"/>
      <c r="E91" s="88" t="str">
        <f>'GRs Detail'!$E89</f>
        <v>Windscreen/Scrim</v>
      </c>
      <c r="F91" s="88"/>
      <c r="G91" s="89"/>
      <c r="H91" s="112"/>
      <c r="I91" s="91">
        <f>'GRs Detail'!$J89</f>
        <v>18</v>
      </c>
      <c r="J91" s="113">
        <f>'GRs Detail'!$H89</f>
        <v>0</v>
      </c>
      <c r="K91" s="114" t="str">
        <f>'GRs Detail'!$I89</f>
        <v>lf</v>
      </c>
      <c r="L91" s="115">
        <f t="shared" si="2"/>
        <v>0</v>
      </c>
      <c r="M91" s="92"/>
      <c r="N91" s="73"/>
    </row>
    <row r="92" spans="3:14" ht="21" customHeight="1" x14ac:dyDescent="0.25">
      <c r="C92" s="34"/>
      <c r="D92" s="81"/>
      <c r="E92" s="88" t="str">
        <f>'GRs Detail'!$E90</f>
        <v>Water Barriers</v>
      </c>
      <c r="F92" s="88"/>
      <c r="G92" s="89"/>
      <c r="H92" s="112"/>
      <c r="I92" s="91">
        <f>'GRs Detail'!$J90</f>
        <v>18</v>
      </c>
      <c r="J92" s="113">
        <f>'GRs Detail'!$H90</f>
        <v>0</v>
      </c>
      <c r="K92" s="114" t="str">
        <f>'GRs Detail'!$I90</f>
        <v>lf</v>
      </c>
      <c r="L92" s="115">
        <f t="shared" si="2"/>
        <v>0</v>
      </c>
      <c r="M92" s="92"/>
      <c r="N92" s="73"/>
    </row>
    <row r="93" spans="3:14" ht="21" customHeight="1" x14ac:dyDescent="0.25">
      <c r="C93" s="34"/>
      <c r="D93" s="81"/>
      <c r="E93" s="88" t="str">
        <f>'GRs Detail'!$E91</f>
        <v>Gates</v>
      </c>
      <c r="F93" s="88"/>
      <c r="G93" s="89"/>
      <c r="H93" s="112"/>
      <c r="I93" s="91">
        <f>'GRs Detail'!$J91</f>
        <v>500</v>
      </c>
      <c r="J93" s="113">
        <f>'GRs Detail'!$H91</f>
        <v>0</v>
      </c>
      <c r="K93" s="114" t="str">
        <f>'GRs Detail'!$I91</f>
        <v>ea</v>
      </c>
      <c r="L93" s="115">
        <f t="shared" si="2"/>
        <v>0</v>
      </c>
      <c r="M93" s="92"/>
      <c r="N93" s="73"/>
    </row>
    <row r="94" spans="3:14" ht="21" customHeight="1" x14ac:dyDescent="0.25">
      <c r="C94" s="34"/>
      <c r="D94" s="81"/>
      <c r="E94" s="88" t="str">
        <f>'GRs Detail'!$E92</f>
        <v>Maintenance &amp; Relocations</v>
      </c>
      <c r="F94" s="88"/>
      <c r="G94" s="89"/>
      <c r="H94" s="112"/>
      <c r="I94" s="91">
        <f>'GRs Detail'!$J92</f>
        <v>0</v>
      </c>
      <c r="J94" s="113">
        <f>'GRs Detail'!$H92</f>
        <v>0</v>
      </c>
      <c r="K94" s="114" t="str">
        <f>'GRs Detail'!$I92</f>
        <v>wks</v>
      </c>
      <c r="L94" s="115">
        <f t="shared" si="2"/>
        <v>0</v>
      </c>
      <c r="M94" s="92"/>
      <c r="N94" s="73"/>
    </row>
    <row r="95" spans="3:14" ht="21" customHeight="1" x14ac:dyDescent="0.25">
      <c r="C95" s="34"/>
      <c r="D95" s="81"/>
      <c r="E95" s="88" t="str">
        <f>'GRs Detail'!$E93</f>
        <v>Fence Removal</v>
      </c>
      <c r="F95" s="88"/>
      <c r="G95" s="89"/>
      <c r="H95" s="112"/>
      <c r="I95" s="91">
        <f>'GRs Detail'!$J93</f>
        <v>0</v>
      </c>
      <c r="J95" s="113">
        <f>'GRs Detail'!$H93</f>
        <v>0</v>
      </c>
      <c r="K95" s="114" t="str">
        <f>'GRs Detail'!$I93</f>
        <v>lf</v>
      </c>
      <c r="L95" s="115">
        <f t="shared" si="2"/>
        <v>0</v>
      </c>
      <c r="M95" s="92"/>
      <c r="N95" s="73"/>
    </row>
    <row r="96" spans="3:14" ht="21" customHeight="1" x14ac:dyDescent="0.25">
      <c r="C96" s="34"/>
      <c r="D96" s="81"/>
      <c r="E96" s="88" t="str">
        <f>'GRs Detail'!$E94</f>
        <v>Laborer to Open &amp; Close Gates</v>
      </c>
      <c r="F96" s="88"/>
      <c r="G96" s="89"/>
      <c r="H96" s="112"/>
      <c r="I96" s="91">
        <f>'GRs Detail'!$J94</f>
        <v>0</v>
      </c>
      <c r="J96" s="113">
        <f>'GRs Detail'!$H94</f>
        <v>0</v>
      </c>
      <c r="K96" s="114" t="str">
        <f>'GRs Detail'!$I94</f>
        <v>ls</v>
      </c>
      <c r="L96" s="115">
        <f t="shared" si="2"/>
        <v>0</v>
      </c>
      <c r="M96" s="92"/>
      <c r="N96" s="73"/>
    </row>
    <row r="97" spans="3:14" ht="21" customHeight="1" x14ac:dyDescent="0.25">
      <c r="C97" s="34"/>
      <c r="D97" s="81"/>
      <c r="E97" s="552">
        <f>'GRs Detail'!$E95</f>
        <v>0</v>
      </c>
      <c r="F97" s="552"/>
      <c r="G97" s="553"/>
      <c r="H97" s="553"/>
      <c r="I97" s="554">
        <f>'GRs Detail'!$J95</f>
        <v>0</v>
      </c>
      <c r="J97" s="555">
        <f>'GRs Detail'!$H95</f>
        <v>0</v>
      </c>
      <c r="K97" s="556">
        <f>'GRs Detail'!$I95</f>
        <v>0</v>
      </c>
      <c r="L97" s="557">
        <f t="shared" si="2"/>
        <v>0</v>
      </c>
      <c r="M97" s="92"/>
      <c r="N97" s="73"/>
    </row>
    <row r="98" spans="3:14" ht="21" customHeight="1" x14ac:dyDescent="0.25">
      <c r="C98" s="34"/>
      <c r="D98" s="81"/>
      <c r="E98" s="82" t="str">
        <f>'GRs Detail'!$E96</f>
        <v>SAFETY SUPPLIES &amp; EQUIPMENT</v>
      </c>
      <c r="F98" s="576"/>
      <c r="G98" s="553"/>
      <c r="H98" s="553"/>
      <c r="I98" s="554">
        <f>'GRs Detail'!$J96</f>
        <v>0</v>
      </c>
      <c r="J98" s="555">
        <f>'GRs Detail'!$H96</f>
        <v>0</v>
      </c>
      <c r="K98" s="556">
        <f>'GRs Detail'!$I96</f>
        <v>0</v>
      </c>
      <c r="L98" s="557">
        <f t="shared" si="2"/>
        <v>0</v>
      </c>
      <c r="M98" s="92"/>
      <c r="N98" s="73"/>
    </row>
    <row r="99" spans="3:14" ht="21" customHeight="1" x14ac:dyDescent="0.25">
      <c r="C99" s="34"/>
      <c r="D99" s="81"/>
      <c r="E99" s="88" t="str">
        <f>'GRs Detail'!$E97</f>
        <v>Temporary Fire Extinguishers &amp; Stands</v>
      </c>
      <c r="F99" s="88"/>
      <c r="G99" s="89"/>
      <c r="H99" s="112"/>
      <c r="I99" s="91">
        <f>'GRs Detail'!$J97</f>
        <v>200</v>
      </c>
      <c r="J99" s="113">
        <f>'GRs Detail'!$H97</f>
        <v>0</v>
      </c>
      <c r="K99" s="114" t="str">
        <f>'GRs Detail'!$I97</f>
        <v>ea</v>
      </c>
      <c r="L99" s="115">
        <f t="shared" si="2"/>
        <v>0</v>
      </c>
      <c r="M99" s="92"/>
      <c r="N99" s="73"/>
    </row>
    <row r="100" spans="3:14" ht="21" customHeight="1" x14ac:dyDescent="0.25">
      <c r="C100" s="34"/>
      <c r="D100" s="81"/>
      <c r="E100" s="88" t="str">
        <f>'GRs Detail'!$E98</f>
        <v>Temporary Signage</v>
      </c>
      <c r="F100" s="88"/>
      <c r="G100" s="89"/>
      <c r="H100" s="112"/>
      <c r="I100" s="91">
        <f>'GRs Detail'!$J98</f>
        <v>0</v>
      </c>
      <c r="J100" s="113">
        <f>'GRs Detail'!$H98</f>
        <v>0</v>
      </c>
      <c r="K100" s="114" t="str">
        <f>'GRs Detail'!$I98</f>
        <v>lsum</v>
      </c>
      <c r="L100" s="115">
        <f t="shared" si="2"/>
        <v>0</v>
      </c>
      <c r="M100" s="92"/>
      <c r="N100" s="73"/>
    </row>
    <row r="101" spans="3:14" ht="21" customHeight="1" x14ac:dyDescent="0.25">
      <c r="C101" s="34"/>
      <c r="D101" s="81"/>
      <c r="E101" s="88" t="str">
        <f>'GRs Detail'!$E99</f>
        <v>First Aid Supplies</v>
      </c>
      <c r="F101" s="88"/>
      <c r="G101" s="89"/>
      <c r="H101" s="112"/>
      <c r="I101" s="91">
        <f>'GRs Detail'!$J99</f>
        <v>0</v>
      </c>
      <c r="J101" s="113">
        <f>'GRs Detail'!$H99</f>
        <v>0</v>
      </c>
      <c r="K101" s="114" t="str">
        <f>'GRs Detail'!$I99</f>
        <v>mos</v>
      </c>
      <c r="L101" s="115">
        <f t="shared" si="2"/>
        <v>0</v>
      </c>
      <c r="M101" s="92"/>
      <c r="N101" s="73"/>
    </row>
    <row r="102" spans="3:14" ht="21" customHeight="1" x14ac:dyDescent="0.25">
      <c r="C102" s="34"/>
      <c r="D102" s="81"/>
      <c r="E102" s="88" t="str">
        <f>'GRs Detail'!$E100</f>
        <v>Shanty Protection - smoke detector &amp; fire extinguisher</v>
      </c>
      <c r="F102" s="88"/>
      <c r="G102" s="89"/>
      <c r="H102" s="112"/>
      <c r="I102" s="91">
        <f>'GRs Detail'!$J100</f>
        <v>200</v>
      </c>
      <c r="J102" s="113">
        <f>'GRs Detail'!$H100</f>
        <v>0</v>
      </c>
      <c r="K102" s="114" t="str">
        <f>'GRs Detail'!$I100</f>
        <v>ea</v>
      </c>
      <c r="L102" s="115">
        <f t="shared" si="2"/>
        <v>0</v>
      </c>
      <c r="M102" s="92"/>
      <c r="N102" s="73"/>
    </row>
    <row r="103" spans="3:14" ht="21" customHeight="1" x14ac:dyDescent="0.25">
      <c r="C103" s="34"/>
      <c r="D103" s="81"/>
      <c r="E103" s="88" t="str">
        <f>'GRs Detail'!$E101</f>
        <v>Shanty Portection - NYC Sprinkler Kit (not required yet - over 40 stories only)</v>
      </c>
      <c r="F103" s="88"/>
      <c r="G103" s="89"/>
      <c r="H103" s="112"/>
      <c r="I103" s="91">
        <f>'GRs Detail'!$J101</f>
        <v>750</v>
      </c>
      <c r="J103" s="113">
        <f>'GRs Detail'!$H101</f>
        <v>0</v>
      </c>
      <c r="K103" s="114" t="str">
        <f>'GRs Detail'!$I101</f>
        <v>ea</v>
      </c>
      <c r="L103" s="115">
        <f t="shared" si="2"/>
        <v>0</v>
      </c>
      <c r="M103" s="92"/>
      <c r="N103" s="73"/>
    </row>
    <row r="104" spans="3:14" ht="21" customHeight="1" x14ac:dyDescent="0.25">
      <c r="C104" s="34"/>
      <c r="D104" s="81"/>
      <c r="E104" s="88" t="str">
        <f>'GRs Detail'!$E102</f>
        <v>BFD Post (signage, gang box, keys, plans, etc. - over 40 stories only)</v>
      </c>
      <c r="F104" s="88"/>
      <c r="G104" s="89"/>
      <c r="H104" s="112"/>
      <c r="I104" s="91">
        <f>'GRs Detail'!$J102</f>
        <v>5000</v>
      </c>
      <c r="J104" s="113">
        <f>'GRs Detail'!$H102</f>
        <v>0</v>
      </c>
      <c r="K104" s="114" t="str">
        <f>'GRs Detail'!$I102</f>
        <v>ea</v>
      </c>
      <c r="L104" s="115">
        <f t="shared" si="2"/>
        <v>0</v>
      </c>
      <c r="M104" s="92"/>
      <c r="N104" s="73"/>
    </row>
    <row r="105" spans="3:14" ht="21" customHeight="1" x14ac:dyDescent="0.25">
      <c r="C105" s="34"/>
      <c r="D105" s="81"/>
      <c r="E105" s="88" t="str">
        <f>'GRs Detail'!$E103</f>
        <v>Creation of Temp. Fire Protection Plan (over 40 stories only)</v>
      </c>
      <c r="F105" s="88"/>
      <c r="G105" s="89"/>
      <c r="H105" s="112"/>
      <c r="I105" s="91">
        <f>'GRs Detail'!$J103</f>
        <v>25000</v>
      </c>
      <c r="J105" s="113">
        <f>'GRs Detail'!$H103</f>
        <v>0</v>
      </c>
      <c r="K105" s="114" t="str">
        <f>'GRs Detail'!$I103</f>
        <v>ea</v>
      </c>
      <c r="L105" s="115">
        <f t="shared" si="2"/>
        <v>0</v>
      </c>
      <c r="M105" s="92"/>
      <c r="N105" s="73"/>
    </row>
    <row r="106" spans="3:14" ht="21" customHeight="1" x14ac:dyDescent="0.25">
      <c r="C106" s="34"/>
      <c r="D106" s="81"/>
      <c r="E106" s="88" t="str">
        <f>'GRs Detail'!$E104</f>
        <v>Misc. Safety Supplies (hard hats, safety glasses, harnesses, etc)</v>
      </c>
      <c r="F106" s="88"/>
      <c r="G106" s="89"/>
      <c r="H106" s="112"/>
      <c r="I106" s="91">
        <f>'GRs Detail'!$J104</f>
        <v>0</v>
      </c>
      <c r="J106" s="113">
        <f>'GRs Detail'!$H104</f>
        <v>0</v>
      </c>
      <c r="K106" s="114" t="str">
        <f>'GRs Detail'!$I104</f>
        <v>mos</v>
      </c>
      <c r="L106" s="115">
        <f t="shared" si="2"/>
        <v>0</v>
      </c>
      <c r="M106" s="92"/>
      <c r="N106" s="73"/>
    </row>
    <row r="107" spans="3:14" ht="21" customHeight="1" x14ac:dyDescent="0.25">
      <c r="C107" s="34"/>
      <c r="D107" s="81"/>
      <c r="E107" s="552">
        <f>'GRs Detail'!$E105</f>
        <v>0</v>
      </c>
      <c r="F107" s="552"/>
      <c r="G107" s="553"/>
      <c r="H107" s="553"/>
      <c r="I107" s="554">
        <f>'GRs Detail'!$J105</f>
        <v>0</v>
      </c>
      <c r="J107" s="555">
        <f>'GRs Detail'!$H105</f>
        <v>0</v>
      </c>
      <c r="K107" s="556">
        <f>'GRs Detail'!$I105</f>
        <v>0</v>
      </c>
      <c r="L107" s="557">
        <f t="shared" ref="L107:L138" si="3">$I107*$J107</f>
        <v>0</v>
      </c>
      <c r="M107" s="92"/>
      <c r="N107" s="73"/>
    </row>
    <row r="108" spans="3:14" ht="21" customHeight="1" x14ac:dyDescent="0.25">
      <c r="C108" s="34"/>
      <c r="D108" s="81"/>
      <c r="E108" s="82" t="str">
        <f>'GRs Detail'!$E107</f>
        <v>SECURITY &amp; WATCHES</v>
      </c>
      <c r="F108" s="576"/>
      <c r="G108" s="553"/>
      <c r="H108" s="553"/>
      <c r="I108" s="554">
        <f>'GRs Detail'!$J107</f>
        <v>0</v>
      </c>
      <c r="J108" s="555">
        <f>'GRs Detail'!$H107</f>
        <v>0</v>
      </c>
      <c r="K108" s="556">
        <f>'GRs Detail'!$I107</f>
        <v>0</v>
      </c>
      <c r="L108" s="557">
        <f t="shared" si="3"/>
        <v>0</v>
      </c>
      <c r="M108" s="92"/>
      <c r="N108" s="73"/>
    </row>
    <row r="109" spans="3:14" ht="21" customHeight="1" x14ac:dyDescent="0.25">
      <c r="C109" s="34"/>
      <c r="D109" s="81"/>
      <c r="E109" s="88" t="str">
        <f>'GRs Detail'!$E108</f>
        <v>Fire Watch</v>
      </c>
      <c r="F109" s="88"/>
      <c r="G109" s="89"/>
      <c r="H109" s="112"/>
      <c r="I109" s="91">
        <f>'GRs Detail'!$J108</f>
        <v>0</v>
      </c>
      <c r="J109" s="113">
        <f>'GRs Detail'!$H108</f>
        <v>0</v>
      </c>
      <c r="K109" s="114" t="str">
        <f>'GRs Detail'!$I108</f>
        <v>lsum</v>
      </c>
      <c r="L109" s="115">
        <f t="shared" si="3"/>
        <v>0</v>
      </c>
      <c r="M109" s="92"/>
      <c r="N109" s="73"/>
    </row>
    <row r="110" spans="3:14" ht="21" customHeight="1" x14ac:dyDescent="0.25">
      <c r="C110" s="34"/>
      <c r="D110" s="81"/>
      <c r="E110" s="88" t="str">
        <f>'GRs Detail'!$E109</f>
        <v>Security</v>
      </c>
      <c r="F110" s="88"/>
      <c r="G110" s="89"/>
      <c r="H110" s="112"/>
      <c r="I110" s="91">
        <f>'GRs Detail'!$J109</f>
        <v>0</v>
      </c>
      <c r="J110" s="113">
        <f>'GRs Detail'!$H109</f>
        <v>0</v>
      </c>
      <c r="K110" s="114" t="str">
        <f>'GRs Detail'!$I109</f>
        <v>hrs</v>
      </c>
      <c r="L110" s="115">
        <f t="shared" si="3"/>
        <v>0</v>
      </c>
      <c r="M110" s="92"/>
      <c r="N110" s="73"/>
    </row>
    <row r="111" spans="3:14" ht="21" customHeight="1" x14ac:dyDescent="0.25">
      <c r="C111" s="34"/>
      <c r="D111" s="81"/>
      <c r="E111" s="552">
        <f>'GRs Detail'!$E110</f>
        <v>0</v>
      </c>
      <c r="F111" s="552"/>
      <c r="G111" s="553"/>
      <c r="H111" s="553"/>
      <c r="I111" s="554">
        <f>'GRs Detail'!$J110</f>
        <v>0</v>
      </c>
      <c r="J111" s="555">
        <f>'GRs Detail'!$H110</f>
        <v>0</v>
      </c>
      <c r="K111" s="556">
        <f>'GRs Detail'!$I110</f>
        <v>0</v>
      </c>
      <c r="L111" s="557">
        <f t="shared" si="3"/>
        <v>0</v>
      </c>
      <c r="M111" s="92"/>
      <c r="N111" s="73"/>
    </row>
    <row r="112" spans="3:14" ht="21" customHeight="1" x14ac:dyDescent="0.25">
      <c r="C112" s="34"/>
      <c r="D112" s="81"/>
      <c r="E112" s="82" t="str">
        <f>'GRs Detail'!$E112</f>
        <v>MISCELLANEOUS CLEANING</v>
      </c>
      <c r="F112" s="576"/>
      <c r="G112" s="553"/>
      <c r="H112" s="553"/>
      <c r="I112" s="554">
        <f>'GRs Detail'!$J112</f>
        <v>0</v>
      </c>
      <c r="J112" s="555">
        <f>'GRs Detail'!$H112</f>
        <v>0</v>
      </c>
      <c r="K112" s="556">
        <f>'GRs Detail'!$I112</f>
        <v>0</v>
      </c>
      <c r="L112" s="557">
        <f t="shared" si="3"/>
        <v>0</v>
      </c>
      <c r="M112" s="92"/>
      <c r="N112" s="73"/>
    </row>
    <row r="113" spans="3:14" ht="21" customHeight="1" x14ac:dyDescent="0.25">
      <c r="C113" s="34"/>
      <c r="D113" s="81"/>
      <c r="E113" s="88" t="str">
        <f>'GRs Detail'!$E113</f>
        <v>Waste Management Plan</v>
      </c>
      <c r="F113" s="88"/>
      <c r="G113" s="89"/>
      <c r="H113" s="112"/>
      <c r="I113" s="91">
        <f>'GRs Detail'!$J113</f>
        <v>2000</v>
      </c>
      <c r="J113" s="113">
        <f>'GRs Detail'!$H113</f>
        <v>0</v>
      </c>
      <c r="K113" s="114" t="str">
        <f>'GRs Detail'!$I113</f>
        <v>lsum</v>
      </c>
      <c r="L113" s="115">
        <f t="shared" si="3"/>
        <v>0</v>
      </c>
      <c r="M113" s="92"/>
      <c r="N113" s="73"/>
    </row>
    <row r="114" spans="3:14" ht="21" customHeight="1" x14ac:dyDescent="0.25">
      <c r="C114" s="34"/>
      <c r="D114" s="81"/>
      <c r="E114" s="88" t="str">
        <f>'GRs Detail'!$E114</f>
        <v>Final Cleaning - Building</v>
      </c>
      <c r="F114" s="88"/>
      <c r="G114" s="89"/>
      <c r="H114" s="112"/>
      <c r="I114" s="91">
        <f>'GRs Detail'!$J114</f>
        <v>0</v>
      </c>
      <c r="J114" s="113">
        <f>'GRs Detail'!$H114</f>
        <v>0</v>
      </c>
      <c r="K114" s="114" t="str">
        <f>'GRs Detail'!$I114</f>
        <v>sf</v>
      </c>
      <c r="L114" s="115">
        <f t="shared" si="3"/>
        <v>0</v>
      </c>
      <c r="M114" s="92"/>
      <c r="N114" s="73"/>
    </row>
    <row r="115" spans="3:14" ht="21" customHeight="1" x14ac:dyDescent="0.25">
      <c r="C115" s="34"/>
      <c r="D115" s="81"/>
      <c r="E115" s="88" t="str">
        <f>'GRs Detail'!$E115</f>
        <v>Final Cleaning - Parking</v>
      </c>
      <c r="F115" s="88"/>
      <c r="G115" s="89"/>
      <c r="H115" s="112"/>
      <c r="I115" s="91">
        <f>'GRs Detail'!$J115</f>
        <v>0</v>
      </c>
      <c r="J115" s="113">
        <f>'GRs Detail'!$H115</f>
        <v>0</v>
      </c>
      <c r="K115" s="114" t="str">
        <f>'GRs Detail'!$I115</f>
        <v>sf</v>
      </c>
      <c r="L115" s="115">
        <f t="shared" si="3"/>
        <v>0</v>
      </c>
      <c r="M115" s="92"/>
      <c r="N115" s="73"/>
    </row>
    <row r="116" spans="3:14" ht="21" customHeight="1" x14ac:dyDescent="0.25">
      <c r="C116" s="34"/>
      <c r="D116" s="81"/>
      <c r="E116" s="88" t="str">
        <f>'GRs Detail'!$E116</f>
        <v>Rubbish Chute</v>
      </c>
      <c r="F116" s="88"/>
      <c r="G116" s="89"/>
      <c r="H116" s="112"/>
      <c r="I116" s="91">
        <f>'GRs Detail'!$J116</f>
        <v>0</v>
      </c>
      <c r="J116" s="113">
        <f>'GRs Detail'!$H116</f>
        <v>0</v>
      </c>
      <c r="K116" s="114" t="str">
        <f>'GRs Detail'!$I116</f>
        <v>floors</v>
      </c>
      <c r="L116" s="115">
        <f t="shared" si="3"/>
        <v>0</v>
      </c>
      <c r="M116" s="92"/>
      <c r="N116" s="73"/>
    </row>
    <row r="117" spans="3:14" ht="21" customHeight="1" x14ac:dyDescent="0.25">
      <c r="C117" s="34"/>
      <c r="D117" s="81"/>
      <c r="E117" s="552">
        <f>'GRs Detail'!$E117</f>
        <v>0</v>
      </c>
      <c r="F117" s="552"/>
      <c r="G117" s="553"/>
      <c r="H117" s="553"/>
      <c r="I117" s="554">
        <f>'GRs Detail'!$J117</f>
        <v>0</v>
      </c>
      <c r="J117" s="555">
        <f>'GRs Detail'!$H117</f>
        <v>0</v>
      </c>
      <c r="K117" s="556">
        <f>'GRs Detail'!$I117</f>
        <v>0</v>
      </c>
      <c r="L117" s="557">
        <f t="shared" si="3"/>
        <v>0</v>
      </c>
      <c r="M117" s="92"/>
      <c r="N117" s="73"/>
    </row>
    <row r="118" spans="3:14" ht="21" customHeight="1" x14ac:dyDescent="0.25">
      <c r="C118" s="34"/>
      <c r="D118" s="81"/>
      <c r="E118" s="82" t="str">
        <f>'GRs Detail'!$E119</f>
        <v>DUMPSTERS</v>
      </c>
      <c r="F118" s="576"/>
      <c r="G118" s="553"/>
      <c r="H118" s="553"/>
      <c r="I118" s="554">
        <f>'GRs Detail'!$J119</f>
        <v>0</v>
      </c>
      <c r="J118" s="555">
        <f>'GRs Detail'!$H119</f>
        <v>0</v>
      </c>
      <c r="K118" s="556">
        <f>'GRs Detail'!$I119</f>
        <v>0</v>
      </c>
      <c r="L118" s="557">
        <f t="shared" si="3"/>
        <v>0</v>
      </c>
      <c r="M118" s="92"/>
      <c r="N118" s="73"/>
    </row>
    <row r="119" spans="3:14" ht="21" customHeight="1" x14ac:dyDescent="0.25">
      <c r="C119" s="34"/>
      <c r="D119" s="81"/>
      <c r="E119" s="88" t="str">
        <f>'GRs Detail'!$E120</f>
        <v>Dumpsters</v>
      </c>
      <c r="F119" s="88"/>
      <c r="G119" s="89"/>
      <c r="H119" s="112"/>
      <c r="I119" s="91">
        <f>'GRs Detail'!$J120</f>
        <v>0</v>
      </c>
      <c r="J119" s="113">
        <f>'GRs Detail'!$H120</f>
        <v>0</v>
      </c>
      <c r="K119" s="114" t="str">
        <f>'GRs Detail'!$I120</f>
        <v>loads</v>
      </c>
      <c r="L119" s="115">
        <f t="shared" si="3"/>
        <v>0</v>
      </c>
      <c r="M119" s="92"/>
      <c r="N119" s="73"/>
    </row>
    <row r="120" spans="3:14" ht="21" customHeight="1" x14ac:dyDescent="0.25">
      <c r="C120" s="34"/>
      <c r="D120" s="81"/>
      <c r="E120" s="88" t="str">
        <f>'GRs Detail'!$E121</f>
        <v>Overweight Pulls (10% of total # of loads)</v>
      </c>
      <c r="F120" s="88"/>
      <c r="G120" s="89"/>
      <c r="H120" s="112"/>
      <c r="I120" s="91">
        <f>'GRs Detail'!$J121</f>
        <v>0</v>
      </c>
      <c r="J120" s="113">
        <f>'GRs Detail'!$H121</f>
        <v>0</v>
      </c>
      <c r="K120" s="114" t="str">
        <f>'GRs Detail'!$I121</f>
        <v>loads</v>
      </c>
      <c r="L120" s="115">
        <f t="shared" si="3"/>
        <v>0</v>
      </c>
      <c r="M120" s="92"/>
      <c r="N120" s="73"/>
    </row>
    <row r="121" spans="3:14" ht="21" customHeight="1" x14ac:dyDescent="0.25">
      <c r="C121" s="34"/>
      <c r="D121" s="81"/>
      <c r="E121" s="552">
        <f>'GRs Detail'!$E122</f>
        <v>0</v>
      </c>
      <c r="F121" s="552"/>
      <c r="G121" s="553"/>
      <c r="H121" s="553"/>
      <c r="I121" s="554">
        <f>'GRs Detail'!$J122</f>
        <v>0</v>
      </c>
      <c r="J121" s="555">
        <f>'GRs Detail'!$H122</f>
        <v>0</v>
      </c>
      <c r="K121" s="556">
        <f>'GRs Detail'!$I122</f>
        <v>0</v>
      </c>
      <c r="L121" s="557">
        <f t="shared" si="3"/>
        <v>0</v>
      </c>
      <c r="M121" s="92"/>
      <c r="N121" s="73"/>
    </row>
    <row r="122" spans="3:14" ht="21" customHeight="1" x14ac:dyDescent="0.25">
      <c r="C122" s="34"/>
      <c r="D122" s="81"/>
      <c r="E122" s="82" t="str">
        <f>'GRs Detail'!$E124</f>
        <v>PERSONNEL &amp; MATERIAL HOISTING</v>
      </c>
      <c r="F122" s="576"/>
      <c r="G122" s="553"/>
      <c r="H122" s="553"/>
      <c r="I122" s="554">
        <f>'GRs Detail'!$J124</f>
        <v>0</v>
      </c>
      <c r="J122" s="555">
        <f>'GRs Detail'!$H124</f>
        <v>0</v>
      </c>
      <c r="K122" s="556">
        <f>'GRs Detail'!$I124</f>
        <v>0</v>
      </c>
      <c r="L122" s="557">
        <f t="shared" si="3"/>
        <v>0</v>
      </c>
      <c r="M122" s="92"/>
      <c r="N122" s="73"/>
    </row>
    <row r="123" spans="3:14" ht="21" customHeight="1" x14ac:dyDescent="0.25">
      <c r="C123" s="34"/>
      <c r="D123" s="81"/>
      <c r="E123" s="88" t="str">
        <f>'GRs Detail'!$E125</f>
        <v>Mobilize, Erect &amp; Dismantle</v>
      </c>
      <c r="F123" s="88"/>
      <c r="G123" s="89"/>
      <c r="H123" s="112"/>
      <c r="I123" s="91">
        <f>'GRs Detail'!$J125</f>
        <v>0</v>
      </c>
      <c r="J123" s="113">
        <f>'GRs Detail'!$H125</f>
        <v>0</v>
      </c>
      <c r="K123" s="114" t="str">
        <f>'GRs Detail'!$I125</f>
        <v>lsum</v>
      </c>
      <c r="L123" s="115">
        <f t="shared" si="3"/>
        <v>0</v>
      </c>
      <c r="M123" s="92"/>
      <c r="N123" s="73"/>
    </row>
    <row r="124" spans="3:14" ht="21" customHeight="1" x14ac:dyDescent="0.25">
      <c r="C124" s="34"/>
      <c r="D124" s="81"/>
      <c r="E124" s="88" t="str">
        <f>'GRs Detail'!$E126</f>
        <v>Police Details, Cranes, Permits during E &amp; D</v>
      </c>
      <c r="F124" s="88"/>
      <c r="G124" s="89"/>
      <c r="H124" s="112"/>
      <c r="I124" s="91">
        <f>'GRs Detail'!$J126</f>
        <v>0</v>
      </c>
      <c r="J124" s="113">
        <f>'GRs Detail'!$H126</f>
        <v>0</v>
      </c>
      <c r="K124" s="114" t="str">
        <f>'GRs Detail'!$I126</f>
        <v>lsum</v>
      </c>
      <c r="L124" s="115">
        <f t="shared" si="3"/>
        <v>0</v>
      </c>
      <c r="M124" s="92"/>
      <c r="N124" s="73"/>
    </row>
    <row r="125" spans="3:14" ht="21" customHeight="1" x14ac:dyDescent="0.25">
      <c r="C125" s="34"/>
      <c r="D125" s="81"/>
      <c r="E125" s="88" t="str">
        <f>'GRs Detail'!$E127</f>
        <v>Operating Engineers during E &amp; D</v>
      </c>
      <c r="F125" s="88"/>
      <c r="G125" s="89"/>
      <c r="H125" s="112"/>
      <c r="I125" s="91">
        <f>'GRs Detail'!$J127</f>
        <v>0</v>
      </c>
      <c r="J125" s="113">
        <f>'GRs Detail'!$H127</f>
        <v>0</v>
      </c>
      <c r="K125" s="114" t="str">
        <f>'GRs Detail'!$I127</f>
        <v>lsum</v>
      </c>
      <c r="L125" s="115">
        <f t="shared" si="3"/>
        <v>0</v>
      </c>
      <c r="M125" s="92"/>
      <c r="N125" s="73"/>
    </row>
    <row r="126" spans="3:14" ht="21" customHeight="1" x14ac:dyDescent="0.25">
      <c r="C126" s="34"/>
      <c r="D126" s="81"/>
      <c r="E126" s="88" t="str">
        <f>'GRs Detail'!$E128</f>
        <v>Hoist Rental (Single Car)</v>
      </c>
      <c r="F126" s="88"/>
      <c r="G126" s="89"/>
      <c r="H126" s="112"/>
      <c r="I126" s="91">
        <f>'GRs Detail'!$J128</f>
        <v>0</v>
      </c>
      <c r="J126" s="113">
        <f>'GRs Detail'!$H128</f>
        <v>0</v>
      </c>
      <c r="K126" s="114" t="str">
        <f>'GRs Detail'!$I128</f>
        <v>mos</v>
      </c>
      <c r="L126" s="115">
        <f t="shared" si="3"/>
        <v>0</v>
      </c>
      <c r="M126" s="92"/>
      <c r="N126" s="73"/>
    </row>
    <row r="127" spans="3:14" ht="21" customHeight="1" x14ac:dyDescent="0.25">
      <c r="C127" s="34"/>
      <c r="D127" s="81"/>
      <c r="E127" s="88" t="str">
        <f>'GRs Detail'!$E129</f>
        <v>Hoist Rental (Double Car)</v>
      </c>
      <c r="F127" s="88"/>
      <c r="G127" s="89"/>
      <c r="H127" s="112"/>
      <c r="I127" s="91">
        <f>'GRs Detail'!$J129</f>
        <v>0</v>
      </c>
      <c r="J127" s="113">
        <f>'GRs Detail'!$H129</f>
        <v>0</v>
      </c>
      <c r="K127" s="114" t="str">
        <f>'GRs Detail'!$I129</f>
        <v>mos</v>
      </c>
      <c r="L127" s="115">
        <f t="shared" si="3"/>
        <v>0</v>
      </c>
      <c r="M127" s="92"/>
      <c r="N127" s="73"/>
    </row>
    <row r="128" spans="3:14" ht="21" customHeight="1" x14ac:dyDescent="0.25">
      <c r="C128" s="34"/>
      <c r="D128" s="81"/>
      <c r="E128" s="88" t="str">
        <f>'GRs Detail'!$E130</f>
        <v>Gate Rental</v>
      </c>
      <c r="F128" s="88"/>
      <c r="G128" s="89"/>
      <c r="H128" s="112"/>
      <c r="I128" s="91">
        <f>'GRs Detail'!$J130</f>
        <v>0</v>
      </c>
      <c r="J128" s="113">
        <f>'GRs Detail'!$H130</f>
        <v>0</v>
      </c>
      <c r="K128" s="114" t="str">
        <f>'GRs Detail'!$I130</f>
        <v>mos</v>
      </c>
      <c r="L128" s="115">
        <f t="shared" si="3"/>
        <v>0</v>
      </c>
      <c r="M128" s="92"/>
      <c r="N128" s="73"/>
    </row>
    <row r="129" spans="3:14" ht="21" customHeight="1" x14ac:dyDescent="0.25">
      <c r="C129" s="34"/>
      <c r="D129" s="81"/>
      <c r="E129" s="88" t="str">
        <f>'GRs Detail'!$E131</f>
        <v>Gate Installation</v>
      </c>
      <c r="F129" s="88"/>
      <c r="G129" s="89"/>
      <c r="H129" s="112"/>
      <c r="I129" s="91">
        <f>'GRs Detail'!$J131</f>
        <v>0</v>
      </c>
      <c r="J129" s="113">
        <f>'GRs Detail'!$H131</f>
        <v>0</v>
      </c>
      <c r="K129" s="114" t="str">
        <f>'GRs Detail'!$I131</f>
        <v>lsum</v>
      </c>
      <c r="L129" s="115">
        <f t="shared" si="3"/>
        <v>0</v>
      </c>
      <c r="M129" s="92"/>
      <c r="N129" s="73"/>
    </row>
    <row r="130" spans="3:14" ht="21" customHeight="1" x14ac:dyDescent="0.25">
      <c r="C130" s="34"/>
      <c r="D130" s="81"/>
      <c r="E130" s="88" t="str">
        <f>'GRs Detail'!$E132</f>
        <v>Hoist Rental Insurance</v>
      </c>
      <c r="F130" s="88"/>
      <c r="G130" s="89"/>
      <c r="H130" s="112"/>
      <c r="I130" s="91">
        <f>'GRs Detail'!$J132</f>
        <v>0</v>
      </c>
      <c r="J130" s="113">
        <f>'GRs Detail'!$H132</f>
        <v>0</v>
      </c>
      <c r="K130" s="114" t="str">
        <f>'GRs Detail'!$I132</f>
        <v>lsum</v>
      </c>
      <c r="L130" s="115">
        <f t="shared" si="3"/>
        <v>0</v>
      </c>
      <c r="M130" s="92"/>
      <c r="N130" s="73"/>
    </row>
    <row r="131" spans="3:14" ht="21" customHeight="1" x14ac:dyDescent="0.25">
      <c r="C131" s="34"/>
      <c r="D131" s="81"/>
      <c r="E131" s="88" t="str">
        <f>'GRs Detail'!$E133</f>
        <v>Communication Boxes</v>
      </c>
      <c r="F131" s="88"/>
      <c r="G131" s="89"/>
      <c r="H131" s="112"/>
      <c r="I131" s="91">
        <f>'GRs Detail'!$J133</f>
        <v>0</v>
      </c>
      <c r="J131" s="113">
        <f>'GRs Detail'!$H133</f>
        <v>0</v>
      </c>
      <c r="K131" s="114" t="str">
        <f>'GRs Detail'!$I133</f>
        <v>mos</v>
      </c>
      <c r="L131" s="115">
        <f t="shared" si="3"/>
        <v>0</v>
      </c>
      <c r="M131" s="92"/>
      <c r="N131" s="73"/>
    </row>
    <row r="132" spans="3:14" ht="21" customHeight="1" x14ac:dyDescent="0.25">
      <c r="C132" s="34"/>
      <c r="D132" s="81"/>
      <c r="E132" s="88" t="str">
        <f>'GRs Detail'!$E134</f>
        <v>Jumps</v>
      </c>
      <c r="F132" s="88"/>
      <c r="G132" s="89"/>
      <c r="H132" s="112"/>
      <c r="I132" s="91">
        <f>'GRs Detail'!$J134</f>
        <v>0</v>
      </c>
      <c r="J132" s="113">
        <f>'GRs Detail'!$H134</f>
        <v>0</v>
      </c>
      <c r="K132" s="114" t="str">
        <f>'GRs Detail'!$I134</f>
        <v>ea</v>
      </c>
      <c r="L132" s="115">
        <f t="shared" si="3"/>
        <v>0</v>
      </c>
      <c r="M132" s="92"/>
      <c r="N132" s="73"/>
    </row>
    <row r="133" spans="3:14" ht="21" customHeight="1" x14ac:dyDescent="0.25">
      <c r="C133" s="34"/>
      <c r="D133" s="81"/>
      <c r="E133" s="88" t="str">
        <f>'GRs Detail'!$E135</f>
        <v>Sales Tax</v>
      </c>
      <c r="F133" s="88"/>
      <c r="G133" s="89"/>
      <c r="H133" s="112"/>
      <c r="I133" s="91">
        <f>'GRs Detail'!$J135</f>
        <v>0</v>
      </c>
      <c r="J133" s="113">
        <f>'GRs Detail'!$H135</f>
        <v>0</v>
      </c>
      <c r="K133" s="114" t="str">
        <f>'GRs Detail'!$I135</f>
        <v>ea</v>
      </c>
      <c r="L133" s="115">
        <f t="shared" si="3"/>
        <v>0</v>
      </c>
      <c r="M133" s="92"/>
      <c r="N133" s="73"/>
    </row>
    <row r="134" spans="3:14" ht="21" customHeight="1" x14ac:dyDescent="0.25">
      <c r="C134" s="34"/>
      <c r="D134" s="81"/>
      <c r="E134" s="88" t="str">
        <f>'GRs Detail'!$E136</f>
        <v>Operator Car #1 (Regular Time)</v>
      </c>
      <c r="F134" s="88"/>
      <c r="G134" s="89"/>
      <c r="H134" s="112"/>
      <c r="I134" s="91">
        <f>'GRs Detail'!$J136</f>
        <v>0</v>
      </c>
      <c r="J134" s="113">
        <f>'GRs Detail'!$H136</f>
        <v>0</v>
      </c>
      <c r="K134" s="114" t="str">
        <f>'GRs Detail'!$I136</f>
        <v>wks</v>
      </c>
      <c r="L134" s="115">
        <f t="shared" si="3"/>
        <v>0</v>
      </c>
      <c r="M134" s="92"/>
      <c r="N134" s="73"/>
    </row>
    <row r="135" spans="3:14" ht="21" customHeight="1" x14ac:dyDescent="0.25">
      <c r="C135" s="34"/>
      <c r="D135" s="81"/>
      <c r="E135" s="88" t="str">
        <f>'GRs Detail'!$E137</f>
        <v>Operator Car #2 (Regular Time)</v>
      </c>
      <c r="F135" s="88"/>
      <c r="G135" s="89"/>
      <c r="H135" s="112"/>
      <c r="I135" s="91">
        <f>'GRs Detail'!$J137</f>
        <v>0</v>
      </c>
      <c r="J135" s="113">
        <f>'GRs Detail'!$H137</f>
        <v>0</v>
      </c>
      <c r="K135" s="114" t="str">
        <f>'GRs Detail'!$I137</f>
        <v>wks</v>
      </c>
      <c r="L135" s="115">
        <f t="shared" si="3"/>
        <v>0</v>
      </c>
      <c r="M135" s="92"/>
      <c r="N135" s="73"/>
    </row>
    <row r="136" spans="3:14" ht="21" customHeight="1" x14ac:dyDescent="0.25">
      <c r="C136" s="34"/>
      <c r="D136" s="81"/>
      <c r="E136" s="88" t="str">
        <f>'GRs Detail'!$E138</f>
        <v>Operator Car #1 (Overtime)</v>
      </c>
      <c r="F136" s="88"/>
      <c r="G136" s="89"/>
      <c r="H136" s="112"/>
      <c r="I136" s="91">
        <f>'GRs Detail'!$J138</f>
        <v>0</v>
      </c>
      <c r="J136" s="113">
        <f>'GRs Detail'!$H138</f>
        <v>0</v>
      </c>
      <c r="K136" s="114" t="str">
        <f>'GRs Detail'!$I138</f>
        <v>wks</v>
      </c>
      <c r="L136" s="115">
        <f t="shared" si="3"/>
        <v>0</v>
      </c>
      <c r="M136" s="92"/>
      <c r="N136" s="73"/>
    </row>
    <row r="137" spans="3:14" ht="21" customHeight="1" x14ac:dyDescent="0.25">
      <c r="C137" s="34"/>
      <c r="D137" s="81"/>
      <c r="E137" s="88" t="str">
        <f>'GRs Detail'!$E139</f>
        <v>Operator Car #2 (Overtime)</v>
      </c>
      <c r="F137" s="88"/>
      <c r="G137" s="89"/>
      <c r="H137" s="112"/>
      <c r="I137" s="91">
        <f>'GRs Detail'!$J139</f>
        <v>0</v>
      </c>
      <c r="J137" s="113">
        <f>'GRs Detail'!$H139</f>
        <v>0</v>
      </c>
      <c r="K137" s="114" t="str">
        <f>'GRs Detail'!$I139</f>
        <v>wks</v>
      </c>
      <c r="L137" s="115">
        <f t="shared" si="3"/>
        <v>0</v>
      </c>
      <c r="M137" s="92"/>
      <c r="N137" s="73"/>
    </row>
    <row r="138" spans="3:14" ht="21" customHeight="1" x14ac:dyDescent="0.25">
      <c r="C138" s="34"/>
      <c r="D138" s="81"/>
      <c r="E138" s="88" t="str">
        <f>'GRs Detail'!$E140</f>
        <v>Temporary Interior Elevator Operator (Regular Time)</v>
      </c>
      <c r="F138" s="88"/>
      <c r="G138" s="89"/>
      <c r="H138" s="112"/>
      <c r="I138" s="91">
        <f>'GRs Detail'!$J140</f>
        <v>0</v>
      </c>
      <c r="J138" s="113">
        <f>'GRs Detail'!$H140</f>
        <v>0</v>
      </c>
      <c r="K138" s="114" t="str">
        <f>'GRs Detail'!$I140</f>
        <v>wks</v>
      </c>
      <c r="L138" s="115">
        <f t="shared" si="3"/>
        <v>0</v>
      </c>
      <c r="M138" s="92"/>
      <c r="N138" s="73"/>
    </row>
    <row r="139" spans="3:14" ht="21" customHeight="1" x14ac:dyDescent="0.25">
      <c r="C139" s="34"/>
      <c r="D139" s="81"/>
      <c r="E139" s="88" t="str">
        <f>'GRs Detail'!$E141</f>
        <v>Temporary Interior Elevator Operator (Overtime)</v>
      </c>
      <c r="F139" s="88"/>
      <c r="G139" s="89"/>
      <c r="H139" s="112"/>
      <c r="I139" s="91">
        <f>'GRs Detail'!$J141</f>
        <v>0</v>
      </c>
      <c r="J139" s="113">
        <f>'GRs Detail'!$H141</f>
        <v>0</v>
      </c>
      <c r="K139" s="114" t="str">
        <f>'GRs Detail'!$I141</f>
        <v>wks</v>
      </c>
      <c r="L139" s="115">
        <f t="shared" ref="L139:L170" si="4">$I139*$J139</f>
        <v>0</v>
      </c>
      <c r="M139" s="92"/>
      <c r="N139" s="73"/>
    </row>
    <row r="140" spans="3:14" ht="21" customHeight="1" x14ac:dyDescent="0.25">
      <c r="C140" s="34"/>
      <c r="D140" s="81"/>
      <c r="E140" s="88" t="str">
        <f>'GRs Detail'!$E142</f>
        <v>Overtime Equipment Hours</v>
      </c>
      <c r="F140" s="88"/>
      <c r="G140" s="89"/>
      <c r="H140" s="112"/>
      <c r="I140" s="91">
        <f>'GRs Detail'!$J142</f>
        <v>0</v>
      </c>
      <c r="J140" s="113">
        <f>'GRs Detail'!$H142</f>
        <v>0</v>
      </c>
      <c r="K140" s="114" t="str">
        <f>'GRs Detail'!$I142</f>
        <v>lsum</v>
      </c>
      <c r="L140" s="115">
        <f t="shared" si="4"/>
        <v>0</v>
      </c>
      <c r="M140" s="92"/>
      <c r="N140" s="73"/>
    </row>
    <row r="141" spans="3:14" ht="21" customHeight="1" x14ac:dyDescent="0.25">
      <c r="C141" s="34"/>
      <c r="D141" s="81"/>
      <c r="E141" s="88" t="str">
        <f>'GRs Detail'!$E143</f>
        <v>Elevator Maintenance</v>
      </c>
      <c r="F141" s="88"/>
      <c r="G141" s="89"/>
      <c r="H141" s="112"/>
      <c r="I141" s="91">
        <f>'GRs Detail'!$J143</f>
        <v>0</v>
      </c>
      <c r="J141" s="113">
        <f>'GRs Detail'!$H143</f>
        <v>0</v>
      </c>
      <c r="K141" s="114" t="str">
        <f>'GRs Detail'!$I143</f>
        <v>mos</v>
      </c>
      <c r="L141" s="115">
        <f t="shared" si="4"/>
        <v>0</v>
      </c>
      <c r="M141" s="92"/>
      <c r="N141" s="73"/>
    </row>
    <row r="142" spans="3:14" ht="21" customHeight="1" x14ac:dyDescent="0.25">
      <c r="C142" s="34"/>
      <c r="D142" s="81"/>
      <c r="E142" s="88" t="str">
        <f>'GRs Detail'!$E144</f>
        <v>Elevator Repairs</v>
      </c>
      <c r="F142" s="88"/>
      <c r="G142" s="89"/>
      <c r="H142" s="112"/>
      <c r="I142" s="91">
        <f>'GRs Detail'!$J144</f>
        <v>0</v>
      </c>
      <c r="J142" s="113">
        <f>'GRs Detail'!$H144</f>
        <v>0</v>
      </c>
      <c r="K142" s="114" t="str">
        <f>'GRs Detail'!$I144</f>
        <v>lsum</v>
      </c>
      <c r="L142" s="115">
        <f t="shared" si="4"/>
        <v>0</v>
      </c>
      <c r="M142" s="92"/>
      <c r="N142" s="73"/>
    </row>
    <row r="143" spans="3:14" ht="21" customHeight="1" x14ac:dyDescent="0.25">
      <c r="C143" s="34"/>
      <c r="D143" s="81"/>
      <c r="E143" s="88" t="str">
        <f>'GRs Detail'!$E145</f>
        <v>Drop Tests</v>
      </c>
      <c r="F143" s="88"/>
      <c r="G143" s="89"/>
      <c r="H143" s="112"/>
      <c r="I143" s="91">
        <f>'GRs Detail'!$J145</f>
        <v>0</v>
      </c>
      <c r="J143" s="113">
        <f>'GRs Detail'!$H145</f>
        <v>0</v>
      </c>
      <c r="K143" s="114" t="str">
        <f>'GRs Detail'!$I145</f>
        <v>lsum</v>
      </c>
      <c r="L143" s="115">
        <f t="shared" si="4"/>
        <v>0</v>
      </c>
      <c r="M143" s="92"/>
      <c r="N143" s="73"/>
    </row>
    <row r="144" spans="3:14" ht="21" customHeight="1" x14ac:dyDescent="0.25">
      <c r="C144" s="34"/>
      <c r="D144" s="81"/>
      <c r="E144" s="88" t="str">
        <f>'GRs Detail'!$E146</f>
        <v>SCCI Costs:</v>
      </c>
      <c r="F144" s="88"/>
      <c r="G144" s="89"/>
      <c r="H144" s="112"/>
      <c r="I144" s="91">
        <f>'GRs Detail'!$J146</f>
        <v>0</v>
      </c>
      <c r="J144" s="113">
        <f>'GRs Detail'!$H146</f>
        <v>0</v>
      </c>
      <c r="K144" s="114">
        <f>'GRs Detail'!$I146</f>
        <v>0</v>
      </c>
      <c r="L144" s="115">
        <f t="shared" si="4"/>
        <v>0</v>
      </c>
      <c r="M144" s="92"/>
      <c r="N144" s="73"/>
    </row>
    <row r="145" spans="3:14" ht="21" customHeight="1" x14ac:dyDescent="0.25">
      <c r="C145" s="34"/>
      <c r="D145" s="81"/>
      <c r="E145" s="88" t="str">
        <f>'GRs Detail'!$E147</f>
        <v>Fence Enclosures</v>
      </c>
      <c r="F145" s="88"/>
      <c r="G145" s="89"/>
      <c r="H145" s="112"/>
      <c r="I145" s="91">
        <f>'GRs Detail'!$J147</f>
        <v>0</v>
      </c>
      <c r="J145" s="113">
        <f>'GRs Detail'!$H147</f>
        <v>0</v>
      </c>
      <c r="K145" s="114" t="str">
        <f>'GRs Detail'!$I147</f>
        <v>ea</v>
      </c>
      <c r="L145" s="115">
        <f t="shared" si="4"/>
        <v>0</v>
      </c>
      <c r="M145" s="92"/>
      <c r="N145" s="73"/>
    </row>
    <row r="146" spans="3:14" ht="21" customHeight="1" x14ac:dyDescent="0.25">
      <c r="C146" s="34"/>
      <c r="D146" s="81"/>
      <c r="E146" s="88" t="str">
        <f>'GRs Detail'!$E148</f>
        <v>Concrete Pad</v>
      </c>
      <c r="F146" s="88"/>
      <c r="G146" s="89"/>
      <c r="H146" s="112"/>
      <c r="I146" s="91">
        <f>'GRs Detail'!$J148</f>
        <v>0</v>
      </c>
      <c r="J146" s="113">
        <f>'GRs Detail'!$H148</f>
        <v>0</v>
      </c>
      <c r="K146" s="114" t="str">
        <f>'GRs Detail'!$I148</f>
        <v>ea</v>
      </c>
      <c r="L146" s="115">
        <f t="shared" si="4"/>
        <v>0</v>
      </c>
      <c r="M146" s="92"/>
      <c r="N146" s="73"/>
    </row>
    <row r="147" spans="3:14" ht="21" customHeight="1" x14ac:dyDescent="0.25">
      <c r="C147" s="34"/>
      <c r="D147" s="81"/>
      <c r="E147" s="88" t="str">
        <f>'GRs Detail'!$E149</f>
        <v>Reinforce Existing Structure @ Tie-Ins</v>
      </c>
      <c r="F147" s="88"/>
      <c r="G147" s="89"/>
      <c r="H147" s="112"/>
      <c r="I147" s="91">
        <f>'GRs Detail'!$J149</f>
        <v>0</v>
      </c>
      <c r="J147" s="113">
        <f>'GRs Detail'!$H149</f>
        <v>0</v>
      </c>
      <c r="K147" s="114" t="str">
        <f>'GRs Detail'!$I149</f>
        <v>ea</v>
      </c>
      <c r="L147" s="115">
        <f t="shared" si="4"/>
        <v>0</v>
      </c>
      <c r="M147" s="92"/>
      <c r="N147" s="73"/>
    </row>
    <row r="148" spans="3:14" ht="21" customHeight="1" x14ac:dyDescent="0.25">
      <c r="C148" s="34"/>
      <c r="D148" s="81"/>
      <c r="E148" s="88" t="str">
        <f>'GRs Detail'!$E150</f>
        <v>Loading Docks/Ramps/Overhead Prot.</v>
      </c>
      <c r="F148" s="88"/>
      <c r="G148" s="89"/>
      <c r="H148" s="112"/>
      <c r="I148" s="91">
        <f>'GRs Detail'!$J150</f>
        <v>0</v>
      </c>
      <c r="J148" s="113">
        <f>'GRs Detail'!$H150</f>
        <v>0</v>
      </c>
      <c r="K148" s="114" t="str">
        <f>'GRs Detail'!$I150</f>
        <v>ea</v>
      </c>
      <c r="L148" s="115">
        <f t="shared" si="4"/>
        <v>0</v>
      </c>
      <c r="M148" s="92"/>
      <c r="N148" s="73"/>
    </row>
    <row r="149" spans="3:14" ht="21" customHeight="1" x14ac:dyDescent="0.25">
      <c r="C149" s="34"/>
      <c r="D149" s="81"/>
      <c r="E149" s="88" t="str">
        <f>'GRs Detail'!$E151</f>
        <v>Cab Protection</v>
      </c>
      <c r="F149" s="88"/>
      <c r="G149" s="89"/>
      <c r="H149" s="112"/>
      <c r="I149" s="91">
        <f>'GRs Detail'!$J151</f>
        <v>0</v>
      </c>
      <c r="J149" s="113">
        <f>'GRs Detail'!$H151</f>
        <v>0</v>
      </c>
      <c r="K149" s="114" t="str">
        <f>'GRs Detail'!$I151</f>
        <v>lsum</v>
      </c>
      <c r="L149" s="115">
        <f t="shared" si="4"/>
        <v>0</v>
      </c>
      <c r="M149" s="92"/>
      <c r="N149" s="73"/>
    </row>
    <row r="150" spans="3:14" ht="21" customHeight="1" x14ac:dyDescent="0.25">
      <c r="C150" s="34"/>
      <c r="D150" s="81"/>
      <c r="E150" s="88" t="str">
        <f>'GRs Detail'!$E152</f>
        <v>Plywood Partitions @ Gates</v>
      </c>
      <c r="F150" s="88"/>
      <c r="G150" s="89"/>
      <c r="H150" s="112"/>
      <c r="I150" s="91">
        <f>'GRs Detail'!$J152</f>
        <v>0</v>
      </c>
      <c r="J150" s="113">
        <f>'GRs Detail'!$H152</f>
        <v>0</v>
      </c>
      <c r="K150" s="114" t="str">
        <f>'GRs Detail'!$I152</f>
        <v>ea</v>
      </c>
      <c r="L150" s="115">
        <f t="shared" si="4"/>
        <v>0</v>
      </c>
      <c r="M150" s="92"/>
      <c r="N150" s="73"/>
    </row>
    <row r="151" spans="3:14" ht="21" customHeight="1" x14ac:dyDescent="0.25">
      <c r="C151" s="34"/>
      <c r="D151" s="81"/>
      <c r="E151" s="88" t="str">
        <f>'GRs Detail'!$E153</f>
        <v>Temporary Power Consumption</v>
      </c>
      <c r="F151" s="88"/>
      <c r="G151" s="89"/>
      <c r="H151" s="112"/>
      <c r="I151" s="91">
        <f>'GRs Detail'!$J153</f>
        <v>0</v>
      </c>
      <c r="J151" s="113">
        <f>'GRs Detail'!$H153</f>
        <v>0</v>
      </c>
      <c r="K151" s="114" t="str">
        <f>'GRs Detail'!$I153</f>
        <v>ea</v>
      </c>
      <c r="L151" s="115">
        <f t="shared" si="4"/>
        <v>0</v>
      </c>
      <c r="M151" s="92"/>
      <c r="N151" s="73"/>
    </row>
    <row r="152" spans="3:14" ht="21" customHeight="1" x14ac:dyDescent="0.25">
      <c r="C152" s="34"/>
      <c r="D152" s="81"/>
      <c r="E152" s="88" t="str">
        <f>'GRs Detail'!$E154</f>
        <v>Temporary Power Service</v>
      </c>
      <c r="F152" s="88"/>
      <c r="G152" s="89"/>
      <c r="H152" s="112"/>
      <c r="I152" s="91">
        <f>'GRs Detail'!$J154</f>
        <v>0</v>
      </c>
      <c r="J152" s="113">
        <f>'GRs Detail'!$H154</f>
        <v>0</v>
      </c>
      <c r="K152" s="114" t="str">
        <f>'GRs Detail'!$I154</f>
        <v>mos</v>
      </c>
      <c r="L152" s="115">
        <f t="shared" si="4"/>
        <v>0</v>
      </c>
      <c r="M152" s="92"/>
      <c r="N152" s="73"/>
    </row>
    <row r="153" spans="3:14" ht="21" customHeight="1" x14ac:dyDescent="0.25">
      <c r="C153" s="34"/>
      <c r="D153" s="81"/>
      <c r="E153" s="88" t="str">
        <f>'GRs Detail'!$E155</f>
        <v>Threshold Rentals</v>
      </c>
      <c r="F153" s="88"/>
      <c r="G153" s="89"/>
      <c r="H153" s="112"/>
      <c r="I153" s="91">
        <f>'GRs Detail'!$J155</f>
        <v>0</v>
      </c>
      <c r="J153" s="113">
        <f>'GRs Detail'!$H155</f>
        <v>0</v>
      </c>
      <c r="K153" s="114" t="str">
        <f>'GRs Detail'!$I155</f>
        <v>mos</v>
      </c>
      <c r="L153" s="115">
        <f t="shared" si="4"/>
        <v>0</v>
      </c>
      <c r="M153" s="92"/>
      <c r="N153" s="73"/>
    </row>
    <row r="154" spans="3:14" ht="21" customHeight="1" x14ac:dyDescent="0.25">
      <c r="C154" s="34"/>
      <c r="D154" s="81"/>
      <c r="E154" s="88" t="str">
        <f>'GRs Detail'!$E156</f>
        <v>Assist Crane</v>
      </c>
      <c r="F154" s="88"/>
      <c r="G154" s="89"/>
      <c r="H154" s="112"/>
      <c r="I154" s="91">
        <f>'GRs Detail'!$J156</f>
        <v>0</v>
      </c>
      <c r="J154" s="113">
        <f>'GRs Detail'!$H156</f>
        <v>0</v>
      </c>
      <c r="K154" s="114" t="str">
        <f>'GRs Detail'!$I156</f>
        <v>mos</v>
      </c>
      <c r="L154" s="115">
        <f t="shared" si="4"/>
        <v>0</v>
      </c>
      <c r="M154" s="92"/>
      <c r="N154" s="73"/>
    </row>
    <row r="155" spans="3:14" ht="21" customHeight="1" x14ac:dyDescent="0.25">
      <c r="C155" s="34"/>
      <c r="D155" s="81"/>
      <c r="E155" s="88" t="str">
        <f>'GRs Detail'!$E157</f>
        <v>3rd Party Certification</v>
      </c>
      <c r="F155" s="88"/>
      <c r="G155" s="89"/>
      <c r="H155" s="112"/>
      <c r="I155" s="91">
        <f>'GRs Detail'!$J157</f>
        <v>0</v>
      </c>
      <c r="J155" s="113">
        <f>'GRs Detail'!$H157</f>
        <v>0</v>
      </c>
      <c r="K155" s="114" t="str">
        <f>'GRs Detail'!$I157</f>
        <v>mos</v>
      </c>
      <c r="L155" s="115">
        <f t="shared" si="4"/>
        <v>0</v>
      </c>
      <c r="M155" s="92"/>
      <c r="N155" s="73"/>
    </row>
    <row r="156" spans="3:14" ht="21" customHeight="1" x14ac:dyDescent="0.25">
      <c r="C156" s="34"/>
      <c r="D156" s="81"/>
      <c r="E156" s="552">
        <f>'GRs Detail'!$E158</f>
        <v>0</v>
      </c>
      <c r="F156" s="552"/>
      <c r="G156" s="553"/>
      <c r="H156" s="553"/>
      <c r="I156" s="554">
        <f>'GRs Detail'!$J158</f>
        <v>0</v>
      </c>
      <c r="J156" s="555">
        <f>'GRs Detail'!$H158</f>
        <v>0</v>
      </c>
      <c r="K156" s="556">
        <f>'GRs Detail'!$I158</f>
        <v>0</v>
      </c>
      <c r="L156" s="557">
        <f t="shared" si="4"/>
        <v>0</v>
      </c>
      <c r="M156" s="92"/>
      <c r="N156" s="73"/>
    </row>
    <row r="157" spans="3:14" ht="21" customHeight="1" x14ac:dyDescent="0.25">
      <c r="C157" s="34"/>
      <c r="D157" s="81"/>
      <c r="E157" s="82" t="str">
        <f>'GRs Detail'!$E160</f>
        <v>WINTER CONDITIONS / TEMPORARY HEAT</v>
      </c>
      <c r="F157" s="576"/>
      <c r="G157" s="553"/>
      <c r="H157" s="553"/>
      <c r="I157" s="554">
        <f>'GRs Detail'!$J160</f>
        <v>0</v>
      </c>
      <c r="J157" s="555">
        <f>'GRs Detail'!$H160</f>
        <v>0</v>
      </c>
      <c r="K157" s="556">
        <f>'GRs Detail'!$I160</f>
        <v>0</v>
      </c>
      <c r="L157" s="557">
        <f t="shared" si="4"/>
        <v>0</v>
      </c>
      <c r="M157" s="92"/>
      <c r="N157" s="73"/>
    </row>
    <row r="158" spans="3:14" ht="21" customHeight="1" x14ac:dyDescent="0.25">
      <c r="C158" s="34"/>
      <c r="D158" s="81"/>
      <c r="E158" s="88" t="str">
        <f>'GRs Detail'!$E161</f>
        <v>Snow Removal from Building</v>
      </c>
      <c r="F158" s="88"/>
      <c r="G158" s="89"/>
      <c r="H158" s="112"/>
      <c r="I158" s="91">
        <f>'GRs Detail'!$J161</f>
        <v>0</v>
      </c>
      <c r="J158" s="113">
        <f>'GRs Detail'!$H161</f>
        <v>0</v>
      </c>
      <c r="K158" s="114" t="str">
        <f>'GRs Detail'!$I161</f>
        <v>lsum</v>
      </c>
      <c r="L158" s="115">
        <f t="shared" si="4"/>
        <v>0</v>
      </c>
      <c r="M158" s="92"/>
      <c r="N158" s="73"/>
    </row>
    <row r="159" spans="3:14" ht="21" customHeight="1" x14ac:dyDescent="0.25">
      <c r="C159" s="34"/>
      <c r="D159" s="81"/>
      <c r="E159" s="88" t="str">
        <f>'GRs Detail'!$E162</f>
        <v>Snow Removal from Site</v>
      </c>
      <c r="F159" s="88"/>
      <c r="G159" s="89"/>
      <c r="H159" s="112"/>
      <c r="I159" s="91">
        <f>'GRs Detail'!$J162</f>
        <v>0</v>
      </c>
      <c r="J159" s="113">
        <f>'GRs Detail'!$H162</f>
        <v>0</v>
      </c>
      <c r="K159" s="114" t="str">
        <f>'GRs Detail'!$I162</f>
        <v>lsum</v>
      </c>
      <c r="L159" s="115">
        <f t="shared" si="4"/>
        <v>0</v>
      </c>
      <c r="M159" s="92"/>
      <c r="N159" s="73"/>
    </row>
    <row r="160" spans="3:14" ht="21" customHeight="1" x14ac:dyDescent="0.25">
      <c r="C160" s="34"/>
      <c r="D160" s="81"/>
      <c r="E160" s="88" t="str">
        <f>'GRs Detail'!$E163</f>
        <v>Temporary Construction</v>
      </c>
      <c r="F160" s="88"/>
      <c r="G160" s="89"/>
      <c r="H160" s="112"/>
      <c r="I160" s="91">
        <f>'GRs Detail'!$J163</f>
        <v>0</v>
      </c>
      <c r="J160" s="113">
        <f>'GRs Detail'!$H163</f>
        <v>0</v>
      </c>
      <c r="K160" s="114" t="str">
        <f>'GRs Detail'!$I163</f>
        <v>lsum</v>
      </c>
      <c r="L160" s="115">
        <f t="shared" si="4"/>
        <v>0</v>
      </c>
      <c r="M160" s="92"/>
      <c r="N160" s="73"/>
    </row>
    <row r="161" spans="3:14" ht="21" customHeight="1" x14ac:dyDescent="0.25">
      <c r="C161" s="34"/>
      <c r="D161" s="81"/>
      <c r="E161" s="88" t="str">
        <f>'GRs Detail'!$E164</f>
        <v>Miscellaneous Heat &amp; Tarps</v>
      </c>
      <c r="F161" s="88"/>
      <c r="G161" s="89"/>
      <c r="H161" s="112"/>
      <c r="I161" s="91">
        <f>'GRs Detail'!$J164</f>
        <v>0</v>
      </c>
      <c r="J161" s="113">
        <f>'GRs Detail'!$H164</f>
        <v>0</v>
      </c>
      <c r="K161" s="114" t="str">
        <f>'GRs Detail'!$I164</f>
        <v>mos</v>
      </c>
      <c r="L161" s="115">
        <f t="shared" si="4"/>
        <v>0</v>
      </c>
      <c r="M161" s="92"/>
      <c r="N161" s="73"/>
    </row>
    <row r="162" spans="3:14" ht="21" customHeight="1" x14ac:dyDescent="0.25">
      <c r="C162" s="34"/>
      <c r="D162" s="81"/>
      <c r="E162" s="88" t="str">
        <f>'GRs Detail'!$E165</f>
        <v>Portable Heaters</v>
      </c>
      <c r="F162" s="88"/>
      <c r="G162" s="89"/>
      <c r="H162" s="112"/>
      <c r="I162" s="91">
        <f>'GRs Detail'!$J165</f>
        <v>0</v>
      </c>
      <c r="J162" s="113">
        <f>'GRs Detail'!$H165</f>
        <v>0</v>
      </c>
      <c r="K162" s="114" t="str">
        <f>'GRs Detail'!$I165</f>
        <v>mos</v>
      </c>
      <c r="L162" s="115">
        <f t="shared" si="4"/>
        <v>0</v>
      </c>
      <c r="M162" s="92"/>
      <c r="N162" s="73"/>
    </row>
    <row r="163" spans="3:14" ht="21" customHeight="1" x14ac:dyDescent="0.25">
      <c r="C163" s="34"/>
      <c r="D163" s="81"/>
      <c r="E163" s="88" t="str">
        <f>'GRs Detail'!$E166</f>
        <v>Babfar Rental/Install</v>
      </c>
      <c r="F163" s="88"/>
      <c r="G163" s="89"/>
      <c r="H163" s="112"/>
      <c r="I163" s="91">
        <f>'GRs Detail'!$J166</f>
        <v>0</v>
      </c>
      <c r="J163" s="113">
        <f>'GRs Detail'!$H166</f>
        <v>0</v>
      </c>
      <c r="K163" s="114" t="str">
        <f>'GRs Detail'!$I166</f>
        <v>mos</v>
      </c>
      <c r="L163" s="115">
        <f t="shared" si="4"/>
        <v>0</v>
      </c>
      <c r="M163" s="92"/>
      <c r="N163" s="73"/>
    </row>
    <row r="164" spans="3:14" ht="21" customHeight="1" x14ac:dyDescent="0.25">
      <c r="C164" s="34"/>
      <c r="D164" s="81"/>
      <c r="E164" s="88" t="str">
        <f>'GRs Detail'!$E167</f>
        <v>Temp. Ductwork</v>
      </c>
      <c r="F164" s="88"/>
      <c r="G164" s="89"/>
      <c r="H164" s="112"/>
      <c r="I164" s="91">
        <f>'GRs Detail'!$J167</f>
        <v>0</v>
      </c>
      <c r="J164" s="113">
        <f>'GRs Detail'!$H167</f>
        <v>0</v>
      </c>
      <c r="K164" s="114" t="str">
        <f>'GRs Detail'!$I167</f>
        <v>lsum</v>
      </c>
      <c r="L164" s="115">
        <f t="shared" si="4"/>
        <v>0</v>
      </c>
      <c r="M164" s="92"/>
      <c r="N164" s="73"/>
    </row>
    <row r="165" spans="3:14" ht="21" customHeight="1" x14ac:dyDescent="0.25">
      <c r="C165" s="34"/>
      <c r="D165" s="81"/>
      <c r="E165" s="88" t="str">
        <f>'GRs Detail'!$E168</f>
        <v>Use/cln perm.system</v>
      </c>
      <c r="F165" s="88"/>
      <c r="G165" s="89"/>
      <c r="H165" s="112"/>
      <c r="I165" s="91">
        <f>'GRs Detail'!$J168</f>
        <v>0</v>
      </c>
      <c r="J165" s="113">
        <f>'GRs Detail'!$H168</f>
        <v>0</v>
      </c>
      <c r="K165" s="114" t="str">
        <f>'GRs Detail'!$I168</f>
        <v>mos</v>
      </c>
      <c r="L165" s="115">
        <f t="shared" si="4"/>
        <v>0</v>
      </c>
      <c r="M165" s="92"/>
      <c r="N165" s="73"/>
    </row>
    <row r="166" spans="3:14" ht="21" customHeight="1" x14ac:dyDescent="0.25">
      <c r="C166" s="34"/>
      <c r="D166" s="81"/>
      <c r="E166" s="88" t="str">
        <f>'GRs Detail'!$E169</f>
        <v>Labor</v>
      </c>
      <c r="F166" s="88"/>
      <c r="G166" s="89"/>
      <c r="H166" s="112"/>
      <c r="I166" s="91">
        <f ca="1">'GRs Detail'!$J169</f>
        <v>0</v>
      </c>
      <c r="J166" s="113">
        <f>'GRs Detail'!$H169</f>
        <v>0</v>
      </c>
      <c r="K166" s="114" t="str">
        <f>'GRs Detail'!$I169</f>
        <v>lsum</v>
      </c>
      <c r="L166" s="115">
        <f t="shared" ca="1" si="4"/>
        <v>0</v>
      </c>
      <c r="M166" s="92"/>
      <c r="N166" s="73"/>
    </row>
    <row r="167" spans="3:14" ht="21" customHeight="1" x14ac:dyDescent="0.25">
      <c r="C167" s="34"/>
      <c r="D167" s="81"/>
      <c r="E167" s="88" t="str">
        <f>'GRs Detail'!$E170</f>
        <v>Fuel</v>
      </c>
      <c r="F167" s="88"/>
      <c r="G167" s="89"/>
      <c r="H167" s="112"/>
      <c r="I167" s="91">
        <f>'GRs Detail'!$J170</f>
        <v>0</v>
      </c>
      <c r="J167" s="113">
        <f>'GRs Detail'!$H170</f>
        <v>0</v>
      </c>
      <c r="K167" s="114" t="str">
        <f>'GRs Detail'!$I170</f>
        <v>wks</v>
      </c>
      <c r="L167" s="115">
        <f t="shared" si="4"/>
        <v>0</v>
      </c>
      <c r="M167" s="92"/>
      <c r="N167" s="73"/>
    </row>
    <row r="168" spans="3:14" ht="21" customHeight="1" x14ac:dyDescent="0.25">
      <c r="C168" s="34"/>
      <c r="D168" s="81"/>
      <c r="E168" s="552">
        <f>'GRs Detail'!$E171</f>
        <v>0</v>
      </c>
      <c r="F168" s="552"/>
      <c r="G168" s="553"/>
      <c r="H168" s="553"/>
      <c r="I168" s="554">
        <f>'GRs Detail'!$J171</f>
        <v>0</v>
      </c>
      <c r="J168" s="555">
        <f>'GRs Detail'!$H171</f>
        <v>0</v>
      </c>
      <c r="K168" s="556">
        <f>'GRs Detail'!$I171</f>
        <v>0</v>
      </c>
      <c r="L168" s="557">
        <f t="shared" si="4"/>
        <v>0</v>
      </c>
      <c r="M168" s="92"/>
      <c r="N168" s="73"/>
    </row>
    <row r="169" spans="3:14" ht="21" customHeight="1" x14ac:dyDescent="0.25">
      <c r="C169" s="34"/>
      <c r="D169" s="81"/>
      <c r="E169" s="82" t="str">
        <f>'GRs Detail'!$E173</f>
        <v>STAGING &amp; SCAFFOLDING</v>
      </c>
      <c r="F169" s="576"/>
      <c r="G169" s="553"/>
      <c r="H169" s="553"/>
      <c r="I169" s="554">
        <f>'GRs Detail'!$J173</f>
        <v>0</v>
      </c>
      <c r="J169" s="555">
        <f>'GRs Detail'!$H173</f>
        <v>0</v>
      </c>
      <c r="K169" s="556">
        <f>'GRs Detail'!$I173</f>
        <v>0</v>
      </c>
      <c r="L169" s="557">
        <f t="shared" si="4"/>
        <v>0</v>
      </c>
      <c r="M169" s="92"/>
      <c r="N169" s="73"/>
    </row>
    <row r="170" spans="3:14" ht="21" customHeight="1" x14ac:dyDescent="0.25">
      <c r="C170" s="34"/>
      <c r="D170" s="81"/>
      <c r="E170" s="88" t="str">
        <f>'GRs Detail'!$E174</f>
        <v>Exterior Scaffolding first months rental &amp; dismantle</v>
      </c>
      <c r="F170" s="88"/>
      <c r="G170" s="89"/>
      <c r="H170" s="112"/>
      <c r="I170" s="91">
        <f>'GRs Detail'!$J174</f>
        <v>0</v>
      </c>
      <c r="J170" s="113">
        <f>'GRs Detail'!$H174</f>
        <v>0</v>
      </c>
      <c r="K170" s="114" t="str">
        <f>'GRs Detail'!$I174</f>
        <v>ea</v>
      </c>
      <c r="L170" s="115">
        <f t="shared" si="4"/>
        <v>0</v>
      </c>
      <c r="M170" s="92"/>
      <c r="N170" s="73"/>
    </row>
    <row r="171" spans="3:14" ht="21" customHeight="1" x14ac:dyDescent="0.25">
      <c r="C171" s="34"/>
      <c r="D171" s="81"/>
      <c r="E171" s="88" t="str">
        <f>'GRs Detail'!$E175</f>
        <v>Exterior Scaffolding monthly rental</v>
      </c>
      <c r="F171" s="88"/>
      <c r="G171" s="89"/>
      <c r="H171" s="112"/>
      <c r="I171" s="91">
        <f>'GRs Detail'!$J175</f>
        <v>0</v>
      </c>
      <c r="J171" s="113">
        <f>'GRs Detail'!$H175</f>
        <v>0</v>
      </c>
      <c r="K171" s="114" t="str">
        <f>'GRs Detail'!$I175</f>
        <v>mos</v>
      </c>
      <c r="L171" s="115">
        <f t="shared" ref="L171:L192" si="5">$I171*$J171</f>
        <v>0</v>
      </c>
      <c r="M171" s="92"/>
      <c r="N171" s="73"/>
    </row>
    <row r="172" spans="3:14" ht="21" customHeight="1" x14ac:dyDescent="0.25">
      <c r="C172" s="34"/>
      <c r="D172" s="81"/>
      <c r="E172" s="88" t="str">
        <f>'GRs Detail'!$E176</f>
        <v>Exterior Scaffolding move planks</v>
      </c>
      <c r="F172" s="88"/>
      <c r="G172" s="89"/>
      <c r="H172" s="112"/>
      <c r="I172" s="91">
        <f>'GRs Detail'!$J176</f>
        <v>0</v>
      </c>
      <c r="J172" s="113">
        <f>'GRs Detail'!$H176</f>
        <v>0</v>
      </c>
      <c r="K172" s="114" t="str">
        <f>'GRs Detail'!$I176</f>
        <v>days</v>
      </c>
      <c r="L172" s="115">
        <f t="shared" si="5"/>
        <v>0</v>
      </c>
      <c r="M172" s="92"/>
      <c r="N172" s="73"/>
    </row>
    <row r="173" spans="3:14" ht="21" customHeight="1" x14ac:dyDescent="0.25">
      <c r="C173" s="34"/>
      <c r="D173" s="81"/>
      <c r="E173" s="88" t="str">
        <f>'GRs Detail'!$E177</f>
        <v>Interior Scaffolding first months rental &amp; dismantle</v>
      </c>
      <c r="F173" s="88"/>
      <c r="G173" s="89"/>
      <c r="H173" s="112"/>
      <c r="I173" s="91">
        <f>'GRs Detail'!$J177</f>
        <v>0</v>
      </c>
      <c r="J173" s="113">
        <f>'GRs Detail'!$H177</f>
        <v>0</v>
      </c>
      <c r="K173" s="114" t="str">
        <f>'GRs Detail'!$I177</f>
        <v>ea</v>
      </c>
      <c r="L173" s="115">
        <f t="shared" si="5"/>
        <v>0</v>
      </c>
      <c r="M173" s="92"/>
      <c r="N173" s="73"/>
    </row>
    <row r="174" spans="3:14" ht="21" customHeight="1" x14ac:dyDescent="0.25">
      <c r="C174" s="34"/>
      <c r="D174" s="81"/>
      <c r="E174" s="88" t="str">
        <f>'GRs Detail'!$E178</f>
        <v>Interior Scaffolding monthly rental</v>
      </c>
      <c r="F174" s="88"/>
      <c r="G174" s="89"/>
      <c r="H174" s="112"/>
      <c r="I174" s="91">
        <f>'GRs Detail'!$J178</f>
        <v>0</v>
      </c>
      <c r="J174" s="113">
        <f>'GRs Detail'!$H178</f>
        <v>0</v>
      </c>
      <c r="K174" s="114" t="str">
        <f>'GRs Detail'!$I178</f>
        <v>mos</v>
      </c>
      <c r="L174" s="115">
        <f t="shared" si="5"/>
        <v>0</v>
      </c>
      <c r="M174" s="92"/>
      <c r="N174" s="73"/>
    </row>
    <row r="175" spans="3:14" ht="21" customHeight="1" x14ac:dyDescent="0.25">
      <c r="C175" s="34"/>
      <c r="D175" s="81"/>
      <c r="E175" s="88" t="str">
        <f>'GRs Detail'!$E179</f>
        <v>Interior Scaffolding move planks</v>
      </c>
      <c r="F175" s="88"/>
      <c r="G175" s="89"/>
      <c r="H175" s="112"/>
      <c r="I175" s="91">
        <f>'GRs Detail'!$J179</f>
        <v>0</v>
      </c>
      <c r="J175" s="113">
        <f>'GRs Detail'!$H179</f>
        <v>0</v>
      </c>
      <c r="K175" s="114" t="str">
        <f>'GRs Detail'!$I179</f>
        <v>days</v>
      </c>
      <c r="L175" s="115">
        <f t="shared" si="5"/>
        <v>0</v>
      </c>
      <c r="M175" s="92"/>
      <c r="N175" s="73"/>
    </row>
    <row r="176" spans="3:14" ht="21" customHeight="1" x14ac:dyDescent="0.25">
      <c r="C176" s="34"/>
      <c r="D176" s="81"/>
      <c r="E176" s="552">
        <f>'GRs Detail'!$E180</f>
        <v>0</v>
      </c>
      <c r="F176" s="552"/>
      <c r="G176" s="553"/>
      <c r="H176" s="553"/>
      <c r="I176" s="554">
        <f>'GRs Detail'!$J180</f>
        <v>0</v>
      </c>
      <c r="J176" s="555">
        <f>'GRs Detail'!$H180</f>
        <v>0</v>
      </c>
      <c r="K176" s="556">
        <f>'GRs Detail'!$I180</f>
        <v>0</v>
      </c>
      <c r="L176" s="557">
        <f t="shared" si="5"/>
        <v>0</v>
      </c>
      <c r="M176" s="92"/>
      <c r="N176" s="73"/>
    </row>
    <row r="177" spans="3:14" ht="21" customHeight="1" x14ac:dyDescent="0.25">
      <c r="C177" s="34"/>
      <c r="D177" s="81"/>
      <c r="E177" s="82" t="str">
        <f>'GRs Detail'!$E182</f>
        <v>TESTING &amp; INSPECTIONS</v>
      </c>
      <c r="F177" s="576"/>
      <c r="G177" s="553"/>
      <c r="H177" s="553"/>
      <c r="I177" s="554">
        <f>'GRs Detail'!$J182</f>
        <v>0</v>
      </c>
      <c r="J177" s="555">
        <f>'GRs Detail'!$H182</f>
        <v>0</v>
      </c>
      <c r="K177" s="556">
        <f>'GRs Detail'!$I182</f>
        <v>0</v>
      </c>
      <c r="L177" s="557">
        <f t="shared" si="5"/>
        <v>0</v>
      </c>
      <c r="M177" s="92"/>
      <c r="N177" s="73"/>
    </row>
    <row r="178" spans="3:14" ht="21" customHeight="1" x14ac:dyDescent="0.25">
      <c r="C178" s="34"/>
      <c r="D178" s="81"/>
      <c r="E178" s="88" t="str">
        <f>'GRs Detail'!$E183</f>
        <v>Soils</v>
      </c>
      <c r="F178" s="88"/>
      <c r="G178" s="89"/>
      <c r="H178" s="112"/>
      <c r="I178" s="91">
        <f>'GRs Detail'!$J183</f>
        <v>0</v>
      </c>
      <c r="J178" s="113">
        <f>'GRs Detail'!$H183</f>
        <v>0</v>
      </c>
      <c r="K178" s="114" t="str">
        <f>'GRs Detail'!$I183</f>
        <v>ea</v>
      </c>
      <c r="L178" s="115">
        <f t="shared" si="5"/>
        <v>0</v>
      </c>
      <c r="M178" s="92"/>
      <c r="N178" s="73"/>
    </row>
    <row r="179" spans="3:14" ht="21" customHeight="1" x14ac:dyDescent="0.25">
      <c r="C179" s="34"/>
      <c r="D179" s="81"/>
      <c r="E179" s="88" t="str">
        <f>'GRs Detail'!$E184</f>
        <v>Concrete</v>
      </c>
      <c r="F179" s="88"/>
      <c r="G179" s="89"/>
      <c r="H179" s="112"/>
      <c r="I179" s="91">
        <f>'GRs Detail'!$J184</f>
        <v>0</v>
      </c>
      <c r="J179" s="113">
        <f>'GRs Detail'!$H184</f>
        <v>0</v>
      </c>
      <c r="K179" s="114" t="str">
        <f>'GRs Detail'!$I184</f>
        <v>ea</v>
      </c>
      <c r="L179" s="115">
        <f t="shared" si="5"/>
        <v>0</v>
      </c>
      <c r="M179" s="92"/>
      <c r="N179" s="73"/>
    </row>
    <row r="180" spans="3:14" ht="21" customHeight="1" x14ac:dyDescent="0.25">
      <c r="C180" s="34"/>
      <c r="D180" s="81"/>
      <c r="E180" s="88" t="str">
        <f>'GRs Detail'!$E185</f>
        <v>Steel</v>
      </c>
      <c r="F180" s="88"/>
      <c r="G180" s="89"/>
      <c r="H180" s="112"/>
      <c r="I180" s="91">
        <f>'GRs Detail'!$J185</f>
        <v>0</v>
      </c>
      <c r="J180" s="113">
        <f>'GRs Detail'!$H185</f>
        <v>0</v>
      </c>
      <c r="K180" s="114" t="str">
        <f>'GRs Detail'!$I185</f>
        <v>ea</v>
      </c>
      <c r="L180" s="115">
        <f t="shared" si="5"/>
        <v>0</v>
      </c>
      <c r="M180" s="92"/>
      <c r="N180" s="73"/>
    </row>
    <row r="181" spans="3:14" ht="21" customHeight="1" x14ac:dyDescent="0.25">
      <c r="C181" s="34"/>
      <c r="D181" s="81"/>
      <c r="E181" s="88" t="str">
        <f>'GRs Detail'!$E186</f>
        <v>Spray Fireproofing</v>
      </c>
      <c r="F181" s="88"/>
      <c r="G181" s="89"/>
      <c r="H181" s="112"/>
      <c r="I181" s="91">
        <f>'GRs Detail'!$J186</f>
        <v>0</v>
      </c>
      <c r="J181" s="113">
        <f>'GRs Detail'!$H186</f>
        <v>0</v>
      </c>
      <c r="K181" s="114" t="str">
        <f>'GRs Detail'!$I186</f>
        <v>ea</v>
      </c>
      <c r="L181" s="115">
        <f t="shared" si="5"/>
        <v>0</v>
      </c>
      <c r="M181" s="92"/>
      <c r="N181" s="73"/>
    </row>
    <row r="182" spans="3:14" ht="21" customHeight="1" x14ac:dyDescent="0.25">
      <c r="C182" s="34"/>
      <c r="D182" s="81"/>
      <c r="E182" s="88" t="str">
        <f>'GRs Detail'!$E187</f>
        <v>Curtainwall &amp; Windows</v>
      </c>
      <c r="F182" s="88"/>
      <c r="G182" s="89"/>
      <c r="H182" s="112"/>
      <c r="I182" s="91">
        <f>'GRs Detail'!$J187</f>
        <v>0</v>
      </c>
      <c r="J182" s="113">
        <f>'GRs Detail'!$H187</f>
        <v>0</v>
      </c>
      <c r="K182" s="114" t="str">
        <f>'GRs Detail'!$I187</f>
        <v>ea</v>
      </c>
      <c r="L182" s="115">
        <f t="shared" si="5"/>
        <v>0</v>
      </c>
      <c r="M182" s="92"/>
      <c r="N182" s="73"/>
    </row>
    <row r="183" spans="3:14" ht="21" customHeight="1" x14ac:dyDescent="0.25">
      <c r="C183" s="34"/>
      <c r="D183" s="81"/>
      <c r="E183" s="552">
        <f>'GRs Detail'!$E188</f>
        <v>0</v>
      </c>
      <c r="F183" s="552"/>
      <c r="G183" s="553"/>
      <c r="H183" s="553"/>
      <c r="I183" s="554">
        <f>'GRs Detail'!$J188</f>
        <v>0</v>
      </c>
      <c r="J183" s="555">
        <f>'GRs Detail'!$H188</f>
        <v>0</v>
      </c>
      <c r="K183" s="556">
        <f>'GRs Detail'!$I188</f>
        <v>0</v>
      </c>
      <c r="L183" s="557">
        <f t="shared" si="5"/>
        <v>0</v>
      </c>
      <c r="M183" s="92"/>
      <c r="N183" s="73"/>
    </row>
    <row r="184" spans="3:14" ht="21" customHeight="1" x14ac:dyDescent="0.25">
      <c r="C184" s="34"/>
      <c r="D184" s="81"/>
      <c r="E184" s="82" t="str">
        <f>'GRs Detail'!$E190</f>
        <v>LABOR ITEMS</v>
      </c>
      <c r="F184" s="576"/>
      <c r="G184" s="553"/>
      <c r="H184" s="553"/>
      <c r="I184" s="554">
        <f>'GRs Detail'!$J190</f>
        <v>0</v>
      </c>
      <c r="J184" s="555">
        <f>'GRs Detail'!$H190</f>
        <v>0</v>
      </c>
      <c r="K184" s="556">
        <f>'GRs Detail'!$I190</f>
        <v>0</v>
      </c>
      <c r="L184" s="557">
        <f t="shared" si="5"/>
        <v>0</v>
      </c>
      <c r="M184" s="92"/>
      <c r="N184" s="73"/>
    </row>
    <row r="185" spans="3:14" ht="21" customHeight="1" x14ac:dyDescent="0.25">
      <c r="C185" s="34"/>
      <c r="D185" s="81"/>
      <c r="E185" s="88" t="str">
        <f>'GRs Detail'!$E191</f>
        <v>Clean-Up Labor</v>
      </c>
      <c r="F185" s="88"/>
      <c r="G185" s="89"/>
      <c r="H185" s="112"/>
      <c r="I185" s="91">
        <f ca="1">'GRs Detail'!$J191</f>
        <v>0</v>
      </c>
      <c r="J185" s="113">
        <f>'GRs Detail'!$H191</f>
        <v>0</v>
      </c>
      <c r="K185" s="114" t="str">
        <f>'GRs Detail'!$I191</f>
        <v>lsum</v>
      </c>
      <c r="L185" s="115">
        <f t="shared" ca="1" si="5"/>
        <v>0</v>
      </c>
      <c r="M185" s="92"/>
      <c r="N185" s="73"/>
    </row>
    <row r="186" spans="3:14" ht="21" customHeight="1" x14ac:dyDescent="0.25">
      <c r="C186" s="34"/>
      <c r="D186" s="81"/>
      <c r="E186" s="88" t="str">
        <f>'GRs Detail'!$E192</f>
        <v>Safety (C &amp; L)</v>
      </c>
      <c r="F186" s="88"/>
      <c r="G186" s="89"/>
      <c r="H186" s="112"/>
      <c r="I186" s="91">
        <f ca="1">'GRs Detail'!$J192</f>
        <v>0</v>
      </c>
      <c r="J186" s="113">
        <f>'GRs Detail'!$H192</f>
        <v>0</v>
      </c>
      <c r="K186" s="114" t="str">
        <f>'GRs Detail'!$I192</f>
        <v>lsum</v>
      </c>
      <c r="L186" s="115">
        <f t="shared" ca="1" si="5"/>
        <v>0</v>
      </c>
      <c r="M186" s="92"/>
      <c r="N186" s="73"/>
    </row>
    <row r="187" spans="3:14" ht="21" customHeight="1" x14ac:dyDescent="0.25">
      <c r="C187" s="34"/>
      <c r="D187" s="81"/>
      <c r="E187" s="88" t="str">
        <f>'GRs Detail'!$E193</f>
        <v>Police</v>
      </c>
      <c r="F187" s="88"/>
      <c r="G187" s="89"/>
      <c r="H187" s="112"/>
      <c r="I187" s="91">
        <f ca="1">'GRs Detail'!$J193</f>
        <v>0</v>
      </c>
      <c r="J187" s="113">
        <f>'GRs Detail'!$H193</f>
        <v>0</v>
      </c>
      <c r="K187" s="114" t="str">
        <f>'GRs Detail'!$I193</f>
        <v>lsum</v>
      </c>
      <c r="L187" s="115">
        <f t="shared" ca="1" si="5"/>
        <v>0</v>
      </c>
      <c r="M187" s="92"/>
      <c r="N187" s="73"/>
    </row>
    <row r="188" spans="3:14" ht="21" customHeight="1" x14ac:dyDescent="0.25">
      <c r="C188" s="34"/>
      <c r="D188" s="81"/>
      <c r="E188" s="88" t="str">
        <f>'GRs Detail'!$E194</f>
        <v>Labor Steward</v>
      </c>
      <c r="F188" s="88"/>
      <c r="G188" s="89"/>
      <c r="H188" s="112"/>
      <c r="I188" s="91">
        <f ca="1">'GRs Detail'!$J194</f>
        <v>0</v>
      </c>
      <c r="J188" s="113">
        <f>'GRs Detail'!$H194</f>
        <v>0</v>
      </c>
      <c r="K188" s="114" t="str">
        <f>'GRs Detail'!$I194</f>
        <v>lsum</v>
      </c>
      <c r="L188" s="115">
        <f t="shared" ca="1" si="5"/>
        <v>0</v>
      </c>
      <c r="M188" s="92"/>
      <c r="N188" s="73"/>
    </row>
    <row r="189" spans="3:14" ht="21" customHeight="1" x14ac:dyDescent="0.25">
      <c r="C189" s="34"/>
      <c r="D189" s="81"/>
      <c r="E189" s="88" t="str">
        <f>'GRs Detail'!$E195</f>
        <v>Carpenter Steward</v>
      </c>
      <c r="F189" s="88"/>
      <c r="G189" s="89"/>
      <c r="H189" s="112"/>
      <c r="I189" s="91">
        <f ca="1">'GRs Detail'!$J195</f>
        <v>0</v>
      </c>
      <c r="J189" s="113">
        <f>'GRs Detail'!$H195</f>
        <v>0</v>
      </c>
      <c r="K189" s="114" t="str">
        <f>'GRs Detail'!$I195</f>
        <v>lsum</v>
      </c>
      <c r="L189" s="115">
        <f t="shared" ca="1" si="5"/>
        <v>0</v>
      </c>
      <c r="M189" s="92"/>
      <c r="N189" s="73"/>
    </row>
    <row r="190" spans="3:14" ht="21" customHeight="1" x14ac:dyDescent="0.25">
      <c r="C190" s="34"/>
      <c r="D190" s="81"/>
      <c r="E190" s="88" t="str">
        <f>'GRs Detail'!$E196</f>
        <v>Fire Watch</v>
      </c>
      <c r="F190" s="88"/>
      <c r="G190" s="89"/>
      <c r="H190" s="112"/>
      <c r="I190" s="91">
        <f ca="1">'GRs Detail'!$J196</f>
        <v>0</v>
      </c>
      <c r="J190" s="113">
        <f>'GRs Detail'!$H196</f>
        <v>0</v>
      </c>
      <c r="K190" s="114" t="str">
        <f>'GRs Detail'!$I196</f>
        <v>lsum</v>
      </c>
      <c r="L190" s="115">
        <f t="shared" ca="1" si="5"/>
        <v>0</v>
      </c>
      <c r="M190" s="92"/>
      <c r="N190" s="73"/>
    </row>
    <row r="191" spans="3:14" ht="4.5" customHeight="1" x14ac:dyDescent="0.25">
      <c r="C191" s="34"/>
      <c r="D191" s="81"/>
      <c r="E191" s="552">
        <f>'GRs Detail'!$E197</f>
        <v>0</v>
      </c>
      <c r="F191" s="552"/>
      <c r="G191" s="553"/>
      <c r="H191" s="553"/>
      <c r="I191" s="554">
        <f>'GRs Detail'!$J197</f>
        <v>0</v>
      </c>
      <c r="J191" s="555">
        <f>'GRs Detail'!$H197</f>
        <v>0</v>
      </c>
      <c r="K191" s="556">
        <f>'GRs Detail'!$I197</f>
        <v>0</v>
      </c>
      <c r="L191" s="557">
        <f t="shared" si="5"/>
        <v>0</v>
      </c>
      <c r="M191" s="92"/>
      <c r="N191" s="73"/>
    </row>
    <row r="192" spans="3:14" ht="21" customHeight="1" x14ac:dyDescent="0.25">
      <c r="C192" s="34"/>
      <c r="D192" s="81"/>
      <c r="E192" s="552">
        <f>'GRs Detail'!$E198</f>
        <v>0</v>
      </c>
      <c r="F192" s="552"/>
      <c r="G192" s="553"/>
      <c r="H192" s="553"/>
      <c r="I192" s="554">
        <f>'GRs Detail'!$J198</f>
        <v>0</v>
      </c>
      <c r="J192" s="555">
        <f>'GRs Detail'!$H198</f>
        <v>0</v>
      </c>
      <c r="K192" s="556">
        <f>'GRs Detail'!$I198</f>
        <v>0</v>
      </c>
      <c r="L192" s="557">
        <f t="shared" si="5"/>
        <v>0</v>
      </c>
      <c r="M192" s="92"/>
      <c r="N192" s="73"/>
    </row>
    <row r="193" spans="1:14" ht="21.6" customHeight="1" x14ac:dyDescent="0.25">
      <c r="C193" s="34"/>
      <c r="D193" s="20"/>
      <c r="E193" s="95"/>
      <c r="F193" s="95"/>
      <c r="G193" s="96"/>
      <c r="H193" s="96"/>
      <c r="I193" s="97"/>
      <c r="J193" s="98"/>
      <c r="K193" s="99"/>
      <c r="L193" s="100"/>
      <c r="M193" s="100"/>
      <c r="N193" s="73"/>
    </row>
    <row r="194" spans="1:14" ht="21.6" customHeight="1" x14ac:dyDescent="0.25">
      <c r="C194" s="34"/>
      <c r="D194" s="20"/>
      <c r="E194" s="101" t="s">
        <v>392</v>
      </c>
      <c r="F194" s="101"/>
      <c r="G194" s="102"/>
      <c r="H194" s="102"/>
      <c r="I194" s="102"/>
      <c r="J194" s="102"/>
      <c r="K194" s="103"/>
      <c r="L194" s="595">
        <f ca="1">SUM(L10:L193)</f>
        <v>0</v>
      </c>
      <c r="M194" s="104"/>
      <c r="N194" s="73"/>
    </row>
    <row r="195" spans="1:14" ht="21.6" customHeight="1" x14ac:dyDescent="0.25">
      <c r="C195" s="34"/>
      <c r="D195" s="20"/>
      <c r="E195" s="20"/>
      <c r="F195" s="20"/>
      <c r="G195" s="20"/>
      <c r="H195" s="20"/>
      <c r="I195" s="20"/>
      <c r="J195" s="20"/>
      <c r="K195" s="594" t="s">
        <v>957</v>
      </c>
      <c r="L195" s="597">
        <f ca="1">CEILING('GRs Detail'!J2-\grtotal,2)</f>
        <v>0</v>
      </c>
      <c r="M195" s="20"/>
      <c r="N195" s="73"/>
    </row>
    <row r="196" spans="1:14" hidden="1" x14ac:dyDescent="0.25"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4" ht="16.5" hidden="1" thickBot="1" x14ac:dyDescent="0.3">
      <c r="C197" s="42"/>
      <c r="D197" s="105" t="s">
        <v>393</v>
      </c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spans="1:14" hidden="1" x14ac:dyDescent="0.25">
      <c r="C198" s="34"/>
      <c r="D198" s="106"/>
      <c r="E198" s="107"/>
      <c r="F198" s="107"/>
      <c r="G198" s="107"/>
      <c r="H198" s="107"/>
      <c r="I198" s="107"/>
      <c r="J198" s="107"/>
      <c r="K198" s="107"/>
      <c r="L198" s="107"/>
      <c r="M198" s="108"/>
      <c r="N198" s="73"/>
    </row>
    <row r="199" spans="1:14" ht="15.75" hidden="1" thickBot="1" x14ac:dyDescent="0.3">
      <c r="C199" s="34"/>
      <c r="D199" s="109"/>
      <c r="E199" s="110"/>
      <c r="F199" s="110"/>
      <c r="G199" s="110"/>
      <c r="H199" s="110"/>
      <c r="I199" s="110"/>
      <c r="J199" s="110"/>
      <c r="K199" s="110"/>
      <c r="L199" s="110"/>
      <c r="M199" s="111"/>
      <c r="N199" s="73"/>
    </row>
    <row r="200" spans="1:14" ht="120" hidden="1" customHeight="1" x14ac:dyDescent="0.25"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</row>
    <row r="201" spans="1:14" hidden="1" x14ac:dyDescent="0.25"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</row>
    <row r="202" spans="1:14" hidden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4" ht="21" hidden="1" customHeight="1" x14ac:dyDescent="0.25">
      <c r="C203" s="34"/>
      <c r="D203" s="81"/>
      <c r="E203" s="88" t="s">
        <v>394</v>
      </c>
      <c r="F203" s="88"/>
      <c r="G203" s="89"/>
      <c r="H203" s="112"/>
      <c r="I203" s="91"/>
      <c r="J203" s="113"/>
      <c r="K203" s="114"/>
      <c r="L203" s="115"/>
      <c r="M203" s="92"/>
      <c r="N203" s="73"/>
    </row>
    <row r="204" spans="1:14" ht="21" hidden="1" customHeight="1" x14ac:dyDescent="0.25">
      <c r="C204" s="34"/>
      <c r="D204" s="81"/>
      <c r="E204" s="82" t="s">
        <v>395</v>
      </c>
      <c r="F204" s="576"/>
      <c r="G204" s="553"/>
      <c r="H204" s="553"/>
      <c r="I204" s="554"/>
      <c r="J204" s="555"/>
      <c r="K204" s="556"/>
      <c r="L204" s="557"/>
      <c r="M204" s="92"/>
      <c r="N204" s="73"/>
    </row>
    <row r="205" spans="1:14" ht="21" hidden="1" customHeight="1" x14ac:dyDescent="0.25">
      <c r="C205" s="34"/>
      <c r="D205" s="81"/>
      <c r="E205" s="552"/>
      <c r="F205" s="552"/>
      <c r="G205" s="553"/>
      <c r="H205" s="553"/>
      <c r="I205" s="554"/>
      <c r="J205" s="555"/>
      <c r="K205" s="556"/>
      <c r="L205" s="557"/>
      <c r="M205" s="92"/>
      <c r="N205" s="73"/>
    </row>
    <row r="206" spans="1:14" hidden="1" x14ac:dyDescent="0.25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</row>
    <row r="207" spans="1:14" hidden="1" x14ac:dyDescent="0.25">
      <c r="A207" s="116"/>
      <c r="B207" s="116"/>
      <c r="C207" s="116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16"/>
    </row>
    <row r="208" spans="1:14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$L$194&lt;&gt;'GRs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L194</xm:sqref>
        </x14:conditionalFormatting>
        <x14:conditionalFormatting xmlns:xm="http://schemas.microsoft.com/office/excel/2006/main">
          <x14:cfRule type="expression" priority="2" id="{6C8BBFEC-BC72-4B6F-A222-00C00949E46C}">
            <xm:f>$L$194&lt;&gt;'GRs Detail'!$J$2:$K$2</xm:f>
            <x14:dxf>
              <font>
                <b/>
                <i/>
                <color rgb="FFFF0000"/>
              </font>
            </x14:dxf>
          </x14:cfRule>
          <xm:sqref>K195</xm:sqref>
        </x14:conditionalFormatting>
        <x14:conditionalFormatting xmlns:xm="http://schemas.microsoft.com/office/excel/2006/main">
          <x14:cfRule type="expression" priority="1" id="{520227E0-4006-4B04-948F-8F83DD70F0FC}">
            <xm:f>$L$194&lt;&gt;'GRs Detail'!$J$2:$K$2</xm:f>
            <x14:dxf>
              <font>
                <b/>
                <i/>
                <color rgb="FFFF0000"/>
              </font>
            </x14:dxf>
          </x14:cfRule>
          <xm:sqref>L195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L28" sqref="L28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3"/>
      <c r="C5" s="34"/>
      <c r="D5" s="24"/>
      <c r="E5" s="128" t="s">
        <v>438</v>
      </c>
      <c r="F5" s="129"/>
      <c r="G5" s="129"/>
      <c r="H5" s="129"/>
      <c r="I5" s="129"/>
      <c r="J5" s="130"/>
      <c r="K5" s="197">
        <f ca="1">SUMIF(O6:O11,1,K6:K11)</f>
        <v>0</v>
      </c>
      <c r="L5" s="20"/>
      <c r="M5" s="73"/>
      <c r="N5" s="42"/>
      <c r="O5" s="43" t="s">
        <v>275</v>
      </c>
      <c r="P5" s="43"/>
      <c r="Q5" s="44"/>
      <c r="R5" s="44"/>
      <c r="S5" s="44"/>
    </row>
    <row r="6" spans="1:19" s="143" customFormat="1" ht="19.149999999999999" customHeight="1" x14ac:dyDescent="0.25">
      <c r="A6" s="3"/>
      <c r="B6" s="263"/>
      <c r="C6" s="8"/>
      <c r="D6" s="135"/>
      <c r="E6" s="182" t="s">
        <v>439</v>
      </c>
      <c r="F6" s="221"/>
      <c r="G6" s="137"/>
      <c r="H6" s="184">
        <v>1</v>
      </c>
      <c r="I6" s="187" t="s">
        <v>18</v>
      </c>
      <c r="J6" s="190">
        <f ca="1">LaborOLD!T14</f>
        <v>0</v>
      </c>
      <c r="K6" s="191">
        <f t="shared" ref="K6:K11" ca="1" si="0">SUM(H6*J6)</f>
        <v>0</v>
      </c>
      <c r="L6" s="39"/>
      <c r="M6" s="138"/>
      <c r="N6" s="139"/>
      <c r="O6" s="140">
        <f>OR(NOT(ISERROR(SEARCH('GRs Detail'!$F$5,Q6))),Q6=0)*OR(NOT(ISERROR(SEARCH('GRs Detail'!$F$6,R6))),R6=0)</f>
        <v>1</v>
      </c>
      <c r="P6" s="140"/>
      <c r="Q6" s="142"/>
      <c r="R6" s="142"/>
      <c r="S6" s="142"/>
    </row>
    <row r="7" spans="1:19" s="143" customFormat="1" ht="19.149999999999999" customHeight="1" x14ac:dyDescent="0.25">
      <c r="A7" s="3"/>
      <c r="B7" s="263"/>
      <c r="C7" s="8"/>
      <c r="D7" s="135"/>
      <c r="E7" s="266" t="s">
        <v>91</v>
      </c>
      <c r="F7" s="267"/>
      <c r="G7" s="277"/>
      <c r="H7" s="278"/>
      <c r="I7" s="279" t="s">
        <v>18</v>
      </c>
      <c r="J7" s="291"/>
      <c r="K7" s="281">
        <f t="shared" si="0"/>
        <v>0</v>
      </c>
      <c r="L7" s="39"/>
      <c r="M7" s="138"/>
      <c r="N7" s="139"/>
      <c r="O7" s="140">
        <f>OR(NOT(ISERROR(SEARCH('GRs Detail'!$F$5,Q7))),Q7=0)*OR(NOT(ISERROR(SEARCH('GRs Detail'!$F$6,R7))),R7=0)</f>
        <v>1</v>
      </c>
      <c r="P7" s="140"/>
      <c r="Q7" s="142"/>
      <c r="R7" s="142"/>
      <c r="S7" s="142"/>
    </row>
    <row r="8" spans="1:19" s="143" customFormat="1" ht="19.149999999999999" customHeight="1" x14ac:dyDescent="0.25">
      <c r="A8" s="3"/>
      <c r="B8" s="263"/>
      <c r="C8" s="8"/>
      <c r="D8" s="135"/>
      <c r="E8" s="266" t="s">
        <v>92</v>
      </c>
      <c r="F8" s="267"/>
      <c r="G8" s="277"/>
      <c r="H8" s="278"/>
      <c r="I8" s="279" t="s">
        <v>21</v>
      </c>
      <c r="J8" s="291"/>
      <c r="K8" s="281">
        <f t="shared" si="0"/>
        <v>0</v>
      </c>
      <c r="L8" s="39"/>
      <c r="M8" s="138"/>
      <c r="N8" s="139"/>
      <c r="O8" s="140">
        <f>OR(NOT(ISERROR(SEARCH('GRs Detail'!$F$5,Q8))),Q8=0)*OR(NOT(ISERROR(SEARCH('GRs Detail'!$F$6,R8))),R8=0)</f>
        <v>1</v>
      </c>
      <c r="P8" s="140"/>
      <c r="Q8" s="142"/>
      <c r="R8" s="142"/>
      <c r="S8" s="142"/>
    </row>
    <row r="9" spans="1:19" s="143" customFormat="1" ht="19.149999999999999" customHeight="1" x14ac:dyDescent="0.25">
      <c r="A9" s="3"/>
      <c r="B9" s="263"/>
      <c r="C9" s="8"/>
      <c r="D9" s="135"/>
      <c r="E9" s="266" t="s">
        <v>94</v>
      </c>
      <c r="F9" s="267"/>
      <c r="G9" s="277"/>
      <c r="H9" s="278"/>
      <c r="I9" s="279" t="s">
        <v>36</v>
      </c>
      <c r="J9" s="291"/>
      <c r="K9" s="281">
        <f t="shared" si="0"/>
        <v>0</v>
      </c>
      <c r="L9" s="39"/>
      <c r="M9" s="138"/>
      <c r="N9" s="139"/>
      <c r="O9" s="140">
        <f>OR(NOT(ISERROR(SEARCH('GRs Detail'!$F$5,Q9))),Q9=0)*OR(NOT(ISERROR(SEARCH('GRs Detail'!$F$6,R9))),R9=0)</f>
        <v>1</v>
      </c>
      <c r="P9" s="140"/>
      <c r="Q9" s="142"/>
      <c r="R9" s="142"/>
      <c r="S9" s="142"/>
    </row>
    <row r="10" spans="1:19" s="143" customFormat="1" ht="19.149999999999999" customHeight="1" x14ac:dyDescent="0.25">
      <c r="A10" s="3"/>
      <c r="B10" s="263"/>
      <c r="C10" s="8"/>
      <c r="D10" s="135"/>
      <c r="E10" s="266" t="s">
        <v>95</v>
      </c>
      <c r="F10" s="267"/>
      <c r="G10" s="277"/>
      <c r="H10" s="278"/>
      <c r="I10" s="279" t="s">
        <v>76</v>
      </c>
      <c r="J10" s="291"/>
      <c r="K10" s="281">
        <f t="shared" si="0"/>
        <v>0</v>
      </c>
      <c r="L10" s="39"/>
      <c r="M10" s="138"/>
      <c r="N10" s="139"/>
      <c r="O10" s="140">
        <f>OR(NOT(ISERROR(SEARCH('GRs Detail'!$F$5,Q10))),Q10=0)*OR(NOT(ISERROR(SEARCH('GRs Detail'!$F$6,R10))),R10=0)</f>
        <v>1</v>
      </c>
      <c r="P10" s="140"/>
      <c r="Q10" s="142"/>
      <c r="R10" s="142"/>
      <c r="S10" s="142"/>
    </row>
    <row r="11" spans="1:19" s="143" customFormat="1" ht="19.149999999999999" customHeight="1" thickBot="1" x14ac:dyDescent="0.3">
      <c r="A11" s="3"/>
      <c r="B11" s="263"/>
      <c r="C11" s="8"/>
      <c r="D11" s="135"/>
      <c r="E11" s="261" t="s">
        <v>96</v>
      </c>
      <c r="F11" s="262"/>
      <c r="G11" s="146"/>
      <c r="H11" s="186">
        <v>1</v>
      </c>
      <c r="I11" s="189" t="s">
        <v>76</v>
      </c>
      <c r="J11" s="195">
        <v>0</v>
      </c>
      <c r="K11" s="196">
        <f t="shared" si="0"/>
        <v>0</v>
      </c>
      <c r="L11" s="39"/>
      <c r="M11" s="138"/>
      <c r="N11" s="139"/>
      <c r="O11" s="140">
        <f>OR(NOT(ISERROR(SEARCH('GRs Detail'!$F$5,Q11))),Q11=0)*OR(NOT(ISERROR(SEARCH('GRs Detail'!$F$6,R11))),R11=0)</f>
        <v>1</v>
      </c>
      <c r="P11" s="140"/>
      <c r="Q11" s="142"/>
      <c r="R11" s="142"/>
      <c r="S11" s="142"/>
    </row>
    <row r="15" spans="1:19" ht="15.75" thickBot="1" x14ac:dyDescent="0.3"/>
    <row r="16" spans="1:19" s="1" customFormat="1" ht="24" customHeight="1" thickBot="1" x14ac:dyDescent="0.25">
      <c r="A16" s="2"/>
      <c r="B16" s="53"/>
      <c r="C16" s="34"/>
      <c r="D16" s="24"/>
      <c r="E16" s="128" t="s">
        <v>437</v>
      </c>
      <c r="F16" s="129"/>
      <c r="G16" s="129"/>
      <c r="H16" s="129"/>
      <c r="I16" s="129"/>
      <c r="J16" s="130"/>
      <c r="K16" s="197">
        <f ca="1">SUMIF(O17:O21,1,K17:K21)</f>
        <v>0</v>
      </c>
      <c r="L16" s="20"/>
      <c r="M16" s="73"/>
      <c r="N16" s="42"/>
      <c r="O16" s="43" t="s">
        <v>275</v>
      </c>
      <c r="P16" s="43"/>
      <c r="Q16" s="44"/>
      <c r="R16" s="44"/>
      <c r="S16" s="44"/>
    </row>
    <row r="17" spans="1:19" s="143" customFormat="1" ht="19.149999999999999" customHeight="1" x14ac:dyDescent="0.25">
      <c r="A17" s="3"/>
      <c r="B17" s="263"/>
      <c r="C17" s="8"/>
      <c r="D17" s="135"/>
      <c r="E17" s="182" t="s">
        <v>90</v>
      </c>
      <c r="F17" s="221"/>
      <c r="G17" s="137"/>
      <c r="H17" s="184">
        <v>1</v>
      </c>
      <c r="I17" s="187" t="s">
        <v>18</v>
      </c>
      <c r="J17" s="190"/>
      <c r="K17" s="191">
        <f>SUM(H17*J17)</f>
        <v>0</v>
      </c>
      <c r="L17" s="39"/>
      <c r="M17" s="138"/>
      <c r="N17" s="139"/>
      <c r="O17" s="140">
        <f>OR(NOT(ISERROR(SEARCH('GRs Detail'!$F$5,Q17))),Q17=0)*OR(NOT(ISERROR(SEARCH('GRs Detail'!$F$6,R17))),R17=0)</f>
        <v>1</v>
      </c>
      <c r="P17" s="140"/>
      <c r="Q17" s="142"/>
      <c r="R17" s="142"/>
      <c r="S17" s="142"/>
    </row>
    <row r="18" spans="1:19" s="143" customFormat="1" ht="19.149999999999999" customHeight="1" x14ac:dyDescent="0.25">
      <c r="A18" s="3"/>
      <c r="B18" s="263"/>
      <c r="C18" s="8"/>
      <c r="D18" s="135"/>
      <c r="E18" s="266" t="s">
        <v>91</v>
      </c>
      <c r="F18" s="267"/>
      <c r="G18" s="277"/>
      <c r="H18" s="278">
        <v>1</v>
      </c>
      <c r="I18" s="279" t="s">
        <v>18</v>
      </c>
      <c r="J18" s="291">
        <f ca="1">LaborOLD!L14</f>
        <v>0</v>
      </c>
      <c r="K18" s="281">
        <f ca="1">SUM(H18*J18)</f>
        <v>0</v>
      </c>
      <c r="L18" s="39"/>
      <c r="M18" s="138"/>
      <c r="N18" s="139"/>
      <c r="O18" s="140">
        <f>OR(NOT(ISERROR(SEARCH('GRs Detail'!$F$5,Q18))),Q18=0)*OR(NOT(ISERROR(SEARCH('GRs Detail'!$F$6,R18))),R18=0)</f>
        <v>1</v>
      </c>
      <c r="P18" s="140"/>
      <c r="Q18" s="142"/>
      <c r="R18" s="142"/>
      <c r="S18" s="142"/>
    </row>
    <row r="19" spans="1:19" s="143" customFormat="1" ht="19.149999999999999" customHeight="1" x14ac:dyDescent="0.25">
      <c r="A19" s="3"/>
      <c r="B19" s="263"/>
      <c r="C19" s="8"/>
      <c r="D19" s="135"/>
      <c r="E19" s="266" t="s">
        <v>92</v>
      </c>
      <c r="F19" s="267"/>
      <c r="G19" s="277"/>
      <c r="H19" s="278"/>
      <c r="I19" s="279" t="s">
        <v>18</v>
      </c>
      <c r="J19" s="291">
        <v>0</v>
      </c>
      <c r="K19" s="281">
        <f>SUM(H19*J19)</f>
        <v>0</v>
      </c>
      <c r="L19" s="39"/>
      <c r="M19" s="138"/>
      <c r="N19" s="139"/>
      <c r="O19" s="140">
        <f>OR(NOT(ISERROR(SEARCH('GRs Detail'!$F$5,Q19))),Q19=0)*OR(NOT(ISERROR(SEARCH('GRs Detail'!$F$6,R19))),R19=0)</f>
        <v>1</v>
      </c>
      <c r="P19" s="140"/>
      <c r="Q19" s="142"/>
      <c r="R19" s="142"/>
      <c r="S19" s="142"/>
    </row>
    <row r="20" spans="1:19" s="143" customFormat="1" ht="19.149999999999999" customHeight="1" x14ac:dyDescent="0.25">
      <c r="A20" s="3"/>
      <c r="B20" s="263"/>
      <c r="C20" s="8"/>
      <c r="D20" s="135"/>
      <c r="E20" s="266" t="s">
        <v>93</v>
      </c>
      <c r="F20" s="267"/>
      <c r="G20" s="277"/>
      <c r="H20" s="278"/>
      <c r="I20" s="279" t="s">
        <v>54</v>
      </c>
      <c r="J20" s="291">
        <v>0</v>
      </c>
      <c r="K20" s="281">
        <f>SUM(H20*J20)</f>
        <v>0</v>
      </c>
      <c r="L20" s="39"/>
      <c r="M20" s="138"/>
      <c r="N20" s="139"/>
      <c r="O20" s="140">
        <f>OR(NOT(ISERROR(SEARCH('GRs Detail'!$F$5,Q20))),Q20=0)*OR(NOT(ISERROR(SEARCH('GRs Detail'!$F$6,R20))),R20=0)</f>
        <v>1</v>
      </c>
      <c r="P20" s="140"/>
      <c r="Q20" s="142"/>
      <c r="R20" s="142"/>
      <c r="S20" s="142"/>
    </row>
    <row r="21" spans="1:19" s="143" customFormat="1" ht="19.149999999999999" customHeight="1" thickBot="1" x14ac:dyDescent="0.3">
      <c r="A21" s="3"/>
      <c r="B21" s="263"/>
      <c r="C21" s="8"/>
      <c r="D21" s="135"/>
      <c r="E21" s="261"/>
      <c r="F21" s="262"/>
      <c r="G21" s="146"/>
      <c r="H21" s="186"/>
      <c r="I21" s="189"/>
      <c r="J21" s="195"/>
      <c r="K21" s="196"/>
      <c r="L21" s="39"/>
      <c r="M21" s="138"/>
      <c r="N21" s="139"/>
      <c r="O21" s="140">
        <f>OR(NOT(ISERROR(SEARCH('GRs Detail'!$F$5,Q21))),Q21=0)*OR(NOT(ISERROR(SEARCH('GRs Detail'!$F$6,R21))),R21=0)</f>
        <v>1</v>
      </c>
      <c r="P21" s="140"/>
      <c r="Q21" s="142"/>
      <c r="R21" s="142"/>
      <c r="S21" s="142"/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1088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9" t="s">
        <v>268</v>
      </c>
      <c r="B1" s="19" t="s">
        <v>269</v>
      </c>
      <c r="C1" s="19" t="s">
        <v>270</v>
      </c>
      <c r="D1" s="19" t="s">
        <v>271</v>
      </c>
      <c r="E1" s="19" t="s">
        <v>272</v>
      </c>
      <c r="F1" s="19" t="s">
        <v>273</v>
      </c>
    </row>
    <row r="2" spans="1:6" ht="409.5" x14ac:dyDescent="0.25">
      <c r="A2" s="599" t="s">
        <v>978</v>
      </c>
      <c r="F2" s="41"/>
    </row>
    <row r="3" spans="1:6" x14ac:dyDescent="0.25">
      <c r="F3" s="41"/>
    </row>
    <row r="4" spans="1:6" x14ac:dyDescent="0.25">
      <c r="F4" s="41"/>
    </row>
    <row r="5" spans="1:6" x14ac:dyDescent="0.25">
      <c r="F5" s="41"/>
    </row>
    <row r="6" spans="1:6" x14ac:dyDescent="0.25">
      <c r="F6" s="41"/>
    </row>
    <row r="7" spans="1:6" x14ac:dyDescent="0.25">
      <c r="F7" s="41"/>
    </row>
    <row r="8" spans="1:6" x14ac:dyDescent="0.25">
      <c r="F8" s="41"/>
    </row>
    <row r="9" spans="1:6" x14ac:dyDescent="0.25">
      <c r="F9" s="41"/>
    </row>
    <row r="10" spans="1:6" x14ac:dyDescent="0.25">
      <c r="F10" s="41"/>
    </row>
    <row r="11" spans="1:6" x14ac:dyDescent="0.25">
      <c r="F11" s="41"/>
    </row>
    <row r="12" spans="1:6" x14ac:dyDescent="0.25">
      <c r="F12" s="41"/>
    </row>
    <row r="13" spans="1:6" x14ac:dyDescent="0.25">
      <c r="F13" s="41"/>
    </row>
    <row r="14" spans="1:6" x14ac:dyDescent="0.25">
      <c r="F14" s="41"/>
    </row>
    <row r="15" spans="1:6" x14ac:dyDescent="0.25">
      <c r="F15" s="41"/>
    </row>
    <row r="16" spans="1:6" x14ac:dyDescent="0.25">
      <c r="F16" s="41"/>
    </row>
    <row r="17" spans="6:6" x14ac:dyDescent="0.25">
      <c r="F17" s="41"/>
    </row>
    <row r="18" spans="6:6" x14ac:dyDescent="0.25">
      <c r="F18" s="41"/>
    </row>
    <row r="19" spans="6:6" x14ac:dyDescent="0.25">
      <c r="F19" s="41"/>
    </row>
    <row r="20" spans="6:6" x14ac:dyDescent="0.25">
      <c r="F20" s="41"/>
    </row>
    <row r="21" spans="6:6" x14ac:dyDescent="0.25">
      <c r="F21" s="41"/>
    </row>
    <row r="22" spans="6:6" x14ac:dyDescent="0.25">
      <c r="F22" s="41"/>
    </row>
    <row r="23" spans="6:6" x14ac:dyDescent="0.25">
      <c r="F23" s="41"/>
    </row>
    <row r="24" spans="6:6" x14ac:dyDescent="0.25">
      <c r="F24" s="41"/>
    </row>
    <row r="25" spans="6:6" x14ac:dyDescent="0.25">
      <c r="F25" s="41"/>
    </row>
    <row r="26" spans="6:6" x14ac:dyDescent="0.25">
      <c r="F26" s="41"/>
    </row>
    <row r="27" spans="6:6" x14ac:dyDescent="0.25">
      <c r="F27" s="41"/>
    </row>
    <row r="28" spans="6:6" x14ac:dyDescent="0.25">
      <c r="F28" s="41"/>
    </row>
    <row r="29" spans="6:6" x14ac:dyDescent="0.25">
      <c r="F29" s="41"/>
    </row>
    <row r="30" spans="6:6" x14ac:dyDescent="0.25">
      <c r="F30" s="41"/>
    </row>
    <row r="31" spans="6:6" x14ac:dyDescent="0.25">
      <c r="F31" s="41"/>
    </row>
    <row r="32" spans="6:6" x14ac:dyDescent="0.25">
      <c r="F32" s="41"/>
    </row>
    <row r="33" spans="6:6" x14ac:dyDescent="0.25">
      <c r="F33" s="41"/>
    </row>
    <row r="34" spans="6:6" x14ac:dyDescent="0.25">
      <c r="F34" s="41"/>
    </row>
    <row r="35" spans="6:6" x14ac:dyDescent="0.25">
      <c r="F35" s="41"/>
    </row>
    <row r="36" spans="6:6" x14ac:dyDescent="0.25">
      <c r="F36" s="41"/>
    </row>
    <row r="37" spans="6:6" x14ac:dyDescent="0.25">
      <c r="F37" s="41"/>
    </row>
    <row r="38" spans="6:6" x14ac:dyDescent="0.25">
      <c r="F38" s="41"/>
    </row>
    <row r="39" spans="6:6" x14ac:dyDescent="0.25">
      <c r="F39" s="41"/>
    </row>
    <row r="40" spans="6:6" x14ac:dyDescent="0.25">
      <c r="F40" s="41"/>
    </row>
    <row r="41" spans="6:6" x14ac:dyDescent="0.25">
      <c r="F41" s="41"/>
    </row>
    <row r="42" spans="6:6" x14ac:dyDescent="0.25">
      <c r="F42" s="41"/>
    </row>
    <row r="43" spans="6:6" x14ac:dyDescent="0.25">
      <c r="F43" s="41"/>
    </row>
    <row r="44" spans="6:6" x14ac:dyDescent="0.25">
      <c r="F44" s="41"/>
    </row>
    <row r="45" spans="6:6" x14ac:dyDescent="0.25">
      <c r="F45" s="41"/>
    </row>
    <row r="46" spans="6:6" x14ac:dyDescent="0.25">
      <c r="F46" s="41"/>
    </row>
    <row r="47" spans="6:6" x14ac:dyDescent="0.25">
      <c r="F47" s="41"/>
    </row>
    <row r="48" spans="6:6" x14ac:dyDescent="0.25">
      <c r="F48" s="41"/>
    </row>
    <row r="49" spans="6:6" x14ac:dyDescent="0.25">
      <c r="F49" s="41"/>
    </row>
    <row r="50" spans="6:6" x14ac:dyDescent="0.25">
      <c r="F50" s="41"/>
    </row>
    <row r="51" spans="6:6" x14ac:dyDescent="0.25">
      <c r="F51" s="41"/>
    </row>
    <row r="52" spans="6:6" x14ac:dyDescent="0.25">
      <c r="F52" s="41"/>
    </row>
    <row r="53" spans="6:6" x14ac:dyDescent="0.25">
      <c r="F53" s="41"/>
    </row>
    <row r="54" spans="6:6" x14ac:dyDescent="0.25">
      <c r="F54" s="41"/>
    </row>
    <row r="55" spans="6:6" x14ac:dyDescent="0.25">
      <c r="F55" s="41"/>
    </row>
    <row r="56" spans="6:6" x14ac:dyDescent="0.25">
      <c r="F56" s="41"/>
    </row>
    <row r="57" spans="6:6" x14ac:dyDescent="0.25">
      <c r="F57" s="41"/>
    </row>
    <row r="58" spans="6:6" x14ac:dyDescent="0.25">
      <c r="F58" s="41"/>
    </row>
    <row r="59" spans="6:6" x14ac:dyDescent="0.25">
      <c r="F59" s="41"/>
    </row>
    <row r="60" spans="6:6" x14ac:dyDescent="0.25">
      <c r="F60" s="41"/>
    </row>
    <row r="61" spans="6:6" x14ac:dyDescent="0.25">
      <c r="F61" s="41"/>
    </row>
    <row r="62" spans="6:6" x14ac:dyDescent="0.25">
      <c r="F62" s="41"/>
    </row>
    <row r="63" spans="6:6" x14ac:dyDescent="0.25">
      <c r="F63" s="41"/>
    </row>
    <row r="64" spans="6:6" x14ac:dyDescent="0.25">
      <c r="F64" s="41"/>
    </row>
    <row r="65" spans="6:6" x14ac:dyDescent="0.25">
      <c r="F65" s="41"/>
    </row>
    <row r="66" spans="6:6" x14ac:dyDescent="0.25">
      <c r="F66" s="41"/>
    </row>
    <row r="67" spans="6:6" x14ac:dyDescent="0.25">
      <c r="F67" s="41"/>
    </row>
    <row r="68" spans="6:6" x14ac:dyDescent="0.25">
      <c r="F68" s="41"/>
    </row>
    <row r="69" spans="6:6" x14ac:dyDescent="0.25">
      <c r="F69" s="41"/>
    </row>
    <row r="70" spans="6:6" x14ac:dyDescent="0.25">
      <c r="F70" s="41"/>
    </row>
    <row r="71" spans="6:6" x14ac:dyDescent="0.25">
      <c r="F71" s="41"/>
    </row>
    <row r="72" spans="6:6" x14ac:dyDescent="0.25">
      <c r="F72" s="41"/>
    </row>
    <row r="73" spans="6:6" x14ac:dyDescent="0.25">
      <c r="F73" s="41"/>
    </row>
    <row r="74" spans="6:6" x14ac:dyDescent="0.25">
      <c r="F74" s="41"/>
    </row>
    <row r="75" spans="6:6" x14ac:dyDescent="0.25">
      <c r="F75" s="41"/>
    </row>
    <row r="76" spans="6:6" x14ac:dyDescent="0.25">
      <c r="F76" s="41"/>
    </row>
    <row r="77" spans="6:6" x14ac:dyDescent="0.25">
      <c r="F77" s="41"/>
    </row>
    <row r="78" spans="6:6" x14ac:dyDescent="0.25">
      <c r="F78" s="41"/>
    </row>
    <row r="79" spans="6:6" x14ac:dyDescent="0.25">
      <c r="F79" s="41"/>
    </row>
    <row r="80" spans="6:6" x14ac:dyDescent="0.25">
      <c r="F80" s="41"/>
    </row>
    <row r="81" spans="6:6" x14ac:dyDescent="0.25">
      <c r="F81" s="41"/>
    </row>
    <row r="82" spans="6:6" x14ac:dyDescent="0.25">
      <c r="F82" s="41"/>
    </row>
    <row r="83" spans="6:6" x14ac:dyDescent="0.25">
      <c r="F83" s="41"/>
    </row>
    <row r="84" spans="6:6" x14ac:dyDescent="0.25">
      <c r="F84" s="41"/>
    </row>
    <row r="85" spans="6:6" x14ac:dyDescent="0.25">
      <c r="F85" s="41"/>
    </row>
    <row r="86" spans="6:6" x14ac:dyDescent="0.25">
      <c r="F86" s="41"/>
    </row>
    <row r="87" spans="6:6" x14ac:dyDescent="0.25">
      <c r="F87" s="41"/>
    </row>
    <row r="88" spans="6:6" x14ac:dyDescent="0.25">
      <c r="F88" s="41"/>
    </row>
    <row r="89" spans="6:6" x14ac:dyDescent="0.25">
      <c r="F89" s="41"/>
    </row>
    <row r="90" spans="6:6" x14ac:dyDescent="0.25">
      <c r="F90" s="41"/>
    </row>
    <row r="91" spans="6:6" x14ac:dyDescent="0.25">
      <c r="F91" s="41"/>
    </row>
    <row r="92" spans="6:6" x14ac:dyDescent="0.25">
      <c r="F92" s="41"/>
    </row>
    <row r="93" spans="6:6" x14ac:dyDescent="0.25">
      <c r="F93" s="41"/>
    </row>
    <row r="94" spans="6:6" x14ac:dyDescent="0.25">
      <c r="F94" s="41"/>
    </row>
    <row r="95" spans="6:6" x14ac:dyDescent="0.25">
      <c r="F95" s="41"/>
    </row>
    <row r="96" spans="6:6" x14ac:dyDescent="0.25">
      <c r="F96" s="41"/>
    </row>
    <row r="97" spans="6:6" x14ac:dyDescent="0.25">
      <c r="F97" s="41"/>
    </row>
    <row r="98" spans="6:6" x14ac:dyDescent="0.25">
      <c r="F98" s="41"/>
    </row>
    <row r="99" spans="6:6" x14ac:dyDescent="0.25">
      <c r="F99" s="41"/>
    </row>
    <row r="100" spans="6:6" x14ac:dyDescent="0.25">
      <c r="F100" s="41"/>
    </row>
    <row r="101" spans="6:6" x14ac:dyDescent="0.25">
      <c r="F101" s="41"/>
    </row>
    <row r="102" spans="6:6" x14ac:dyDescent="0.25">
      <c r="F102" s="41"/>
    </row>
    <row r="103" spans="6:6" x14ac:dyDescent="0.25">
      <c r="F103" s="41"/>
    </row>
    <row r="104" spans="6:6" x14ac:dyDescent="0.25">
      <c r="F104" s="41"/>
    </row>
    <row r="105" spans="6:6" x14ac:dyDescent="0.25">
      <c r="F105" s="41"/>
    </row>
    <row r="106" spans="6:6" x14ac:dyDescent="0.25">
      <c r="F106" s="41"/>
    </row>
    <row r="107" spans="6:6" x14ac:dyDescent="0.25">
      <c r="F107" s="41"/>
    </row>
    <row r="108" spans="6:6" x14ac:dyDescent="0.25">
      <c r="F108" s="41"/>
    </row>
    <row r="109" spans="6:6" x14ac:dyDescent="0.25">
      <c r="F109" s="41"/>
    </row>
    <row r="110" spans="6:6" x14ac:dyDescent="0.25">
      <c r="F110" s="41"/>
    </row>
    <row r="111" spans="6:6" x14ac:dyDescent="0.25">
      <c r="F111" s="41"/>
    </row>
    <row r="112" spans="6:6" x14ac:dyDescent="0.25">
      <c r="F112" s="41"/>
    </row>
    <row r="113" spans="6:6" x14ac:dyDescent="0.25">
      <c r="F113" s="41"/>
    </row>
    <row r="114" spans="6:6" x14ac:dyDescent="0.25">
      <c r="F114" s="41"/>
    </row>
    <row r="115" spans="6:6" x14ac:dyDescent="0.25">
      <c r="F115" s="41"/>
    </row>
    <row r="116" spans="6:6" x14ac:dyDescent="0.25">
      <c r="F116" s="41"/>
    </row>
    <row r="117" spans="6:6" x14ac:dyDescent="0.25">
      <c r="F117" s="41"/>
    </row>
    <row r="118" spans="6:6" x14ac:dyDescent="0.25">
      <c r="F118" s="41"/>
    </row>
    <row r="119" spans="6:6" x14ac:dyDescent="0.25">
      <c r="F119" s="41"/>
    </row>
    <row r="120" spans="6:6" x14ac:dyDescent="0.25">
      <c r="F120" s="41"/>
    </row>
    <row r="121" spans="6:6" x14ac:dyDescent="0.25">
      <c r="F121" s="41"/>
    </row>
    <row r="122" spans="6:6" x14ac:dyDescent="0.25">
      <c r="F122" s="41"/>
    </row>
    <row r="123" spans="6:6" x14ac:dyDescent="0.25">
      <c r="F123" s="41"/>
    </row>
    <row r="124" spans="6:6" x14ac:dyDescent="0.25">
      <c r="F124" s="41"/>
    </row>
    <row r="125" spans="6:6" x14ac:dyDescent="0.25">
      <c r="F125" s="41"/>
    </row>
    <row r="126" spans="6:6" x14ac:dyDescent="0.25">
      <c r="F126" s="41"/>
    </row>
    <row r="127" spans="6:6" x14ac:dyDescent="0.25">
      <c r="F127" s="41"/>
    </row>
    <row r="128" spans="6:6" x14ac:dyDescent="0.25">
      <c r="F128" s="41"/>
    </row>
    <row r="129" spans="6:6" x14ac:dyDescent="0.25">
      <c r="F129" s="41"/>
    </row>
    <row r="130" spans="6:6" x14ac:dyDescent="0.25">
      <c r="F130" s="41"/>
    </row>
    <row r="131" spans="6:6" x14ac:dyDescent="0.25">
      <c r="F131" s="41"/>
    </row>
    <row r="132" spans="6:6" x14ac:dyDescent="0.25">
      <c r="F132" s="41"/>
    </row>
    <row r="133" spans="6:6" x14ac:dyDescent="0.25">
      <c r="F133" s="41"/>
    </row>
    <row r="134" spans="6:6" x14ac:dyDescent="0.25">
      <c r="F134" s="41"/>
    </row>
    <row r="135" spans="6:6" x14ac:dyDescent="0.25">
      <c r="F135" s="41"/>
    </row>
    <row r="136" spans="6:6" x14ac:dyDescent="0.25">
      <c r="F136" s="41"/>
    </row>
    <row r="137" spans="6:6" x14ac:dyDescent="0.25">
      <c r="F137" s="41"/>
    </row>
    <row r="138" spans="6:6" x14ac:dyDescent="0.25">
      <c r="F138" s="41"/>
    </row>
    <row r="139" spans="6:6" x14ac:dyDescent="0.25">
      <c r="F139" s="41"/>
    </row>
    <row r="140" spans="6:6" x14ac:dyDescent="0.25">
      <c r="F140" s="41"/>
    </row>
    <row r="141" spans="6:6" x14ac:dyDescent="0.25">
      <c r="F141" s="41"/>
    </row>
    <row r="142" spans="6:6" x14ac:dyDescent="0.25">
      <c r="F142" s="41"/>
    </row>
    <row r="143" spans="6:6" x14ac:dyDescent="0.25">
      <c r="F143" s="41"/>
    </row>
    <row r="144" spans="6:6" x14ac:dyDescent="0.25">
      <c r="F144" s="41"/>
    </row>
    <row r="145" spans="6:6" x14ac:dyDescent="0.25">
      <c r="F145" s="41"/>
    </row>
    <row r="146" spans="6:6" x14ac:dyDescent="0.25">
      <c r="F146" s="41"/>
    </row>
    <row r="147" spans="6:6" x14ac:dyDescent="0.25">
      <c r="F147" s="41"/>
    </row>
    <row r="148" spans="6:6" x14ac:dyDescent="0.25">
      <c r="F148" s="41"/>
    </row>
    <row r="149" spans="6:6" x14ac:dyDescent="0.25">
      <c r="F149" s="41"/>
    </row>
    <row r="150" spans="6:6" x14ac:dyDescent="0.25">
      <c r="F150" s="41"/>
    </row>
    <row r="151" spans="6:6" x14ac:dyDescent="0.25">
      <c r="F151" s="41"/>
    </row>
    <row r="152" spans="6:6" x14ac:dyDescent="0.25">
      <c r="F152" s="41"/>
    </row>
    <row r="153" spans="6:6" x14ac:dyDescent="0.25">
      <c r="F153" s="41"/>
    </row>
    <row r="154" spans="6:6" x14ac:dyDescent="0.25">
      <c r="F154" s="41"/>
    </row>
    <row r="155" spans="6:6" x14ac:dyDescent="0.25">
      <c r="F155" s="41"/>
    </row>
    <row r="156" spans="6:6" x14ac:dyDescent="0.25">
      <c r="F156" s="41"/>
    </row>
    <row r="157" spans="6:6" x14ac:dyDescent="0.25">
      <c r="F157" s="41"/>
    </row>
    <row r="158" spans="6:6" x14ac:dyDescent="0.25">
      <c r="F158" s="41"/>
    </row>
    <row r="159" spans="6:6" x14ac:dyDescent="0.25">
      <c r="F159" s="41"/>
    </row>
    <row r="160" spans="6:6" x14ac:dyDescent="0.25">
      <c r="F160" s="41"/>
    </row>
    <row r="161" spans="6:6" x14ac:dyDescent="0.25">
      <c r="F161" s="41"/>
    </row>
    <row r="162" spans="6:6" x14ac:dyDescent="0.25">
      <c r="F162" s="41"/>
    </row>
    <row r="163" spans="6:6" x14ac:dyDescent="0.25">
      <c r="F163" s="41"/>
    </row>
    <row r="164" spans="6:6" x14ac:dyDescent="0.25">
      <c r="F164" s="41"/>
    </row>
    <row r="165" spans="6:6" x14ac:dyDescent="0.25">
      <c r="F165" s="41"/>
    </row>
    <row r="166" spans="6:6" x14ac:dyDescent="0.25">
      <c r="F166" s="41"/>
    </row>
    <row r="167" spans="6:6" x14ac:dyDescent="0.25">
      <c r="F167" s="41"/>
    </row>
    <row r="168" spans="6:6" x14ac:dyDescent="0.25">
      <c r="F168" s="41"/>
    </row>
    <row r="169" spans="6:6" x14ac:dyDescent="0.25">
      <c r="F169" s="41"/>
    </row>
    <row r="170" spans="6:6" x14ac:dyDescent="0.25">
      <c r="F170" s="41"/>
    </row>
    <row r="171" spans="6:6" x14ac:dyDescent="0.25">
      <c r="F171" s="41"/>
    </row>
    <row r="172" spans="6:6" x14ac:dyDescent="0.25">
      <c r="F172" s="41"/>
    </row>
    <row r="173" spans="6:6" x14ac:dyDescent="0.25">
      <c r="F173" s="41"/>
    </row>
    <row r="174" spans="6:6" x14ac:dyDescent="0.25">
      <c r="F174" s="41"/>
    </row>
    <row r="175" spans="6:6" x14ac:dyDescent="0.25">
      <c r="F175" s="41"/>
    </row>
    <row r="176" spans="6:6" x14ac:dyDescent="0.25">
      <c r="F176" s="41"/>
    </row>
    <row r="177" spans="6:6" x14ac:dyDescent="0.25">
      <c r="F177" s="41"/>
    </row>
    <row r="178" spans="6:6" x14ac:dyDescent="0.25">
      <c r="F178" s="41"/>
    </row>
    <row r="179" spans="6:6" x14ac:dyDescent="0.25">
      <c r="F179" s="41"/>
    </row>
    <row r="180" spans="6:6" x14ac:dyDescent="0.25">
      <c r="F180" s="41"/>
    </row>
    <row r="181" spans="6:6" x14ac:dyDescent="0.25">
      <c r="F181" s="41"/>
    </row>
    <row r="182" spans="6:6" x14ac:dyDescent="0.25">
      <c r="F182" s="41"/>
    </row>
    <row r="183" spans="6:6" x14ac:dyDescent="0.25">
      <c r="F183" s="41"/>
    </row>
    <row r="184" spans="6:6" x14ac:dyDescent="0.25">
      <c r="F184" s="41"/>
    </row>
    <row r="185" spans="6:6" x14ac:dyDescent="0.25">
      <c r="F185" s="41"/>
    </row>
    <row r="186" spans="6:6" x14ac:dyDescent="0.25">
      <c r="F186" s="41"/>
    </row>
    <row r="187" spans="6:6" x14ac:dyDescent="0.25">
      <c r="F187" s="41"/>
    </row>
    <row r="188" spans="6:6" x14ac:dyDescent="0.25">
      <c r="F188" s="41"/>
    </row>
    <row r="189" spans="6:6" x14ac:dyDescent="0.25">
      <c r="F189" s="41"/>
    </row>
    <row r="190" spans="6:6" x14ac:dyDescent="0.25">
      <c r="F190" s="41"/>
    </row>
    <row r="191" spans="6:6" x14ac:dyDescent="0.25">
      <c r="F191" s="41"/>
    </row>
    <row r="192" spans="6:6" x14ac:dyDescent="0.25">
      <c r="F192" s="41"/>
    </row>
    <row r="193" spans="6:6" x14ac:dyDescent="0.25">
      <c r="F193" s="41"/>
    </row>
    <row r="194" spans="6:6" x14ac:dyDescent="0.25">
      <c r="F194" s="41"/>
    </row>
    <row r="195" spans="6:6" x14ac:dyDescent="0.25">
      <c r="F195" s="41"/>
    </row>
    <row r="196" spans="6:6" x14ac:dyDescent="0.25">
      <c r="F196" s="41"/>
    </row>
    <row r="197" spans="6:6" x14ac:dyDescent="0.25">
      <c r="F197" s="41"/>
    </row>
    <row r="198" spans="6:6" x14ac:dyDescent="0.25">
      <c r="F198" s="41"/>
    </row>
    <row r="199" spans="6:6" x14ac:dyDescent="0.25">
      <c r="F199" s="41"/>
    </row>
    <row r="200" spans="6:6" x14ac:dyDescent="0.25">
      <c r="F200" s="41"/>
    </row>
    <row r="201" spans="6:6" x14ac:dyDescent="0.25">
      <c r="F201" s="41"/>
    </row>
    <row r="202" spans="6:6" x14ac:dyDescent="0.25">
      <c r="F202" s="41"/>
    </row>
    <row r="203" spans="6:6" x14ac:dyDescent="0.25">
      <c r="F203" s="41"/>
    </row>
    <row r="204" spans="6:6" x14ac:dyDescent="0.25">
      <c r="F204" s="41"/>
    </row>
    <row r="205" spans="6:6" x14ac:dyDescent="0.25">
      <c r="F205" s="41"/>
    </row>
    <row r="206" spans="6:6" x14ac:dyDescent="0.25">
      <c r="F206" s="41"/>
    </row>
    <row r="207" spans="6:6" x14ac:dyDescent="0.25">
      <c r="F207" s="41"/>
    </row>
    <row r="208" spans="6:6" x14ac:dyDescent="0.25">
      <c r="F208" s="41"/>
    </row>
    <row r="209" spans="6:6" x14ac:dyDescent="0.25">
      <c r="F209" s="41"/>
    </row>
    <row r="210" spans="6:6" x14ac:dyDescent="0.25">
      <c r="F210" s="41"/>
    </row>
    <row r="211" spans="6:6" x14ac:dyDescent="0.25">
      <c r="F211" s="41"/>
    </row>
    <row r="212" spans="6:6" x14ac:dyDescent="0.25">
      <c r="F212" s="41"/>
    </row>
    <row r="213" spans="6:6" x14ac:dyDescent="0.25">
      <c r="F213" s="41"/>
    </row>
    <row r="214" spans="6:6" x14ac:dyDescent="0.25">
      <c r="F214" s="41"/>
    </row>
    <row r="215" spans="6:6" x14ac:dyDescent="0.25">
      <c r="F215" s="41"/>
    </row>
    <row r="216" spans="6:6" x14ac:dyDescent="0.25">
      <c r="F216" s="41"/>
    </row>
    <row r="217" spans="6:6" x14ac:dyDescent="0.25">
      <c r="F217" s="41"/>
    </row>
    <row r="218" spans="6:6" x14ac:dyDescent="0.25">
      <c r="F218" s="41"/>
    </row>
    <row r="219" spans="6:6" x14ac:dyDescent="0.25">
      <c r="F219" s="41"/>
    </row>
    <row r="220" spans="6:6" x14ac:dyDescent="0.25">
      <c r="F220" s="41"/>
    </row>
    <row r="221" spans="6:6" x14ac:dyDescent="0.25">
      <c r="F221" s="41"/>
    </row>
    <row r="222" spans="6:6" x14ac:dyDescent="0.25">
      <c r="F222" s="41"/>
    </row>
    <row r="223" spans="6:6" x14ac:dyDescent="0.25">
      <c r="F223" s="41"/>
    </row>
    <row r="224" spans="6:6" x14ac:dyDescent="0.25">
      <c r="F224" s="41"/>
    </row>
    <row r="225" spans="6:6" x14ac:dyDescent="0.25">
      <c r="F225" s="41"/>
    </row>
    <row r="226" spans="6:6" x14ac:dyDescent="0.25">
      <c r="F226" s="41"/>
    </row>
    <row r="227" spans="6:6" x14ac:dyDescent="0.25">
      <c r="F227" s="41"/>
    </row>
    <row r="228" spans="6:6" x14ac:dyDescent="0.25">
      <c r="F228" s="41"/>
    </row>
    <row r="229" spans="6:6" x14ac:dyDescent="0.25">
      <c r="F229" s="41"/>
    </row>
    <row r="230" spans="6:6" x14ac:dyDescent="0.25">
      <c r="F230" s="41"/>
    </row>
    <row r="231" spans="6:6" x14ac:dyDescent="0.25">
      <c r="F231" s="41"/>
    </row>
    <row r="232" spans="6:6" x14ac:dyDescent="0.25">
      <c r="F232" s="41"/>
    </row>
    <row r="233" spans="6:6" x14ac:dyDescent="0.25">
      <c r="F233" s="41"/>
    </row>
    <row r="234" spans="6:6" x14ac:dyDescent="0.25">
      <c r="F234" s="41"/>
    </row>
    <row r="235" spans="6:6" x14ac:dyDescent="0.25">
      <c r="F235" s="41"/>
    </row>
    <row r="236" spans="6:6" x14ac:dyDescent="0.25">
      <c r="F236" s="41"/>
    </row>
    <row r="237" spans="6:6" x14ac:dyDescent="0.25">
      <c r="F237" s="41"/>
    </row>
    <row r="238" spans="6:6" x14ac:dyDescent="0.25">
      <c r="F238" s="41"/>
    </row>
    <row r="239" spans="6:6" x14ac:dyDescent="0.25">
      <c r="F239" s="41"/>
    </row>
    <row r="240" spans="6:6" x14ac:dyDescent="0.25">
      <c r="F240" s="41"/>
    </row>
    <row r="241" spans="6:6" x14ac:dyDescent="0.25">
      <c r="F241" s="41"/>
    </row>
    <row r="242" spans="6:6" x14ac:dyDescent="0.25">
      <c r="F242" s="41"/>
    </row>
    <row r="243" spans="6:6" x14ac:dyDescent="0.25">
      <c r="F243" s="41"/>
    </row>
    <row r="244" spans="6:6" x14ac:dyDescent="0.25">
      <c r="F244" s="41"/>
    </row>
    <row r="245" spans="6:6" x14ac:dyDescent="0.25">
      <c r="F245" s="41"/>
    </row>
    <row r="246" spans="6:6" x14ac:dyDescent="0.25">
      <c r="F246" s="41"/>
    </row>
    <row r="247" spans="6:6" x14ac:dyDescent="0.25">
      <c r="F247" s="41"/>
    </row>
    <row r="248" spans="6:6" x14ac:dyDescent="0.25">
      <c r="F248" s="41"/>
    </row>
    <row r="249" spans="6:6" x14ac:dyDescent="0.25">
      <c r="F249" s="41"/>
    </row>
    <row r="250" spans="6:6" x14ac:dyDescent="0.25">
      <c r="F250" s="41"/>
    </row>
    <row r="251" spans="6:6" x14ac:dyDescent="0.25">
      <c r="F251" s="41"/>
    </row>
    <row r="252" spans="6:6" x14ac:dyDescent="0.25">
      <c r="F252" s="41"/>
    </row>
    <row r="253" spans="6:6" x14ac:dyDescent="0.25">
      <c r="F253" s="41"/>
    </row>
    <row r="254" spans="6:6" x14ac:dyDescent="0.25">
      <c r="F254" s="41"/>
    </row>
    <row r="255" spans="6:6" x14ac:dyDescent="0.25">
      <c r="F255" s="41"/>
    </row>
    <row r="256" spans="6:6" x14ac:dyDescent="0.25">
      <c r="F256" s="41"/>
    </row>
    <row r="257" spans="6:6" x14ac:dyDescent="0.25">
      <c r="F257" s="41"/>
    </row>
    <row r="258" spans="6:6" x14ac:dyDescent="0.25">
      <c r="F258" s="41"/>
    </row>
    <row r="259" spans="6:6" x14ac:dyDescent="0.25">
      <c r="F259" s="41"/>
    </row>
    <row r="260" spans="6:6" x14ac:dyDescent="0.25">
      <c r="F260" s="41"/>
    </row>
    <row r="261" spans="6:6" x14ac:dyDescent="0.25">
      <c r="F261" s="41"/>
    </row>
    <row r="262" spans="6:6" x14ac:dyDescent="0.25">
      <c r="F262" s="41"/>
    </row>
    <row r="263" spans="6:6" x14ac:dyDescent="0.25">
      <c r="F263" s="41"/>
    </row>
    <row r="264" spans="6:6" x14ac:dyDescent="0.25">
      <c r="F264" s="41"/>
    </row>
    <row r="265" spans="6:6" x14ac:dyDescent="0.25">
      <c r="F265" s="41"/>
    </row>
    <row r="266" spans="6:6" x14ac:dyDescent="0.25">
      <c r="F266" s="41"/>
    </row>
    <row r="267" spans="6:6" x14ac:dyDescent="0.25">
      <c r="F267" s="41"/>
    </row>
    <row r="268" spans="6:6" x14ac:dyDescent="0.25">
      <c r="F268" s="41"/>
    </row>
    <row r="269" spans="6:6" x14ac:dyDescent="0.25">
      <c r="F269" s="41"/>
    </row>
    <row r="270" spans="6:6" x14ac:dyDescent="0.25">
      <c r="F270" s="41"/>
    </row>
    <row r="271" spans="6:6" x14ac:dyDescent="0.25">
      <c r="F271" s="41"/>
    </row>
    <row r="272" spans="6:6" x14ac:dyDescent="0.25">
      <c r="F272" s="41"/>
    </row>
    <row r="273" spans="6:6" x14ac:dyDescent="0.25">
      <c r="F273" s="41"/>
    </row>
    <row r="274" spans="6:6" x14ac:dyDescent="0.25">
      <c r="F274" s="41"/>
    </row>
    <row r="275" spans="6:6" x14ac:dyDescent="0.25">
      <c r="F275" s="41"/>
    </row>
    <row r="276" spans="6:6" x14ac:dyDescent="0.25">
      <c r="F276" s="41"/>
    </row>
    <row r="277" spans="6:6" x14ac:dyDescent="0.25">
      <c r="F277" s="41"/>
    </row>
    <row r="278" spans="6:6" x14ac:dyDescent="0.25">
      <c r="F278" s="41"/>
    </row>
    <row r="279" spans="6:6" x14ac:dyDescent="0.25">
      <c r="F279" s="41"/>
    </row>
    <row r="280" spans="6:6" x14ac:dyDescent="0.25">
      <c r="F280" s="41"/>
    </row>
    <row r="281" spans="6:6" x14ac:dyDescent="0.25">
      <c r="F281" s="41"/>
    </row>
    <row r="282" spans="6:6" x14ac:dyDescent="0.25">
      <c r="F282" s="41"/>
    </row>
    <row r="283" spans="6:6" x14ac:dyDescent="0.25">
      <c r="F283" s="41"/>
    </row>
    <row r="284" spans="6:6" x14ac:dyDescent="0.25">
      <c r="F284" s="41"/>
    </row>
    <row r="285" spans="6:6" x14ac:dyDescent="0.25">
      <c r="F285" s="41"/>
    </row>
    <row r="286" spans="6:6" x14ac:dyDescent="0.25">
      <c r="F286" s="41"/>
    </row>
    <row r="287" spans="6:6" x14ac:dyDescent="0.25">
      <c r="F287" s="41"/>
    </row>
    <row r="288" spans="6:6" x14ac:dyDescent="0.25">
      <c r="F288" s="41"/>
    </row>
    <row r="289" spans="6:6" x14ac:dyDescent="0.25">
      <c r="F289" s="41"/>
    </row>
    <row r="290" spans="6:6" x14ac:dyDescent="0.25">
      <c r="F290" s="41"/>
    </row>
    <row r="291" spans="6:6" x14ac:dyDescent="0.25">
      <c r="F291" s="41"/>
    </row>
    <row r="292" spans="6:6" x14ac:dyDescent="0.25">
      <c r="F292" s="41"/>
    </row>
    <row r="293" spans="6:6" x14ac:dyDescent="0.25">
      <c r="F293" s="41"/>
    </row>
    <row r="294" spans="6:6" x14ac:dyDescent="0.25">
      <c r="F294" s="41"/>
    </row>
    <row r="295" spans="6:6" x14ac:dyDescent="0.25">
      <c r="F295" s="41"/>
    </row>
    <row r="296" spans="6:6" x14ac:dyDescent="0.25">
      <c r="F296" s="41"/>
    </row>
    <row r="297" spans="6:6" x14ac:dyDescent="0.25">
      <c r="F297" s="41"/>
    </row>
    <row r="298" spans="6:6" x14ac:dyDescent="0.25">
      <c r="F298" s="41"/>
    </row>
    <row r="299" spans="6:6" x14ac:dyDescent="0.25">
      <c r="F299" s="41"/>
    </row>
    <row r="300" spans="6:6" x14ac:dyDescent="0.25">
      <c r="F300" s="41"/>
    </row>
    <row r="301" spans="6:6" x14ac:dyDescent="0.25">
      <c r="F301" s="41"/>
    </row>
    <row r="302" spans="6:6" x14ac:dyDescent="0.25">
      <c r="F302" s="41"/>
    </row>
    <row r="303" spans="6:6" x14ac:dyDescent="0.25">
      <c r="F303" s="41"/>
    </row>
    <row r="304" spans="6:6" x14ac:dyDescent="0.25">
      <c r="F304" s="41"/>
    </row>
    <row r="305" spans="6:6" x14ac:dyDescent="0.25">
      <c r="F305" s="41"/>
    </row>
    <row r="306" spans="6:6" x14ac:dyDescent="0.25">
      <c r="F306" s="41"/>
    </row>
    <row r="307" spans="6:6" x14ac:dyDescent="0.25">
      <c r="F307" s="41"/>
    </row>
    <row r="308" spans="6:6" x14ac:dyDescent="0.25">
      <c r="F308" s="41"/>
    </row>
    <row r="309" spans="6:6" x14ac:dyDescent="0.25">
      <c r="F309" s="41"/>
    </row>
    <row r="310" spans="6:6" x14ac:dyDescent="0.25">
      <c r="F310" s="41"/>
    </row>
    <row r="311" spans="6:6" x14ac:dyDescent="0.25">
      <c r="F311" s="41"/>
    </row>
    <row r="312" spans="6:6" x14ac:dyDescent="0.25">
      <c r="F312" s="41"/>
    </row>
    <row r="313" spans="6:6" x14ac:dyDescent="0.25">
      <c r="F313" s="41"/>
    </row>
    <row r="314" spans="6:6" x14ac:dyDescent="0.25">
      <c r="F314" s="41"/>
    </row>
    <row r="315" spans="6:6" x14ac:dyDescent="0.25">
      <c r="F315" s="41"/>
    </row>
    <row r="316" spans="6:6" x14ac:dyDescent="0.25">
      <c r="F316" s="41"/>
    </row>
    <row r="317" spans="6:6" x14ac:dyDescent="0.25">
      <c r="F317" s="41"/>
    </row>
    <row r="318" spans="6:6" x14ac:dyDescent="0.25">
      <c r="F318" s="41"/>
    </row>
    <row r="319" spans="6:6" x14ac:dyDescent="0.25">
      <c r="F319" s="41"/>
    </row>
    <row r="320" spans="6:6" x14ac:dyDescent="0.25">
      <c r="F320" s="41"/>
    </row>
    <row r="321" spans="6:6" x14ac:dyDescent="0.25">
      <c r="F321" s="41"/>
    </row>
    <row r="322" spans="6:6" x14ac:dyDescent="0.25">
      <c r="F322" s="41"/>
    </row>
    <row r="323" spans="6:6" x14ac:dyDescent="0.25">
      <c r="F323" s="41"/>
    </row>
    <row r="324" spans="6:6" x14ac:dyDescent="0.25">
      <c r="F324" s="41"/>
    </row>
    <row r="325" spans="6:6" x14ac:dyDescent="0.25">
      <c r="F325" s="41"/>
    </row>
    <row r="326" spans="6:6" x14ac:dyDescent="0.25">
      <c r="F326" s="41"/>
    </row>
    <row r="327" spans="6:6" x14ac:dyDescent="0.25">
      <c r="F327" s="41"/>
    </row>
    <row r="328" spans="6:6" x14ac:dyDescent="0.25">
      <c r="F328" s="41"/>
    </row>
    <row r="329" spans="6:6" x14ac:dyDescent="0.25">
      <c r="F329" s="41"/>
    </row>
    <row r="330" spans="6:6" x14ac:dyDescent="0.25">
      <c r="F330" s="41"/>
    </row>
    <row r="331" spans="6:6" x14ac:dyDescent="0.25">
      <c r="F331" s="41"/>
    </row>
    <row r="332" spans="6:6" x14ac:dyDescent="0.25">
      <c r="F332" s="41"/>
    </row>
    <row r="333" spans="6:6" x14ac:dyDescent="0.25">
      <c r="F333" s="41"/>
    </row>
    <row r="334" spans="6:6" x14ac:dyDescent="0.25">
      <c r="F334" s="41"/>
    </row>
    <row r="335" spans="6:6" x14ac:dyDescent="0.25">
      <c r="F335" s="41"/>
    </row>
    <row r="336" spans="6:6" x14ac:dyDescent="0.25">
      <c r="F336" s="41"/>
    </row>
    <row r="337" spans="6:6" x14ac:dyDescent="0.25">
      <c r="F337" s="41"/>
    </row>
    <row r="338" spans="6:6" x14ac:dyDescent="0.25">
      <c r="F338" s="41"/>
    </row>
    <row r="339" spans="6:6" x14ac:dyDescent="0.25">
      <c r="F339" s="41"/>
    </row>
    <row r="340" spans="6:6" x14ac:dyDescent="0.25">
      <c r="F340" s="41"/>
    </row>
    <row r="341" spans="6:6" x14ac:dyDescent="0.25">
      <c r="F341" s="41"/>
    </row>
    <row r="342" spans="6:6" x14ac:dyDescent="0.25">
      <c r="F342" s="41"/>
    </row>
    <row r="343" spans="6:6" x14ac:dyDescent="0.25">
      <c r="F343" s="41"/>
    </row>
    <row r="344" spans="6:6" x14ac:dyDescent="0.25">
      <c r="F344" s="41"/>
    </row>
    <row r="345" spans="6:6" x14ac:dyDescent="0.25">
      <c r="F345" s="41"/>
    </row>
    <row r="346" spans="6:6" x14ac:dyDescent="0.25">
      <c r="F346" s="41"/>
    </row>
    <row r="347" spans="6:6" x14ac:dyDescent="0.25">
      <c r="F347" s="41"/>
    </row>
    <row r="348" spans="6:6" x14ac:dyDescent="0.25">
      <c r="F348" s="41"/>
    </row>
    <row r="349" spans="6:6" x14ac:dyDescent="0.25">
      <c r="F349" s="41"/>
    </row>
    <row r="350" spans="6:6" x14ac:dyDescent="0.25">
      <c r="F350" s="41"/>
    </row>
    <row r="351" spans="6:6" x14ac:dyDescent="0.25">
      <c r="F351" s="41"/>
    </row>
    <row r="352" spans="6:6" x14ac:dyDescent="0.25">
      <c r="F352" s="41"/>
    </row>
    <row r="353" spans="6:6" x14ac:dyDescent="0.25">
      <c r="F353" s="41"/>
    </row>
    <row r="354" spans="6:6" x14ac:dyDescent="0.25">
      <c r="F354" s="41"/>
    </row>
    <row r="355" spans="6:6" x14ac:dyDescent="0.25">
      <c r="F355" s="41"/>
    </row>
    <row r="356" spans="6:6" x14ac:dyDescent="0.25">
      <c r="F356" s="41"/>
    </row>
    <row r="357" spans="6:6" x14ac:dyDescent="0.25">
      <c r="F357" s="41"/>
    </row>
    <row r="358" spans="6:6" x14ac:dyDescent="0.25">
      <c r="F358" s="41"/>
    </row>
    <row r="359" spans="6:6" x14ac:dyDescent="0.25">
      <c r="F359" s="41"/>
    </row>
    <row r="360" spans="6:6" x14ac:dyDescent="0.25">
      <c r="F360" s="41"/>
    </row>
    <row r="361" spans="6:6" x14ac:dyDescent="0.25">
      <c r="F361" s="41"/>
    </row>
    <row r="362" spans="6:6" x14ac:dyDescent="0.25">
      <c r="F362" s="41"/>
    </row>
    <row r="363" spans="6:6" x14ac:dyDescent="0.25">
      <c r="F363" s="41"/>
    </row>
    <row r="364" spans="6:6" x14ac:dyDescent="0.25">
      <c r="F364" s="41"/>
    </row>
    <row r="365" spans="6:6" x14ac:dyDescent="0.25">
      <c r="F365" s="41"/>
    </row>
    <row r="366" spans="6:6" x14ac:dyDescent="0.25">
      <c r="F366" s="41"/>
    </row>
    <row r="367" spans="6:6" x14ac:dyDescent="0.25">
      <c r="F367" s="41"/>
    </row>
    <row r="368" spans="6:6" x14ac:dyDescent="0.25">
      <c r="F368" s="41"/>
    </row>
    <row r="369" spans="6:6" x14ac:dyDescent="0.25">
      <c r="F369" s="41"/>
    </row>
    <row r="370" spans="6:6" x14ac:dyDescent="0.25">
      <c r="F370" s="41"/>
    </row>
    <row r="371" spans="6:6" x14ac:dyDescent="0.25">
      <c r="F371" s="41"/>
    </row>
    <row r="372" spans="6:6" x14ac:dyDescent="0.25">
      <c r="F372" s="41"/>
    </row>
    <row r="373" spans="6:6" x14ac:dyDescent="0.25">
      <c r="F373" s="41"/>
    </row>
    <row r="374" spans="6:6" x14ac:dyDescent="0.25">
      <c r="F374" s="41"/>
    </row>
    <row r="375" spans="6:6" x14ac:dyDescent="0.25">
      <c r="F375" s="41"/>
    </row>
    <row r="376" spans="6:6" x14ac:dyDescent="0.25">
      <c r="F376" s="41"/>
    </row>
    <row r="377" spans="6:6" x14ac:dyDescent="0.25">
      <c r="F377" s="41"/>
    </row>
    <row r="378" spans="6:6" x14ac:dyDescent="0.25">
      <c r="F378" s="41"/>
    </row>
    <row r="379" spans="6:6" x14ac:dyDescent="0.25">
      <c r="F379" s="41"/>
    </row>
    <row r="380" spans="6:6" x14ac:dyDescent="0.25">
      <c r="F380" s="41"/>
    </row>
    <row r="381" spans="6:6" x14ac:dyDescent="0.25">
      <c r="F381" s="41"/>
    </row>
    <row r="382" spans="6:6" x14ac:dyDescent="0.25">
      <c r="F382" s="41"/>
    </row>
    <row r="383" spans="6:6" x14ac:dyDescent="0.25">
      <c r="F383" s="41"/>
    </row>
    <row r="384" spans="6:6" x14ac:dyDescent="0.25">
      <c r="F384" s="41"/>
    </row>
    <row r="385" spans="6:6" x14ac:dyDescent="0.25">
      <c r="F385" s="41"/>
    </row>
    <row r="386" spans="6:6" x14ac:dyDescent="0.25">
      <c r="F386" s="41"/>
    </row>
    <row r="387" spans="6:6" x14ac:dyDescent="0.25">
      <c r="F387" s="41"/>
    </row>
    <row r="388" spans="6:6" x14ac:dyDescent="0.25">
      <c r="F388" s="41"/>
    </row>
    <row r="389" spans="6:6" x14ac:dyDescent="0.25">
      <c r="F389" s="41"/>
    </row>
    <row r="390" spans="6:6" x14ac:dyDescent="0.25">
      <c r="F390" s="41"/>
    </row>
    <row r="391" spans="6:6" x14ac:dyDescent="0.25">
      <c r="F391" s="41"/>
    </row>
    <row r="392" spans="6:6" x14ac:dyDescent="0.25">
      <c r="F392" s="41"/>
    </row>
    <row r="393" spans="6:6" x14ac:dyDescent="0.25">
      <c r="F393" s="41"/>
    </row>
    <row r="394" spans="6:6" x14ac:dyDescent="0.25">
      <c r="F394" s="41"/>
    </row>
    <row r="395" spans="6:6" x14ac:dyDescent="0.25">
      <c r="F395" s="41"/>
    </row>
    <row r="396" spans="6:6" x14ac:dyDescent="0.25">
      <c r="F396" s="41"/>
    </row>
    <row r="397" spans="6:6" x14ac:dyDescent="0.25">
      <c r="F397" s="41"/>
    </row>
    <row r="398" spans="6:6" x14ac:dyDescent="0.25">
      <c r="F398" s="41"/>
    </row>
    <row r="399" spans="6:6" x14ac:dyDescent="0.25">
      <c r="F399" s="41"/>
    </row>
    <row r="400" spans="6:6" x14ac:dyDescent="0.25">
      <c r="F400" s="41"/>
    </row>
    <row r="401" spans="6:6" x14ac:dyDescent="0.25">
      <c r="F401" s="41"/>
    </row>
    <row r="402" spans="6:6" x14ac:dyDescent="0.25">
      <c r="F402" s="41"/>
    </row>
    <row r="403" spans="6:6" x14ac:dyDescent="0.25">
      <c r="F403" s="41"/>
    </row>
    <row r="404" spans="6:6" x14ac:dyDescent="0.25">
      <c r="F404" s="41"/>
    </row>
    <row r="405" spans="6:6" x14ac:dyDescent="0.25">
      <c r="F405" s="41"/>
    </row>
    <row r="406" spans="6:6" x14ac:dyDescent="0.25">
      <c r="F406" s="41"/>
    </row>
    <row r="407" spans="6:6" x14ac:dyDescent="0.25">
      <c r="F407" s="41"/>
    </row>
    <row r="408" spans="6:6" x14ac:dyDescent="0.25">
      <c r="F408" s="41"/>
    </row>
    <row r="409" spans="6:6" x14ac:dyDescent="0.25">
      <c r="F409" s="41"/>
    </row>
    <row r="410" spans="6:6" x14ac:dyDescent="0.25">
      <c r="F410" s="41"/>
    </row>
    <row r="411" spans="6:6" x14ac:dyDescent="0.25">
      <c r="F411" s="41"/>
    </row>
    <row r="412" spans="6:6" x14ac:dyDescent="0.25">
      <c r="F412" s="41"/>
    </row>
    <row r="413" spans="6:6" x14ac:dyDescent="0.25">
      <c r="F413" s="41"/>
    </row>
    <row r="414" spans="6:6" x14ac:dyDescent="0.25">
      <c r="F414" s="41"/>
    </row>
    <row r="415" spans="6:6" x14ac:dyDescent="0.25">
      <c r="F415" s="41"/>
    </row>
    <row r="416" spans="6:6" x14ac:dyDescent="0.25">
      <c r="F416" s="41"/>
    </row>
    <row r="417" spans="6:6" x14ac:dyDescent="0.25">
      <c r="F417" s="41"/>
    </row>
    <row r="418" spans="6:6" x14ac:dyDescent="0.25">
      <c r="F418" s="41"/>
    </row>
    <row r="419" spans="6:6" x14ac:dyDescent="0.25">
      <c r="F419" s="41"/>
    </row>
    <row r="420" spans="6:6" x14ac:dyDescent="0.25">
      <c r="F420" s="41"/>
    </row>
    <row r="421" spans="6:6" x14ac:dyDescent="0.25">
      <c r="F421" s="41"/>
    </row>
    <row r="422" spans="6:6" x14ac:dyDescent="0.25">
      <c r="F422" s="41"/>
    </row>
    <row r="423" spans="6:6" x14ac:dyDescent="0.25">
      <c r="F423" s="41"/>
    </row>
    <row r="424" spans="6:6" x14ac:dyDescent="0.25">
      <c r="F424" s="41"/>
    </row>
    <row r="425" spans="6:6" x14ac:dyDescent="0.25">
      <c r="F425" s="41"/>
    </row>
    <row r="426" spans="6:6" x14ac:dyDescent="0.25">
      <c r="F426" s="41"/>
    </row>
    <row r="427" spans="6:6" x14ac:dyDescent="0.25">
      <c r="F427" s="41"/>
    </row>
    <row r="428" spans="6:6" x14ac:dyDescent="0.25">
      <c r="F428" s="41"/>
    </row>
    <row r="429" spans="6:6" x14ac:dyDescent="0.25">
      <c r="F429" s="41"/>
    </row>
    <row r="430" spans="6:6" x14ac:dyDescent="0.25">
      <c r="F430" s="41"/>
    </row>
    <row r="431" spans="6:6" x14ac:dyDescent="0.25">
      <c r="F431" s="41"/>
    </row>
    <row r="432" spans="6:6" x14ac:dyDescent="0.25">
      <c r="F432" s="41"/>
    </row>
    <row r="433" spans="6:6" x14ac:dyDescent="0.25">
      <c r="F433" s="41"/>
    </row>
    <row r="434" spans="6:6" x14ac:dyDescent="0.25">
      <c r="F434" s="41"/>
    </row>
    <row r="435" spans="6:6" x14ac:dyDescent="0.25">
      <c r="F435" s="41"/>
    </row>
    <row r="436" spans="6:6" x14ac:dyDescent="0.25">
      <c r="F436" s="41"/>
    </row>
    <row r="437" spans="6:6" x14ac:dyDescent="0.25">
      <c r="F437" s="41"/>
    </row>
    <row r="438" spans="6:6" x14ac:dyDescent="0.25">
      <c r="F438" s="41"/>
    </row>
    <row r="439" spans="6:6" x14ac:dyDescent="0.25">
      <c r="F439" s="41"/>
    </row>
    <row r="440" spans="6:6" x14ac:dyDescent="0.25">
      <c r="F440" s="41"/>
    </row>
    <row r="441" spans="6:6" x14ac:dyDescent="0.25">
      <c r="F441" s="41"/>
    </row>
    <row r="442" spans="6:6" x14ac:dyDescent="0.25">
      <c r="F442" s="41"/>
    </row>
    <row r="443" spans="6:6" x14ac:dyDescent="0.25">
      <c r="F443" s="41"/>
    </row>
    <row r="444" spans="6:6" x14ac:dyDescent="0.25">
      <c r="F444" s="41"/>
    </row>
    <row r="445" spans="6:6" x14ac:dyDescent="0.25">
      <c r="F445" s="41"/>
    </row>
    <row r="446" spans="6:6" x14ac:dyDescent="0.25">
      <c r="F446" s="41"/>
    </row>
    <row r="447" spans="6:6" x14ac:dyDescent="0.25">
      <c r="F447" s="41"/>
    </row>
    <row r="448" spans="6:6" x14ac:dyDescent="0.25">
      <c r="F448" s="41"/>
    </row>
    <row r="449" spans="6:6" x14ac:dyDescent="0.25">
      <c r="F449" s="41"/>
    </row>
    <row r="450" spans="6:6" x14ac:dyDescent="0.25">
      <c r="F450" s="41"/>
    </row>
    <row r="451" spans="6:6" x14ac:dyDescent="0.25">
      <c r="F451" s="41"/>
    </row>
    <row r="452" spans="6:6" x14ac:dyDescent="0.25">
      <c r="F452" s="41"/>
    </row>
    <row r="453" spans="6:6" x14ac:dyDescent="0.25">
      <c r="F453" s="41"/>
    </row>
    <row r="454" spans="6:6" x14ac:dyDescent="0.25">
      <c r="F454" s="41"/>
    </row>
    <row r="455" spans="6:6" x14ac:dyDescent="0.25">
      <c r="F455" s="41"/>
    </row>
    <row r="456" spans="6:6" x14ac:dyDescent="0.25">
      <c r="F456" s="41"/>
    </row>
    <row r="457" spans="6:6" x14ac:dyDescent="0.25">
      <c r="F457" s="41"/>
    </row>
    <row r="458" spans="6:6" x14ac:dyDescent="0.25">
      <c r="F458" s="41"/>
    </row>
    <row r="459" spans="6:6" x14ac:dyDescent="0.25">
      <c r="F459" s="41"/>
    </row>
    <row r="460" spans="6:6" x14ac:dyDescent="0.25">
      <c r="F460" s="41"/>
    </row>
    <row r="461" spans="6:6" x14ac:dyDescent="0.25">
      <c r="F461" s="41"/>
    </row>
    <row r="462" spans="6:6" x14ac:dyDescent="0.25">
      <c r="F462" s="41"/>
    </row>
    <row r="463" spans="6:6" x14ac:dyDescent="0.25">
      <c r="F463" s="41"/>
    </row>
    <row r="464" spans="6:6" x14ac:dyDescent="0.25">
      <c r="F464" s="41"/>
    </row>
    <row r="465" spans="6:6" x14ac:dyDescent="0.25">
      <c r="F465" s="41"/>
    </row>
    <row r="466" spans="6:6" x14ac:dyDescent="0.25">
      <c r="F466" s="41"/>
    </row>
    <row r="467" spans="6:6" x14ac:dyDescent="0.25">
      <c r="F467" s="41"/>
    </row>
    <row r="468" spans="6:6" x14ac:dyDescent="0.25">
      <c r="F468" s="41"/>
    </row>
    <row r="469" spans="6:6" x14ac:dyDescent="0.25">
      <c r="F469" s="41"/>
    </row>
    <row r="470" spans="6:6" x14ac:dyDescent="0.25">
      <c r="F470" s="41"/>
    </row>
    <row r="471" spans="6:6" x14ac:dyDescent="0.25">
      <c r="F471" s="41"/>
    </row>
    <row r="472" spans="6:6" x14ac:dyDescent="0.25">
      <c r="F472" s="41"/>
    </row>
    <row r="473" spans="6:6" x14ac:dyDescent="0.25">
      <c r="F473" s="41"/>
    </row>
    <row r="474" spans="6:6" x14ac:dyDescent="0.25">
      <c r="F474" s="41"/>
    </row>
    <row r="475" spans="6:6" x14ac:dyDescent="0.25">
      <c r="F475" s="41"/>
    </row>
    <row r="476" spans="6:6" x14ac:dyDescent="0.25">
      <c r="F476" s="41"/>
    </row>
    <row r="477" spans="6:6" x14ac:dyDescent="0.25">
      <c r="F477" s="41"/>
    </row>
    <row r="478" spans="6:6" x14ac:dyDescent="0.25">
      <c r="F478" s="41"/>
    </row>
    <row r="479" spans="6:6" x14ac:dyDescent="0.25">
      <c r="F479" s="41"/>
    </row>
    <row r="480" spans="6:6" x14ac:dyDescent="0.25">
      <c r="F480" s="41"/>
    </row>
    <row r="481" spans="6:6" x14ac:dyDescent="0.25">
      <c r="F481" s="41"/>
    </row>
    <row r="482" spans="6:6" x14ac:dyDescent="0.25">
      <c r="F482" s="41"/>
    </row>
    <row r="483" spans="6:6" x14ac:dyDescent="0.25">
      <c r="F483" s="41"/>
    </row>
    <row r="484" spans="6:6" x14ac:dyDescent="0.25">
      <c r="F484" s="41"/>
    </row>
    <row r="485" spans="6:6" x14ac:dyDescent="0.25">
      <c r="F485" s="41"/>
    </row>
    <row r="486" spans="6:6" x14ac:dyDescent="0.25">
      <c r="F486" s="41"/>
    </row>
    <row r="487" spans="6:6" x14ac:dyDescent="0.25">
      <c r="F487" s="41"/>
    </row>
    <row r="488" spans="6:6" x14ac:dyDescent="0.25">
      <c r="F488" s="41"/>
    </row>
    <row r="489" spans="6:6" x14ac:dyDescent="0.25">
      <c r="F489" s="41"/>
    </row>
    <row r="490" spans="6:6" x14ac:dyDescent="0.25">
      <c r="F490" s="41"/>
    </row>
    <row r="491" spans="6:6" x14ac:dyDescent="0.25">
      <c r="F491" s="41"/>
    </row>
    <row r="492" spans="6:6" x14ac:dyDescent="0.25">
      <c r="F492" s="41"/>
    </row>
    <row r="493" spans="6:6" x14ac:dyDescent="0.25">
      <c r="F493" s="41"/>
    </row>
    <row r="494" spans="6:6" x14ac:dyDescent="0.25">
      <c r="F494" s="41"/>
    </row>
    <row r="495" spans="6:6" x14ac:dyDescent="0.25">
      <c r="F495" s="41"/>
    </row>
    <row r="496" spans="6:6" x14ac:dyDescent="0.25">
      <c r="F496" s="41"/>
    </row>
    <row r="497" spans="6:6" x14ac:dyDescent="0.25">
      <c r="F497" s="41"/>
    </row>
    <row r="498" spans="6:6" x14ac:dyDescent="0.25">
      <c r="F498" s="41"/>
    </row>
    <row r="499" spans="6:6" x14ac:dyDescent="0.25">
      <c r="F499" s="41"/>
    </row>
    <row r="500" spans="6:6" x14ac:dyDescent="0.25">
      <c r="F500" s="41"/>
    </row>
    <row r="501" spans="6:6" x14ac:dyDescent="0.25">
      <c r="F501" s="41"/>
    </row>
    <row r="502" spans="6:6" x14ac:dyDescent="0.25">
      <c r="F502" s="41"/>
    </row>
    <row r="503" spans="6:6" x14ac:dyDescent="0.25">
      <c r="F503" s="41"/>
    </row>
    <row r="504" spans="6:6" x14ac:dyDescent="0.25">
      <c r="F504" s="41"/>
    </row>
    <row r="505" spans="6:6" x14ac:dyDescent="0.25">
      <c r="F505" s="41"/>
    </row>
    <row r="506" spans="6:6" x14ac:dyDescent="0.25">
      <c r="F506" s="41"/>
    </row>
    <row r="507" spans="6:6" x14ac:dyDescent="0.25">
      <c r="F507" s="41"/>
    </row>
    <row r="508" spans="6:6" x14ac:dyDescent="0.25">
      <c r="F508" s="41"/>
    </row>
    <row r="509" spans="6:6" x14ac:dyDescent="0.25">
      <c r="F509" s="41"/>
    </row>
    <row r="510" spans="6:6" x14ac:dyDescent="0.25">
      <c r="F510" s="41"/>
    </row>
    <row r="511" spans="6:6" x14ac:dyDescent="0.25">
      <c r="F511" s="41"/>
    </row>
    <row r="512" spans="6:6" x14ac:dyDescent="0.25">
      <c r="F512" s="41"/>
    </row>
    <row r="513" spans="6:6" x14ac:dyDescent="0.25">
      <c r="F513" s="41"/>
    </row>
    <row r="514" spans="6:6" x14ac:dyDescent="0.25">
      <c r="F514" s="41"/>
    </row>
    <row r="515" spans="6:6" x14ac:dyDescent="0.25">
      <c r="F515" s="41"/>
    </row>
    <row r="516" spans="6:6" x14ac:dyDescent="0.25">
      <c r="F516" s="41"/>
    </row>
    <row r="517" spans="6:6" x14ac:dyDescent="0.25">
      <c r="F517" s="41"/>
    </row>
    <row r="518" spans="6:6" x14ac:dyDescent="0.25">
      <c r="F518" s="41"/>
    </row>
    <row r="519" spans="6:6" x14ac:dyDescent="0.25">
      <c r="F519" s="41"/>
    </row>
    <row r="520" spans="6:6" x14ac:dyDescent="0.25">
      <c r="F520" s="41"/>
    </row>
    <row r="521" spans="6:6" x14ac:dyDescent="0.25">
      <c r="F521" s="41"/>
    </row>
    <row r="522" spans="6:6" x14ac:dyDescent="0.25">
      <c r="F522" s="41"/>
    </row>
    <row r="523" spans="6:6" x14ac:dyDescent="0.25">
      <c r="F523" s="41"/>
    </row>
    <row r="524" spans="6:6" x14ac:dyDescent="0.25">
      <c r="F524" s="41"/>
    </row>
    <row r="525" spans="6:6" x14ac:dyDescent="0.25">
      <c r="F525" s="41"/>
    </row>
    <row r="526" spans="6:6" x14ac:dyDescent="0.25">
      <c r="F526" s="41"/>
    </row>
    <row r="527" spans="6:6" x14ac:dyDescent="0.25">
      <c r="F527" s="41"/>
    </row>
    <row r="528" spans="6:6" x14ac:dyDescent="0.25">
      <c r="F528" s="41"/>
    </row>
    <row r="529" spans="6:6" x14ac:dyDescent="0.25">
      <c r="F529" s="41"/>
    </row>
    <row r="530" spans="6:6" x14ac:dyDescent="0.25">
      <c r="F530" s="41"/>
    </row>
    <row r="531" spans="6:6" x14ac:dyDescent="0.25">
      <c r="F531" s="41"/>
    </row>
    <row r="532" spans="6:6" x14ac:dyDescent="0.25">
      <c r="F532" s="41"/>
    </row>
    <row r="533" spans="6:6" x14ac:dyDescent="0.25">
      <c r="F533" s="41"/>
    </row>
    <row r="534" spans="6:6" x14ac:dyDescent="0.25">
      <c r="F534" s="41"/>
    </row>
    <row r="535" spans="6:6" x14ac:dyDescent="0.25">
      <c r="F535" s="41"/>
    </row>
    <row r="536" spans="6:6" x14ac:dyDescent="0.25">
      <c r="F536" s="41"/>
    </row>
    <row r="537" spans="6:6" x14ac:dyDescent="0.25">
      <c r="F537" s="41"/>
    </row>
    <row r="538" spans="6:6" x14ac:dyDescent="0.25">
      <c r="F538" s="41"/>
    </row>
    <row r="539" spans="6:6" x14ac:dyDescent="0.25">
      <c r="F539" s="41"/>
    </row>
    <row r="540" spans="6:6" x14ac:dyDescent="0.25">
      <c r="F540" s="41"/>
    </row>
    <row r="541" spans="6:6" x14ac:dyDescent="0.25">
      <c r="F541" s="41"/>
    </row>
    <row r="542" spans="6:6" x14ac:dyDescent="0.25">
      <c r="F542" s="41"/>
    </row>
    <row r="543" spans="6:6" x14ac:dyDescent="0.25">
      <c r="F543" s="41"/>
    </row>
    <row r="544" spans="6:6" x14ac:dyDescent="0.25">
      <c r="F544" s="41"/>
    </row>
    <row r="545" spans="6:6" x14ac:dyDescent="0.25">
      <c r="F545" s="41"/>
    </row>
    <row r="546" spans="6:6" x14ac:dyDescent="0.25">
      <c r="F546" s="41"/>
    </row>
    <row r="547" spans="6:6" x14ac:dyDescent="0.25">
      <c r="F547" s="41"/>
    </row>
    <row r="548" spans="6:6" x14ac:dyDescent="0.25">
      <c r="F548" s="41"/>
    </row>
    <row r="549" spans="6:6" x14ac:dyDescent="0.25">
      <c r="F549" s="41"/>
    </row>
    <row r="550" spans="6:6" x14ac:dyDescent="0.25">
      <c r="F550" s="41"/>
    </row>
    <row r="551" spans="6:6" x14ac:dyDescent="0.25">
      <c r="F551" s="41"/>
    </row>
    <row r="552" spans="6:6" x14ac:dyDescent="0.25">
      <c r="F552" s="41"/>
    </row>
    <row r="553" spans="6:6" x14ac:dyDescent="0.25">
      <c r="F553" s="41"/>
    </row>
    <row r="554" spans="6:6" x14ac:dyDescent="0.25">
      <c r="F554" s="41"/>
    </row>
    <row r="555" spans="6:6" x14ac:dyDescent="0.25">
      <c r="F555" s="41"/>
    </row>
    <row r="556" spans="6:6" x14ac:dyDescent="0.25">
      <c r="F556" s="41"/>
    </row>
    <row r="557" spans="6:6" x14ac:dyDescent="0.25">
      <c r="F557" s="41"/>
    </row>
    <row r="558" spans="6:6" x14ac:dyDescent="0.25">
      <c r="F558" s="41"/>
    </row>
    <row r="559" spans="6:6" x14ac:dyDescent="0.25">
      <c r="F559" s="41"/>
    </row>
    <row r="560" spans="6:6" x14ac:dyDescent="0.25">
      <c r="F560" s="41"/>
    </row>
    <row r="561" spans="6:6" x14ac:dyDescent="0.25">
      <c r="F561" s="41"/>
    </row>
    <row r="562" spans="6:6" x14ac:dyDescent="0.25">
      <c r="F562" s="41"/>
    </row>
    <row r="563" spans="6:6" x14ac:dyDescent="0.25">
      <c r="F563" s="41"/>
    </row>
    <row r="564" spans="6:6" x14ac:dyDescent="0.25">
      <c r="F564" s="41"/>
    </row>
    <row r="565" spans="6:6" x14ac:dyDescent="0.25">
      <c r="F565" s="41"/>
    </row>
    <row r="566" spans="6:6" x14ac:dyDescent="0.25">
      <c r="F566" s="41"/>
    </row>
    <row r="567" spans="6:6" x14ac:dyDescent="0.25">
      <c r="F567" s="41"/>
    </row>
    <row r="568" spans="6:6" x14ac:dyDescent="0.25">
      <c r="F568" s="41"/>
    </row>
    <row r="569" spans="6:6" x14ac:dyDescent="0.25">
      <c r="F569" s="41"/>
    </row>
    <row r="570" spans="6:6" x14ac:dyDescent="0.25">
      <c r="F570" s="41"/>
    </row>
    <row r="571" spans="6:6" x14ac:dyDescent="0.25">
      <c r="F571" s="41"/>
    </row>
    <row r="572" spans="6:6" x14ac:dyDescent="0.25">
      <c r="F572" s="41"/>
    </row>
    <row r="573" spans="6:6" x14ac:dyDescent="0.25">
      <c r="F573" s="41"/>
    </row>
    <row r="574" spans="6:6" x14ac:dyDescent="0.25">
      <c r="F574" s="41"/>
    </row>
    <row r="575" spans="6:6" x14ac:dyDescent="0.25">
      <c r="F575" s="41"/>
    </row>
    <row r="576" spans="6:6" x14ac:dyDescent="0.25">
      <c r="F576" s="41"/>
    </row>
    <row r="577" spans="6:6" x14ac:dyDescent="0.25">
      <c r="F577" s="41"/>
    </row>
    <row r="578" spans="6:6" x14ac:dyDescent="0.25">
      <c r="F578" s="41"/>
    </row>
    <row r="579" spans="6:6" x14ac:dyDescent="0.25">
      <c r="F579" s="41"/>
    </row>
    <row r="580" spans="6:6" x14ac:dyDescent="0.25">
      <c r="F580" s="41"/>
    </row>
    <row r="581" spans="6:6" x14ac:dyDescent="0.25">
      <c r="F581" s="41"/>
    </row>
    <row r="582" spans="6:6" x14ac:dyDescent="0.25">
      <c r="F582" s="41"/>
    </row>
    <row r="583" spans="6:6" x14ac:dyDescent="0.25">
      <c r="F583" s="41"/>
    </row>
    <row r="584" spans="6:6" x14ac:dyDescent="0.25">
      <c r="F584" s="41"/>
    </row>
    <row r="585" spans="6:6" x14ac:dyDescent="0.25">
      <c r="F585" s="41"/>
    </row>
    <row r="586" spans="6:6" x14ac:dyDescent="0.25">
      <c r="F586" s="41"/>
    </row>
    <row r="587" spans="6:6" x14ac:dyDescent="0.25">
      <c r="F587" s="41"/>
    </row>
    <row r="588" spans="6:6" x14ac:dyDescent="0.25">
      <c r="F588" s="41"/>
    </row>
    <row r="589" spans="6:6" x14ac:dyDescent="0.25">
      <c r="F589" s="41"/>
    </row>
    <row r="590" spans="6:6" x14ac:dyDescent="0.25">
      <c r="F590" s="41"/>
    </row>
    <row r="591" spans="6:6" x14ac:dyDescent="0.25">
      <c r="F591" s="41"/>
    </row>
    <row r="592" spans="6:6" x14ac:dyDescent="0.25">
      <c r="F592" s="41"/>
    </row>
    <row r="593" spans="6:6" x14ac:dyDescent="0.25">
      <c r="F593" s="41"/>
    </row>
    <row r="594" spans="6:6" x14ac:dyDescent="0.25">
      <c r="F594" s="41"/>
    </row>
    <row r="595" spans="6:6" x14ac:dyDescent="0.25">
      <c r="F595" s="41"/>
    </row>
    <row r="596" spans="6:6" x14ac:dyDescent="0.25">
      <c r="F596" s="41"/>
    </row>
    <row r="597" spans="6:6" x14ac:dyDescent="0.25">
      <c r="F597" s="41"/>
    </row>
    <row r="598" spans="6:6" x14ac:dyDescent="0.25">
      <c r="F598" s="41"/>
    </row>
    <row r="599" spans="6:6" x14ac:dyDescent="0.25">
      <c r="F599" s="41"/>
    </row>
    <row r="600" spans="6:6" x14ac:dyDescent="0.25">
      <c r="F600" s="41"/>
    </row>
    <row r="601" spans="6:6" x14ac:dyDescent="0.25">
      <c r="F601" s="41"/>
    </row>
    <row r="602" spans="6:6" x14ac:dyDescent="0.25">
      <c r="F602" s="41"/>
    </row>
    <row r="603" spans="6:6" x14ac:dyDescent="0.25">
      <c r="F603" s="41"/>
    </row>
    <row r="604" spans="6:6" x14ac:dyDescent="0.25">
      <c r="F604" s="41"/>
    </row>
    <row r="605" spans="6:6" x14ac:dyDescent="0.25">
      <c r="F605" s="41"/>
    </row>
    <row r="606" spans="6:6" x14ac:dyDescent="0.25">
      <c r="F606" s="41"/>
    </row>
    <row r="607" spans="6:6" x14ac:dyDescent="0.25">
      <c r="F607" s="41"/>
    </row>
    <row r="608" spans="6:6" x14ac:dyDescent="0.25">
      <c r="F608" s="41"/>
    </row>
    <row r="609" spans="6:6" x14ac:dyDescent="0.25">
      <c r="F609" s="41"/>
    </row>
    <row r="610" spans="6:6" x14ac:dyDescent="0.25">
      <c r="F610" s="41"/>
    </row>
    <row r="611" spans="6:6" x14ac:dyDescent="0.25">
      <c r="F611" s="41"/>
    </row>
    <row r="612" spans="6:6" x14ac:dyDescent="0.25">
      <c r="F612" s="41"/>
    </row>
    <row r="613" spans="6:6" x14ac:dyDescent="0.25">
      <c r="F613" s="41"/>
    </row>
    <row r="614" spans="6:6" x14ac:dyDescent="0.25">
      <c r="F614" s="41"/>
    </row>
    <row r="615" spans="6:6" x14ac:dyDescent="0.25">
      <c r="F615" s="41"/>
    </row>
    <row r="616" spans="6:6" x14ac:dyDescent="0.25">
      <c r="F616" s="41"/>
    </row>
    <row r="617" spans="6:6" x14ac:dyDescent="0.25">
      <c r="F617" s="41"/>
    </row>
    <row r="618" spans="6:6" x14ac:dyDescent="0.25">
      <c r="F618" s="41"/>
    </row>
    <row r="619" spans="6:6" x14ac:dyDescent="0.25">
      <c r="F619" s="41"/>
    </row>
    <row r="620" spans="6:6" x14ac:dyDescent="0.25">
      <c r="F620" s="41"/>
    </row>
    <row r="621" spans="6:6" x14ac:dyDescent="0.25">
      <c r="F621" s="41"/>
    </row>
    <row r="622" spans="6:6" x14ac:dyDescent="0.25">
      <c r="F622" s="41"/>
    </row>
    <row r="623" spans="6:6" x14ac:dyDescent="0.25">
      <c r="F623" s="41"/>
    </row>
    <row r="624" spans="6:6" x14ac:dyDescent="0.25">
      <c r="F624" s="41"/>
    </row>
    <row r="625" spans="6:6" x14ac:dyDescent="0.25">
      <c r="F625" s="41"/>
    </row>
    <row r="626" spans="6:6" x14ac:dyDescent="0.25">
      <c r="F626" s="41"/>
    </row>
    <row r="627" spans="6:6" x14ac:dyDescent="0.25">
      <c r="F627" s="41"/>
    </row>
    <row r="628" spans="6:6" x14ac:dyDescent="0.25">
      <c r="F628" s="41"/>
    </row>
    <row r="629" spans="6:6" x14ac:dyDescent="0.25">
      <c r="F629" s="41"/>
    </row>
    <row r="630" spans="6:6" x14ac:dyDescent="0.25">
      <c r="F630" s="41"/>
    </row>
    <row r="631" spans="6:6" x14ac:dyDescent="0.25">
      <c r="F631" s="41"/>
    </row>
    <row r="632" spans="6:6" x14ac:dyDescent="0.25">
      <c r="F632" s="41"/>
    </row>
    <row r="633" spans="6:6" x14ac:dyDescent="0.25">
      <c r="F633" s="41"/>
    </row>
    <row r="634" spans="6:6" x14ac:dyDescent="0.25">
      <c r="F634" s="41"/>
    </row>
    <row r="635" spans="6:6" x14ac:dyDescent="0.25">
      <c r="F635" s="41"/>
    </row>
    <row r="636" spans="6:6" x14ac:dyDescent="0.25">
      <c r="F636" s="41"/>
    </row>
    <row r="637" spans="6:6" x14ac:dyDescent="0.25">
      <c r="F637" s="41"/>
    </row>
    <row r="638" spans="6:6" x14ac:dyDescent="0.25">
      <c r="F638" s="41"/>
    </row>
    <row r="639" spans="6:6" x14ac:dyDescent="0.25">
      <c r="F639" s="41"/>
    </row>
    <row r="640" spans="6:6" x14ac:dyDescent="0.25">
      <c r="F640" s="41"/>
    </row>
    <row r="641" spans="6:6" x14ac:dyDescent="0.25">
      <c r="F641" s="41"/>
    </row>
    <row r="642" spans="6:6" x14ac:dyDescent="0.25">
      <c r="F642" s="41"/>
    </row>
    <row r="643" spans="6:6" x14ac:dyDescent="0.25">
      <c r="F643" s="41"/>
    </row>
    <row r="644" spans="6:6" x14ac:dyDescent="0.25">
      <c r="F644" s="41"/>
    </row>
    <row r="645" spans="6:6" x14ac:dyDescent="0.25">
      <c r="F645" s="41"/>
    </row>
    <row r="646" spans="6:6" x14ac:dyDescent="0.25">
      <c r="F646" s="41"/>
    </row>
    <row r="647" spans="6:6" x14ac:dyDescent="0.25">
      <c r="F647" s="41"/>
    </row>
    <row r="648" spans="6:6" x14ac:dyDescent="0.25">
      <c r="F648" s="41"/>
    </row>
    <row r="649" spans="6:6" x14ac:dyDescent="0.25">
      <c r="F649" s="41"/>
    </row>
    <row r="650" spans="6:6" x14ac:dyDescent="0.25">
      <c r="F650" s="41"/>
    </row>
    <row r="651" spans="6:6" x14ac:dyDescent="0.25">
      <c r="F651" s="41"/>
    </row>
    <row r="652" spans="6:6" x14ac:dyDescent="0.25">
      <c r="F652" s="41"/>
    </row>
    <row r="653" spans="6:6" x14ac:dyDescent="0.25">
      <c r="F653" s="41"/>
    </row>
    <row r="654" spans="6:6" x14ac:dyDescent="0.25">
      <c r="F654" s="41"/>
    </row>
    <row r="655" spans="6:6" x14ac:dyDescent="0.25">
      <c r="F655" s="41"/>
    </row>
    <row r="656" spans="6:6" x14ac:dyDescent="0.25">
      <c r="F656" s="41"/>
    </row>
    <row r="657" spans="6:6" x14ac:dyDescent="0.25">
      <c r="F657" s="41"/>
    </row>
    <row r="658" spans="6:6" x14ac:dyDescent="0.25">
      <c r="F658" s="41"/>
    </row>
    <row r="659" spans="6:6" x14ac:dyDescent="0.25">
      <c r="F659" s="41"/>
    </row>
    <row r="660" spans="6:6" x14ac:dyDescent="0.25">
      <c r="F660" s="41"/>
    </row>
    <row r="661" spans="6:6" x14ac:dyDescent="0.25">
      <c r="F661" s="41"/>
    </row>
    <row r="662" spans="6:6" x14ac:dyDescent="0.25">
      <c r="F662" s="41"/>
    </row>
    <row r="663" spans="6:6" x14ac:dyDescent="0.25">
      <c r="F663" s="41"/>
    </row>
    <row r="664" spans="6:6" x14ac:dyDescent="0.25">
      <c r="F664" s="41"/>
    </row>
    <row r="665" spans="6:6" x14ac:dyDescent="0.25">
      <c r="F665" s="41"/>
    </row>
    <row r="666" spans="6:6" x14ac:dyDescent="0.25">
      <c r="F666" s="41"/>
    </row>
    <row r="667" spans="6:6" x14ac:dyDescent="0.25">
      <c r="F667" s="41"/>
    </row>
    <row r="668" spans="6:6" x14ac:dyDescent="0.25">
      <c r="F668" s="41"/>
    </row>
    <row r="669" spans="6:6" x14ac:dyDescent="0.25">
      <c r="F669" s="41"/>
    </row>
    <row r="670" spans="6:6" x14ac:dyDescent="0.25">
      <c r="F670" s="41"/>
    </row>
    <row r="671" spans="6:6" x14ac:dyDescent="0.25">
      <c r="F671" s="41"/>
    </row>
    <row r="672" spans="6:6" x14ac:dyDescent="0.25">
      <c r="F672" s="41"/>
    </row>
    <row r="673" spans="6:6" x14ac:dyDescent="0.25">
      <c r="F673" s="41"/>
    </row>
    <row r="674" spans="6:6" x14ac:dyDescent="0.25">
      <c r="F674" s="41"/>
    </row>
    <row r="675" spans="6:6" x14ac:dyDescent="0.25">
      <c r="F675" s="41"/>
    </row>
    <row r="676" spans="6:6" x14ac:dyDescent="0.25">
      <c r="F676" s="41"/>
    </row>
    <row r="677" spans="6:6" x14ac:dyDescent="0.25">
      <c r="F677" s="41"/>
    </row>
    <row r="678" spans="6:6" x14ac:dyDescent="0.25">
      <c r="F678" s="41"/>
    </row>
    <row r="679" spans="6:6" x14ac:dyDescent="0.25">
      <c r="F679" s="41"/>
    </row>
    <row r="680" spans="6:6" x14ac:dyDescent="0.25">
      <c r="F680" s="41"/>
    </row>
    <row r="681" spans="6:6" x14ac:dyDescent="0.25">
      <c r="F681" s="41"/>
    </row>
    <row r="682" spans="6:6" x14ac:dyDescent="0.25">
      <c r="F682" s="41"/>
    </row>
    <row r="683" spans="6:6" x14ac:dyDescent="0.25">
      <c r="F683" s="41"/>
    </row>
    <row r="684" spans="6:6" x14ac:dyDescent="0.25">
      <c r="F684" s="41"/>
    </row>
    <row r="685" spans="6:6" x14ac:dyDescent="0.25">
      <c r="F685" s="41"/>
    </row>
    <row r="686" spans="6:6" x14ac:dyDescent="0.25">
      <c r="F686" s="41"/>
    </row>
    <row r="687" spans="6:6" x14ac:dyDescent="0.25">
      <c r="F687" s="41"/>
    </row>
    <row r="688" spans="6:6" x14ac:dyDescent="0.25">
      <c r="F688" s="41"/>
    </row>
    <row r="689" spans="6:6" x14ac:dyDescent="0.25">
      <c r="F689" s="41"/>
    </row>
    <row r="690" spans="6:6" x14ac:dyDescent="0.25">
      <c r="F690" s="41"/>
    </row>
    <row r="691" spans="6:6" x14ac:dyDescent="0.25">
      <c r="F691" s="41"/>
    </row>
    <row r="692" spans="6:6" x14ac:dyDescent="0.25">
      <c r="F692" s="41"/>
    </row>
    <row r="693" spans="6:6" x14ac:dyDescent="0.25">
      <c r="F693" s="41"/>
    </row>
    <row r="694" spans="6:6" x14ac:dyDescent="0.25">
      <c r="F694" s="41"/>
    </row>
    <row r="695" spans="6:6" x14ac:dyDescent="0.25">
      <c r="F695" s="41"/>
    </row>
    <row r="696" spans="6:6" x14ac:dyDescent="0.25">
      <c r="F696" s="41"/>
    </row>
    <row r="697" spans="6:6" x14ac:dyDescent="0.25">
      <c r="F697" s="41"/>
    </row>
    <row r="698" spans="6:6" x14ac:dyDescent="0.25">
      <c r="F698" s="41"/>
    </row>
    <row r="699" spans="6:6" x14ac:dyDescent="0.25">
      <c r="F699" s="41"/>
    </row>
    <row r="700" spans="6:6" x14ac:dyDescent="0.25">
      <c r="F700" s="41"/>
    </row>
    <row r="701" spans="6:6" x14ac:dyDescent="0.25">
      <c r="F701" s="41"/>
    </row>
    <row r="702" spans="6:6" x14ac:dyDescent="0.25">
      <c r="F702" s="41"/>
    </row>
    <row r="703" spans="6:6" x14ac:dyDescent="0.25">
      <c r="F703" s="41"/>
    </row>
    <row r="704" spans="6:6" x14ac:dyDescent="0.25">
      <c r="F704" s="41"/>
    </row>
    <row r="705" spans="6:6" x14ac:dyDescent="0.25">
      <c r="F705" s="41"/>
    </row>
    <row r="706" spans="6:6" x14ac:dyDescent="0.25">
      <c r="F706" s="41"/>
    </row>
    <row r="707" spans="6:6" x14ac:dyDescent="0.25">
      <c r="F707" s="41"/>
    </row>
    <row r="708" spans="6:6" x14ac:dyDescent="0.25">
      <c r="F708" s="41"/>
    </row>
    <row r="709" spans="6:6" x14ac:dyDescent="0.25">
      <c r="F709" s="41"/>
    </row>
    <row r="710" spans="6:6" x14ac:dyDescent="0.25">
      <c r="F710" s="41"/>
    </row>
    <row r="711" spans="6:6" x14ac:dyDescent="0.25">
      <c r="F711" s="41"/>
    </row>
    <row r="712" spans="6:6" x14ac:dyDescent="0.25">
      <c r="F712" s="41"/>
    </row>
    <row r="713" spans="6:6" x14ac:dyDescent="0.25">
      <c r="F713" s="41"/>
    </row>
    <row r="714" spans="6:6" x14ac:dyDescent="0.25">
      <c r="F714" s="41"/>
    </row>
    <row r="715" spans="6:6" x14ac:dyDescent="0.25">
      <c r="F715" s="41"/>
    </row>
    <row r="716" spans="6:6" x14ac:dyDescent="0.25">
      <c r="F716" s="41"/>
    </row>
    <row r="717" spans="6:6" x14ac:dyDescent="0.25">
      <c r="F717" s="41"/>
    </row>
    <row r="718" spans="6:6" x14ac:dyDescent="0.25">
      <c r="F718" s="41"/>
    </row>
    <row r="719" spans="6:6" x14ac:dyDescent="0.25">
      <c r="F719" s="41"/>
    </row>
    <row r="720" spans="6:6" x14ac:dyDescent="0.25">
      <c r="F720" s="41"/>
    </row>
    <row r="721" spans="6:6" x14ac:dyDescent="0.25">
      <c r="F721" s="41"/>
    </row>
    <row r="722" spans="6:6" x14ac:dyDescent="0.25">
      <c r="F722" s="41"/>
    </row>
    <row r="723" spans="6:6" x14ac:dyDescent="0.25">
      <c r="F723" s="41"/>
    </row>
    <row r="724" spans="6:6" x14ac:dyDescent="0.25">
      <c r="F724" s="41"/>
    </row>
    <row r="725" spans="6:6" x14ac:dyDescent="0.25">
      <c r="F725" s="41"/>
    </row>
    <row r="726" spans="6:6" x14ac:dyDescent="0.25">
      <c r="F726" s="41"/>
    </row>
    <row r="727" spans="6:6" x14ac:dyDescent="0.25">
      <c r="F727" s="41"/>
    </row>
    <row r="728" spans="6:6" x14ac:dyDescent="0.25">
      <c r="F728" s="41"/>
    </row>
    <row r="729" spans="6:6" x14ac:dyDescent="0.25">
      <c r="F729" s="41"/>
    </row>
    <row r="730" spans="6:6" x14ac:dyDescent="0.25">
      <c r="F730" s="41"/>
    </row>
    <row r="731" spans="6:6" x14ac:dyDescent="0.25">
      <c r="F731" s="41"/>
    </row>
    <row r="732" spans="6:6" x14ac:dyDescent="0.25">
      <c r="F732" s="41"/>
    </row>
    <row r="733" spans="6:6" x14ac:dyDescent="0.25">
      <c r="F733" s="41"/>
    </row>
    <row r="734" spans="6:6" x14ac:dyDescent="0.25">
      <c r="F734" s="41"/>
    </row>
    <row r="735" spans="6:6" x14ac:dyDescent="0.25">
      <c r="F735" s="41"/>
    </row>
    <row r="736" spans="6:6" x14ac:dyDescent="0.25">
      <c r="F736" s="41"/>
    </row>
    <row r="737" spans="6:6" x14ac:dyDescent="0.25">
      <c r="F737" s="41"/>
    </row>
    <row r="738" spans="6:6" x14ac:dyDescent="0.25">
      <c r="F738" s="41"/>
    </row>
    <row r="739" spans="6:6" x14ac:dyDescent="0.25">
      <c r="F739" s="41"/>
    </row>
    <row r="740" spans="6:6" x14ac:dyDescent="0.25">
      <c r="F740" s="41"/>
    </row>
    <row r="741" spans="6:6" x14ac:dyDescent="0.25">
      <c r="F741" s="41"/>
    </row>
    <row r="742" spans="6:6" x14ac:dyDescent="0.25">
      <c r="F742" s="41"/>
    </row>
    <row r="743" spans="6:6" x14ac:dyDescent="0.25">
      <c r="F743" s="41"/>
    </row>
    <row r="744" spans="6:6" x14ac:dyDescent="0.25">
      <c r="F744" s="41"/>
    </row>
    <row r="745" spans="6:6" x14ac:dyDescent="0.25">
      <c r="F745" s="41"/>
    </row>
    <row r="746" spans="6:6" x14ac:dyDescent="0.25">
      <c r="F746" s="41"/>
    </row>
    <row r="747" spans="6:6" x14ac:dyDescent="0.25">
      <c r="F747" s="41"/>
    </row>
    <row r="748" spans="6:6" x14ac:dyDescent="0.25">
      <c r="F748" s="41"/>
    </row>
    <row r="749" spans="6:6" x14ac:dyDescent="0.25">
      <c r="F749" s="41"/>
    </row>
    <row r="750" spans="6:6" x14ac:dyDescent="0.25">
      <c r="F750" s="41"/>
    </row>
    <row r="751" spans="6:6" x14ac:dyDescent="0.25">
      <c r="F751" s="41"/>
    </row>
    <row r="752" spans="6:6" x14ac:dyDescent="0.25">
      <c r="F752" s="41"/>
    </row>
    <row r="753" spans="6:6" x14ac:dyDescent="0.25">
      <c r="F753" s="41"/>
    </row>
    <row r="754" spans="6:6" x14ac:dyDescent="0.25">
      <c r="F754" s="41"/>
    </row>
    <row r="755" spans="6:6" x14ac:dyDescent="0.25">
      <c r="F755" s="41"/>
    </row>
    <row r="756" spans="6:6" x14ac:dyDescent="0.25">
      <c r="F756" s="41"/>
    </row>
    <row r="757" spans="6:6" x14ac:dyDescent="0.25">
      <c r="F757" s="41"/>
    </row>
    <row r="758" spans="6:6" x14ac:dyDescent="0.25">
      <c r="F758" s="41"/>
    </row>
    <row r="759" spans="6:6" x14ac:dyDescent="0.25">
      <c r="F759" s="41"/>
    </row>
    <row r="760" spans="6:6" x14ac:dyDescent="0.25">
      <c r="F760" s="41"/>
    </row>
    <row r="761" spans="6:6" x14ac:dyDescent="0.25">
      <c r="F761" s="41"/>
    </row>
    <row r="762" spans="6:6" x14ac:dyDescent="0.25">
      <c r="F762" s="41"/>
    </row>
    <row r="763" spans="6:6" x14ac:dyDescent="0.25">
      <c r="F763" s="41"/>
    </row>
    <row r="764" spans="6:6" x14ac:dyDescent="0.25">
      <c r="F764" s="41"/>
    </row>
    <row r="765" spans="6:6" x14ac:dyDescent="0.25">
      <c r="F765" s="41"/>
    </row>
    <row r="766" spans="6:6" x14ac:dyDescent="0.25">
      <c r="F766" s="41"/>
    </row>
    <row r="767" spans="6:6" x14ac:dyDescent="0.25">
      <c r="F767" s="41"/>
    </row>
    <row r="768" spans="6:6" x14ac:dyDescent="0.25">
      <c r="F768" s="41"/>
    </row>
    <row r="769" spans="6:6" x14ac:dyDescent="0.25">
      <c r="F769" s="41"/>
    </row>
    <row r="770" spans="6:6" x14ac:dyDescent="0.25">
      <c r="F770" s="41"/>
    </row>
    <row r="771" spans="6:6" x14ac:dyDescent="0.25">
      <c r="F771" s="41"/>
    </row>
    <row r="772" spans="6:6" x14ac:dyDescent="0.25">
      <c r="F772" s="41"/>
    </row>
    <row r="773" spans="6:6" x14ac:dyDescent="0.25">
      <c r="F773" s="41"/>
    </row>
    <row r="774" spans="6:6" x14ac:dyDescent="0.25">
      <c r="F774" s="41"/>
    </row>
    <row r="775" spans="6:6" x14ac:dyDescent="0.25">
      <c r="F775" s="41"/>
    </row>
    <row r="776" spans="6:6" x14ac:dyDescent="0.25">
      <c r="F776" s="41"/>
    </row>
    <row r="777" spans="6:6" x14ac:dyDescent="0.25">
      <c r="F777" s="41"/>
    </row>
    <row r="778" spans="6:6" x14ac:dyDescent="0.25">
      <c r="F778" s="41"/>
    </row>
    <row r="779" spans="6:6" x14ac:dyDescent="0.25">
      <c r="F779" s="41"/>
    </row>
    <row r="780" spans="6:6" x14ac:dyDescent="0.25">
      <c r="F780" s="41"/>
    </row>
    <row r="781" spans="6:6" x14ac:dyDescent="0.25">
      <c r="F781" s="41"/>
    </row>
    <row r="782" spans="6:6" x14ac:dyDescent="0.25">
      <c r="F782" s="41"/>
    </row>
    <row r="783" spans="6:6" x14ac:dyDescent="0.25">
      <c r="F783" s="41"/>
    </row>
    <row r="784" spans="6:6" x14ac:dyDescent="0.25">
      <c r="F784" s="41"/>
    </row>
    <row r="785" spans="6:6" x14ac:dyDescent="0.25">
      <c r="F785" s="41"/>
    </row>
    <row r="786" spans="6:6" x14ac:dyDescent="0.25">
      <c r="F786" s="41"/>
    </row>
    <row r="787" spans="6:6" x14ac:dyDescent="0.25">
      <c r="F787" s="41"/>
    </row>
    <row r="788" spans="6:6" x14ac:dyDescent="0.25">
      <c r="F788" s="41"/>
    </row>
    <row r="789" spans="6:6" x14ac:dyDescent="0.25">
      <c r="F789" s="41"/>
    </row>
    <row r="790" spans="6:6" x14ac:dyDescent="0.25">
      <c r="F790" s="41"/>
    </row>
    <row r="791" spans="6:6" x14ac:dyDescent="0.25">
      <c r="F791" s="41"/>
    </row>
    <row r="792" spans="6:6" x14ac:dyDescent="0.25">
      <c r="F792" s="41"/>
    </row>
    <row r="793" spans="6:6" x14ac:dyDescent="0.25">
      <c r="F793" s="41"/>
    </row>
    <row r="794" spans="6:6" x14ac:dyDescent="0.25">
      <c r="F794" s="41"/>
    </row>
    <row r="795" spans="6:6" x14ac:dyDescent="0.25">
      <c r="F795" s="41"/>
    </row>
    <row r="796" spans="6:6" x14ac:dyDescent="0.25">
      <c r="F796" s="41"/>
    </row>
    <row r="797" spans="6:6" x14ac:dyDescent="0.25">
      <c r="F797" s="41"/>
    </row>
    <row r="798" spans="6:6" x14ac:dyDescent="0.25">
      <c r="F798" s="41"/>
    </row>
    <row r="799" spans="6:6" x14ac:dyDescent="0.25">
      <c r="F799" s="41"/>
    </row>
    <row r="800" spans="6:6" x14ac:dyDescent="0.25">
      <c r="F800" s="41"/>
    </row>
    <row r="801" spans="6:6" x14ac:dyDescent="0.25">
      <c r="F801" s="41"/>
    </row>
    <row r="802" spans="6:6" x14ac:dyDescent="0.25">
      <c r="F802" s="41"/>
    </row>
    <row r="803" spans="6:6" x14ac:dyDescent="0.25">
      <c r="F803" s="41"/>
    </row>
    <row r="804" spans="6:6" x14ac:dyDescent="0.25">
      <c r="F804" s="41"/>
    </row>
    <row r="805" spans="6:6" x14ac:dyDescent="0.25">
      <c r="F805" s="41"/>
    </row>
    <row r="806" spans="6:6" x14ac:dyDescent="0.25">
      <c r="F806" s="41"/>
    </row>
    <row r="807" spans="6:6" x14ac:dyDescent="0.25">
      <c r="F807" s="41"/>
    </row>
    <row r="808" spans="6:6" x14ac:dyDescent="0.25">
      <c r="F808" s="41"/>
    </row>
    <row r="809" spans="6:6" x14ac:dyDescent="0.25">
      <c r="F809" s="41"/>
    </row>
    <row r="810" spans="6:6" x14ac:dyDescent="0.25">
      <c r="F810" s="41"/>
    </row>
    <row r="811" spans="6:6" x14ac:dyDescent="0.25">
      <c r="F811" s="41"/>
    </row>
    <row r="812" spans="6:6" x14ac:dyDescent="0.25">
      <c r="F812" s="41"/>
    </row>
    <row r="813" spans="6:6" x14ac:dyDescent="0.25">
      <c r="F813" s="41"/>
    </row>
    <row r="814" spans="6:6" x14ac:dyDescent="0.25">
      <c r="F814" s="41"/>
    </row>
    <row r="815" spans="6:6" x14ac:dyDescent="0.25">
      <c r="F815" s="41"/>
    </row>
    <row r="816" spans="6:6" x14ac:dyDescent="0.25">
      <c r="F816" s="41"/>
    </row>
    <row r="817" spans="6:6" x14ac:dyDescent="0.25">
      <c r="F817" s="41"/>
    </row>
    <row r="818" spans="6:6" x14ac:dyDescent="0.25">
      <c r="F818" s="41"/>
    </row>
    <row r="819" spans="6:6" x14ac:dyDescent="0.25">
      <c r="F819" s="41"/>
    </row>
    <row r="820" spans="6:6" x14ac:dyDescent="0.25">
      <c r="F820" s="41"/>
    </row>
    <row r="821" spans="6:6" x14ac:dyDescent="0.25">
      <c r="F821" s="41"/>
    </row>
    <row r="822" spans="6:6" x14ac:dyDescent="0.25">
      <c r="F822" s="41"/>
    </row>
    <row r="823" spans="6:6" x14ac:dyDescent="0.25">
      <c r="F823" s="41"/>
    </row>
    <row r="824" spans="6:6" x14ac:dyDescent="0.25">
      <c r="F824" s="41"/>
    </row>
    <row r="825" spans="6:6" x14ac:dyDescent="0.25">
      <c r="F825" s="41"/>
    </row>
    <row r="826" spans="6:6" x14ac:dyDescent="0.25">
      <c r="F826" s="41"/>
    </row>
    <row r="827" spans="6:6" x14ac:dyDescent="0.25">
      <c r="F827" s="41"/>
    </row>
    <row r="828" spans="6:6" x14ac:dyDescent="0.25">
      <c r="F828" s="41"/>
    </row>
    <row r="829" spans="6:6" x14ac:dyDescent="0.25">
      <c r="F829" s="41"/>
    </row>
    <row r="830" spans="6:6" x14ac:dyDescent="0.25">
      <c r="F830" s="41"/>
    </row>
    <row r="831" spans="6:6" x14ac:dyDescent="0.25">
      <c r="F831" s="41"/>
    </row>
    <row r="832" spans="6:6" x14ac:dyDescent="0.25">
      <c r="F832" s="41"/>
    </row>
    <row r="833" spans="6:6" x14ac:dyDescent="0.25">
      <c r="F833" s="41"/>
    </row>
    <row r="834" spans="6:6" x14ac:dyDescent="0.25">
      <c r="F834" s="41"/>
    </row>
    <row r="835" spans="6:6" x14ac:dyDescent="0.25">
      <c r="F835" s="41"/>
    </row>
    <row r="836" spans="6:6" x14ac:dyDescent="0.25">
      <c r="F836" s="41"/>
    </row>
    <row r="837" spans="6:6" x14ac:dyDescent="0.25">
      <c r="F837" s="41"/>
    </row>
    <row r="838" spans="6:6" x14ac:dyDescent="0.25">
      <c r="F838" s="41"/>
    </row>
    <row r="839" spans="6:6" x14ac:dyDescent="0.25">
      <c r="F839" s="41"/>
    </row>
    <row r="840" spans="6:6" x14ac:dyDescent="0.25">
      <c r="F840" s="41"/>
    </row>
    <row r="841" spans="6:6" x14ac:dyDescent="0.25">
      <c r="F841" s="41"/>
    </row>
    <row r="842" spans="6:6" x14ac:dyDescent="0.25">
      <c r="F842" s="41"/>
    </row>
    <row r="843" spans="6:6" x14ac:dyDescent="0.25">
      <c r="F843" s="41"/>
    </row>
    <row r="844" spans="6:6" x14ac:dyDescent="0.25">
      <c r="F844" s="41"/>
    </row>
    <row r="845" spans="6:6" x14ac:dyDescent="0.25">
      <c r="F845" s="41"/>
    </row>
    <row r="846" spans="6:6" x14ac:dyDescent="0.25">
      <c r="F846" s="41"/>
    </row>
    <row r="847" spans="6:6" x14ac:dyDescent="0.25">
      <c r="F847" s="41"/>
    </row>
    <row r="848" spans="6:6" x14ac:dyDescent="0.25">
      <c r="F848" s="41"/>
    </row>
    <row r="849" spans="6:6" x14ac:dyDescent="0.25">
      <c r="F849" s="41"/>
    </row>
    <row r="850" spans="6:6" x14ac:dyDescent="0.25">
      <c r="F850" s="41"/>
    </row>
    <row r="851" spans="6:6" x14ac:dyDescent="0.25">
      <c r="F851" s="41"/>
    </row>
    <row r="852" spans="6:6" x14ac:dyDescent="0.25">
      <c r="F852" s="41"/>
    </row>
    <row r="853" spans="6:6" x14ac:dyDescent="0.25">
      <c r="F853" s="41"/>
    </row>
    <row r="854" spans="6:6" x14ac:dyDescent="0.25">
      <c r="F854" s="41"/>
    </row>
    <row r="855" spans="6:6" x14ac:dyDescent="0.25">
      <c r="F855" s="41"/>
    </row>
    <row r="856" spans="6:6" x14ac:dyDescent="0.25">
      <c r="F856" s="41"/>
    </row>
    <row r="857" spans="6:6" x14ac:dyDescent="0.25">
      <c r="F857" s="41"/>
    </row>
    <row r="858" spans="6:6" x14ac:dyDescent="0.25">
      <c r="F858" s="41"/>
    </row>
    <row r="859" spans="6:6" x14ac:dyDescent="0.25">
      <c r="F859" s="41"/>
    </row>
    <row r="860" spans="6:6" x14ac:dyDescent="0.25">
      <c r="F860" s="41"/>
    </row>
    <row r="861" spans="6:6" x14ac:dyDescent="0.25">
      <c r="F861" s="41"/>
    </row>
    <row r="862" spans="6:6" x14ac:dyDescent="0.25">
      <c r="F862" s="41"/>
    </row>
    <row r="863" spans="6:6" x14ac:dyDescent="0.25">
      <c r="F863" s="41"/>
    </row>
    <row r="864" spans="6:6" x14ac:dyDescent="0.25">
      <c r="F864" s="41"/>
    </row>
    <row r="865" spans="6:6" x14ac:dyDescent="0.25">
      <c r="F865" s="41"/>
    </row>
    <row r="866" spans="6:6" x14ac:dyDescent="0.25">
      <c r="F866" s="41"/>
    </row>
    <row r="867" spans="6:6" x14ac:dyDescent="0.25">
      <c r="F867" s="41"/>
    </row>
    <row r="868" spans="6:6" x14ac:dyDescent="0.25">
      <c r="F868" s="41"/>
    </row>
    <row r="869" spans="6:6" x14ac:dyDescent="0.25">
      <c r="F869" s="41"/>
    </row>
    <row r="870" spans="6:6" x14ac:dyDescent="0.25">
      <c r="F870" s="41"/>
    </row>
    <row r="871" spans="6:6" x14ac:dyDescent="0.25">
      <c r="F871" s="41"/>
    </row>
    <row r="872" spans="6:6" x14ac:dyDescent="0.25">
      <c r="F872" s="41"/>
    </row>
    <row r="873" spans="6:6" x14ac:dyDescent="0.25">
      <c r="F873" s="41"/>
    </row>
    <row r="874" spans="6:6" x14ac:dyDescent="0.25">
      <c r="F874" s="41"/>
    </row>
    <row r="875" spans="6:6" x14ac:dyDescent="0.25">
      <c r="F875" s="41"/>
    </row>
    <row r="876" spans="6:6" x14ac:dyDescent="0.25">
      <c r="F876" s="41"/>
    </row>
    <row r="877" spans="6:6" x14ac:dyDescent="0.25">
      <c r="F877" s="41"/>
    </row>
    <row r="878" spans="6:6" x14ac:dyDescent="0.25">
      <c r="F878" s="41"/>
    </row>
    <row r="879" spans="6:6" x14ac:dyDescent="0.25">
      <c r="F879" s="41"/>
    </row>
    <row r="880" spans="6:6" x14ac:dyDescent="0.25">
      <c r="F880" s="41"/>
    </row>
    <row r="881" spans="6:6" x14ac:dyDescent="0.25">
      <c r="F881" s="41"/>
    </row>
    <row r="882" spans="6:6" x14ac:dyDescent="0.25">
      <c r="F882" s="41"/>
    </row>
    <row r="883" spans="6:6" x14ac:dyDescent="0.25">
      <c r="F883" s="41"/>
    </row>
    <row r="884" spans="6:6" x14ac:dyDescent="0.25">
      <c r="F884" s="41"/>
    </row>
    <row r="885" spans="6:6" x14ac:dyDescent="0.25">
      <c r="F885" s="41"/>
    </row>
    <row r="886" spans="6:6" x14ac:dyDescent="0.25">
      <c r="F886" s="41"/>
    </row>
    <row r="887" spans="6:6" x14ac:dyDescent="0.25">
      <c r="F887" s="41"/>
    </row>
    <row r="888" spans="6:6" x14ac:dyDescent="0.25">
      <c r="F888" s="41"/>
    </row>
    <row r="889" spans="6:6" x14ac:dyDescent="0.25">
      <c r="F889" s="41"/>
    </row>
    <row r="890" spans="6:6" x14ac:dyDescent="0.25">
      <c r="F890" s="41"/>
    </row>
    <row r="891" spans="6:6" x14ac:dyDescent="0.25">
      <c r="F891" s="41"/>
    </row>
    <row r="892" spans="6:6" x14ac:dyDescent="0.25">
      <c r="F892" s="41"/>
    </row>
    <row r="893" spans="6:6" x14ac:dyDescent="0.25">
      <c r="F893" s="41"/>
    </row>
    <row r="894" spans="6:6" x14ac:dyDescent="0.25">
      <c r="F894" s="41"/>
    </row>
    <row r="895" spans="6:6" x14ac:dyDescent="0.25">
      <c r="F895" s="41"/>
    </row>
    <row r="896" spans="6:6" x14ac:dyDescent="0.25">
      <c r="F896" s="41"/>
    </row>
    <row r="897" spans="6:6" x14ac:dyDescent="0.25">
      <c r="F897" s="41"/>
    </row>
    <row r="898" spans="6:6" x14ac:dyDescent="0.25">
      <c r="F898" s="41"/>
    </row>
    <row r="899" spans="6:6" x14ac:dyDescent="0.25">
      <c r="F899" s="41"/>
    </row>
    <row r="900" spans="6:6" x14ac:dyDescent="0.25">
      <c r="F900" s="41"/>
    </row>
    <row r="901" spans="6:6" x14ac:dyDescent="0.25">
      <c r="F901" s="41"/>
    </row>
    <row r="902" spans="6:6" x14ac:dyDescent="0.25">
      <c r="F902" s="41"/>
    </row>
    <row r="903" spans="6:6" x14ac:dyDescent="0.25">
      <c r="F903" s="41"/>
    </row>
    <row r="904" spans="6:6" x14ac:dyDescent="0.25">
      <c r="F904" s="41"/>
    </row>
    <row r="905" spans="6:6" x14ac:dyDescent="0.25">
      <c r="F905" s="41"/>
    </row>
    <row r="906" spans="6:6" x14ac:dyDescent="0.25">
      <c r="F906" s="41"/>
    </row>
    <row r="907" spans="6:6" x14ac:dyDescent="0.25">
      <c r="F907" s="41"/>
    </row>
    <row r="908" spans="6:6" x14ac:dyDescent="0.25">
      <c r="F908" s="41"/>
    </row>
    <row r="909" spans="6:6" x14ac:dyDescent="0.25">
      <c r="F909" s="41"/>
    </row>
    <row r="910" spans="6:6" x14ac:dyDescent="0.25">
      <c r="F910" s="41"/>
    </row>
    <row r="911" spans="6:6" x14ac:dyDescent="0.25">
      <c r="F911" s="41"/>
    </row>
    <row r="912" spans="6:6" x14ac:dyDescent="0.25">
      <c r="F912" s="41"/>
    </row>
    <row r="913" spans="6:6" x14ac:dyDescent="0.25">
      <c r="F913" s="41"/>
    </row>
    <row r="914" spans="6:6" x14ac:dyDescent="0.25">
      <c r="F914" s="41"/>
    </row>
    <row r="915" spans="6:6" x14ac:dyDescent="0.25">
      <c r="F915" s="41"/>
    </row>
    <row r="916" spans="6:6" x14ac:dyDescent="0.25">
      <c r="F916" s="41"/>
    </row>
    <row r="917" spans="6:6" x14ac:dyDescent="0.25">
      <c r="F917" s="41"/>
    </row>
    <row r="918" spans="6:6" x14ac:dyDescent="0.25">
      <c r="F918" s="41"/>
    </row>
    <row r="919" spans="6:6" x14ac:dyDescent="0.25">
      <c r="F919" s="41"/>
    </row>
    <row r="920" spans="6:6" x14ac:dyDescent="0.25">
      <c r="F920" s="41"/>
    </row>
    <row r="921" spans="6:6" x14ac:dyDescent="0.25">
      <c r="F921" s="41"/>
    </row>
    <row r="922" spans="6:6" x14ac:dyDescent="0.25">
      <c r="F922" s="41"/>
    </row>
    <row r="923" spans="6:6" x14ac:dyDescent="0.25">
      <c r="F923" s="41"/>
    </row>
    <row r="924" spans="6:6" x14ac:dyDescent="0.25">
      <c r="F924" s="41"/>
    </row>
    <row r="925" spans="6:6" x14ac:dyDescent="0.25">
      <c r="F925" s="41"/>
    </row>
    <row r="926" spans="6:6" x14ac:dyDescent="0.25">
      <c r="F926" s="41"/>
    </row>
    <row r="927" spans="6:6" x14ac:dyDescent="0.25">
      <c r="F927" s="41"/>
    </row>
    <row r="928" spans="6:6" x14ac:dyDescent="0.25">
      <c r="F928" s="41"/>
    </row>
    <row r="929" spans="6:6" x14ac:dyDescent="0.25">
      <c r="F929" s="41"/>
    </row>
    <row r="930" spans="6:6" x14ac:dyDescent="0.25">
      <c r="F930" s="41"/>
    </row>
    <row r="931" spans="6:6" x14ac:dyDescent="0.25">
      <c r="F931" s="41"/>
    </row>
    <row r="932" spans="6:6" x14ac:dyDescent="0.25">
      <c r="F932" s="41"/>
    </row>
    <row r="933" spans="6:6" x14ac:dyDescent="0.25">
      <c r="F933" s="41"/>
    </row>
    <row r="934" spans="6:6" x14ac:dyDescent="0.25">
      <c r="F934" s="41"/>
    </row>
    <row r="935" spans="6:6" x14ac:dyDescent="0.25">
      <c r="F935" s="41"/>
    </row>
    <row r="936" spans="6:6" x14ac:dyDescent="0.25">
      <c r="F936" s="41"/>
    </row>
    <row r="937" spans="6:6" x14ac:dyDescent="0.25">
      <c r="F937" s="41"/>
    </row>
    <row r="938" spans="6:6" x14ac:dyDescent="0.25">
      <c r="F938" s="41"/>
    </row>
    <row r="939" spans="6:6" x14ac:dyDescent="0.25">
      <c r="F939" s="41"/>
    </row>
    <row r="940" spans="6:6" x14ac:dyDescent="0.25">
      <c r="F940" s="41"/>
    </row>
    <row r="941" spans="6:6" x14ac:dyDescent="0.25">
      <c r="F941" s="41"/>
    </row>
    <row r="942" spans="6:6" x14ac:dyDescent="0.25">
      <c r="F942" s="41"/>
    </row>
    <row r="943" spans="6:6" x14ac:dyDescent="0.25">
      <c r="F943" s="41"/>
    </row>
    <row r="944" spans="6:6" x14ac:dyDescent="0.25">
      <c r="F944" s="41"/>
    </row>
    <row r="945" spans="6:6" x14ac:dyDescent="0.25">
      <c r="F945" s="41"/>
    </row>
    <row r="946" spans="6:6" x14ac:dyDescent="0.25">
      <c r="F946" s="41"/>
    </row>
    <row r="947" spans="6:6" x14ac:dyDescent="0.25">
      <c r="F947" s="41"/>
    </row>
    <row r="948" spans="6:6" x14ac:dyDescent="0.25">
      <c r="F948" s="41"/>
    </row>
    <row r="949" spans="6:6" x14ac:dyDescent="0.25">
      <c r="F949" s="41"/>
    </row>
    <row r="950" spans="6:6" x14ac:dyDescent="0.25">
      <c r="F950" s="41"/>
    </row>
    <row r="951" spans="6:6" x14ac:dyDescent="0.25">
      <c r="F951" s="41"/>
    </row>
    <row r="952" spans="6:6" x14ac:dyDescent="0.25">
      <c r="F952" s="41"/>
    </row>
    <row r="953" spans="6:6" x14ac:dyDescent="0.25">
      <c r="F953" s="41"/>
    </row>
    <row r="954" spans="6:6" x14ac:dyDescent="0.25">
      <c r="F954" s="41"/>
    </row>
    <row r="955" spans="6:6" x14ac:dyDescent="0.25">
      <c r="F955" s="41"/>
    </row>
    <row r="956" spans="6:6" x14ac:dyDescent="0.25">
      <c r="F956" s="41"/>
    </row>
    <row r="957" spans="6:6" x14ac:dyDescent="0.25">
      <c r="F957" s="41"/>
    </row>
    <row r="958" spans="6:6" x14ac:dyDescent="0.25">
      <c r="F958" s="41"/>
    </row>
    <row r="959" spans="6:6" x14ac:dyDescent="0.25">
      <c r="F959" s="41"/>
    </row>
    <row r="960" spans="6:6" x14ac:dyDescent="0.25">
      <c r="F960" s="41"/>
    </row>
    <row r="961" spans="6:6" x14ac:dyDescent="0.25">
      <c r="F961" s="41"/>
    </row>
    <row r="962" spans="6:6" x14ac:dyDescent="0.25">
      <c r="F962" s="41"/>
    </row>
    <row r="963" spans="6:6" x14ac:dyDescent="0.25">
      <c r="F963" s="41"/>
    </row>
    <row r="964" spans="6:6" x14ac:dyDescent="0.25">
      <c r="F964" s="41"/>
    </row>
    <row r="965" spans="6:6" x14ac:dyDescent="0.25">
      <c r="F965" s="41"/>
    </row>
    <row r="966" spans="6:6" x14ac:dyDescent="0.25">
      <c r="F966" s="41"/>
    </row>
    <row r="967" spans="6:6" x14ac:dyDescent="0.25">
      <c r="F967" s="41"/>
    </row>
    <row r="968" spans="6:6" x14ac:dyDescent="0.25">
      <c r="F968" s="41"/>
    </row>
    <row r="969" spans="6:6" x14ac:dyDescent="0.25">
      <c r="F969" s="41"/>
    </row>
    <row r="970" spans="6:6" x14ac:dyDescent="0.25">
      <c r="F970" s="41"/>
    </row>
    <row r="971" spans="6:6" x14ac:dyDescent="0.25">
      <c r="F971" s="41"/>
    </row>
    <row r="972" spans="6:6" x14ac:dyDescent="0.25">
      <c r="F972" s="41"/>
    </row>
    <row r="973" spans="6:6" x14ac:dyDescent="0.25">
      <c r="F973" s="41"/>
    </row>
    <row r="974" spans="6:6" x14ac:dyDescent="0.25">
      <c r="F974" s="41"/>
    </row>
    <row r="975" spans="6:6" x14ac:dyDescent="0.25">
      <c r="F975" s="41"/>
    </row>
    <row r="976" spans="6:6" x14ac:dyDescent="0.25">
      <c r="F976" s="41"/>
    </row>
    <row r="977" spans="6:6" x14ac:dyDescent="0.25">
      <c r="F977" s="41"/>
    </row>
    <row r="978" spans="6:6" x14ac:dyDescent="0.25">
      <c r="F978" s="41"/>
    </row>
    <row r="979" spans="6:6" x14ac:dyDescent="0.25">
      <c r="F979" s="41"/>
    </row>
    <row r="980" spans="6:6" x14ac:dyDescent="0.25">
      <c r="F980" s="41"/>
    </row>
    <row r="981" spans="6:6" x14ac:dyDescent="0.25">
      <c r="F981" s="41"/>
    </row>
    <row r="982" spans="6:6" x14ac:dyDescent="0.25">
      <c r="F982" s="41"/>
    </row>
    <row r="983" spans="6:6" x14ac:dyDescent="0.25">
      <c r="F983" s="41"/>
    </row>
    <row r="984" spans="6:6" x14ac:dyDescent="0.25">
      <c r="F984" s="41"/>
    </row>
    <row r="985" spans="6:6" x14ac:dyDescent="0.25">
      <c r="F985" s="41"/>
    </row>
    <row r="986" spans="6:6" x14ac:dyDescent="0.25">
      <c r="F986" s="41"/>
    </row>
    <row r="987" spans="6:6" x14ac:dyDescent="0.25">
      <c r="F987" s="41"/>
    </row>
    <row r="988" spans="6:6" x14ac:dyDescent="0.25">
      <c r="F988" s="41"/>
    </row>
    <row r="989" spans="6:6" x14ac:dyDescent="0.25">
      <c r="F989" s="41"/>
    </row>
    <row r="990" spans="6:6" x14ac:dyDescent="0.25">
      <c r="F990" s="41"/>
    </row>
    <row r="991" spans="6:6" x14ac:dyDescent="0.25">
      <c r="F991" s="41"/>
    </row>
    <row r="992" spans="6:6" x14ac:dyDescent="0.25">
      <c r="F992" s="41"/>
    </row>
    <row r="993" spans="6:6" x14ac:dyDescent="0.25">
      <c r="F993" s="41"/>
    </row>
    <row r="994" spans="6:6" x14ac:dyDescent="0.25">
      <c r="F994" s="41"/>
    </row>
    <row r="995" spans="6:6" x14ac:dyDescent="0.25">
      <c r="F995" s="41"/>
    </row>
    <row r="996" spans="6:6" x14ac:dyDescent="0.25">
      <c r="F996" s="41"/>
    </row>
    <row r="997" spans="6:6" x14ac:dyDescent="0.25">
      <c r="F997" s="41"/>
    </row>
    <row r="998" spans="6:6" x14ac:dyDescent="0.25">
      <c r="F998" s="41"/>
    </row>
    <row r="999" spans="6:6" x14ac:dyDescent="0.25">
      <c r="F999" s="41"/>
    </row>
    <row r="1000" spans="6:6" x14ac:dyDescent="0.25">
      <c r="F1000" s="41"/>
    </row>
    <row r="1001" spans="6:6" x14ac:dyDescent="0.25">
      <c r="F1001" s="41"/>
    </row>
    <row r="1002" spans="6:6" x14ac:dyDescent="0.25">
      <c r="F1002" s="41"/>
    </row>
    <row r="1003" spans="6:6" x14ac:dyDescent="0.25">
      <c r="F1003" s="41"/>
    </row>
    <row r="1004" spans="6:6" x14ac:dyDescent="0.25">
      <c r="F1004" s="41"/>
    </row>
    <row r="1005" spans="6:6" x14ac:dyDescent="0.25">
      <c r="F1005" s="41"/>
    </row>
    <row r="1006" spans="6:6" x14ac:dyDescent="0.25">
      <c r="F1006" s="41"/>
    </row>
    <row r="1007" spans="6:6" x14ac:dyDescent="0.25">
      <c r="F1007" s="41"/>
    </row>
    <row r="1008" spans="6:6" x14ac:dyDescent="0.25">
      <c r="F1008" s="41"/>
    </row>
    <row r="1009" spans="6:6" x14ac:dyDescent="0.25">
      <c r="F1009" s="41"/>
    </row>
    <row r="1010" spans="6:6" x14ac:dyDescent="0.25">
      <c r="F1010" s="41"/>
    </row>
    <row r="1011" spans="6:6" x14ac:dyDescent="0.25">
      <c r="F1011" s="41"/>
    </row>
    <row r="1012" spans="6:6" x14ac:dyDescent="0.25">
      <c r="F1012" s="41"/>
    </row>
    <row r="1013" spans="6:6" x14ac:dyDescent="0.25">
      <c r="F1013" s="41"/>
    </row>
    <row r="1014" spans="6:6" x14ac:dyDescent="0.25">
      <c r="F1014" s="41"/>
    </row>
    <row r="1015" spans="6:6" x14ac:dyDescent="0.25">
      <c r="F1015" s="41"/>
    </row>
    <row r="1016" spans="6:6" x14ac:dyDescent="0.25">
      <c r="F1016" s="41"/>
    </row>
    <row r="1017" spans="6:6" x14ac:dyDescent="0.25">
      <c r="F1017" s="41"/>
    </row>
    <row r="1018" spans="6:6" x14ac:dyDescent="0.25">
      <c r="F1018" s="41"/>
    </row>
    <row r="1019" spans="6:6" x14ac:dyDescent="0.25">
      <c r="F1019" s="41"/>
    </row>
    <row r="1020" spans="6:6" x14ac:dyDescent="0.25">
      <c r="F1020" s="41"/>
    </row>
    <row r="1021" spans="6:6" x14ac:dyDescent="0.25">
      <c r="F1021" s="41"/>
    </row>
    <row r="1022" spans="6:6" x14ac:dyDescent="0.25">
      <c r="F1022" s="41"/>
    </row>
    <row r="1023" spans="6:6" x14ac:dyDescent="0.25">
      <c r="F1023" s="41"/>
    </row>
    <row r="1024" spans="6:6" x14ac:dyDescent="0.25">
      <c r="F1024" s="41"/>
    </row>
    <row r="1025" spans="6:6" x14ac:dyDescent="0.25">
      <c r="F1025" s="41"/>
    </row>
    <row r="1026" spans="6:6" x14ac:dyDescent="0.25">
      <c r="F1026" s="41"/>
    </row>
    <row r="1027" spans="6:6" x14ac:dyDescent="0.25">
      <c r="F1027" s="41"/>
    </row>
    <row r="1028" spans="6:6" x14ac:dyDescent="0.25">
      <c r="F1028" s="41"/>
    </row>
    <row r="1029" spans="6:6" x14ac:dyDescent="0.25">
      <c r="F1029" s="41"/>
    </row>
    <row r="1030" spans="6:6" x14ac:dyDescent="0.25">
      <c r="F1030" s="41"/>
    </row>
    <row r="1031" spans="6:6" x14ac:dyDescent="0.25">
      <c r="F1031" s="41"/>
    </row>
    <row r="1032" spans="6:6" x14ac:dyDescent="0.25">
      <c r="F1032" s="41"/>
    </row>
    <row r="1033" spans="6:6" x14ac:dyDescent="0.25">
      <c r="F1033" s="41"/>
    </row>
    <row r="1034" spans="6:6" x14ac:dyDescent="0.25">
      <c r="F1034" s="41"/>
    </row>
    <row r="1035" spans="6:6" x14ac:dyDescent="0.25">
      <c r="F1035" s="41"/>
    </row>
    <row r="1036" spans="6:6" x14ac:dyDescent="0.25">
      <c r="F1036" s="41"/>
    </row>
    <row r="1037" spans="6:6" x14ac:dyDescent="0.25">
      <c r="F1037" s="41"/>
    </row>
    <row r="1038" spans="6:6" x14ac:dyDescent="0.25">
      <c r="F1038" s="41"/>
    </row>
    <row r="1039" spans="6:6" x14ac:dyDescent="0.25">
      <c r="F1039" s="41"/>
    </row>
    <row r="1040" spans="6:6" x14ac:dyDescent="0.25">
      <c r="F1040" s="41"/>
    </row>
    <row r="1041" spans="6:6" x14ac:dyDescent="0.25">
      <c r="F1041" s="41"/>
    </row>
    <row r="1042" spans="6:6" x14ac:dyDescent="0.25">
      <c r="F1042" s="41"/>
    </row>
    <row r="1043" spans="6:6" x14ac:dyDescent="0.25">
      <c r="F1043" s="41"/>
    </row>
    <row r="1044" spans="6:6" x14ac:dyDescent="0.25">
      <c r="F1044" s="41"/>
    </row>
    <row r="1045" spans="6:6" x14ac:dyDescent="0.25">
      <c r="F1045" s="41"/>
    </row>
    <row r="1046" spans="6:6" x14ac:dyDescent="0.25">
      <c r="F1046" s="41"/>
    </row>
    <row r="1047" spans="6:6" x14ac:dyDescent="0.25">
      <c r="F1047" s="41"/>
    </row>
    <row r="1048" spans="6:6" x14ac:dyDescent="0.25">
      <c r="F1048" s="41"/>
    </row>
    <row r="1049" spans="6:6" x14ac:dyDescent="0.25">
      <c r="F1049" s="41"/>
    </row>
    <row r="1050" spans="6:6" x14ac:dyDescent="0.25">
      <c r="F1050" s="41"/>
    </row>
    <row r="1051" spans="6:6" x14ac:dyDescent="0.25">
      <c r="F1051" s="41"/>
    </row>
    <row r="1052" spans="6:6" x14ac:dyDescent="0.25">
      <c r="F1052" s="41"/>
    </row>
    <row r="1053" spans="6:6" x14ac:dyDescent="0.25">
      <c r="F1053" s="41"/>
    </row>
    <row r="1054" spans="6:6" x14ac:dyDescent="0.25">
      <c r="F1054" s="41"/>
    </row>
    <row r="1055" spans="6:6" x14ac:dyDescent="0.25">
      <c r="F1055" s="41"/>
    </row>
    <row r="1056" spans="6:6" x14ac:dyDescent="0.25">
      <c r="F1056" s="41"/>
    </row>
    <row r="1057" spans="6:6" x14ac:dyDescent="0.25">
      <c r="F1057" s="41"/>
    </row>
    <row r="1058" spans="6:6" x14ac:dyDescent="0.25">
      <c r="F1058" s="41"/>
    </row>
    <row r="1059" spans="6:6" x14ac:dyDescent="0.25">
      <c r="F1059" s="41"/>
    </row>
    <row r="1060" spans="6:6" x14ac:dyDescent="0.25">
      <c r="F1060" s="41"/>
    </row>
    <row r="1061" spans="6:6" x14ac:dyDescent="0.25">
      <c r="F1061" s="41"/>
    </row>
    <row r="1062" spans="6:6" x14ac:dyDescent="0.25">
      <c r="F1062" s="41"/>
    </row>
    <row r="1063" spans="6:6" x14ac:dyDescent="0.25">
      <c r="F1063" s="41"/>
    </row>
    <row r="1064" spans="6:6" x14ac:dyDescent="0.25">
      <c r="F1064" s="41"/>
    </row>
    <row r="1065" spans="6:6" x14ac:dyDescent="0.25">
      <c r="F1065" s="41"/>
    </row>
    <row r="1066" spans="6:6" x14ac:dyDescent="0.25">
      <c r="F1066" s="41"/>
    </row>
    <row r="1067" spans="6:6" x14ac:dyDescent="0.25">
      <c r="F1067" s="41"/>
    </row>
    <row r="1068" spans="6:6" x14ac:dyDescent="0.25">
      <c r="F1068" s="41"/>
    </row>
    <row r="1069" spans="6:6" x14ac:dyDescent="0.25">
      <c r="F1069" s="41"/>
    </row>
    <row r="1070" spans="6:6" x14ac:dyDescent="0.25">
      <c r="F1070" s="41"/>
    </row>
    <row r="1071" spans="6:6" x14ac:dyDescent="0.25">
      <c r="F1071" s="41"/>
    </row>
    <row r="1072" spans="6:6" x14ac:dyDescent="0.25">
      <c r="F1072" s="41"/>
    </row>
    <row r="1073" spans="6:6" x14ac:dyDescent="0.25">
      <c r="F1073" s="41"/>
    </row>
    <row r="1074" spans="6:6" x14ac:dyDescent="0.25">
      <c r="F1074" s="41"/>
    </row>
    <row r="1075" spans="6:6" x14ac:dyDescent="0.25">
      <c r="F1075" s="41"/>
    </row>
    <row r="1076" spans="6:6" x14ac:dyDescent="0.25">
      <c r="F1076" s="41"/>
    </row>
    <row r="1077" spans="6:6" x14ac:dyDescent="0.25">
      <c r="F1077" s="41"/>
    </row>
    <row r="1078" spans="6:6" x14ac:dyDescent="0.25">
      <c r="F1078" s="41"/>
    </row>
    <row r="1079" spans="6:6" x14ac:dyDescent="0.25">
      <c r="F1079" s="41"/>
    </row>
    <row r="1080" spans="6:6" x14ac:dyDescent="0.25">
      <c r="F1080" s="41"/>
    </row>
    <row r="1081" spans="6:6" x14ac:dyDescent="0.25">
      <c r="F1081" s="41"/>
    </row>
    <row r="1082" spans="6:6" x14ac:dyDescent="0.25">
      <c r="F1082" s="41"/>
    </row>
    <row r="1083" spans="6:6" x14ac:dyDescent="0.25">
      <c r="F1083" s="41"/>
    </row>
    <row r="1084" spans="6:6" x14ac:dyDescent="0.25">
      <c r="F1084" s="41"/>
    </row>
    <row r="1085" spans="6:6" x14ac:dyDescent="0.25">
      <c r="F1085" s="41"/>
    </row>
    <row r="1086" spans="6:6" x14ac:dyDescent="0.25">
      <c r="F1086" s="41"/>
    </row>
    <row r="1087" spans="6:6" x14ac:dyDescent="0.25">
      <c r="F1087" s="41"/>
    </row>
    <row r="1088" spans="6:6" x14ac:dyDescent="0.25">
      <c r="F1088" s="41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D73"/>
  <sheetViews>
    <sheetView topLeftCell="L1" workbookViewId="0">
      <selection activeCell="Z40" sqref="Z40"/>
    </sheetView>
  </sheetViews>
  <sheetFormatPr defaultColWidth="8.85546875" defaultRowHeight="15" x14ac:dyDescent="0.25"/>
  <cols>
    <col min="1" max="1" width="8.85546875" style="478"/>
    <col min="2" max="4" width="24.140625" style="478" customWidth="1"/>
    <col min="5" max="5" width="14.7109375" style="478" customWidth="1"/>
    <col min="6" max="9" width="8.85546875" style="478"/>
    <col min="10" max="10" width="12" style="478" bestFit="1" customWidth="1"/>
    <col min="11" max="11" width="10.42578125" style="478" customWidth="1"/>
    <col min="12" max="12" width="8.85546875" style="478"/>
    <col min="13" max="13" width="14.7109375" style="478" bestFit="1" customWidth="1"/>
    <col min="14" max="14" width="11.140625" style="478" bestFit="1" customWidth="1"/>
    <col min="15" max="15" width="8.85546875" style="478"/>
    <col min="16" max="16" width="15.7109375" style="478" customWidth="1"/>
    <col min="17" max="17" width="8.85546875" style="478"/>
    <col min="18" max="18" width="9.7109375" style="478" bestFit="1" customWidth="1"/>
    <col min="19" max="19" width="13.28515625" style="478" customWidth="1"/>
    <col min="20" max="23" width="8.85546875" style="478"/>
    <col min="24" max="24" width="14.42578125" style="478" customWidth="1"/>
    <col min="25" max="25" width="16" style="478" customWidth="1"/>
    <col min="26" max="26" width="16.7109375" style="478" customWidth="1"/>
    <col min="27" max="27" width="10.7109375" style="478" bestFit="1" customWidth="1"/>
    <col min="28" max="28" width="8.7109375" style="478" bestFit="1" customWidth="1"/>
    <col min="29" max="29" width="12.140625" style="478" bestFit="1" customWidth="1"/>
    <col min="30" max="30" width="10.42578125" style="478" bestFit="1" customWidth="1"/>
    <col min="31" max="16384" width="8.85546875" style="478"/>
  </cols>
  <sheetData>
    <row r="1" spans="1:30" x14ac:dyDescent="0.25">
      <c r="A1" s="477"/>
      <c r="B1" s="478" t="s">
        <v>261</v>
      </c>
      <c r="C1" s="479" t="s">
        <v>262</v>
      </c>
      <c r="D1" s="480" t="s">
        <v>267</v>
      </c>
      <c r="E1" s="478" t="s">
        <v>260</v>
      </c>
      <c r="F1" s="478" t="s">
        <v>259</v>
      </c>
      <c r="G1" s="478" t="s">
        <v>258</v>
      </c>
      <c r="H1" s="480" t="s">
        <v>507</v>
      </c>
      <c r="I1" s="481"/>
      <c r="J1" s="482" t="s">
        <v>311</v>
      </c>
      <c r="K1" s="481"/>
      <c r="L1" s="481"/>
      <c r="M1" s="482" t="s">
        <v>316</v>
      </c>
      <c r="P1" s="482" t="s">
        <v>317</v>
      </c>
      <c r="S1" s="482" t="s">
        <v>324</v>
      </c>
    </row>
    <row r="2" spans="1:30" x14ac:dyDescent="0.25">
      <c r="B2" s="478" t="s">
        <v>255</v>
      </c>
      <c r="C2" s="480" t="s">
        <v>265</v>
      </c>
      <c r="D2" s="478" t="s">
        <v>263</v>
      </c>
      <c r="E2" s="478" t="s">
        <v>256</v>
      </c>
      <c r="F2" s="478" t="s">
        <v>257</v>
      </c>
      <c r="G2" s="478" t="s">
        <v>264</v>
      </c>
      <c r="H2" s="480" t="s">
        <v>508</v>
      </c>
      <c r="I2" s="481"/>
      <c r="J2" s="483" t="s">
        <v>310</v>
      </c>
      <c r="K2" s="483" t="s">
        <v>309</v>
      </c>
      <c r="L2" s="481"/>
      <c r="M2" s="483" t="s">
        <v>310</v>
      </c>
      <c r="N2" s="483" t="s">
        <v>309</v>
      </c>
      <c r="P2" s="483" t="s">
        <v>310</v>
      </c>
      <c r="Q2" s="483" t="s">
        <v>309</v>
      </c>
      <c r="S2" s="483"/>
      <c r="T2" s="483" t="s">
        <v>164</v>
      </c>
      <c r="U2" s="483" t="s">
        <v>163</v>
      </c>
      <c r="V2" s="483" t="s">
        <v>156</v>
      </c>
      <c r="X2" s="484" t="s">
        <v>481</v>
      </c>
      <c r="Y2" s="485"/>
      <c r="Z2" s="485"/>
    </row>
    <row r="3" spans="1:30" x14ac:dyDescent="0.25">
      <c r="B3" s="486" t="s">
        <v>328</v>
      </c>
      <c r="C3" s="478">
        <v>6</v>
      </c>
      <c r="D3" s="487">
        <v>1.2</v>
      </c>
      <c r="E3" s="488">
        <v>336200</v>
      </c>
      <c r="F3" s="488">
        <v>12000</v>
      </c>
      <c r="G3" s="478">
        <v>0</v>
      </c>
      <c r="I3" s="481"/>
      <c r="J3" s="489">
        <v>0</v>
      </c>
      <c r="K3" s="490">
        <v>2000</v>
      </c>
      <c r="L3" s="481"/>
      <c r="M3" s="489">
        <v>0</v>
      </c>
      <c r="N3" s="491">
        <v>0</v>
      </c>
      <c r="P3" s="489">
        <v>0</v>
      </c>
      <c r="Q3" s="491">
        <v>0</v>
      </c>
      <c r="S3" s="492" t="s">
        <v>323</v>
      </c>
      <c r="T3" s="489">
        <v>400</v>
      </c>
      <c r="U3" s="489">
        <v>1125</v>
      </c>
      <c r="V3" s="489">
        <v>2450</v>
      </c>
      <c r="X3" s="493" t="s">
        <v>164</v>
      </c>
      <c r="Y3" s="485"/>
      <c r="Z3" s="485"/>
    </row>
    <row r="4" spans="1:30" x14ac:dyDescent="0.25">
      <c r="B4" s="486" t="s">
        <v>489</v>
      </c>
      <c r="C4" s="478">
        <v>4</v>
      </c>
      <c r="D4" s="487">
        <v>1.25</v>
      </c>
      <c r="E4" s="488"/>
      <c r="F4" s="488"/>
      <c r="I4" s="481"/>
      <c r="J4" s="489">
        <v>5</v>
      </c>
      <c r="K4" s="490">
        <v>7500</v>
      </c>
      <c r="L4" s="481"/>
      <c r="M4" s="489">
        <v>3000000</v>
      </c>
      <c r="N4" s="491">
        <v>10000</v>
      </c>
      <c r="P4" s="489">
        <v>3000000</v>
      </c>
      <c r="Q4" s="491">
        <v>10000</v>
      </c>
      <c r="S4" s="492" t="s">
        <v>157</v>
      </c>
      <c r="T4" s="489">
        <v>7700</v>
      </c>
      <c r="U4" s="489">
        <v>21500</v>
      </c>
      <c r="V4" s="489">
        <v>28500</v>
      </c>
      <c r="X4" s="493" t="s">
        <v>163</v>
      </c>
      <c r="Y4" s="485"/>
      <c r="Z4" s="485"/>
    </row>
    <row r="5" spans="1:30" x14ac:dyDescent="0.25">
      <c r="B5" s="486" t="s">
        <v>329</v>
      </c>
      <c r="C5" s="478">
        <v>4</v>
      </c>
      <c r="D5" s="487">
        <v>1.3</v>
      </c>
      <c r="E5" s="488">
        <v>277840</v>
      </c>
      <c r="F5" s="488">
        <v>9000</v>
      </c>
      <c r="G5" s="478">
        <v>2</v>
      </c>
      <c r="I5" s="481"/>
      <c r="J5" s="489">
        <v>10</v>
      </c>
      <c r="K5" s="490">
        <v>12500</v>
      </c>
      <c r="L5" s="481"/>
      <c r="M5" s="489">
        <v>10000000</v>
      </c>
      <c r="N5" s="491">
        <v>40000</v>
      </c>
      <c r="P5" s="489">
        <v>10000000</v>
      </c>
      <c r="Q5" s="491">
        <v>50000</v>
      </c>
      <c r="S5" s="492" t="s">
        <v>158</v>
      </c>
      <c r="T5" s="489">
        <v>5000</v>
      </c>
      <c r="U5" s="489">
        <v>16500</v>
      </c>
      <c r="V5" s="489">
        <v>21000</v>
      </c>
      <c r="X5" s="493" t="s">
        <v>156</v>
      </c>
      <c r="Y5" s="485"/>
      <c r="Z5" s="485"/>
    </row>
    <row r="6" spans="1:30" x14ac:dyDescent="0.25">
      <c r="B6" s="486" t="s">
        <v>330</v>
      </c>
      <c r="C6" s="478">
        <v>4</v>
      </c>
      <c r="D6" s="487">
        <v>1.4</v>
      </c>
      <c r="E6" s="488">
        <v>215860</v>
      </c>
      <c r="F6" s="488">
        <v>8000</v>
      </c>
      <c r="G6" s="478">
        <v>2</v>
      </c>
      <c r="I6" s="481"/>
      <c r="J6" s="494"/>
      <c r="K6" s="494"/>
      <c r="L6" s="481"/>
      <c r="M6" s="489">
        <v>50000000</v>
      </c>
      <c r="N6" s="491">
        <v>100000</v>
      </c>
      <c r="P6" s="489">
        <v>50000000</v>
      </c>
      <c r="Q6" s="491">
        <v>220000</v>
      </c>
      <c r="S6" s="492" t="s">
        <v>159</v>
      </c>
      <c r="T6" s="489">
        <v>50</v>
      </c>
      <c r="U6" s="489">
        <v>50</v>
      </c>
      <c r="V6" s="489">
        <v>50</v>
      </c>
    </row>
    <row r="7" spans="1:30" x14ac:dyDescent="0.25">
      <c r="B7" s="486" t="s">
        <v>331</v>
      </c>
      <c r="C7" s="478">
        <v>1</v>
      </c>
      <c r="D7" s="487">
        <v>1.5</v>
      </c>
      <c r="E7" s="488">
        <v>201170</v>
      </c>
      <c r="F7" s="488">
        <v>7200</v>
      </c>
      <c r="G7" s="478">
        <v>2</v>
      </c>
      <c r="I7" s="481"/>
      <c r="J7" s="494"/>
      <c r="K7" s="494"/>
      <c r="L7" s="481"/>
      <c r="M7" s="489">
        <v>150000000</v>
      </c>
      <c r="N7" s="491">
        <v>200000</v>
      </c>
      <c r="P7" s="489">
        <v>250000000</v>
      </c>
      <c r="Q7" s="491">
        <v>380000</v>
      </c>
      <c r="S7" s="492" t="s">
        <v>160</v>
      </c>
      <c r="T7" s="489">
        <v>50</v>
      </c>
      <c r="U7" s="489">
        <v>50</v>
      </c>
      <c r="V7" s="489">
        <v>50</v>
      </c>
    </row>
    <row r="8" spans="1:30" x14ac:dyDescent="0.25">
      <c r="B8" s="486" t="s">
        <v>332</v>
      </c>
      <c r="C8" s="478">
        <v>4</v>
      </c>
      <c r="D8" s="487">
        <v>1.6</v>
      </c>
      <c r="E8" s="488">
        <v>165570</v>
      </c>
      <c r="F8" s="488">
        <v>6800</v>
      </c>
      <c r="G8" s="478">
        <v>2</v>
      </c>
      <c r="J8" s="482" t="s">
        <v>312</v>
      </c>
      <c r="M8" s="489">
        <v>300000000</v>
      </c>
      <c r="N8" s="491">
        <v>400000</v>
      </c>
      <c r="P8" s="489">
        <v>450000000</v>
      </c>
      <c r="Q8" s="491">
        <v>550000</v>
      </c>
      <c r="S8" s="492" t="s">
        <v>161</v>
      </c>
      <c r="T8" s="489">
        <v>2000</v>
      </c>
      <c r="U8" s="489">
        <v>2000</v>
      </c>
      <c r="V8" s="489">
        <v>2000</v>
      </c>
    </row>
    <row r="9" spans="1:30" x14ac:dyDescent="0.25">
      <c r="B9" s="486" t="s">
        <v>333</v>
      </c>
      <c r="C9" s="478">
        <v>4</v>
      </c>
      <c r="D9" s="487">
        <v>2.2000000000000002</v>
      </c>
      <c r="E9" s="488">
        <v>154810</v>
      </c>
      <c r="F9" s="488">
        <v>6000</v>
      </c>
      <c r="G9" s="478">
        <v>0</v>
      </c>
      <c r="J9" s="483" t="s">
        <v>310</v>
      </c>
      <c r="K9" s="483" t="s">
        <v>309</v>
      </c>
      <c r="S9" s="492" t="s">
        <v>162</v>
      </c>
      <c r="T9" s="489">
        <v>100</v>
      </c>
      <c r="U9" s="489">
        <v>200</v>
      </c>
      <c r="V9" s="489">
        <v>300</v>
      </c>
    </row>
    <row r="10" spans="1:30" x14ac:dyDescent="0.25">
      <c r="B10" s="486" t="s">
        <v>334</v>
      </c>
      <c r="C10" s="478">
        <v>10</v>
      </c>
      <c r="D10" s="487">
        <v>2.2000000000000002</v>
      </c>
      <c r="E10" s="488">
        <v>115240</v>
      </c>
      <c r="F10" s="488">
        <v>6000</v>
      </c>
      <c r="G10" s="478">
        <v>0</v>
      </c>
      <c r="J10" s="489">
        <v>0</v>
      </c>
      <c r="K10" s="490">
        <v>800</v>
      </c>
      <c r="S10" s="492" t="s">
        <v>450</v>
      </c>
      <c r="T10" s="489"/>
      <c r="U10" s="489"/>
      <c r="V10" s="489"/>
    </row>
    <row r="11" spans="1:30" x14ac:dyDescent="0.25">
      <c r="B11" s="486" t="s">
        <v>335</v>
      </c>
      <c r="C11" s="478">
        <v>10</v>
      </c>
      <c r="D11" s="487">
        <v>2.2999999999999998</v>
      </c>
      <c r="E11" s="488">
        <v>77210</v>
      </c>
      <c r="F11" s="495"/>
      <c r="G11" s="478">
        <v>2</v>
      </c>
      <c r="J11" s="489">
        <v>5</v>
      </c>
      <c r="K11" s="490">
        <v>1600</v>
      </c>
    </row>
    <row r="12" spans="1:30" x14ac:dyDescent="0.25">
      <c r="B12" s="486" t="s">
        <v>336</v>
      </c>
      <c r="C12" s="478">
        <v>2</v>
      </c>
      <c r="D12" s="487">
        <v>2.4</v>
      </c>
      <c r="E12" s="488">
        <v>95800</v>
      </c>
      <c r="F12" s="495"/>
      <c r="G12" s="478">
        <v>3</v>
      </c>
      <c r="J12" s="489">
        <v>15</v>
      </c>
      <c r="K12" s="490">
        <v>2000</v>
      </c>
    </row>
    <row r="13" spans="1:30" x14ac:dyDescent="0.25">
      <c r="B13" s="486" t="s">
        <v>254</v>
      </c>
      <c r="C13" s="478">
        <v>2</v>
      </c>
      <c r="D13" s="487">
        <v>2.5</v>
      </c>
      <c r="E13" s="488">
        <v>70000</v>
      </c>
      <c r="F13" s="495"/>
      <c r="G13" s="478">
        <v>5</v>
      </c>
    </row>
    <row r="14" spans="1:30" x14ac:dyDescent="0.25">
      <c r="B14" s="486" t="s">
        <v>337</v>
      </c>
      <c r="C14" s="478">
        <v>5</v>
      </c>
      <c r="D14" s="487">
        <v>2.6</v>
      </c>
      <c r="E14" s="488">
        <v>62750</v>
      </c>
      <c r="F14" s="495"/>
      <c r="G14" s="478">
        <v>5</v>
      </c>
    </row>
    <row r="15" spans="1:30" x14ac:dyDescent="0.25">
      <c r="B15" s="486" t="s">
        <v>338</v>
      </c>
      <c r="C15" s="478">
        <v>3</v>
      </c>
      <c r="D15" s="487">
        <v>2.7</v>
      </c>
      <c r="E15" s="488">
        <v>348880</v>
      </c>
      <c r="F15" s="488">
        <v>12000</v>
      </c>
      <c r="G15" s="478">
        <v>3</v>
      </c>
      <c r="J15" s="482" t="s">
        <v>208</v>
      </c>
      <c r="M15" s="482" t="s">
        <v>318</v>
      </c>
      <c r="S15" s="482" t="s">
        <v>369</v>
      </c>
      <c r="X15" s="484" t="s">
        <v>482</v>
      </c>
      <c r="Y15" s="484"/>
      <c r="Z15" s="484"/>
      <c r="AA15" s="484"/>
      <c r="AB15" s="484"/>
      <c r="AC15" s="484"/>
      <c r="AD15" s="484"/>
    </row>
    <row r="16" spans="1:30" x14ac:dyDescent="0.25">
      <c r="B16" s="486" t="s">
        <v>339</v>
      </c>
      <c r="C16" s="478">
        <v>10</v>
      </c>
      <c r="D16" s="487">
        <v>2.8</v>
      </c>
      <c r="E16" s="488">
        <v>286640</v>
      </c>
      <c r="F16" s="488">
        <v>9000</v>
      </c>
      <c r="G16" s="478">
        <v>3</v>
      </c>
      <c r="J16" s="483" t="s">
        <v>310</v>
      </c>
      <c r="K16" s="483" t="s">
        <v>309</v>
      </c>
      <c r="M16" s="483" t="s">
        <v>310</v>
      </c>
      <c r="N16" s="483" t="s">
        <v>319</v>
      </c>
      <c r="O16" s="483" t="s">
        <v>320</v>
      </c>
      <c r="S16" s="483" t="s">
        <v>310</v>
      </c>
      <c r="T16" s="483" t="s">
        <v>376</v>
      </c>
      <c r="U16" s="483" t="s">
        <v>377</v>
      </c>
      <c r="V16" s="483" t="s">
        <v>378</v>
      </c>
      <c r="X16" s="493" t="s">
        <v>280</v>
      </c>
      <c r="Y16" s="499" t="s">
        <v>969</v>
      </c>
      <c r="Z16" s="499" t="s">
        <v>977</v>
      </c>
      <c r="AA16" s="496" t="s">
        <v>372</v>
      </c>
      <c r="AB16" s="499" t="s">
        <v>970</v>
      </c>
      <c r="AC16" s="499" t="s">
        <v>971</v>
      </c>
      <c r="AD16" s="496" t="s">
        <v>82</v>
      </c>
    </row>
    <row r="17" spans="2:30" x14ac:dyDescent="0.25">
      <c r="B17" s="486" t="s">
        <v>340</v>
      </c>
      <c r="C17" s="478">
        <v>5</v>
      </c>
      <c r="D17" s="487">
        <v>2.9</v>
      </c>
      <c r="E17" s="488">
        <v>226300</v>
      </c>
      <c r="F17" s="488">
        <v>8000</v>
      </c>
      <c r="G17" s="478">
        <v>0</v>
      </c>
      <c r="J17" s="489">
        <v>0</v>
      </c>
      <c r="K17" s="491">
        <v>0</v>
      </c>
      <c r="M17" s="489">
        <v>0</v>
      </c>
      <c r="N17" s="491">
        <v>550</v>
      </c>
      <c r="O17" s="491">
        <v>1000</v>
      </c>
      <c r="R17" s="497">
        <f>Settings!\cstart</f>
        <v>43478</v>
      </c>
      <c r="S17" s="498">
        <f>R17</f>
        <v>43478</v>
      </c>
      <c r="T17" s="489"/>
      <c r="U17" s="489"/>
      <c r="V17" s="489"/>
      <c r="X17" s="493" t="s">
        <v>282</v>
      </c>
      <c r="Y17" s="499" t="s">
        <v>969</v>
      </c>
      <c r="Z17" s="499" t="s">
        <v>977</v>
      </c>
      <c r="AA17" s="496" t="s">
        <v>372</v>
      </c>
      <c r="AB17" s="499" t="s">
        <v>970</v>
      </c>
      <c r="AC17" s="499" t="s">
        <v>971</v>
      </c>
      <c r="AD17" s="496" t="s">
        <v>82</v>
      </c>
    </row>
    <row r="18" spans="2:30" x14ac:dyDescent="0.25">
      <c r="B18" s="486" t="s">
        <v>341</v>
      </c>
      <c r="C18" s="478">
        <v>2</v>
      </c>
      <c r="D18" s="487">
        <v>3.2</v>
      </c>
      <c r="E18" s="488">
        <v>185620</v>
      </c>
      <c r="F18" s="488">
        <v>7200</v>
      </c>
      <c r="G18" s="478">
        <v>0</v>
      </c>
      <c r="J18" s="489">
        <v>5000000</v>
      </c>
      <c r="K18" s="491">
        <v>250</v>
      </c>
      <c r="M18" s="489">
        <v>10000000</v>
      </c>
      <c r="N18" s="491">
        <v>750</v>
      </c>
      <c r="O18" s="491">
        <v>1500</v>
      </c>
      <c r="S18" s="498">
        <f>S17+182</f>
        <v>43660</v>
      </c>
      <c r="T18" s="489"/>
      <c r="U18" s="489"/>
      <c r="V18" s="489"/>
      <c r="X18" s="493" t="s">
        <v>284</v>
      </c>
      <c r="Y18" s="496" t="s">
        <v>485</v>
      </c>
      <c r="Z18" s="499" t="s">
        <v>486</v>
      </c>
      <c r="AA18" s="496" t="s">
        <v>483</v>
      </c>
      <c r="AB18" s="499" t="s">
        <v>970</v>
      </c>
      <c r="AC18" s="499" t="s">
        <v>90</v>
      </c>
      <c r="AD18" s="496" t="s">
        <v>484</v>
      </c>
    </row>
    <row r="19" spans="2:30" x14ac:dyDescent="0.25">
      <c r="B19" s="486" t="s">
        <v>342</v>
      </c>
      <c r="C19" s="478">
        <v>4</v>
      </c>
      <c r="D19" s="487">
        <v>3.3</v>
      </c>
      <c r="E19" s="488">
        <v>181330</v>
      </c>
      <c r="F19" s="488">
        <v>7200</v>
      </c>
      <c r="G19" s="478">
        <v>0</v>
      </c>
      <c r="J19" s="489">
        <v>25000000</v>
      </c>
      <c r="K19" s="491">
        <v>400</v>
      </c>
      <c r="M19" s="489">
        <v>100000000</v>
      </c>
      <c r="N19" s="491">
        <v>1250</v>
      </c>
      <c r="O19" s="491">
        <v>2500</v>
      </c>
      <c r="S19" s="498">
        <f t="shared" ref="S19:S23" si="0">S18+182</f>
        <v>43842</v>
      </c>
      <c r="T19" s="489"/>
      <c r="U19" s="489"/>
      <c r="V19" s="489"/>
      <c r="X19" s="493" t="s">
        <v>274</v>
      </c>
      <c r="Y19" s="496" t="s">
        <v>485</v>
      </c>
      <c r="Z19" s="499" t="s">
        <v>486</v>
      </c>
      <c r="AA19" s="496" t="s">
        <v>483</v>
      </c>
      <c r="AB19" s="499" t="s">
        <v>970</v>
      </c>
      <c r="AC19" s="499" t="s">
        <v>90</v>
      </c>
      <c r="AD19" s="496" t="s">
        <v>484</v>
      </c>
    </row>
    <row r="20" spans="2:30" x14ac:dyDescent="0.25">
      <c r="B20" s="486" t="s">
        <v>343</v>
      </c>
      <c r="C20" s="478">
        <v>7</v>
      </c>
      <c r="D20" s="487">
        <v>3.4</v>
      </c>
      <c r="E20" s="488">
        <v>151260</v>
      </c>
      <c r="F20" s="488">
        <v>6000</v>
      </c>
      <c r="G20" s="478">
        <v>0</v>
      </c>
      <c r="J20" s="489">
        <v>100000000</v>
      </c>
      <c r="K20" s="491">
        <v>600</v>
      </c>
      <c r="S20" s="498">
        <f t="shared" si="0"/>
        <v>44024</v>
      </c>
      <c r="T20" s="489"/>
      <c r="U20" s="489"/>
      <c r="V20" s="489"/>
      <c r="X20" s="493" t="s">
        <v>287</v>
      </c>
      <c r="Y20" s="496" t="s">
        <v>485</v>
      </c>
      <c r="Z20" s="499" t="s">
        <v>486</v>
      </c>
      <c r="AA20" s="496" t="s">
        <v>483</v>
      </c>
      <c r="AB20" s="499" t="s">
        <v>970</v>
      </c>
      <c r="AC20" s="499" t="s">
        <v>90</v>
      </c>
      <c r="AD20" s="496" t="s">
        <v>484</v>
      </c>
    </row>
    <row r="21" spans="2:30" x14ac:dyDescent="0.25">
      <c r="B21" s="486" t="s">
        <v>344</v>
      </c>
      <c r="C21" s="478">
        <v>8</v>
      </c>
      <c r="D21" s="487">
        <v>4.0999999999999996</v>
      </c>
      <c r="E21" s="488">
        <v>122400</v>
      </c>
      <c r="F21" s="488">
        <v>6000</v>
      </c>
      <c r="G21" s="478">
        <v>0</v>
      </c>
      <c r="S21" s="498">
        <f t="shared" si="0"/>
        <v>44206</v>
      </c>
      <c r="T21" s="489"/>
      <c r="U21" s="489"/>
      <c r="V21" s="489"/>
      <c r="X21" s="493" t="s">
        <v>289</v>
      </c>
      <c r="Y21" s="496" t="s">
        <v>485</v>
      </c>
      <c r="Z21" s="499" t="s">
        <v>486</v>
      </c>
      <c r="AA21" s="496" t="s">
        <v>483</v>
      </c>
      <c r="AB21" s="499" t="s">
        <v>970</v>
      </c>
      <c r="AC21" s="499" t="s">
        <v>90</v>
      </c>
      <c r="AD21" s="496" t="s">
        <v>484</v>
      </c>
    </row>
    <row r="22" spans="2:30" x14ac:dyDescent="0.25">
      <c r="B22" s="486" t="s">
        <v>345</v>
      </c>
      <c r="C22" s="478">
        <v>9</v>
      </c>
      <c r="D22" s="487">
        <v>4.2</v>
      </c>
      <c r="E22" s="488">
        <v>95200</v>
      </c>
      <c r="F22" s="495"/>
      <c r="G22" s="478">
        <v>0</v>
      </c>
      <c r="S22" s="498">
        <f t="shared" si="0"/>
        <v>44388</v>
      </c>
      <c r="T22" s="489"/>
      <c r="U22" s="489"/>
      <c r="V22" s="489"/>
      <c r="X22" s="493" t="s">
        <v>291</v>
      </c>
      <c r="Y22" s="499" t="s">
        <v>969</v>
      </c>
      <c r="Z22" s="499" t="s">
        <v>977</v>
      </c>
      <c r="AA22" s="496" t="s">
        <v>372</v>
      </c>
      <c r="AB22" s="499" t="s">
        <v>970</v>
      </c>
      <c r="AC22" s="499" t="s">
        <v>971</v>
      </c>
      <c r="AD22" s="496" t="s">
        <v>82</v>
      </c>
    </row>
    <row r="23" spans="2:30" x14ac:dyDescent="0.25">
      <c r="B23" s="486" t="s">
        <v>346</v>
      </c>
      <c r="D23" s="487">
        <f>D22+0.1</f>
        <v>4.3</v>
      </c>
      <c r="E23" s="488">
        <v>80420</v>
      </c>
      <c r="S23" s="498">
        <f t="shared" si="0"/>
        <v>44570</v>
      </c>
      <c r="T23" s="489"/>
      <c r="U23" s="489"/>
      <c r="V23" s="489"/>
      <c r="X23" s="493" t="s">
        <v>293</v>
      </c>
      <c r="Y23" s="499" t="s">
        <v>969</v>
      </c>
      <c r="Z23" s="499" t="s">
        <v>977</v>
      </c>
      <c r="AA23" s="496" t="s">
        <v>483</v>
      </c>
      <c r="AB23" s="499" t="s">
        <v>970</v>
      </c>
      <c r="AC23" s="499" t="s">
        <v>971</v>
      </c>
      <c r="AD23" s="496" t="s">
        <v>82</v>
      </c>
    </row>
    <row r="24" spans="2:30" x14ac:dyDescent="0.25">
      <c r="B24" s="486" t="s">
        <v>490</v>
      </c>
      <c r="D24" s="487">
        <v>4.3499999999999996</v>
      </c>
      <c r="E24" s="488"/>
      <c r="X24" s="493" t="s">
        <v>295</v>
      </c>
      <c r="Y24" s="499" t="s">
        <v>969</v>
      </c>
      <c r="Z24" s="499" t="s">
        <v>977</v>
      </c>
      <c r="AA24" s="496" t="s">
        <v>483</v>
      </c>
      <c r="AB24" s="499" t="s">
        <v>970</v>
      </c>
      <c r="AC24" s="499" t="s">
        <v>971</v>
      </c>
      <c r="AD24" s="496" t="s">
        <v>82</v>
      </c>
    </row>
    <row r="25" spans="2:30" x14ac:dyDescent="0.25">
      <c r="B25" s="486" t="s">
        <v>495</v>
      </c>
      <c r="D25" s="487">
        <v>4.38</v>
      </c>
      <c r="E25" s="488"/>
      <c r="X25" s="493" t="s">
        <v>297</v>
      </c>
      <c r="Y25" s="499" t="s">
        <v>969</v>
      </c>
      <c r="Z25" s="499" t="s">
        <v>977</v>
      </c>
      <c r="AA25" s="496" t="s">
        <v>483</v>
      </c>
      <c r="AB25" s="499" t="s">
        <v>970</v>
      </c>
      <c r="AC25" s="499" t="s">
        <v>971</v>
      </c>
      <c r="AD25" s="496" t="s">
        <v>82</v>
      </c>
    </row>
    <row r="26" spans="2:30" x14ac:dyDescent="0.25">
      <c r="B26" s="486" t="s">
        <v>347</v>
      </c>
      <c r="D26" s="487">
        <f>D23+0.1</f>
        <v>4.3999999999999995</v>
      </c>
      <c r="E26" s="488">
        <v>70000</v>
      </c>
    </row>
    <row r="27" spans="2:30" x14ac:dyDescent="0.25">
      <c r="B27" s="486" t="s">
        <v>492</v>
      </c>
      <c r="D27" s="487">
        <v>4.45</v>
      </c>
      <c r="E27" s="488"/>
      <c r="M27" s="478">
        <f>tbl(\t_commBIM,M30)</f>
        <v>50000</v>
      </c>
      <c r="AD27" s="499"/>
    </row>
    <row r="28" spans="2:30" x14ac:dyDescent="0.25">
      <c r="B28" s="486" t="s">
        <v>348</v>
      </c>
      <c r="D28" s="487">
        <f>D26+0.1</f>
        <v>4.4999999999999991</v>
      </c>
      <c r="E28" s="488">
        <v>135170</v>
      </c>
      <c r="F28" s="488">
        <v>7200</v>
      </c>
      <c r="Q28" s="478" t="s">
        <v>164</v>
      </c>
      <c r="T28" s="478">
        <f>trailertbl(Q29,Q28)</f>
        <v>400</v>
      </c>
    </row>
    <row r="29" spans="2:30" x14ac:dyDescent="0.25">
      <c r="B29" s="486" t="s">
        <v>349</v>
      </c>
      <c r="D29" s="487">
        <f t="shared" ref="D29:D54" si="1">D28+0.1</f>
        <v>4.5999999999999988</v>
      </c>
      <c r="E29" s="488">
        <v>92050</v>
      </c>
      <c r="Q29" s="480" t="s">
        <v>323</v>
      </c>
    </row>
    <row r="30" spans="2:30" x14ac:dyDescent="0.25">
      <c r="B30" s="486" t="s">
        <v>350</v>
      </c>
      <c r="D30" s="487">
        <f t="shared" si="1"/>
        <v>4.6999999999999984</v>
      </c>
      <c r="E30" s="488">
        <v>175090</v>
      </c>
      <c r="F30" s="488">
        <v>7200</v>
      </c>
      <c r="M30" s="478">
        <v>10000000</v>
      </c>
    </row>
    <row r="31" spans="2:30" x14ac:dyDescent="0.25">
      <c r="B31" s="486" t="s">
        <v>488</v>
      </c>
      <c r="D31" s="487">
        <f t="shared" si="1"/>
        <v>4.799999999999998</v>
      </c>
      <c r="E31" s="488">
        <v>233970</v>
      </c>
      <c r="F31" s="488"/>
    </row>
    <row r="32" spans="2:30" x14ac:dyDescent="0.25">
      <c r="B32" s="486" t="s">
        <v>351</v>
      </c>
      <c r="D32" s="487">
        <f t="shared" si="1"/>
        <v>4.8999999999999977</v>
      </c>
      <c r="E32" s="488">
        <v>160100</v>
      </c>
      <c r="F32" s="488"/>
    </row>
    <row r="33" spans="1:28" x14ac:dyDescent="0.25">
      <c r="B33" s="486" t="s">
        <v>352</v>
      </c>
      <c r="D33" s="487">
        <f t="shared" si="1"/>
        <v>4.9999999999999973</v>
      </c>
      <c r="E33" s="488">
        <v>96760</v>
      </c>
      <c r="F33" s="488"/>
      <c r="R33" s="480" t="s">
        <v>973</v>
      </c>
    </row>
    <row r="34" spans="1:28" x14ac:dyDescent="0.25">
      <c r="B34" s="486" t="s">
        <v>493</v>
      </c>
      <c r="D34" s="487">
        <v>5.05</v>
      </c>
      <c r="E34" s="488"/>
      <c r="F34" s="488"/>
      <c r="S34" s="493" t="s">
        <v>280</v>
      </c>
      <c r="T34" s="493" t="s">
        <v>282</v>
      </c>
      <c r="U34" s="493" t="s">
        <v>284</v>
      </c>
      <c r="V34" s="493" t="s">
        <v>274</v>
      </c>
      <c r="W34" s="493" t="s">
        <v>287</v>
      </c>
      <c r="X34" s="493" t="s">
        <v>289</v>
      </c>
      <c r="Y34" s="493" t="s">
        <v>291</v>
      </c>
      <c r="Z34" s="493" t="s">
        <v>293</v>
      </c>
      <c r="AA34" s="493" t="s">
        <v>295</v>
      </c>
      <c r="AB34" s="493" t="s">
        <v>297</v>
      </c>
    </row>
    <row r="35" spans="1:28" x14ac:dyDescent="0.25">
      <c r="B35" s="486" t="s">
        <v>353</v>
      </c>
      <c r="D35" s="487">
        <f>D33+0.1</f>
        <v>5.099999999999997</v>
      </c>
      <c r="E35" s="488">
        <v>297030</v>
      </c>
      <c r="F35" s="488">
        <v>12000</v>
      </c>
      <c r="P35" s="480" t="s">
        <v>976</v>
      </c>
      <c r="R35" s="682">
        <v>43252</v>
      </c>
      <c r="S35" s="478">
        <v>99.25</v>
      </c>
      <c r="T35" s="478">
        <v>1</v>
      </c>
      <c r="U35" s="478">
        <v>1</v>
      </c>
      <c r="V35" s="478">
        <v>1</v>
      </c>
      <c r="W35" s="478">
        <v>1</v>
      </c>
      <c r="X35" s="478">
        <v>1</v>
      </c>
      <c r="Y35" s="478">
        <v>1</v>
      </c>
      <c r="Z35" s="478">
        <v>1</v>
      </c>
      <c r="AA35" s="478">
        <v>1</v>
      </c>
      <c r="AB35" s="478">
        <v>1</v>
      </c>
    </row>
    <row r="36" spans="1:28" x14ac:dyDescent="0.25">
      <c r="B36" s="486" t="s">
        <v>354</v>
      </c>
      <c r="D36" s="487">
        <f t="shared" si="1"/>
        <v>5.1999999999999966</v>
      </c>
      <c r="E36" s="488">
        <v>202150</v>
      </c>
      <c r="F36" s="488">
        <v>8000</v>
      </c>
      <c r="P36" s="480" t="s">
        <v>968</v>
      </c>
      <c r="R36" s="682">
        <v>43435</v>
      </c>
      <c r="S36" s="478">
        <v>1.054</v>
      </c>
      <c r="T36" s="478">
        <v>1.1000000000000001</v>
      </c>
      <c r="U36" s="478">
        <v>1.25</v>
      </c>
      <c r="V36" s="478">
        <v>1.25</v>
      </c>
      <c r="W36" s="478">
        <v>1.25</v>
      </c>
      <c r="X36" s="478">
        <v>1.25</v>
      </c>
      <c r="Y36" s="478">
        <v>1.25</v>
      </c>
      <c r="Z36" s="478">
        <v>1.25</v>
      </c>
      <c r="AA36" s="478">
        <v>1.25</v>
      </c>
      <c r="AB36" s="478">
        <v>1.25</v>
      </c>
    </row>
    <row r="37" spans="1:28" x14ac:dyDescent="0.25">
      <c r="B37" s="486" t="s">
        <v>355</v>
      </c>
      <c r="D37" s="487">
        <f t="shared" si="1"/>
        <v>5.2999999999999963</v>
      </c>
      <c r="E37" s="488">
        <v>154020</v>
      </c>
      <c r="F37" s="488"/>
      <c r="R37" s="682">
        <v>43617</v>
      </c>
      <c r="S37" s="478">
        <v>1.0900000000000001</v>
      </c>
      <c r="T37" s="478">
        <v>1.17</v>
      </c>
      <c r="U37" s="478">
        <v>1.5</v>
      </c>
      <c r="V37" s="478">
        <v>1.5</v>
      </c>
      <c r="W37" s="478">
        <v>1.5</v>
      </c>
      <c r="X37" s="478">
        <v>1.5</v>
      </c>
      <c r="Y37" s="478">
        <v>1.5</v>
      </c>
      <c r="Z37" s="478">
        <v>1.5</v>
      </c>
      <c r="AA37" s="478">
        <v>1.5</v>
      </c>
      <c r="AB37" s="478">
        <v>1.5</v>
      </c>
    </row>
    <row r="38" spans="1:28" x14ac:dyDescent="0.25">
      <c r="B38" s="486" t="s">
        <v>356</v>
      </c>
      <c r="D38" s="487">
        <f t="shared" si="1"/>
        <v>5.3999999999999959</v>
      </c>
      <c r="E38" s="488">
        <v>200000</v>
      </c>
      <c r="F38" s="488">
        <v>7200</v>
      </c>
    </row>
    <row r="39" spans="1:28" x14ac:dyDescent="0.25">
      <c r="B39" s="486" t="s">
        <v>357</v>
      </c>
      <c r="D39" s="487">
        <f t="shared" si="1"/>
        <v>5.4999999999999956</v>
      </c>
      <c r="E39" s="488">
        <v>130540</v>
      </c>
      <c r="F39" s="488"/>
    </row>
    <row r="40" spans="1:28" x14ac:dyDescent="0.25">
      <c r="B40" s="486" t="s">
        <v>358</v>
      </c>
      <c r="D40" s="487">
        <f t="shared" si="1"/>
        <v>5.5999999999999952</v>
      </c>
      <c r="E40" s="488">
        <v>77730</v>
      </c>
      <c r="F40" s="488"/>
    </row>
    <row r="41" spans="1:28" x14ac:dyDescent="0.25">
      <c r="B41" s="486" t="s">
        <v>359</v>
      </c>
      <c r="D41" s="487">
        <f t="shared" si="1"/>
        <v>5.6999999999999948</v>
      </c>
      <c r="E41" s="488">
        <v>149760</v>
      </c>
      <c r="F41" s="488"/>
    </row>
    <row r="42" spans="1:28" x14ac:dyDescent="0.25">
      <c r="B42" s="486" t="s">
        <v>360</v>
      </c>
      <c r="D42" s="487">
        <f t="shared" si="1"/>
        <v>5.7999999999999945</v>
      </c>
      <c r="E42" s="488">
        <v>68660</v>
      </c>
      <c r="F42" s="488"/>
    </row>
    <row r="43" spans="1:28" x14ac:dyDescent="0.25">
      <c r="B43" s="486" t="s">
        <v>361</v>
      </c>
      <c r="D43" s="487">
        <f t="shared" si="1"/>
        <v>5.8999999999999941</v>
      </c>
      <c r="E43" s="488">
        <v>129280</v>
      </c>
      <c r="F43" s="488"/>
    </row>
    <row r="44" spans="1:28" x14ac:dyDescent="0.25">
      <c r="B44" s="486" t="s">
        <v>362</v>
      </c>
      <c r="D44" s="487">
        <f t="shared" si="1"/>
        <v>5.9999999999999938</v>
      </c>
      <c r="E44" s="488">
        <v>68450</v>
      </c>
      <c r="F44" s="488"/>
    </row>
    <row r="45" spans="1:28" x14ac:dyDescent="0.25">
      <c r="B45" s="486" t="s">
        <v>6</v>
      </c>
      <c r="D45" s="487">
        <f t="shared" si="1"/>
        <v>6.0999999999999934</v>
      </c>
      <c r="E45" s="488">
        <v>360850</v>
      </c>
      <c r="F45" s="488">
        <v>12000</v>
      </c>
    </row>
    <row r="46" spans="1:28" x14ac:dyDescent="0.25">
      <c r="A46" s="480" t="s">
        <v>962</v>
      </c>
      <c r="B46" s="486" t="s">
        <v>494</v>
      </c>
      <c r="D46" s="487">
        <v>6.15</v>
      </c>
      <c r="E46" s="488"/>
      <c r="F46" s="488"/>
      <c r="H46" s="480" t="s">
        <v>509</v>
      </c>
    </row>
    <row r="47" spans="1:28" x14ac:dyDescent="0.25">
      <c r="A47" s="480" t="s">
        <v>962</v>
      </c>
      <c r="B47" s="486" t="s">
        <v>363</v>
      </c>
      <c r="D47" s="487">
        <f>D45+0.1</f>
        <v>6.1999999999999931</v>
      </c>
      <c r="E47" s="488">
        <v>259220</v>
      </c>
      <c r="H47" s="480" t="s">
        <v>509</v>
      </c>
    </row>
    <row r="48" spans="1:28" x14ac:dyDescent="0.25">
      <c r="A48" s="480" t="s">
        <v>962</v>
      </c>
      <c r="B48" s="486" t="s">
        <v>364</v>
      </c>
      <c r="D48" s="487">
        <f t="shared" si="1"/>
        <v>6.2999999999999927</v>
      </c>
      <c r="E48" s="488">
        <v>197980</v>
      </c>
      <c r="H48" s="480" t="s">
        <v>509</v>
      </c>
    </row>
    <row r="49" spans="1:8" x14ac:dyDescent="0.25">
      <c r="A49" s="480" t="s">
        <v>962</v>
      </c>
      <c r="B49" s="486" t="s">
        <v>383</v>
      </c>
      <c r="D49" s="487">
        <v>6.4</v>
      </c>
      <c r="E49" s="488">
        <v>211440</v>
      </c>
      <c r="H49" s="480" t="s">
        <v>509</v>
      </c>
    </row>
    <row r="50" spans="1:8" x14ac:dyDescent="0.25">
      <c r="A50" s="480" t="s">
        <v>962</v>
      </c>
      <c r="B50" s="486" t="s">
        <v>365</v>
      </c>
      <c r="D50" s="487">
        <v>6.5</v>
      </c>
      <c r="E50" s="488">
        <v>150790</v>
      </c>
      <c r="H50" s="480" t="s">
        <v>509</v>
      </c>
    </row>
    <row r="51" spans="1:8" x14ac:dyDescent="0.25">
      <c r="A51" s="480" t="s">
        <v>962</v>
      </c>
      <c r="B51" s="486" t="s">
        <v>491</v>
      </c>
      <c r="D51" s="487">
        <v>6.55</v>
      </c>
      <c r="E51" s="488"/>
      <c r="H51" s="480" t="s">
        <v>509</v>
      </c>
    </row>
    <row r="52" spans="1:8" x14ac:dyDescent="0.25">
      <c r="A52" s="480" t="s">
        <v>962</v>
      </c>
      <c r="B52" s="486" t="s">
        <v>496</v>
      </c>
      <c r="D52" s="487">
        <v>6.57</v>
      </c>
      <c r="E52" s="488"/>
      <c r="H52" s="480" t="s">
        <v>509</v>
      </c>
    </row>
    <row r="53" spans="1:8" x14ac:dyDescent="0.25">
      <c r="A53" s="480" t="s">
        <v>962</v>
      </c>
      <c r="B53" s="486" t="s">
        <v>7</v>
      </c>
      <c r="D53" s="487">
        <f>D50+0.1</f>
        <v>6.6</v>
      </c>
      <c r="E53" s="488">
        <v>85430</v>
      </c>
      <c r="H53" s="480" t="s">
        <v>509</v>
      </c>
    </row>
    <row r="54" spans="1:8" x14ac:dyDescent="0.25">
      <c r="A54" s="480" t="s">
        <v>962</v>
      </c>
      <c r="B54" s="486" t="s">
        <v>366</v>
      </c>
      <c r="D54" s="487">
        <f t="shared" si="1"/>
        <v>6.6999999999999993</v>
      </c>
      <c r="E54" s="488">
        <v>75920</v>
      </c>
      <c r="H54" s="480" t="s">
        <v>509</v>
      </c>
    </row>
    <row r="55" spans="1:8" x14ac:dyDescent="0.25">
      <c r="A55" s="480" t="s">
        <v>962</v>
      </c>
      <c r="B55" s="486" t="s">
        <v>381</v>
      </c>
      <c r="D55" s="487">
        <v>6.9</v>
      </c>
      <c r="E55" s="488">
        <v>70000</v>
      </c>
      <c r="H55" s="480" t="s">
        <v>509</v>
      </c>
    </row>
    <row r="56" spans="1:8" x14ac:dyDescent="0.25">
      <c r="B56" s="486" t="s">
        <v>382</v>
      </c>
      <c r="D56" s="487">
        <v>7</v>
      </c>
      <c r="E56" s="488"/>
    </row>
    <row r="67" spans="2:12" x14ac:dyDescent="0.25">
      <c r="B67" s="480" t="s">
        <v>501</v>
      </c>
      <c r="C67" s="478">
        <v>1</v>
      </c>
      <c r="D67" s="478">
        <f>C67+1</f>
        <v>2</v>
      </c>
      <c r="E67" s="478">
        <f t="shared" ref="E67:L67" si="2">D67+1</f>
        <v>3</v>
      </c>
      <c r="F67" s="478">
        <f t="shared" si="2"/>
        <v>4</v>
      </c>
      <c r="G67" s="478">
        <f t="shared" si="2"/>
        <v>5</v>
      </c>
      <c r="H67" s="478">
        <f t="shared" si="2"/>
        <v>6</v>
      </c>
      <c r="I67" s="478">
        <f t="shared" si="2"/>
        <v>7</v>
      </c>
      <c r="J67" s="478">
        <f t="shared" si="2"/>
        <v>8</v>
      </c>
      <c r="K67" s="478">
        <f t="shared" si="2"/>
        <v>9</v>
      </c>
      <c r="L67" s="478">
        <f t="shared" si="2"/>
        <v>10</v>
      </c>
    </row>
    <row r="68" spans="2:12" x14ac:dyDescent="0.25">
      <c r="B68" s="483" t="s">
        <v>310</v>
      </c>
      <c r="C68" s="493" t="s">
        <v>280</v>
      </c>
      <c r="D68" s="493" t="s">
        <v>282</v>
      </c>
      <c r="E68" s="493" t="s">
        <v>284</v>
      </c>
      <c r="F68" s="493" t="s">
        <v>274</v>
      </c>
      <c r="G68" s="493" t="s">
        <v>287</v>
      </c>
      <c r="H68" s="493" t="s">
        <v>289</v>
      </c>
      <c r="I68" s="493" t="s">
        <v>291</v>
      </c>
      <c r="J68" s="493" t="s">
        <v>293</v>
      </c>
      <c r="K68" s="493" t="s">
        <v>295</v>
      </c>
      <c r="L68" s="493" t="s">
        <v>297</v>
      </c>
    </row>
    <row r="69" spans="2:12" x14ac:dyDescent="0.25">
      <c r="B69" s="489">
        <v>0</v>
      </c>
      <c r="C69" s="496" t="s">
        <v>500</v>
      </c>
      <c r="D69" s="496" t="s">
        <v>500</v>
      </c>
      <c r="E69" s="496"/>
      <c r="F69" s="496"/>
      <c r="G69" s="496"/>
      <c r="H69" s="496"/>
      <c r="I69" s="496" t="s">
        <v>500</v>
      </c>
      <c r="J69" s="496" t="s">
        <v>500</v>
      </c>
      <c r="K69" s="496" t="s">
        <v>500</v>
      </c>
      <c r="L69" s="496" t="s">
        <v>500</v>
      </c>
    </row>
    <row r="70" spans="2:12" x14ac:dyDescent="0.25">
      <c r="B70" s="489">
        <v>5000000</v>
      </c>
      <c r="C70" s="500" t="s">
        <v>497</v>
      </c>
      <c r="D70" s="500" t="s">
        <v>497</v>
      </c>
      <c r="E70" s="496" t="s">
        <v>500</v>
      </c>
      <c r="F70" s="496" t="s">
        <v>500</v>
      </c>
      <c r="G70" s="496" t="s">
        <v>500</v>
      </c>
      <c r="H70" s="496" t="s">
        <v>500</v>
      </c>
      <c r="I70" s="500" t="s">
        <v>497</v>
      </c>
      <c r="J70" s="500" t="s">
        <v>497</v>
      </c>
      <c r="K70" s="500" t="s">
        <v>497</v>
      </c>
      <c r="L70" s="500" t="s">
        <v>497</v>
      </c>
    </row>
    <row r="71" spans="2:12" x14ac:dyDescent="0.25">
      <c r="B71" s="489">
        <v>40000000</v>
      </c>
      <c r="C71" s="496" t="s">
        <v>499</v>
      </c>
      <c r="D71" s="496" t="s">
        <v>499</v>
      </c>
      <c r="E71" s="499"/>
      <c r="F71" s="496"/>
      <c r="G71" s="496"/>
      <c r="H71" s="496"/>
      <c r="I71" s="496" t="s">
        <v>499</v>
      </c>
      <c r="J71" s="496" t="s">
        <v>499</v>
      </c>
      <c r="K71" s="496" t="s">
        <v>499</v>
      </c>
      <c r="L71" s="496" t="s">
        <v>499</v>
      </c>
    </row>
    <row r="72" spans="2:12" x14ac:dyDescent="0.25">
      <c r="B72" s="489">
        <v>150000000</v>
      </c>
      <c r="C72" s="496" t="s">
        <v>498</v>
      </c>
      <c r="D72" s="496" t="s">
        <v>498</v>
      </c>
      <c r="E72" s="499"/>
      <c r="F72" s="496"/>
      <c r="G72" s="496"/>
      <c r="H72" s="496"/>
      <c r="I72" s="496" t="s">
        <v>498</v>
      </c>
      <c r="J72" s="496" t="s">
        <v>498</v>
      </c>
      <c r="K72" s="496" t="s">
        <v>498</v>
      </c>
      <c r="L72" s="496" t="s">
        <v>498</v>
      </c>
    </row>
    <row r="73" spans="2:12" x14ac:dyDescent="0.25">
      <c r="B73" s="501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106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927</v>
      </c>
      <c r="E3" t="s">
        <v>929</v>
      </c>
      <c r="F3" t="s">
        <v>926</v>
      </c>
      <c r="G3" t="s">
        <v>928</v>
      </c>
    </row>
    <row r="4" spans="4:7" x14ac:dyDescent="0.25">
      <c r="D4" t="s">
        <v>516</v>
      </c>
      <c r="E4" t="s">
        <v>388</v>
      </c>
      <c r="F4" s="560">
        <v>10000</v>
      </c>
      <c r="G4" t="s">
        <v>388</v>
      </c>
    </row>
    <row r="5" spans="4:7" x14ac:dyDescent="0.25">
      <c r="D5" t="s">
        <v>517</v>
      </c>
      <c r="E5" t="s">
        <v>518</v>
      </c>
      <c r="F5" s="560">
        <v>10000</v>
      </c>
      <c r="G5" t="s">
        <v>518</v>
      </c>
    </row>
    <row r="6" spans="4:7" x14ac:dyDescent="0.25">
      <c r="D6" t="s">
        <v>519</v>
      </c>
      <c r="E6" t="s">
        <v>520</v>
      </c>
      <c r="F6" s="560">
        <v>10000</v>
      </c>
      <c r="G6" t="s">
        <v>520</v>
      </c>
    </row>
    <row r="7" spans="4:7" x14ac:dyDescent="0.25">
      <c r="D7" t="s">
        <v>521</v>
      </c>
      <c r="E7" t="s">
        <v>23</v>
      </c>
      <c r="F7" s="560">
        <v>10000</v>
      </c>
      <c r="G7" t="s">
        <v>23</v>
      </c>
    </row>
    <row r="8" spans="4:7" x14ac:dyDescent="0.25">
      <c r="D8" t="s">
        <v>522</v>
      </c>
      <c r="E8" t="s">
        <v>427</v>
      </c>
      <c r="F8" s="560">
        <v>10000</v>
      </c>
      <c r="G8" t="s">
        <v>427</v>
      </c>
    </row>
    <row r="9" spans="4:7" x14ac:dyDescent="0.25">
      <c r="D9" t="s">
        <v>523</v>
      </c>
      <c r="E9" t="s">
        <v>24</v>
      </c>
      <c r="F9" s="560">
        <v>10000</v>
      </c>
      <c r="G9" t="s">
        <v>24</v>
      </c>
    </row>
    <row r="10" spans="4:7" x14ac:dyDescent="0.25">
      <c r="D10" t="s">
        <v>524</v>
      </c>
      <c r="E10" t="s">
        <v>26</v>
      </c>
      <c r="F10" s="560">
        <v>10000</v>
      </c>
      <c r="G10" t="s">
        <v>26</v>
      </c>
    </row>
    <row r="11" spans="4:7" x14ac:dyDescent="0.25">
      <c r="D11" t="s">
        <v>525</v>
      </c>
      <c r="E11" t="s">
        <v>29</v>
      </c>
      <c r="F11" s="560">
        <v>10000</v>
      </c>
      <c r="G11" t="s">
        <v>29</v>
      </c>
    </row>
    <row r="12" spans="4:7" x14ac:dyDescent="0.25">
      <c r="D12" t="s">
        <v>526</v>
      </c>
      <c r="E12" t="s">
        <v>30</v>
      </c>
      <c r="F12" s="560">
        <v>10000</v>
      </c>
      <c r="G12" t="s">
        <v>30</v>
      </c>
    </row>
    <row r="13" spans="4:7" x14ac:dyDescent="0.25">
      <c r="D13" t="s">
        <v>527</v>
      </c>
      <c r="E13" t="s">
        <v>32</v>
      </c>
      <c r="F13" s="560">
        <v>10000</v>
      </c>
      <c r="G13" t="s">
        <v>32</v>
      </c>
    </row>
    <row r="14" spans="4:7" x14ac:dyDescent="0.25">
      <c r="D14" t="s">
        <v>528</v>
      </c>
      <c r="E14" t="s">
        <v>529</v>
      </c>
      <c r="F14" s="560">
        <v>10000</v>
      </c>
      <c r="G14" t="s">
        <v>529</v>
      </c>
    </row>
    <row r="15" spans="4:7" x14ac:dyDescent="0.25">
      <c r="D15" t="s">
        <v>530</v>
      </c>
      <c r="E15" t="s">
        <v>531</v>
      </c>
      <c r="F15" s="560">
        <v>10000</v>
      </c>
      <c r="G15" t="s">
        <v>531</v>
      </c>
    </row>
    <row r="16" spans="4:7" x14ac:dyDescent="0.25">
      <c r="D16" t="s">
        <v>532</v>
      </c>
      <c r="E16" t="s">
        <v>35</v>
      </c>
      <c r="F16" s="560">
        <v>10000</v>
      </c>
      <c r="G16" t="s">
        <v>35</v>
      </c>
    </row>
    <row r="17" spans="4:7" x14ac:dyDescent="0.25">
      <c r="D17" t="s">
        <v>533</v>
      </c>
      <c r="E17" t="s">
        <v>37</v>
      </c>
      <c r="F17" s="560">
        <v>10000</v>
      </c>
      <c r="G17" t="s">
        <v>37</v>
      </c>
    </row>
    <row r="18" spans="4:7" x14ac:dyDescent="0.25">
      <c r="D18" t="s">
        <v>534</v>
      </c>
      <c r="E18" t="s">
        <v>38</v>
      </c>
      <c r="F18" s="560">
        <v>10000</v>
      </c>
      <c r="G18" t="s">
        <v>38</v>
      </c>
    </row>
    <row r="19" spans="4:7" x14ac:dyDescent="0.25">
      <c r="D19" t="s">
        <v>535</v>
      </c>
      <c r="E19" t="s">
        <v>536</v>
      </c>
      <c r="F19" s="560">
        <v>10000</v>
      </c>
      <c r="G19" t="s">
        <v>536</v>
      </c>
    </row>
    <row r="20" spans="4:7" x14ac:dyDescent="0.25">
      <c r="D20" t="s">
        <v>537</v>
      </c>
      <c r="E20" t="s">
        <v>40</v>
      </c>
      <c r="F20" s="560">
        <v>10000</v>
      </c>
      <c r="G20" t="s">
        <v>40</v>
      </c>
    </row>
    <row r="21" spans="4:7" x14ac:dyDescent="0.25">
      <c r="D21" t="s">
        <v>538</v>
      </c>
      <c r="E21" t="s">
        <v>539</v>
      </c>
      <c r="F21" s="560">
        <v>10000</v>
      </c>
      <c r="G21" t="s">
        <v>539</v>
      </c>
    </row>
    <row r="22" spans="4:7" x14ac:dyDescent="0.25">
      <c r="D22" t="s">
        <v>540</v>
      </c>
      <c r="E22" t="s">
        <v>42</v>
      </c>
      <c r="F22" s="560">
        <v>10000</v>
      </c>
      <c r="G22" t="s">
        <v>42</v>
      </c>
    </row>
    <row r="23" spans="4:7" x14ac:dyDescent="0.25">
      <c r="D23" t="s">
        <v>541</v>
      </c>
      <c r="E23" t="s">
        <v>43</v>
      </c>
      <c r="F23" s="560">
        <v>10000</v>
      </c>
      <c r="G23" t="s">
        <v>43</v>
      </c>
    </row>
    <row r="24" spans="4:7" x14ac:dyDescent="0.25">
      <c r="D24" t="s">
        <v>542</v>
      </c>
      <c r="E24" t="s">
        <v>46</v>
      </c>
      <c r="F24" s="560">
        <v>10000</v>
      </c>
      <c r="G24" t="s">
        <v>46</v>
      </c>
    </row>
    <row r="25" spans="4:7" x14ac:dyDescent="0.25">
      <c r="D25" t="s">
        <v>543</v>
      </c>
      <c r="E25" t="s">
        <v>544</v>
      </c>
      <c r="F25" s="560">
        <v>10000</v>
      </c>
      <c r="G25" t="s">
        <v>544</v>
      </c>
    </row>
    <row r="26" spans="4:7" x14ac:dyDescent="0.25">
      <c r="D26" t="s">
        <v>545</v>
      </c>
      <c r="E26" t="s">
        <v>546</v>
      </c>
      <c r="F26" s="560">
        <v>10000</v>
      </c>
      <c r="G26" t="s">
        <v>546</v>
      </c>
    </row>
    <row r="27" spans="4:7" x14ac:dyDescent="0.25">
      <c r="D27" t="s">
        <v>547</v>
      </c>
      <c r="E27" t="s">
        <v>197</v>
      </c>
      <c r="F27" s="560">
        <v>10000</v>
      </c>
      <c r="G27" t="s">
        <v>197</v>
      </c>
    </row>
    <row r="28" spans="4:7" x14ac:dyDescent="0.25">
      <c r="D28" t="s">
        <v>548</v>
      </c>
      <c r="E28" t="s">
        <v>549</v>
      </c>
      <c r="F28" s="560">
        <v>10000</v>
      </c>
      <c r="G28" t="s">
        <v>549</v>
      </c>
    </row>
    <row r="29" spans="4:7" x14ac:dyDescent="0.25">
      <c r="D29" t="s">
        <v>550</v>
      </c>
      <c r="E29" t="s">
        <v>551</v>
      </c>
      <c r="F29" s="560">
        <v>10000</v>
      </c>
      <c r="G29" t="s">
        <v>551</v>
      </c>
    </row>
    <row r="30" spans="4:7" x14ac:dyDescent="0.25">
      <c r="D30" t="s">
        <v>552</v>
      </c>
      <c r="E30" t="s">
        <v>553</v>
      </c>
      <c r="F30" s="560">
        <v>10000</v>
      </c>
      <c r="G30" t="s">
        <v>553</v>
      </c>
    </row>
    <row r="31" spans="4:7" x14ac:dyDescent="0.25">
      <c r="D31" t="s">
        <v>554</v>
      </c>
      <c r="E31" t="s">
        <v>555</v>
      </c>
      <c r="F31" s="560">
        <v>10000</v>
      </c>
      <c r="G31" t="s">
        <v>555</v>
      </c>
    </row>
    <row r="32" spans="4:7" x14ac:dyDescent="0.25">
      <c r="D32" t="s">
        <v>556</v>
      </c>
      <c r="E32" t="s">
        <v>557</v>
      </c>
      <c r="F32" s="560">
        <v>10000</v>
      </c>
      <c r="G32" t="s">
        <v>557</v>
      </c>
    </row>
    <row r="33" spans="4:7" x14ac:dyDescent="0.25">
      <c r="D33" t="s">
        <v>558</v>
      </c>
      <c r="E33" t="s">
        <v>559</v>
      </c>
      <c r="F33" s="560">
        <v>11100</v>
      </c>
      <c r="G33" t="s">
        <v>930</v>
      </c>
    </row>
    <row r="34" spans="4:7" x14ac:dyDescent="0.25">
      <c r="D34" t="s">
        <v>560</v>
      </c>
      <c r="E34" t="s">
        <v>561</v>
      </c>
      <c r="F34" s="560">
        <v>11100</v>
      </c>
      <c r="G34" t="s">
        <v>930</v>
      </c>
    </row>
    <row r="35" spans="4:7" x14ac:dyDescent="0.25">
      <c r="D35" t="s">
        <v>562</v>
      </c>
      <c r="E35" t="s">
        <v>563</v>
      </c>
      <c r="F35" s="560">
        <v>11100</v>
      </c>
      <c r="G35" t="s">
        <v>930</v>
      </c>
    </row>
    <row r="36" spans="4:7" x14ac:dyDescent="0.25">
      <c r="D36" t="s">
        <v>564</v>
      </c>
      <c r="E36" t="s">
        <v>565</v>
      </c>
      <c r="F36" s="560">
        <v>11100</v>
      </c>
      <c r="G36" t="s">
        <v>930</v>
      </c>
    </row>
    <row r="37" spans="4:7" x14ac:dyDescent="0.25">
      <c r="D37" t="s">
        <v>566</v>
      </c>
      <c r="E37" t="s">
        <v>567</v>
      </c>
      <c r="F37" s="560">
        <v>11100</v>
      </c>
      <c r="G37" t="s">
        <v>930</v>
      </c>
    </row>
    <row r="38" spans="4:7" x14ac:dyDescent="0.25">
      <c r="D38" t="s">
        <v>568</v>
      </c>
      <c r="E38" t="s">
        <v>569</v>
      </c>
      <c r="F38" s="560">
        <v>11100</v>
      </c>
      <c r="G38" t="s">
        <v>930</v>
      </c>
    </row>
    <row r="39" spans="4:7" x14ac:dyDescent="0.25">
      <c r="D39" t="s">
        <v>570</v>
      </c>
      <c r="E39" t="s">
        <v>571</v>
      </c>
      <c r="F39" s="560">
        <v>11100</v>
      </c>
      <c r="G39" t="s">
        <v>930</v>
      </c>
    </row>
    <row r="40" spans="4:7" x14ac:dyDescent="0.25">
      <c r="D40" t="s">
        <v>572</v>
      </c>
      <c r="E40" t="s">
        <v>573</v>
      </c>
      <c r="F40" s="560">
        <v>11100</v>
      </c>
      <c r="G40" t="s">
        <v>930</v>
      </c>
    </row>
    <row r="41" spans="4:7" x14ac:dyDescent="0.25">
      <c r="D41" t="s">
        <v>574</v>
      </c>
      <c r="E41" t="s">
        <v>575</v>
      </c>
      <c r="F41" s="560">
        <v>11100</v>
      </c>
      <c r="G41" t="s">
        <v>930</v>
      </c>
    </row>
    <row r="42" spans="4:7" x14ac:dyDescent="0.25">
      <c r="D42" t="s">
        <v>576</v>
      </c>
      <c r="E42" t="s">
        <v>577</v>
      </c>
      <c r="F42" s="560">
        <v>11100</v>
      </c>
      <c r="G42" t="s">
        <v>930</v>
      </c>
    </row>
    <row r="43" spans="4:7" x14ac:dyDescent="0.25">
      <c r="D43" t="s">
        <v>578</v>
      </c>
      <c r="E43" t="s">
        <v>579</v>
      </c>
      <c r="F43" s="560">
        <v>11200</v>
      </c>
      <c r="G43" t="s">
        <v>931</v>
      </c>
    </row>
    <row r="44" spans="4:7" x14ac:dyDescent="0.25">
      <c r="D44" t="s">
        <v>580</v>
      </c>
      <c r="E44" t="s">
        <v>581</v>
      </c>
      <c r="F44" s="560">
        <v>11200</v>
      </c>
      <c r="G44" t="s">
        <v>931</v>
      </c>
    </row>
    <row r="45" spans="4:7" x14ac:dyDescent="0.25">
      <c r="D45" t="s">
        <v>582</v>
      </c>
      <c r="E45" t="s">
        <v>583</v>
      </c>
      <c r="F45" s="560">
        <v>11800</v>
      </c>
      <c r="G45" t="s">
        <v>932</v>
      </c>
    </row>
    <row r="46" spans="4:7" x14ac:dyDescent="0.25">
      <c r="D46" t="s">
        <v>584</v>
      </c>
      <c r="E46" t="s">
        <v>204</v>
      </c>
      <c r="F46" s="560">
        <v>11800</v>
      </c>
      <c r="G46" t="s">
        <v>932</v>
      </c>
    </row>
    <row r="47" spans="4:7" x14ac:dyDescent="0.25">
      <c r="D47" t="s">
        <v>585</v>
      </c>
      <c r="E47" t="s">
        <v>586</v>
      </c>
      <c r="F47" s="560">
        <v>11800</v>
      </c>
      <c r="G47" t="s">
        <v>932</v>
      </c>
    </row>
    <row r="48" spans="4:7" x14ac:dyDescent="0.25">
      <c r="D48" t="s">
        <v>587</v>
      </c>
      <c r="E48" t="s">
        <v>588</v>
      </c>
      <c r="F48" s="560">
        <v>12100</v>
      </c>
      <c r="G48" t="s">
        <v>933</v>
      </c>
    </row>
    <row r="49" spans="4:7" x14ac:dyDescent="0.25">
      <c r="D49" t="s">
        <v>589</v>
      </c>
      <c r="E49" t="s">
        <v>590</v>
      </c>
      <c r="F49" s="560">
        <v>12100</v>
      </c>
      <c r="G49" t="s">
        <v>933</v>
      </c>
    </row>
    <row r="50" spans="4:7" x14ac:dyDescent="0.25">
      <c r="D50" t="s">
        <v>591</v>
      </c>
      <c r="E50" t="s">
        <v>592</v>
      </c>
      <c r="F50" s="560">
        <v>12100</v>
      </c>
      <c r="G50" t="s">
        <v>933</v>
      </c>
    </row>
    <row r="51" spans="4:7" x14ac:dyDescent="0.25">
      <c r="D51" t="s">
        <v>593</v>
      </c>
      <c r="E51" t="s">
        <v>594</v>
      </c>
      <c r="F51" s="560">
        <v>12100</v>
      </c>
      <c r="G51" t="s">
        <v>933</v>
      </c>
    </row>
    <row r="52" spans="4:7" x14ac:dyDescent="0.25">
      <c r="D52" t="s">
        <v>595</v>
      </c>
      <c r="E52" t="s">
        <v>430</v>
      </c>
      <c r="F52" s="560">
        <v>12100</v>
      </c>
      <c r="G52" t="s">
        <v>933</v>
      </c>
    </row>
    <row r="53" spans="4:7" x14ac:dyDescent="0.25">
      <c r="D53" t="s">
        <v>596</v>
      </c>
      <c r="E53" t="s">
        <v>82</v>
      </c>
      <c r="F53" s="560">
        <v>12100</v>
      </c>
      <c r="G53" t="s">
        <v>933</v>
      </c>
    </row>
    <row r="54" spans="4:7" x14ac:dyDescent="0.25">
      <c r="D54" t="s">
        <v>597</v>
      </c>
      <c r="E54" t="s">
        <v>598</v>
      </c>
      <c r="F54" s="560">
        <v>12100</v>
      </c>
      <c r="G54" t="s">
        <v>933</v>
      </c>
    </row>
    <row r="55" spans="4:7" x14ac:dyDescent="0.25">
      <c r="D55" t="s">
        <v>599</v>
      </c>
      <c r="E55" t="s">
        <v>600</v>
      </c>
      <c r="F55" s="560">
        <v>12100</v>
      </c>
      <c r="G55" t="s">
        <v>933</v>
      </c>
    </row>
    <row r="56" spans="4:7" x14ac:dyDescent="0.25">
      <c r="D56" t="s">
        <v>601</v>
      </c>
      <c r="E56" t="s">
        <v>602</v>
      </c>
      <c r="F56" s="560">
        <v>12100</v>
      </c>
      <c r="G56" t="s">
        <v>933</v>
      </c>
    </row>
    <row r="57" spans="4:7" x14ac:dyDescent="0.25">
      <c r="D57" t="s">
        <v>603</v>
      </c>
      <c r="E57" t="s">
        <v>604</v>
      </c>
      <c r="F57" s="560">
        <v>12100</v>
      </c>
      <c r="G57" t="s">
        <v>933</v>
      </c>
    </row>
    <row r="58" spans="4:7" x14ac:dyDescent="0.25">
      <c r="D58" t="s">
        <v>605</v>
      </c>
      <c r="E58" t="s">
        <v>89</v>
      </c>
      <c r="F58" s="560">
        <v>13100</v>
      </c>
      <c r="G58" t="s">
        <v>934</v>
      </c>
    </row>
    <row r="59" spans="4:7" x14ac:dyDescent="0.25">
      <c r="D59" t="s">
        <v>606</v>
      </c>
      <c r="E59" t="s">
        <v>607</v>
      </c>
      <c r="F59" s="560">
        <v>13100</v>
      </c>
      <c r="G59" t="s">
        <v>934</v>
      </c>
    </row>
    <row r="60" spans="4:7" x14ac:dyDescent="0.25">
      <c r="D60" t="s">
        <v>608</v>
      </c>
      <c r="E60" t="s">
        <v>609</v>
      </c>
      <c r="F60" s="560">
        <v>13100</v>
      </c>
      <c r="G60" t="s">
        <v>934</v>
      </c>
    </row>
    <row r="61" spans="4:7" x14ac:dyDescent="0.25">
      <c r="D61" t="s">
        <v>610</v>
      </c>
      <c r="E61" t="s">
        <v>86</v>
      </c>
      <c r="F61" s="560">
        <v>13100</v>
      </c>
      <c r="G61" t="s">
        <v>934</v>
      </c>
    </row>
    <row r="62" spans="4:7" x14ac:dyDescent="0.25">
      <c r="D62" t="s">
        <v>611</v>
      </c>
      <c r="E62" t="s">
        <v>88</v>
      </c>
      <c r="F62" s="560">
        <v>13100</v>
      </c>
      <c r="G62" t="s">
        <v>934</v>
      </c>
    </row>
    <row r="63" spans="4:7" x14ac:dyDescent="0.25">
      <c r="D63" t="s">
        <v>612</v>
      </c>
      <c r="E63" t="s">
        <v>613</v>
      </c>
      <c r="F63" s="560">
        <v>13100</v>
      </c>
      <c r="G63" t="s">
        <v>934</v>
      </c>
    </row>
    <row r="64" spans="4:7" x14ac:dyDescent="0.25">
      <c r="D64" t="s">
        <v>614</v>
      </c>
      <c r="E64" t="s">
        <v>391</v>
      </c>
      <c r="F64" s="560">
        <v>13100</v>
      </c>
      <c r="G64" t="s">
        <v>934</v>
      </c>
    </row>
    <row r="65" spans="4:7" x14ac:dyDescent="0.25">
      <c r="D65" t="s">
        <v>615</v>
      </c>
      <c r="E65" t="s">
        <v>616</v>
      </c>
      <c r="F65" s="560">
        <v>13500</v>
      </c>
      <c r="G65" t="s">
        <v>935</v>
      </c>
    </row>
    <row r="66" spans="4:7" x14ac:dyDescent="0.25">
      <c r="D66" t="s">
        <v>617</v>
      </c>
      <c r="E66" t="s">
        <v>618</v>
      </c>
      <c r="F66" s="560">
        <v>14100</v>
      </c>
      <c r="G66" t="s">
        <v>936</v>
      </c>
    </row>
    <row r="67" spans="4:7" x14ac:dyDescent="0.25">
      <c r="D67" t="s">
        <v>619</v>
      </c>
      <c r="E67" t="s">
        <v>620</v>
      </c>
      <c r="F67" s="560">
        <v>14100</v>
      </c>
      <c r="G67" t="s">
        <v>936</v>
      </c>
    </row>
    <row r="68" spans="4:7" x14ac:dyDescent="0.25">
      <c r="D68" t="s">
        <v>621</v>
      </c>
      <c r="E68" t="s">
        <v>622</v>
      </c>
      <c r="F68" s="560">
        <v>14100</v>
      </c>
      <c r="G68" t="s">
        <v>936</v>
      </c>
    </row>
    <row r="69" spans="4:7" x14ac:dyDescent="0.25">
      <c r="D69" t="s">
        <v>623</v>
      </c>
      <c r="E69" t="s">
        <v>624</v>
      </c>
      <c r="F69" s="560">
        <v>14100</v>
      </c>
      <c r="G69" t="s">
        <v>936</v>
      </c>
    </row>
    <row r="70" spans="4:7" x14ac:dyDescent="0.25">
      <c r="D70" t="s">
        <v>625</v>
      </c>
      <c r="E70" t="s">
        <v>626</v>
      </c>
      <c r="F70" s="560">
        <v>14100</v>
      </c>
      <c r="G70" t="s">
        <v>936</v>
      </c>
    </row>
    <row r="71" spans="4:7" x14ac:dyDescent="0.25">
      <c r="D71" t="s">
        <v>627</v>
      </c>
      <c r="E71" t="s">
        <v>628</v>
      </c>
      <c r="F71" s="560">
        <v>14100</v>
      </c>
      <c r="G71" t="s">
        <v>936</v>
      </c>
    </row>
    <row r="72" spans="4:7" x14ac:dyDescent="0.25">
      <c r="D72" t="s">
        <v>629</v>
      </c>
      <c r="E72" t="s">
        <v>630</v>
      </c>
      <c r="F72" s="560">
        <v>14100</v>
      </c>
      <c r="G72" t="s">
        <v>936</v>
      </c>
    </row>
    <row r="73" spans="4:7" x14ac:dyDescent="0.25">
      <c r="D73" t="s">
        <v>631</v>
      </c>
      <c r="E73" t="s">
        <v>632</v>
      </c>
      <c r="F73" s="560">
        <v>14100</v>
      </c>
      <c r="G73" t="s">
        <v>936</v>
      </c>
    </row>
    <row r="74" spans="4:7" x14ac:dyDescent="0.25">
      <c r="D74" t="s">
        <v>633</v>
      </c>
      <c r="E74" t="s">
        <v>634</v>
      </c>
      <c r="F74" s="560">
        <v>14100</v>
      </c>
      <c r="G74" t="s">
        <v>936</v>
      </c>
    </row>
    <row r="75" spans="4:7" x14ac:dyDescent="0.25">
      <c r="D75" t="s">
        <v>635</v>
      </c>
      <c r="E75" t="s">
        <v>636</v>
      </c>
      <c r="F75" s="560">
        <v>14100</v>
      </c>
      <c r="G75" t="s">
        <v>936</v>
      </c>
    </row>
    <row r="76" spans="4:7" x14ac:dyDescent="0.25">
      <c r="D76" t="s">
        <v>637</v>
      </c>
      <c r="E76" t="s">
        <v>638</v>
      </c>
      <c r="F76" s="560">
        <v>14100</v>
      </c>
      <c r="G76" t="s">
        <v>936</v>
      </c>
    </row>
    <row r="77" spans="4:7" x14ac:dyDescent="0.25">
      <c r="D77" t="s">
        <v>639</v>
      </c>
      <c r="E77" t="s">
        <v>640</v>
      </c>
      <c r="F77" s="560">
        <v>14100</v>
      </c>
      <c r="G77" t="s">
        <v>936</v>
      </c>
    </row>
    <row r="78" spans="4:7" x14ac:dyDescent="0.25">
      <c r="D78" t="s">
        <v>641</v>
      </c>
      <c r="E78" t="s">
        <v>642</v>
      </c>
      <c r="F78" s="560">
        <v>14100</v>
      </c>
      <c r="G78" t="s">
        <v>936</v>
      </c>
    </row>
    <row r="79" spans="4:7" x14ac:dyDescent="0.25">
      <c r="D79" t="s">
        <v>643</v>
      </c>
      <c r="E79" t="s">
        <v>644</v>
      </c>
      <c r="F79" s="560">
        <v>14100</v>
      </c>
      <c r="G79" t="s">
        <v>936</v>
      </c>
    </row>
    <row r="80" spans="4:7" x14ac:dyDescent="0.25">
      <c r="D80" t="s">
        <v>645</v>
      </c>
      <c r="E80" t="s">
        <v>646</v>
      </c>
      <c r="F80" s="560">
        <v>15100</v>
      </c>
      <c r="G80" t="s">
        <v>559</v>
      </c>
    </row>
    <row r="81" spans="4:7" x14ac:dyDescent="0.25">
      <c r="D81" t="s">
        <v>647</v>
      </c>
      <c r="E81" t="s">
        <v>648</v>
      </c>
      <c r="F81" s="560">
        <v>15100</v>
      </c>
      <c r="G81" t="s">
        <v>559</v>
      </c>
    </row>
    <row r="82" spans="4:7" x14ac:dyDescent="0.25">
      <c r="D82" t="s">
        <v>649</v>
      </c>
      <c r="E82" t="s">
        <v>650</v>
      </c>
      <c r="F82" s="560">
        <v>15100</v>
      </c>
      <c r="G82" t="s">
        <v>559</v>
      </c>
    </row>
    <row r="83" spans="4:7" x14ac:dyDescent="0.25">
      <c r="D83" t="s">
        <v>651</v>
      </c>
      <c r="E83" t="s">
        <v>652</v>
      </c>
      <c r="F83" s="560">
        <v>15100</v>
      </c>
      <c r="G83" t="s">
        <v>559</v>
      </c>
    </row>
    <row r="84" spans="4:7" x14ac:dyDescent="0.25">
      <c r="D84" t="s">
        <v>653</v>
      </c>
      <c r="E84" t="s">
        <v>654</v>
      </c>
      <c r="F84" s="560">
        <v>15100</v>
      </c>
      <c r="G84" t="s">
        <v>559</v>
      </c>
    </row>
    <row r="85" spans="4:7" x14ac:dyDescent="0.25">
      <c r="D85" t="s">
        <v>655</v>
      </c>
      <c r="E85" t="s">
        <v>656</v>
      </c>
      <c r="F85" s="560">
        <v>15100</v>
      </c>
      <c r="G85" t="s">
        <v>559</v>
      </c>
    </row>
    <row r="86" spans="4:7" x14ac:dyDescent="0.25">
      <c r="D86" t="s">
        <v>657</v>
      </c>
      <c r="E86" t="s">
        <v>658</v>
      </c>
      <c r="F86" s="560">
        <v>15100</v>
      </c>
      <c r="G86" t="s">
        <v>559</v>
      </c>
    </row>
    <row r="87" spans="4:7" x14ac:dyDescent="0.25">
      <c r="D87" t="s">
        <v>659</v>
      </c>
      <c r="E87" t="s">
        <v>660</v>
      </c>
      <c r="F87" s="560">
        <v>16100</v>
      </c>
      <c r="G87" t="s">
        <v>937</v>
      </c>
    </row>
    <row r="88" spans="4:7" x14ac:dyDescent="0.25">
      <c r="D88" t="s">
        <v>661</v>
      </c>
      <c r="E88" t="s">
        <v>662</v>
      </c>
      <c r="F88" s="560">
        <v>16100</v>
      </c>
      <c r="G88" t="s">
        <v>937</v>
      </c>
    </row>
    <row r="89" spans="4:7" x14ac:dyDescent="0.25">
      <c r="D89" t="s">
        <v>663</v>
      </c>
      <c r="E89" t="s">
        <v>664</v>
      </c>
      <c r="F89" s="560">
        <v>16100</v>
      </c>
      <c r="G89" t="s">
        <v>937</v>
      </c>
    </row>
    <row r="90" spans="4:7" x14ac:dyDescent="0.25">
      <c r="D90" t="s">
        <v>665</v>
      </c>
      <c r="E90" t="s">
        <v>666</v>
      </c>
      <c r="F90" s="560">
        <v>16100</v>
      </c>
      <c r="G90" t="s">
        <v>937</v>
      </c>
    </row>
    <row r="91" spans="4:7" x14ac:dyDescent="0.25">
      <c r="D91" t="s">
        <v>667</v>
      </c>
      <c r="E91" t="s">
        <v>668</v>
      </c>
      <c r="F91" s="560">
        <v>16100</v>
      </c>
      <c r="G91" t="s">
        <v>937</v>
      </c>
    </row>
    <row r="92" spans="4:7" x14ac:dyDescent="0.25">
      <c r="D92" t="s">
        <v>669</v>
      </c>
      <c r="E92" t="s">
        <v>670</v>
      </c>
      <c r="F92" s="560">
        <v>16100</v>
      </c>
      <c r="G92" t="s">
        <v>937</v>
      </c>
    </row>
    <row r="93" spans="4:7" x14ac:dyDescent="0.25">
      <c r="D93" t="s">
        <v>671</v>
      </c>
      <c r="E93" t="s">
        <v>672</v>
      </c>
      <c r="F93" s="560">
        <v>16100</v>
      </c>
      <c r="G93" t="s">
        <v>937</v>
      </c>
    </row>
    <row r="94" spans="4:7" x14ac:dyDescent="0.25">
      <c r="D94" t="s">
        <v>673</v>
      </c>
      <c r="E94" t="s">
        <v>674</v>
      </c>
      <c r="F94" s="560">
        <v>16100</v>
      </c>
      <c r="G94" t="s">
        <v>937</v>
      </c>
    </row>
    <row r="95" spans="4:7" x14ac:dyDescent="0.25">
      <c r="D95" t="s">
        <v>675</v>
      </c>
      <c r="E95" t="s">
        <v>676</v>
      </c>
      <c r="F95" s="560">
        <v>16100</v>
      </c>
      <c r="G95" t="s">
        <v>937</v>
      </c>
    </row>
    <row r="96" spans="4:7" x14ac:dyDescent="0.25">
      <c r="D96" t="s">
        <v>677</v>
      </c>
      <c r="E96" t="s">
        <v>678</v>
      </c>
      <c r="F96" s="560">
        <v>16100</v>
      </c>
      <c r="G96" t="s">
        <v>937</v>
      </c>
    </row>
    <row r="97" spans="4:7" x14ac:dyDescent="0.25">
      <c r="D97" t="s">
        <v>679</v>
      </c>
      <c r="E97" t="s">
        <v>680</v>
      </c>
      <c r="F97" s="560">
        <v>16100</v>
      </c>
      <c r="G97" t="s">
        <v>937</v>
      </c>
    </row>
    <row r="98" spans="4:7" x14ac:dyDescent="0.25">
      <c r="D98" t="s">
        <v>681</v>
      </c>
      <c r="E98" t="s">
        <v>682</v>
      </c>
      <c r="F98" s="560">
        <v>17100</v>
      </c>
      <c r="G98" t="s">
        <v>938</v>
      </c>
    </row>
    <row r="99" spans="4:7" x14ac:dyDescent="0.25">
      <c r="D99" t="s">
        <v>683</v>
      </c>
      <c r="E99" t="s">
        <v>684</v>
      </c>
      <c r="F99" s="560">
        <v>17100</v>
      </c>
      <c r="G99" t="s">
        <v>938</v>
      </c>
    </row>
    <row r="100" spans="4:7" x14ac:dyDescent="0.25">
      <c r="D100" t="s">
        <v>685</v>
      </c>
      <c r="E100" t="s">
        <v>686</v>
      </c>
      <c r="F100" s="560">
        <v>17100</v>
      </c>
      <c r="G100" t="s">
        <v>938</v>
      </c>
    </row>
    <row r="101" spans="4:7" x14ac:dyDescent="0.25">
      <c r="D101" t="s">
        <v>687</v>
      </c>
      <c r="E101" t="s">
        <v>688</v>
      </c>
      <c r="F101" s="560">
        <v>17100</v>
      </c>
      <c r="G101" t="s">
        <v>938</v>
      </c>
    </row>
    <row r="102" spans="4:7" x14ac:dyDescent="0.25">
      <c r="D102" t="s">
        <v>689</v>
      </c>
      <c r="E102" t="s">
        <v>690</v>
      </c>
      <c r="F102" s="560">
        <v>17100</v>
      </c>
      <c r="G102" t="s">
        <v>938</v>
      </c>
    </row>
    <row r="103" spans="4:7" x14ac:dyDescent="0.25">
      <c r="D103" t="s">
        <v>691</v>
      </c>
      <c r="E103" t="s">
        <v>692</v>
      </c>
      <c r="F103" s="560">
        <v>17100</v>
      </c>
      <c r="G103" t="s">
        <v>938</v>
      </c>
    </row>
    <row r="104" spans="4:7" x14ac:dyDescent="0.25">
      <c r="D104" t="s">
        <v>693</v>
      </c>
      <c r="E104" t="s">
        <v>694</v>
      </c>
      <c r="F104" s="560">
        <v>17400</v>
      </c>
      <c r="G104" t="s">
        <v>694</v>
      </c>
    </row>
    <row r="105" spans="4:7" x14ac:dyDescent="0.25">
      <c r="D105" t="s">
        <v>695</v>
      </c>
      <c r="E105" t="s">
        <v>696</v>
      </c>
      <c r="F105" s="560">
        <v>17400</v>
      </c>
      <c r="G105" t="s">
        <v>694</v>
      </c>
    </row>
    <row r="106" spans="4:7" x14ac:dyDescent="0.25">
      <c r="D106" t="s">
        <v>697</v>
      </c>
      <c r="E106" t="s">
        <v>698</v>
      </c>
      <c r="F106" s="560">
        <v>17400</v>
      </c>
      <c r="G106" t="s">
        <v>694</v>
      </c>
    </row>
    <row r="107" spans="4:7" x14ac:dyDescent="0.25">
      <c r="D107" t="s">
        <v>699</v>
      </c>
      <c r="E107" t="s">
        <v>700</v>
      </c>
      <c r="F107" s="560">
        <v>17400</v>
      </c>
      <c r="G107" t="s">
        <v>694</v>
      </c>
    </row>
    <row r="108" spans="4:7" x14ac:dyDescent="0.25">
      <c r="D108" t="s">
        <v>701</v>
      </c>
      <c r="E108" t="s">
        <v>702</v>
      </c>
      <c r="F108" s="560">
        <v>17400</v>
      </c>
      <c r="G108" t="s">
        <v>694</v>
      </c>
    </row>
    <row r="109" spans="4:7" x14ac:dyDescent="0.25">
      <c r="D109" t="s">
        <v>703</v>
      </c>
      <c r="E109" t="s">
        <v>704</v>
      </c>
      <c r="F109" s="560">
        <v>17400</v>
      </c>
      <c r="G109" t="s">
        <v>694</v>
      </c>
    </row>
    <row r="110" spans="4:7" x14ac:dyDescent="0.25">
      <c r="D110" t="s">
        <v>705</v>
      </c>
      <c r="E110" t="s">
        <v>706</v>
      </c>
      <c r="F110" s="560">
        <v>18100</v>
      </c>
      <c r="G110" t="s">
        <v>939</v>
      </c>
    </row>
    <row r="111" spans="4:7" x14ac:dyDescent="0.25">
      <c r="D111" t="s">
        <v>707</v>
      </c>
      <c r="E111" t="s">
        <v>708</v>
      </c>
      <c r="F111" s="560">
        <v>18100</v>
      </c>
      <c r="G111" t="s">
        <v>939</v>
      </c>
    </row>
    <row r="112" spans="4:7" x14ac:dyDescent="0.25">
      <c r="D112" t="s">
        <v>709</v>
      </c>
      <c r="E112" t="s">
        <v>710</v>
      </c>
      <c r="F112" s="560">
        <v>18100</v>
      </c>
      <c r="G112" t="s">
        <v>939</v>
      </c>
    </row>
    <row r="113" spans="4:7" x14ac:dyDescent="0.25">
      <c r="D113" t="s">
        <v>711</v>
      </c>
      <c r="E113" t="s">
        <v>712</v>
      </c>
      <c r="F113" s="560">
        <v>18100</v>
      </c>
      <c r="G113" t="s">
        <v>939</v>
      </c>
    </row>
    <row r="114" spans="4:7" x14ac:dyDescent="0.25">
      <c r="D114" t="s">
        <v>713</v>
      </c>
      <c r="E114" t="s">
        <v>714</v>
      </c>
      <c r="F114" s="560">
        <v>18100</v>
      </c>
      <c r="G114" t="s">
        <v>939</v>
      </c>
    </row>
    <row r="115" spans="4:7" x14ac:dyDescent="0.25">
      <c r="D115" t="s">
        <v>715</v>
      </c>
      <c r="E115" t="s">
        <v>716</v>
      </c>
      <c r="F115" s="560">
        <v>18100</v>
      </c>
      <c r="G115" t="s">
        <v>939</v>
      </c>
    </row>
    <row r="116" spans="4:7" x14ac:dyDescent="0.25">
      <c r="D116" t="s">
        <v>717</v>
      </c>
      <c r="E116" t="s">
        <v>718</v>
      </c>
      <c r="F116" s="560">
        <v>18100</v>
      </c>
      <c r="G116" t="s">
        <v>939</v>
      </c>
    </row>
    <row r="117" spans="4:7" x14ac:dyDescent="0.25">
      <c r="D117" t="s">
        <v>719</v>
      </c>
      <c r="E117" t="s">
        <v>720</v>
      </c>
      <c r="F117" s="560">
        <v>18100</v>
      </c>
      <c r="G117" t="s">
        <v>939</v>
      </c>
    </row>
    <row r="118" spans="4:7" x14ac:dyDescent="0.25">
      <c r="D118" t="s">
        <v>721</v>
      </c>
      <c r="E118" t="s">
        <v>722</v>
      </c>
      <c r="F118" s="560">
        <v>18100</v>
      </c>
      <c r="G118" t="s">
        <v>939</v>
      </c>
    </row>
    <row r="119" spans="4:7" x14ac:dyDescent="0.25">
      <c r="D119" t="s">
        <v>723</v>
      </c>
      <c r="E119" t="s">
        <v>724</v>
      </c>
      <c r="F119" s="560">
        <v>18100</v>
      </c>
      <c r="G119" t="s">
        <v>939</v>
      </c>
    </row>
    <row r="120" spans="4:7" x14ac:dyDescent="0.25">
      <c r="D120" t="s">
        <v>725</v>
      </c>
      <c r="E120" t="s">
        <v>726</v>
      </c>
      <c r="F120" s="560">
        <v>19100</v>
      </c>
      <c r="G120" t="s">
        <v>940</v>
      </c>
    </row>
    <row r="121" spans="4:7" x14ac:dyDescent="0.25">
      <c r="D121" t="s">
        <v>727</v>
      </c>
      <c r="E121" t="s">
        <v>728</v>
      </c>
      <c r="F121" s="560">
        <v>19100</v>
      </c>
      <c r="G121" t="s">
        <v>940</v>
      </c>
    </row>
    <row r="122" spans="4:7" x14ac:dyDescent="0.25">
      <c r="D122" t="s">
        <v>729</v>
      </c>
      <c r="E122" t="s">
        <v>730</v>
      </c>
      <c r="F122" s="560">
        <v>19100</v>
      </c>
      <c r="G122" t="s">
        <v>940</v>
      </c>
    </row>
    <row r="123" spans="4:7" x14ac:dyDescent="0.25">
      <c r="D123" t="s">
        <v>731</v>
      </c>
      <c r="E123" t="s">
        <v>732</v>
      </c>
      <c r="F123" s="560">
        <v>19400</v>
      </c>
      <c r="G123" t="s">
        <v>941</v>
      </c>
    </row>
    <row r="124" spans="4:7" x14ac:dyDescent="0.25">
      <c r="D124" t="s">
        <v>733</v>
      </c>
      <c r="E124" t="s">
        <v>734</v>
      </c>
      <c r="F124" s="560">
        <v>19400</v>
      </c>
      <c r="G124" t="s">
        <v>941</v>
      </c>
    </row>
    <row r="125" spans="4:7" x14ac:dyDescent="0.25">
      <c r="D125" t="s">
        <v>735</v>
      </c>
      <c r="E125" t="s">
        <v>398</v>
      </c>
      <c r="F125" s="560">
        <v>980000</v>
      </c>
      <c r="G125" t="s">
        <v>398</v>
      </c>
    </row>
    <row r="126" spans="4:7" x14ac:dyDescent="0.25">
      <c r="D126" t="s">
        <v>736</v>
      </c>
      <c r="E126" t="s">
        <v>46</v>
      </c>
      <c r="F126" s="560">
        <v>980000</v>
      </c>
      <c r="G126" t="s">
        <v>46</v>
      </c>
    </row>
    <row r="127" spans="4:7" x14ac:dyDescent="0.25">
      <c r="D127" t="s">
        <v>737</v>
      </c>
      <c r="E127" t="s">
        <v>504</v>
      </c>
      <c r="F127" s="560">
        <v>980000</v>
      </c>
      <c r="G127" t="s">
        <v>504</v>
      </c>
    </row>
    <row r="128" spans="4:7" x14ac:dyDescent="0.25">
      <c r="D128" t="s">
        <v>738</v>
      </c>
      <c r="E128" t="s">
        <v>739</v>
      </c>
      <c r="F128" s="560">
        <v>980000</v>
      </c>
      <c r="G128" t="s">
        <v>739</v>
      </c>
    </row>
    <row r="129" spans="4:7" x14ac:dyDescent="0.25">
      <c r="D129" t="s">
        <v>740</v>
      </c>
      <c r="E129" t="s">
        <v>741</v>
      </c>
      <c r="F129" s="560">
        <v>980000</v>
      </c>
      <c r="G129" t="s">
        <v>741</v>
      </c>
    </row>
    <row r="130" spans="4:7" x14ac:dyDescent="0.25">
      <c r="D130" t="s">
        <v>742</v>
      </c>
      <c r="E130" t="s">
        <v>743</v>
      </c>
      <c r="F130" s="560">
        <v>980000</v>
      </c>
      <c r="G130" t="s">
        <v>743</v>
      </c>
    </row>
    <row r="131" spans="4:7" x14ac:dyDescent="0.25">
      <c r="D131" t="s">
        <v>744</v>
      </c>
      <c r="E131" t="s">
        <v>745</v>
      </c>
      <c r="F131" s="560">
        <v>980000</v>
      </c>
      <c r="G131" t="s">
        <v>745</v>
      </c>
    </row>
    <row r="132" spans="4:7" x14ac:dyDescent="0.25">
      <c r="D132" t="s">
        <v>746</v>
      </c>
      <c r="E132" t="s">
        <v>747</v>
      </c>
      <c r="F132" s="560">
        <v>980000</v>
      </c>
      <c r="G132" t="s">
        <v>747</v>
      </c>
    </row>
    <row r="133" spans="4:7" x14ac:dyDescent="0.25">
      <c r="D133" t="s">
        <v>748</v>
      </c>
      <c r="E133" t="s">
        <v>749</v>
      </c>
      <c r="F133" s="560">
        <v>980000</v>
      </c>
      <c r="G133" t="s">
        <v>749</v>
      </c>
    </row>
    <row r="134" spans="4:7" x14ac:dyDescent="0.25">
      <c r="D134" t="s">
        <v>750</v>
      </c>
      <c r="E134" t="s">
        <v>751</v>
      </c>
      <c r="F134" s="560">
        <v>980000</v>
      </c>
      <c r="G134" t="s">
        <v>751</v>
      </c>
    </row>
    <row r="135" spans="4:7" x14ac:dyDescent="0.25">
      <c r="D135" t="s">
        <v>752</v>
      </c>
      <c r="E135" t="s">
        <v>753</v>
      </c>
      <c r="F135" s="560">
        <v>980000</v>
      </c>
      <c r="G135" t="s">
        <v>753</v>
      </c>
    </row>
    <row r="136" spans="4:7" x14ac:dyDescent="0.25">
      <c r="D136" t="s">
        <v>754</v>
      </c>
      <c r="E136" t="s">
        <v>755</v>
      </c>
      <c r="F136" s="560">
        <v>980000</v>
      </c>
      <c r="G136" t="s">
        <v>755</v>
      </c>
    </row>
    <row r="137" spans="4:7" x14ac:dyDescent="0.25">
      <c r="D137" t="s">
        <v>756</v>
      </c>
      <c r="E137" t="s">
        <v>757</v>
      </c>
      <c r="F137" s="560">
        <v>980000</v>
      </c>
      <c r="G137" t="s">
        <v>757</v>
      </c>
    </row>
    <row r="138" spans="4:7" x14ac:dyDescent="0.25">
      <c r="D138" t="s">
        <v>758</v>
      </c>
      <c r="E138" t="s">
        <v>759</v>
      </c>
      <c r="F138" s="560">
        <v>980000</v>
      </c>
      <c r="G138" t="s">
        <v>759</v>
      </c>
    </row>
    <row r="139" spans="4:7" x14ac:dyDescent="0.25">
      <c r="D139" t="s">
        <v>760</v>
      </c>
      <c r="E139" t="s">
        <v>761</v>
      </c>
      <c r="F139" s="560">
        <v>980000</v>
      </c>
      <c r="G139" t="s">
        <v>761</v>
      </c>
    </row>
    <row r="140" spans="4:7" x14ac:dyDescent="0.25">
      <c r="D140" t="s">
        <v>762</v>
      </c>
      <c r="E140" t="s">
        <v>763</v>
      </c>
      <c r="F140" s="560">
        <v>980000</v>
      </c>
      <c r="G140" t="s">
        <v>763</v>
      </c>
    </row>
    <row r="141" spans="4:7" x14ac:dyDescent="0.25">
      <c r="D141" t="s">
        <v>764</v>
      </c>
      <c r="E141" t="s">
        <v>765</v>
      </c>
      <c r="F141" s="560">
        <v>980000</v>
      </c>
      <c r="G141" t="s">
        <v>765</v>
      </c>
    </row>
    <row r="142" spans="4:7" x14ac:dyDescent="0.25">
      <c r="D142" t="s">
        <v>766</v>
      </c>
      <c r="E142" t="s">
        <v>767</v>
      </c>
      <c r="F142" s="560">
        <v>980000</v>
      </c>
      <c r="G142" t="s">
        <v>767</v>
      </c>
    </row>
    <row r="143" spans="4:7" x14ac:dyDescent="0.25">
      <c r="D143" t="s">
        <v>768</v>
      </c>
      <c r="E143" t="s">
        <v>769</v>
      </c>
      <c r="F143" s="560">
        <v>980000</v>
      </c>
      <c r="G143" t="s">
        <v>769</v>
      </c>
    </row>
    <row r="144" spans="4:7" x14ac:dyDescent="0.25">
      <c r="D144" t="s">
        <v>770</v>
      </c>
      <c r="E144" t="s">
        <v>771</v>
      </c>
      <c r="F144" s="560">
        <v>980000</v>
      </c>
      <c r="G144" t="s">
        <v>771</v>
      </c>
    </row>
    <row r="145" spans="4:7" x14ac:dyDescent="0.25">
      <c r="D145" t="s">
        <v>772</v>
      </c>
      <c r="E145" t="s">
        <v>773</v>
      </c>
      <c r="F145" s="560">
        <v>980000</v>
      </c>
      <c r="G145" t="s">
        <v>773</v>
      </c>
    </row>
    <row r="146" spans="4:7" x14ac:dyDescent="0.25">
      <c r="D146" t="s">
        <v>774</v>
      </c>
      <c r="E146" t="s">
        <v>775</v>
      </c>
      <c r="F146" s="560">
        <v>980000</v>
      </c>
      <c r="G146" t="s">
        <v>775</v>
      </c>
    </row>
    <row r="147" spans="4:7" x14ac:dyDescent="0.25">
      <c r="D147" t="s">
        <v>776</v>
      </c>
      <c r="E147" t="s">
        <v>777</v>
      </c>
      <c r="F147" s="560">
        <v>980000</v>
      </c>
      <c r="G147" t="s">
        <v>777</v>
      </c>
    </row>
    <row r="148" spans="4:7" x14ac:dyDescent="0.25">
      <c r="D148" t="s">
        <v>778</v>
      </c>
      <c r="E148" t="s">
        <v>557</v>
      </c>
      <c r="F148" s="560">
        <v>980000</v>
      </c>
      <c r="G148" t="s">
        <v>557</v>
      </c>
    </row>
    <row r="149" spans="4:7" x14ac:dyDescent="0.25">
      <c r="D149" t="s">
        <v>779</v>
      </c>
      <c r="E149" t="s">
        <v>573</v>
      </c>
      <c r="F149" s="560">
        <v>981100</v>
      </c>
      <c r="G149" t="s">
        <v>942</v>
      </c>
    </row>
    <row r="150" spans="4:7" x14ac:dyDescent="0.25">
      <c r="D150" t="s">
        <v>780</v>
      </c>
      <c r="E150" t="s">
        <v>781</v>
      </c>
      <c r="F150" s="560">
        <v>981200</v>
      </c>
      <c r="G150" t="s">
        <v>943</v>
      </c>
    </row>
    <row r="151" spans="4:7" x14ac:dyDescent="0.25">
      <c r="D151" t="s">
        <v>782</v>
      </c>
      <c r="E151" t="s">
        <v>783</v>
      </c>
      <c r="F151" s="560">
        <v>981200</v>
      </c>
      <c r="G151" t="s">
        <v>943</v>
      </c>
    </row>
    <row r="152" spans="4:7" x14ac:dyDescent="0.25">
      <c r="D152" t="s">
        <v>784</v>
      </c>
      <c r="E152" t="s">
        <v>785</v>
      </c>
      <c r="F152" s="560">
        <v>981200</v>
      </c>
      <c r="G152" t="s">
        <v>943</v>
      </c>
    </row>
    <row r="153" spans="4:7" x14ac:dyDescent="0.25">
      <c r="D153" t="s">
        <v>786</v>
      </c>
      <c r="E153" t="s">
        <v>787</v>
      </c>
      <c r="F153" s="560">
        <v>981200</v>
      </c>
      <c r="G153" t="s">
        <v>943</v>
      </c>
    </row>
    <row r="154" spans="4:7" x14ac:dyDescent="0.25">
      <c r="D154" t="s">
        <v>788</v>
      </c>
      <c r="E154" t="s">
        <v>789</v>
      </c>
      <c r="F154" s="560">
        <v>981200</v>
      </c>
      <c r="G154" t="s">
        <v>943</v>
      </c>
    </row>
    <row r="155" spans="4:7" x14ac:dyDescent="0.25">
      <c r="D155" t="s">
        <v>790</v>
      </c>
      <c r="E155" t="s">
        <v>791</v>
      </c>
      <c r="F155" s="560">
        <v>981200</v>
      </c>
      <c r="G155" t="s">
        <v>943</v>
      </c>
    </row>
    <row r="156" spans="4:7" x14ac:dyDescent="0.25">
      <c r="D156" t="s">
        <v>792</v>
      </c>
      <c r="E156" t="s">
        <v>793</v>
      </c>
      <c r="F156" s="560">
        <v>981200</v>
      </c>
      <c r="G156" t="s">
        <v>943</v>
      </c>
    </row>
    <row r="157" spans="4:7" x14ac:dyDescent="0.25">
      <c r="D157" t="s">
        <v>794</v>
      </c>
      <c r="E157" t="s">
        <v>795</v>
      </c>
      <c r="F157" s="560">
        <v>981200</v>
      </c>
      <c r="G157" t="s">
        <v>943</v>
      </c>
    </row>
    <row r="158" spans="4:7" x14ac:dyDescent="0.25">
      <c r="D158" t="s">
        <v>796</v>
      </c>
      <c r="E158" t="s">
        <v>797</v>
      </c>
      <c r="F158" s="560">
        <v>981200</v>
      </c>
      <c r="G158" t="s">
        <v>943</v>
      </c>
    </row>
    <row r="159" spans="4:7" x14ac:dyDescent="0.25">
      <c r="D159" t="s">
        <v>798</v>
      </c>
      <c r="E159" t="s">
        <v>799</v>
      </c>
      <c r="F159" s="560">
        <v>981200</v>
      </c>
      <c r="G159" t="s">
        <v>943</v>
      </c>
    </row>
    <row r="160" spans="4:7" x14ac:dyDescent="0.25">
      <c r="D160" t="s">
        <v>800</v>
      </c>
      <c r="E160" t="s">
        <v>801</v>
      </c>
      <c r="F160" s="560">
        <v>981200</v>
      </c>
      <c r="G160" t="s">
        <v>943</v>
      </c>
    </row>
    <row r="161" spans="4:7" x14ac:dyDescent="0.25">
      <c r="D161" t="s">
        <v>802</v>
      </c>
      <c r="E161" t="s">
        <v>803</v>
      </c>
      <c r="F161" s="560">
        <v>981200</v>
      </c>
      <c r="G161" t="s">
        <v>943</v>
      </c>
    </row>
    <row r="162" spans="4:7" x14ac:dyDescent="0.25">
      <c r="D162" t="s">
        <v>804</v>
      </c>
      <c r="E162" t="s">
        <v>805</v>
      </c>
      <c r="F162" s="560">
        <v>981200</v>
      </c>
      <c r="G162" t="s">
        <v>943</v>
      </c>
    </row>
    <row r="163" spans="4:7" x14ac:dyDescent="0.25">
      <c r="D163" t="s">
        <v>806</v>
      </c>
      <c r="E163" t="s">
        <v>494</v>
      </c>
      <c r="F163" s="560">
        <v>981200</v>
      </c>
      <c r="G163" t="s">
        <v>943</v>
      </c>
    </row>
    <row r="164" spans="4:7" x14ac:dyDescent="0.25">
      <c r="D164" t="s">
        <v>807</v>
      </c>
      <c r="E164" t="s">
        <v>808</v>
      </c>
      <c r="F164" s="560">
        <v>981200</v>
      </c>
      <c r="G164" t="s">
        <v>943</v>
      </c>
    </row>
    <row r="165" spans="4:7" x14ac:dyDescent="0.25">
      <c r="D165" t="s">
        <v>809</v>
      </c>
      <c r="E165" t="s">
        <v>810</v>
      </c>
      <c r="F165" s="560">
        <v>981200</v>
      </c>
      <c r="G165" t="s">
        <v>943</v>
      </c>
    </row>
    <row r="166" spans="4:7" x14ac:dyDescent="0.25">
      <c r="D166" t="s">
        <v>811</v>
      </c>
      <c r="E166" t="s">
        <v>812</v>
      </c>
      <c r="F166" s="560">
        <v>981200</v>
      </c>
      <c r="G166" t="s">
        <v>943</v>
      </c>
    </row>
    <row r="167" spans="4:7" x14ac:dyDescent="0.25">
      <c r="D167" t="s">
        <v>813</v>
      </c>
      <c r="E167" t="s">
        <v>383</v>
      </c>
      <c r="F167" s="560">
        <v>981200</v>
      </c>
      <c r="G167" t="s">
        <v>943</v>
      </c>
    </row>
    <row r="168" spans="4:7" x14ac:dyDescent="0.25">
      <c r="D168" t="s">
        <v>814</v>
      </c>
      <c r="E168" t="s">
        <v>815</v>
      </c>
      <c r="F168" s="560">
        <v>981200</v>
      </c>
      <c r="G168" t="s">
        <v>943</v>
      </c>
    </row>
    <row r="169" spans="4:7" x14ac:dyDescent="0.25">
      <c r="D169" t="s">
        <v>816</v>
      </c>
      <c r="E169" t="s">
        <v>362</v>
      </c>
      <c r="F169" s="560">
        <v>981200</v>
      </c>
      <c r="G169" t="s">
        <v>943</v>
      </c>
    </row>
    <row r="170" spans="4:7" x14ac:dyDescent="0.25">
      <c r="D170" t="s">
        <v>817</v>
      </c>
      <c r="E170" t="s">
        <v>361</v>
      </c>
      <c r="F170" s="560">
        <v>981200</v>
      </c>
      <c r="G170" t="s">
        <v>943</v>
      </c>
    </row>
    <row r="171" spans="4:7" x14ac:dyDescent="0.25">
      <c r="D171" t="s">
        <v>818</v>
      </c>
      <c r="E171" t="s">
        <v>819</v>
      </c>
      <c r="F171" s="560">
        <v>981200</v>
      </c>
      <c r="G171" t="s">
        <v>943</v>
      </c>
    </row>
    <row r="172" spans="4:7" x14ac:dyDescent="0.25">
      <c r="D172" t="s">
        <v>820</v>
      </c>
      <c r="E172" t="s">
        <v>821</v>
      </c>
      <c r="F172" s="560">
        <v>981200</v>
      </c>
      <c r="G172" t="s">
        <v>943</v>
      </c>
    </row>
    <row r="173" spans="4:7" x14ac:dyDescent="0.25">
      <c r="D173" t="s">
        <v>822</v>
      </c>
      <c r="E173" t="s">
        <v>823</v>
      </c>
      <c r="F173" s="560">
        <v>981200</v>
      </c>
      <c r="G173" t="s">
        <v>943</v>
      </c>
    </row>
    <row r="174" spans="4:7" x14ac:dyDescent="0.25">
      <c r="D174" t="s">
        <v>824</v>
      </c>
      <c r="E174" t="s">
        <v>825</v>
      </c>
      <c r="F174" s="560">
        <v>981200</v>
      </c>
      <c r="G174" t="s">
        <v>943</v>
      </c>
    </row>
    <row r="175" spans="4:7" x14ac:dyDescent="0.25">
      <c r="D175" t="s">
        <v>826</v>
      </c>
      <c r="E175" t="s">
        <v>827</v>
      </c>
      <c r="F175" s="560">
        <v>981200</v>
      </c>
      <c r="G175" t="s">
        <v>943</v>
      </c>
    </row>
    <row r="176" spans="4:7" x14ac:dyDescent="0.25">
      <c r="D176" t="s">
        <v>828</v>
      </c>
      <c r="E176" t="s">
        <v>829</v>
      </c>
      <c r="F176" s="560">
        <v>981200</v>
      </c>
      <c r="G176" t="s">
        <v>943</v>
      </c>
    </row>
    <row r="177" spans="4:7" x14ac:dyDescent="0.25">
      <c r="D177" t="s">
        <v>830</v>
      </c>
      <c r="E177" t="s">
        <v>831</v>
      </c>
      <c r="F177" s="560">
        <v>981200</v>
      </c>
      <c r="G177" t="s">
        <v>943</v>
      </c>
    </row>
    <row r="178" spans="4:7" x14ac:dyDescent="0.25">
      <c r="D178" t="s">
        <v>832</v>
      </c>
      <c r="E178" t="s">
        <v>355</v>
      </c>
      <c r="F178" s="560">
        <v>981200</v>
      </c>
      <c r="G178" t="s">
        <v>943</v>
      </c>
    </row>
    <row r="179" spans="4:7" x14ac:dyDescent="0.25">
      <c r="D179" t="s">
        <v>833</v>
      </c>
      <c r="E179" t="s">
        <v>834</v>
      </c>
      <c r="F179" s="560">
        <v>981200</v>
      </c>
      <c r="G179" t="s">
        <v>943</v>
      </c>
    </row>
    <row r="180" spans="4:7" x14ac:dyDescent="0.25">
      <c r="D180" t="s">
        <v>835</v>
      </c>
      <c r="E180" t="s">
        <v>836</v>
      </c>
      <c r="F180" s="560">
        <v>981200</v>
      </c>
      <c r="G180" t="s">
        <v>943</v>
      </c>
    </row>
    <row r="181" spans="4:7" x14ac:dyDescent="0.25">
      <c r="D181" t="s">
        <v>837</v>
      </c>
      <c r="E181" t="s">
        <v>338</v>
      </c>
      <c r="F181" s="560">
        <v>981200</v>
      </c>
      <c r="G181" t="s">
        <v>943</v>
      </c>
    </row>
    <row r="182" spans="4:7" x14ac:dyDescent="0.25">
      <c r="D182" t="s">
        <v>838</v>
      </c>
      <c r="E182" t="s">
        <v>839</v>
      </c>
      <c r="F182" s="560">
        <v>981200</v>
      </c>
      <c r="G182" t="s">
        <v>943</v>
      </c>
    </row>
    <row r="183" spans="4:7" x14ac:dyDescent="0.25">
      <c r="D183" t="s">
        <v>840</v>
      </c>
      <c r="E183" t="s">
        <v>841</v>
      </c>
      <c r="F183" s="560">
        <v>981200</v>
      </c>
      <c r="G183" t="s">
        <v>943</v>
      </c>
    </row>
    <row r="184" spans="4:7" x14ac:dyDescent="0.25">
      <c r="D184" t="s">
        <v>842</v>
      </c>
      <c r="E184" t="s">
        <v>843</v>
      </c>
      <c r="F184" s="560">
        <v>981200</v>
      </c>
      <c r="G184" t="s">
        <v>943</v>
      </c>
    </row>
    <row r="185" spans="4:7" x14ac:dyDescent="0.25">
      <c r="D185" t="s">
        <v>844</v>
      </c>
      <c r="E185" t="s">
        <v>845</v>
      </c>
      <c r="F185" s="560">
        <v>981200</v>
      </c>
      <c r="G185" t="s">
        <v>943</v>
      </c>
    </row>
    <row r="186" spans="4:7" x14ac:dyDescent="0.25">
      <c r="D186" t="s">
        <v>846</v>
      </c>
      <c r="E186" t="s">
        <v>847</v>
      </c>
      <c r="F186" s="560">
        <v>981200</v>
      </c>
      <c r="G186" t="s">
        <v>943</v>
      </c>
    </row>
    <row r="187" spans="4:7" x14ac:dyDescent="0.25">
      <c r="D187" t="s">
        <v>848</v>
      </c>
      <c r="E187" t="s">
        <v>849</v>
      </c>
      <c r="F187" s="560">
        <v>981200</v>
      </c>
      <c r="G187" t="s">
        <v>943</v>
      </c>
    </row>
    <row r="188" spans="4:7" x14ac:dyDescent="0.25">
      <c r="D188" t="s">
        <v>850</v>
      </c>
      <c r="E188" t="s">
        <v>851</v>
      </c>
      <c r="F188" s="560">
        <v>981200</v>
      </c>
      <c r="G188" t="s">
        <v>943</v>
      </c>
    </row>
    <row r="189" spans="4:7" x14ac:dyDescent="0.25">
      <c r="D189" t="s">
        <v>852</v>
      </c>
      <c r="E189" t="s">
        <v>853</v>
      </c>
      <c r="F189" s="560">
        <v>981200</v>
      </c>
      <c r="G189" t="s">
        <v>943</v>
      </c>
    </row>
    <row r="190" spans="4:7" x14ac:dyDescent="0.25">
      <c r="D190" t="s">
        <v>854</v>
      </c>
      <c r="E190" t="s">
        <v>146</v>
      </c>
      <c r="F190" s="560">
        <v>981200</v>
      </c>
      <c r="G190" t="s">
        <v>943</v>
      </c>
    </row>
    <row r="191" spans="4:7" x14ac:dyDescent="0.25">
      <c r="D191" t="s">
        <v>855</v>
      </c>
      <c r="E191" t="s">
        <v>147</v>
      </c>
      <c r="F191" s="560">
        <v>981200</v>
      </c>
      <c r="G191" t="s">
        <v>943</v>
      </c>
    </row>
    <row r="192" spans="4:7" x14ac:dyDescent="0.25">
      <c r="D192" t="s">
        <v>856</v>
      </c>
      <c r="E192" t="s">
        <v>857</v>
      </c>
      <c r="F192" s="560">
        <v>981200</v>
      </c>
      <c r="G192" t="s">
        <v>943</v>
      </c>
    </row>
    <row r="193" spans="4:7" x14ac:dyDescent="0.25">
      <c r="D193" t="s">
        <v>858</v>
      </c>
      <c r="E193" t="s">
        <v>148</v>
      </c>
      <c r="F193" s="560">
        <v>981200</v>
      </c>
      <c r="G193" t="s">
        <v>943</v>
      </c>
    </row>
    <row r="194" spans="4:7" x14ac:dyDescent="0.25">
      <c r="D194" t="s">
        <v>859</v>
      </c>
      <c r="E194" t="s">
        <v>150</v>
      </c>
      <c r="F194" s="560">
        <v>981200</v>
      </c>
      <c r="G194" t="s">
        <v>943</v>
      </c>
    </row>
    <row r="195" spans="4:7" x14ac:dyDescent="0.25">
      <c r="D195" t="s">
        <v>860</v>
      </c>
      <c r="E195" t="s">
        <v>861</v>
      </c>
      <c r="F195" s="560">
        <v>981200</v>
      </c>
      <c r="G195" t="s">
        <v>943</v>
      </c>
    </row>
    <row r="196" spans="4:7" x14ac:dyDescent="0.25">
      <c r="D196" t="s">
        <v>862</v>
      </c>
      <c r="E196" t="s">
        <v>153</v>
      </c>
      <c r="F196" s="560">
        <v>981200</v>
      </c>
      <c r="G196" t="s">
        <v>943</v>
      </c>
    </row>
    <row r="197" spans="4:7" x14ac:dyDescent="0.25">
      <c r="D197" t="s">
        <v>863</v>
      </c>
      <c r="E197" t="s">
        <v>864</v>
      </c>
      <c r="F197" s="560">
        <v>981200</v>
      </c>
      <c r="G197" t="s">
        <v>943</v>
      </c>
    </row>
    <row r="198" spans="4:7" x14ac:dyDescent="0.25">
      <c r="D198" t="s">
        <v>865</v>
      </c>
      <c r="E198" t="s">
        <v>154</v>
      </c>
      <c r="F198" s="560">
        <v>981200</v>
      </c>
      <c r="G198" t="s">
        <v>943</v>
      </c>
    </row>
    <row r="199" spans="4:7" x14ac:dyDescent="0.25">
      <c r="D199" t="s">
        <v>866</v>
      </c>
      <c r="E199" t="s">
        <v>155</v>
      </c>
      <c r="F199" s="560">
        <v>981200</v>
      </c>
      <c r="G199" t="s">
        <v>943</v>
      </c>
    </row>
    <row r="200" spans="4:7" x14ac:dyDescent="0.25">
      <c r="D200" t="s">
        <v>867</v>
      </c>
      <c r="E200" t="s">
        <v>868</v>
      </c>
      <c r="F200" s="560">
        <v>981200</v>
      </c>
      <c r="G200" t="s">
        <v>943</v>
      </c>
    </row>
    <row r="201" spans="4:7" x14ac:dyDescent="0.25">
      <c r="D201" t="s">
        <v>869</v>
      </c>
      <c r="E201" t="s">
        <v>583</v>
      </c>
      <c r="F201" s="560">
        <v>981200</v>
      </c>
      <c r="G201" t="s">
        <v>943</v>
      </c>
    </row>
    <row r="202" spans="4:7" x14ac:dyDescent="0.25">
      <c r="D202" t="s">
        <v>870</v>
      </c>
      <c r="E202" t="s">
        <v>871</v>
      </c>
      <c r="F202" s="560">
        <v>981200</v>
      </c>
      <c r="G202" t="s">
        <v>943</v>
      </c>
    </row>
    <row r="203" spans="4:7" x14ac:dyDescent="0.25">
      <c r="D203" t="s">
        <v>872</v>
      </c>
      <c r="E203" t="s">
        <v>873</v>
      </c>
      <c r="F203" s="560">
        <v>981200</v>
      </c>
      <c r="G203" t="s">
        <v>943</v>
      </c>
    </row>
    <row r="204" spans="4:7" x14ac:dyDescent="0.25">
      <c r="D204" t="s">
        <v>874</v>
      </c>
      <c r="E204" t="s">
        <v>875</v>
      </c>
      <c r="F204" s="560">
        <v>981200</v>
      </c>
      <c r="G204" t="s">
        <v>943</v>
      </c>
    </row>
    <row r="205" spans="4:7" x14ac:dyDescent="0.25">
      <c r="D205" t="s">
        <v>876</v>
      </c>
      <c r="E205" t="s">
        <v>877</v>
      </c>
      <c r="F205" s="560">
        <v>981200</v>
      </c>
      <c r="G205" t="s">
        <v>943</v>
      </c>
    </row>
    <row r="206" spans="4:7" x14ac:dyDescent="0.25">
      <c r="D206" t="s">
        <v>878</v>
      </c>
      <c r="E206" t="s">
        <v>879</v>
      </c>
      <c r="F206" s="560">
        <v>981200</v>
      </c>
      <c r="G206" t="s">
        <v>943</v>
      </c>
    </row>
    <row r="207" spans="4:7" x14ac:dyDescent="0.25">
      <c r="D207" t="s">
        <v>880</v>
      </c>
      <c r="E207" t="s">
        <v>881</v>
      </c>
      <c r="F207" s="560">
        <v>981200</v>
      </c>
      <c r="G207" t="s">
        <v>943</v>
      </c>
    </row>
    <row r="208" spans="4:7" x14ac:dyDescent="0.25">
      <c r="D208" t="s">
        <v>882</v>
      </c>
      <c r="E208" t="s">
        <v>883</v>
      </c>
      <c r="F208" s="560">
        <v>981200</v>
      </c>
      <c r="G208" t="s">
        <v>943</v>
      </c>
    </row>
    <row r="209" spans="4:7" x14ac:dyDescent="0.25">
      <c r="D209" t="s">
        <v>884</v>
      </c>
      <c r="E209" t="s">
        <v>885</v>
      </c>
      <c r="F209" s="560">
        <v>981200</v>
      </c>
      <c r="G209" t="s">
        <v>943</v>
      </c>
    </row>
    <row r="210" spans="4:7" x14ac:dyDescent="0.25">
      <c r="D210" t="s">
        <v>886</v>
      </c>
      <c r="E210" t="s">
        <v>887</v>
      </c>
      <c r="F210" s="560">
        <v>981200</v>
      </c>
      <c r="G210" t="s">
        <v>943</v>
      </c>
    </row>
    <row r="211" spans="4:7" x14ac:dyDescent="0.25">
      <c r="D211" t="s">
        <v>888</v>
      </c>
      <c r="E211" t="s">
        <v>889</v>
      </c>
      <c r="F211" s="560">
        <v>981200</v>
      </c>
      <c r="G211" t="s">
        <v>943</v>
      </c>
    </row>
    <row r="212" spans="4:7" x14ac:dyDescent="0.25">
      <c r="D212" t="s">
        <v>890</v>
      </c>
      <c r="E212" t="s">
        <v>204</v>
      </c>
      <c r="F212" s="560">
        <v>981200</v>
      </c>
      <c r="G212" t="s">
        <v>943</v>
      </c>
    </row>
    <row r="213" spans="4:7" x14ac:dyDescent="0.25">
      <c r="D213" t="s">
        <v>891</v>
      </c>
      <c r="E213" t="s">
        <v>459</v>
      </c>
      <c r="F213" s="560">
        <v>981200</v>
      </c>
      <c r="G213" t="s">
        <v>943</v>
      </c>
    </row>
    <row r="214" spans="4:7" x14ac:dyDescent="0.25">
      <c r="D214" t="s">
        <v>892</v>
      </c>
      <c r="E214" t="s">
        <v>893</v>
      </c>
      <c r="F214" s="560">
        <v>981200</v>
      </c>
      <c r="G214" t="s">
        <v>943</v>
      </c>
    </row>
    <row r="215" spans="4:7" x14ac:dyDescent="0.25">
      <c r="D215" t="s">
        <v>894</v>
      </c>
      <c r="E215" t="s">
        <v>895</v>
      </c>
      <c r="F215" s="560">
        <v>981200</v>
      </c>
      <c r="G215" t="s">
        <v>943</v>
      </c>
    </row>
    <row r="216" spans="4:7" x14ac:dyDescent="0.25">
      <c r="D216" t="s">
        <v>896</v>
      </c>
      <c r="E216" t="s">
        <v>726</v>
      </c>
      <c r="F216" s="560">
        <v>981200</v>
      </c>
      <c r="G216" t="s">
        <v>943</v>
      </c>
    </row>
    <row r="217" spans="4:7" x14ac:dyDescent="0.25">
      <c r="D217" t="s">
        <v>897</v>
      </c>
      <c r="E217" t="s">
        <v>520</v>
      </c>
      <c r="F217" s="560">
        <v>981200</v>
      </c>
      <c r="G217" t="s">
        <v>943</v>
      </c>
    </row>
    <row r="218" spans="4:7" x14ac:dyDescent="0.25">
      <c r="D218" t="s">
        <v>898</v>
      </c>
      <c r="E218" t="s">
        <v>211</v>
      </c>
      <c r="F218" s="560">
        <v>981200</v>
      </c>
      <c r="G218" t="s">
        <v>943</v>
      </c>
    </row>
    <row r="219" spans="4:7" x14ac:dyDescent="0.25">
      <c r="D219" t="s">
        <v>899</v>
      </c>
      <c r="E219" t="s">
        <v>586</v>
      </c>
      <c r="F219" s="560">
        <v>981200</v>
      </c>
      <c r="G219" t="s">
        <v>943</v>
      </c>
    </row>
    <row r="220" spans="4:7" x14ac:dyDescent="0.25">
      <c r="D220" t="s">
        <v>900</v>
      </c>
      <c r="E220" t="s">
        <v>176</v>
      </c>
      <c r="F220" s="560">
        <v>981200</v>
      </c>
      <c r="G220" t="s">
        <v>943</v>
      </c>
    </row>
    <row r="221" spans="4:7" x14ac:dyDescent="0.25">
      <c r="D221" t="s">
        <v>901</v>
      </c>
      <c r="E221" t="s">
        <v>658</v>
      </c>
      <c r="F221" s="560">
        <v>981200</v>
      </c>
      <c r="G221" t="s">
        <v>943</v>
      </c>
    </row>
    <row r="222" spans="4:7" x14ac:dyDescent="0.25">
      <c r="D222" t="s">
        <v>902</v>
      </c>
      <c r="E222" t="s">
        <v>903</v>
      </c>
      <c r="F222" s="560">
        <v>981200</v>
      </c>
      <c r="G222" t="s">
        <v>943</v>
      </c>
    </row>
    <row r="223" spans="4:7" x14ac:dyDescent="0.25">
      <c r="D223" t="s">
        <v>904</v>
      </c>
      <c r="E223" t="s">
        <v>905</v>
      </c>
      <c r="F223" s="560">
        <v>981200</v>
      </c>
      <c r="G223" t="s">
        <v>943</v>
      </c>
    </row>
    <row r="224" spans="4:7" x14ac:dyDescent="0.25">
      <c r="D224" t="s">
        <v>906</v>
      </c>
      <c r="E224" t="s">
        <v>907</v>
      </c>
      <c r="F224" s="560">
        <v>981200</v>
      </c>
      <c r="G224" t="s">
        <v>943</v>
      </c>
    </row>
    <row r="225" spans="4:7" x14ac:dyDescent="0.25">
      <c r="D225" t="s">
        <v>908</v>
      </c>
      <c r="E225" t="s">
        <v>909</v>
      </c>
      <c r="F225" s="560">
        <v>981200</v>
      </c>
      <c r="G225" t="s">
        <v>943</v>
      </c>
    </row>
    <row r="226" spans="4:7" x14ac:dyDescent="0.25">
      <c r="D226" t="s">
        <v>910</v>
      </c>
      <c r="E226" t="s">
        <v>600</v>
      </c>
      <c r="F226" s="560">
        <v>981200</v>
      </c>
      <c r="G226" t="s">
        <v>943</v>
      </c>
    </row>
    <row r="227" spans="4:7" x14ac:dyDescent="0.25">
      <c r="D227" t="s">
        <v>911</v>
      </c>
      <c r="E227" t="s">
        <v>40</v>
      </c>
      <c r="F227" s="560">
        <v>982500</v>
      </c>
      <c r="G227" t="s">
        <v>944</v>
      </c>
    </row>
    <row r="228" spans="4:7" x14ac:dyDescent="0.25">
      <c r="D228" t="s">
        <v>912</v>
      </c>
      <c r="E228" t="s">
        <v>539</v>
      </c>
      <c r="F228" s="560">
        <v>982500</v>
      </c>
      <c r="G228" t="s">
        <v>944</v>
      </c>
    </row>
    <row r="229" spans="4:7" x14ac:dyDescent="0.25">
      <c r="D229" t="s">
        <v>913</v>
      </c>
      <c r="E229" t="s">
        <v>590</v>
      </c>
      <c r="F229" s="560">
        <v>982500</v>
      </c>
      <c r="G229" t="s">
        <v>944</v>
      </c>
    </row>
    <row r="230" spans="4:7" x14ac:dyDescent="0.25">
      <c r="D230" t="s">
        <v>914</v>
      </c>
      <c r="E230" t="s">
        <v>915</v>
      </c>
      <c r="F230" s="560">
        <v>982500</v>
      </c>
      <c r="G230" t="s">
        <v>944</v>
      </c>
    </row>
    <row r="231" spans="4:7" x14ac:dyDescent="0.25">
      <c r="D231" t="s">
        <v>916</v>
      </c>
      <c r="E231" t="s">
        <v>917</v>
      </c>
      <c r="F231" s="560">
        <v>982500</v>
      </c>
      <c r="G231" t="s">
        <v>944</v>
      </c>
    </row>
    <row r="232" spans="4:7" x14ac:dyDescent="0.25">
      <c r="D232" t="s">
        <v>918</v>
      </c>
      <c r="E232" t="s">
        <v>571</v>
      </c>
      <c r="F232" s="560">
        <v>982500</v>
      </c>
      <c r="G232" t="s">
        <v>944</v>
      </c>
    </row>
    <row r="233" spans="4:7" x14ac:dyDescent="0.25">
      <c r="D233" t="s">
        <v>919</v>
      </c>
      <c r="E233" t="s">
        <v>391</v>
      </c>
      <c r="F233" s="560">
        <v>982500</v>
      </c>
      <c r="G233" t="s">
        <v>944</v>
      </c>
    </row>
    <row r="234" spans="4:7" x14ac:dyDescent="0.25">
      <c r="D234" t="s">
        <v>920</v>
      </c>
      <c r="E234" t="s">
        <v>921</v>
      </c>
      <c r="F234" s="560">
        <v>982500</v>
      </c>
      <c r="G234" t="s">
        <v>944</v>
      </c>
    </row>
    <row r="235" spans="4:7" x14ac:dyDescent="0.25">
      <c r="D235" t="s">
        <v>922</v>
      </c>
      <c r="E235" t="s">
        <v>923</v>
      </c>
      <c r="F235" s="560">
        <v>982500</v>
      </c>
      <c r="G235" t="s">
        <v>944</v>
      </c>
    </row>
    <row r="236" spans="4:7" x14ac:dyDescent="0.25">
      <c r="D236" t="s">
        <v>924</v>
      </c>
      <c r="E236" t="s">
        <v>925</v>
      </c>
      <c r="F236" s="560">
        <v>982500</v>
      </c>
      <c r="G236" t="s">
        <v>944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502" customWidth="1"/>
    <col min="3" max="3" width="124.28515625" style="502" customWidth="1"/>
    <col min="4" max="5" width="29.7109375" style="502" customWidth="1"/>
    <col min="6" max="16384" width="9.140625" style="502"/>
  </cols>
  <sheetData>
    <row r="1" spans="3:3" ht="73.5" customHeight="1" x14ac:dyDescent="0.2"/>
    <row r="5" spans="3:3" ht="18" customHeight="1" thickBot="1" x14ac:dyDescent="0.25">
      <c r="C5" s="503" t="s">
        <v>425</v>
      </c>
    </row>
    <row r="6" spans="3:3" ht="50.25" customHeight="1" thickBot="1" x14ac:dyDescent="0.25">
      <c r="C6" s="504" t="s">
        <v>410</v>
      </c>
    </row>
    <row r="8" spans="3:3" ht="13.5" thickBot="1" x14ac:dyDescent="0.25"/>
    <row r="9" spans="3:3" s="506" customFormat="1" ht="27.75" customHeight="1" thickBot="1" x14ac:dyDescent="0.3">
      <c r="C9" s="505" t="s">
        <v>411</v>
      </c>
    </row>
    <row r="10" spans="3:3" ht="13.5" thickBot="1" x14ac:dyDescent="0.25"/>
    <row r="11" spans="3:3" ht="15.75" thickBot="1" x14ac:dyDescent="0.25">
      <c r="C11" s="507" t="s">
        <v>412</v>
      </c>
    </row>
    <row r="12" spans="3:3" ht="6" customHeight="1" x14ac:dyDescent="0.2">
      <c r="C12" s="508"/>
    </row>
    <row r="13" spans="3:3" ht="18.75" customHeight="1" x14ac:dyDescent="0.25">
      <c r="C13" s="509" t="s">
        <v>413</v>
      </c>
    </row>
    <row r="14" spans="3:3" ht="18.75" customHeight="1" x14ac:dyDescent="0.25">
      <c r="C14" s="509" t="s">
        <v>414</v>
      </c>
    </row>
    <row r="15" spans="3:3" ht="18.75" customHeight="1" x14ac:dyDescent="0.25">
      <c r="C15" s="509" t="s">
        <v>415</v>
      </c>
    </row>
    <row r="16" spans="3:3" ht="18.75" customHeight="1" x14ac:dyDescent="0.25">
      <c r="C16" s="509" t="s">
        <v>416</v>
      </c>
    </row>
    <row r="17" spans="3:3" ht="18.75" customHeight="1" x14ac:dyDescent="0.25">
      <c r="C17" s="509" t="s">
        <v>417</v>
      </c>
    </row>
    <row r="18" spans="3:3" ht="18.75" customHeight="1" x14ac:dyDescent="0.25">
      <c r="C18" s="509" t="s">
        <v>418</v>
      </c>
    </row>
    <row r="19" spans="3:3" ht="13.5" thickBot="1" x14ac:dyDescent="0.25">
      <c r="C19" s="510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GCs Detail</dsTag>
</file>

<file path=customXml/itemProps1.xml><?xml version="1.0" encoding="utf-8"?>
<ds:datastoreItem xmlns:ds="http://schemas.openxmlformats.org/officeDocument/2006/customXml" ds:itemID="{5D6E8B24-FA33-4E9A-A5A6-254DE22BDB06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333</vt:i4>
      </vt:variant>
    </vt:vector>
  </HeadingPairs>
  <TitlesOfParts>
    <vt:vector size="346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Errors</vt:lpstr>
      <vt:lpstr>Code</vt:lpstr>
      <vt:lpstr>CostCodes</vt:lpstr>
      <vt:lpstr>splash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LaborOLD!\c_editStart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LaborOLD!\c_merge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LaborOLD!\c_schedEnd</vt:lpstr>
      <vt:lpstr>'Non-Staff Labor'!\c_schedEnd</vt:lpstr>
      <vt:lpstr>LaborOLD!\c_schedStart</vt:lpstr>
      <vt:lpstr>'Non-Staff Labor'!\c_schedStart</vt:lpstr>
      <vt:lpstr>LaborOLD!\c_SchedTemp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LaborOLD!\h_trailers</vt:lpstr>
      <vt:lpstr>\h_trailers</vt:lpstr>
      <vt:lpstr>'GCs Owner'!\head</vt:lpstr>
      <vt:lpstr>'GRs Owner'!\head</vt:lpstr>
      <vt:lpstr>Code!\headertbl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LaborOLD!\r_carry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LaborOLD!\r_end</vt:lpstr>
      <vt:lpstr>'Staff Detail'!\r_end</vt:lpstr>
      <vt:lpstr>'Labor Gantt'!\r_gbottom</vt:lpstr>
      <vt:lpstr>LaborOLD!\r_header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LaborOLD!\r_SchedTemp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LaborOLD!\r_start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LaborOLD!\schedDur</vt:lpstr>
      <vt:lpstr>LaborOLD!\schedItem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LaborOLD!\t_commBIM</vt:lpstr>
      <vt:lpstr>\t_commBIM</vt:lpstr>
      <vt:lpstr>'GCs Detail'!\t_copiers</vt:lpstr>
      <vt:lpstr>'GRs Detail'!\t_copiers</vt:lpstr>
      <vt:lpstr>LaborOLD!\t_copiers</vt:lpstr>
      <vt:lpstr>\t_copiers</vt:lpstr>
      <vt:lpstr>'Rate Tables'!\t_firewatch</vt:lpstr>
      <vt:lpstr>'GCs Detail'!\t_instBIM</vt:lpstr>
      <vt:lpstr>'GRs Detail'!\t_instBIM</vt:lpstr>
      <vt:lpstr>LaborOLD!\t_instBIM</vt:lpstr>
      <vt:lpstr>\t_instBIM</vt:lpstr>
      <vt:lpstr>'GCs Detail'!\t_internalConsult</vt:lpstr>
      <vt:lpstr>'GRs Detail'!\t_internalConsult</vt:lpstr>
      <vt:lpstr>LaborOLD!\t_internalConsult</vt:lpstr>
      <vt:lpstr>\t_internalConsult</vt:lpstr>
      <vt:lpstr>'GCs Detail'!\t_internet</vt:lpstr>
      <vt:lpstr>'GRs Detail'!\t_internet</vt:lpstr>
      <vt:lpstr>LaborOLD!\t_internet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LaborOLD!\t_touchplan</vt:lpstr>
      <vt:lpstr>\t_touchplan</vt:lpstr>
      <vt:lpstr>'GCs Detail'!\t_trailer</vt:lpstr>
      <vt:lpstr>'GRs Detail'!\t_trailer</vt:lpstr>
      <vt:lpstr>LaborOLD!\t_trailer</vt:lpstr>
      <vt:lpstr>\t_trailer</vt:lpstr>
      <vt:lpstr>'GCs Detail'!\table_VACA</vt:lpstr>
      <vt:lpstr>'GRs Detail'!\table_VACA</vt:lpstr>
      <vt:lpstr>LaborOLD!\table_VACA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LaborOLD!\VACAhrs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LaborOLD!regions</vt:lpstr>
      <vt:lpstr>regions</vt:lpstr>
      <vt:lpstr>'GCs Detail'!sectors</vt:lpstr>
      <vt:lpstr>'GRs Detail'!sectors</vt:lpstr>
      <vt:lpstr>LaborOLD!sectors</vt:lpstr>
      <vt:lpstr>sectors</vt:lpstr>
      <vt:lpstr>'GCs Detail'!staff</vt:lpstr>
      <vt:lpstr>'GRs Detail'!staff</vt:lpstr>
      <vt:lpstr>LaborOLD!staff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2018-08-09T16:52:47Z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