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joku\Documents\GitHub\GCGRrepo\"/>
    </mc:Choice>
  </mc:AlternateContent>
  <xr:revisionPtr revIDLastSave="0" documentId="13_ncr:1_{B8AB6FC4-943B-4204-BCEC-6A5B0EACC62C}" xr6:coauthVersionLast="34" xr6:coauthVersionMax="34" xr10:uidLastSave="{00000000-0000-0000-0000-000000000000}"/>
  <bookViews>
    <workbookView xWindow="0" yWindow="0" windowWidth="14310" windowHeight="7020" xr2:uid="{2E80CA58-8610-40E9-A54D-09997D7EA2F4}"/>
  </bookViews>
  <sheets>
    <sheet name="Settings" sheetId="3" r:id="rId1"/>
    <sheet name="meta" sheetId="36" state="veryHidden" r:id="rId2"/>
    <sheet name="Staff Detail" sheetId="1" state="hidden" r:id="rId3"/>
    <sheet name="Labor Gantt" sheetId="30" state="hidden" r:id="rId4"/>
    <sheet name="Non-Staff Labor" sheetId="34" state="hidden" r:id="rId5"/>
    <sheet name="Rate Tables" sheetId="35" state="hidden" r:id="rId6"/>
    <sheet name="GCs Detail" sheetId="23" state="hidden" r:id="rId7"/>
    <sheet name="GRs Detail" sheetId="24" state="hidden" r:id="rId8"/>
    <sheet name="GCs Owner" sheetId="20" state="hidden" r:id="rId9"/>
    <sheet name="GRs Owner" sheetId="19" state="hidden" r:id="rId10"/>
    <sheet name="Bin" sheetId="21" state="veryHidden" r:id="rId11"/>
    <sheet name="Errors" sheetId="11" state="veryHidden" r:id="rId12"/>
    <sheet name="Code" sheetId="10" state="veryHidden" r:id="rId13"/>
    <sheet name="CostCodes" sheetId="25" state="veryHidden" r:id="rId14"/>
    <sheet name="splash" sheetId="22" state="veryHidden" r:id="rId15"/>
  </sheets>
  <externalReferences>
    <externalReference r:id="rId16"/>
    <externalReference r:id="rId17"/>
    <externalReference r:id="rId18"/>
    <externalReference r:id="rId19"/>
    <externalReference r:id="rId20"/>
  </externalReferences>
  <definedNames>
    <definedName name="\\\temp" localSheetId="6">'GCs Detail'!$E$10:$J$19,'GCs Detail'!$E$22:$J$22,'GCs Detail'!$E$26:$J$29,'GCs Detail'!$E$32:$J$43,'GCs Detail'!$E$46:$J$56,'GCs Detail'!$E$59:$J$69,'GCs Detail'!$E$72:$J$72,'GCs Detail'!$E$75:$J$75,'GCs Detail'!$E$78:$J$78,'GCs Detail'!$E$81:$J$82,'GCs Detail'!$E$85:$J$87,'GCs Detail'!$E$90:$J$96</definedName>
    <definedName name="\\\temp" localSheetId="7">'GRs Detail'!$E$10:$J$11,'GRs Detail'!#REF!,'GRs Detail'!$E$18:$J$21,'GRs Detail'!$E$24:$J$26,'GRs Detail'!$E$29:$J$39,'GRs Detail'!$E$42:$J$56,'GRs Detail'!$E$59:$J$59,'GRs Detail'!$E$63:$J$63,'GRs Detail'!$E$74:$J$74,'GRs Detail'!$E$77:$J$101,'GRs Detail'!$E$104:$J$112,'GRs Detail'!#REF!</definedName>
    <definedName name="\\\temp2" localSheetId="7">'GRs Detail'!$E$77,'GRs Detail'!#REF!,'GRs Detail'!#REF!,'GRs Detail'!#REF!,'GRs Detail'!#REF!,'GRs Detail'!#REF!,'GRs Detail'!#REF!,'GRs Detail'!#REF!,'GRs Detail'!#REF!,'GRs Detail'!#REF!,'GRs Detail'!#REF!</definedName>
    <definedName name="\addPhase" localSheetId="3">'Labor Gantt'!$B$8</definedName>
    <definedName name="\area" localSheetId="6">'GCs Detail'!$K$6</definedName>
    <definedName name="\area" localSheetId="7">'GRs Detail'!$K$6</definedName>
    <definedName name="\area" localSheetId="0">Settings!$K$10</definedName>
    <definedName name="\ass" localSheetId="12">Code!$A$9</definedName>
    <definedName name="\auto" localSheetId="12">Code!$F$2</definedName>
    <definedName name="\auto" localSheetId="2">'Staff Detail'!$E$1</definedName>
    <definedName name="\body" localSheetId="8">'GCs Owner'!$D$14:$M$104</definedName>
    <definedName name="\body" localSheetId="9">'GRs Owner'!$D$10:$M$230</definedName>
    <definedName name="\c_admin" localSheetId="6">'GCs Detail'!$O$1:$S$1</definedName>
    <definedName name="\c_admin" localSheetId="7">'GRs Detail'!$O$1:$S$1</definedName>
    <definedName name="\c_adminEND" localSheetId="6">'GCs Detail'!$O$2</definedName>
    <definedName name="\c_adminEND" localSheetId="8">'GCs Owner'!$O$1</definedName>
    <definedName name="\c_adminEND" localSheetId="7">'GRs Detail'!$O$2</definedName>
    <definedName name="\c_adminEND" localSheetId="9">'GRs Owner'!$O$1</definedName>
    <definedName name="\c_carry" localSheetId="6">'GCs Detail'!$P$1</definedName>
    <definedName name="\c_carry" localSheetId="7">'GRs Detail'!$P$1</definedName>
    <definedName name="\c_context" localSheetId="6">'GCs Detail'!$C$1</definedName>
    <definedName name="\c_context" localSheetId="7">'GRs Detail'!$C$1</definedName>
    <definedName name="\c_desc" localSheetId="6">'GCs Detail'!$E$1</definedName>
    <definedName name="\c_desc" localSheetId="8">'GCs Owner'!$E$1</definedName>
    <definedName name="\c_desc" localSheetId="7">'GRs Detail'!$E$1</definedName>
    <definedName name="\c_desc" localSheetId="9">'GRs Owner'!$E$1</definedName>
    <definedName name="\c_desc" localSheetId="3">'Labor Gantt'!$B$1</definedName>
    <definedName name="\c_durEND" localSheetId="2">'Staff Detail'!$O$1</definedName>
    <definedName name="\c_durSTART" localSheetId="2">'Staff Detail'!$N$1</definedName>
    <definedName name="\c_editStart" localSheetId="4">'Non-Staff Labor'!$O$1</definedName>
    <definedName name="\c_endcol" localSheetId="3">'Labor Gantt'!$CP$7</definedName>
    <definedName name="\c_gdur" localSheetId="3">'Labor Gantt'!$E$1</definedName>
    <definedName name="\c_group" localSheetId="6">'GCs Detail'!$O$1</definedName>
    <definedName name="\c_group" localSheetId="7">'GRs Detail'!$O$1</definedName>
    <definedName name="\c_gstart" localSheetId="3">'Labor Gantt'!$D$1</definedName>
    <definedName name="\c_gtemp" localSheetId="3">'Labor Gantt'!$CR$1</definedName>
    <definedName name="\c_jobDur" localSheetId="2">'Staff Detail'!$H$1</definedName>
    <definedName name="\c_jobStart" localSheetId="2">'Staff Detail'!$G$1</definedName>
    <definedName name="\c_merge" localSheetId="4">'Non-Staff Labor'!$C$1</definedName>
    <definedName name="\c_monthDETAIL" localSheetId="2">'Staff Detail'!$M$1:$O$1</definedName>
    <definedName name="\c_name" localSheetId="8">'GCs Owner'!$F$1</definedName>
    <definedName name="\c_negStart" localSheetId="2">'Staff Detail'!$M$1</definedName>
    <definedName name="\c_negTemp" localSheetId="2">'Staff Detail'!$AL$1</definedName>
    <definedName name="\c_order" localSheetId="2">'Staff Detail'!$S$1</definedName>
    <definedName name="\c_perTIME" localSheetId="2">'Staff Detail'!$K$1</definedName>
    <definedName name="\c_posEnd" localSheetId="2">'Staff Detail'!$J$1</definedName>
    <definedName name="\c_Position" localSheetId="2">'Staff Detail'!$B$1</definedName>
    <definedName name="\c_posName" localSheetId="2">'Staff Detail'!$C$1</definedName>
    <definedName name="\c_posStart" localSheetId="2">'Staff Detail'!$I$1</definedName>
    <definedName name="\c_posTemp" localSheetId="2">'Staff Detail'!$AM$1</definedName>
    <definedName name="\c_print" localSheetId="4">'Non-Staff Labor'!$A$1</definedName>
    <definedName name="\c_qt" localSheetId="6">'GCs Detail'!$H$1</definedName>
    <definedName name="\c_qt" localSheetId="7">'GRs Detail'!$H$1</definedName>
    <definedName name="\c_rateDETAIL" localSheetId="2">'Staff Detail'!$S$1:$AD$1</definedName>
    <definedName name="\c_rateEnd" localSheetId="2">'Staff Detail'!$AD$1</definedName>
    <definedName name="\c_region" localSheetId="6">'GCs Detail'!$Q$1</definedName>
    <definedName name="\c_region" localSheetId="7">'GRs Detail'!$Q$1</definedName>
    <definedName name="\c_report" localSheetId="6">'GCs Detail'!$B$1:$B$1</definedName>
    <definedName name="\c_report" localSheetId="7">'GRs Detail'!$B$1:$B$1</definedName>
    <definedName name="\c_schedEnd" localSheetId="4">'Non-Staff Labor'!$X$1</definedName>
    <definedName name="\c_schedStart" localSheetId="4">'Non-Staff Labor'!$D$1</definedName>
    <definedName name="\c_SchedTemp" localSheetId="4">'Non-Staff Labor'!$AJ$1</definedName>
    <definedName name="\c_sector" localSheetId="6">'GCs Detail'!$R$1</definedName>
    <definedName name="\c_sector" localSheetId="7">'GRs Detail'!$R$1</definedName>
    <definedName name="\c_settings" localSheetId="6">'GCs Detail'!$A$1:$C$1,'GCs Detail'!$M$1:$N$1</definedName>
    <definedName name="\c_settings" localSheetId="8">'GCs Owner'!$N$1,'GCs Owner'!$A$1:$C$1</definedName>
    <definedName name="\c_settings" localSheetId="7">'GRs Detail'!$A$1:$C$1,'GRs Detail'!$M$1:$N$1</definedName>
    <definedName name="\c_settings" localSheetId="9">'GRs Owner'!$N$1,'GRs Owner'!$A$1:$C$1</definedName>
    <definedName name="\c_startdate" localSheetId="3">'Labor Gantt'!$C$1</definedName>
    <definedName name="\c_t0" localSheetId="3">'Labor Gantt'!$I$1</definedName>
    <definedName name="\c_total" localSheetId="8">'GCs Owner'!$L$1</definedName>
    <definedName name="\c_total" localSheetId="9">'GRs Owner'!$L$1</definedName>
    <definedName name="\c_val" localSheetId="6">'GCs Detail'!$K$1</definedName>
    <definedName name="\c_val" localSheetId="7">'GRs Detail'!$K$1</definedName>
    <definedName name="\carpenter" localSheetId="5">'Rate Tables'!$F$18:$Y$18</definedName>
    <definedName name="\carpenterforeman" localSheetId="5">'Rate Tables'!$F$25:$Y$25</definedName>
    <definedName name="\carpentersteward" localSheetId="5">'Rate Tables'!$F$43:$Y$43</definedName>
    <definedName name="\carryFORMAT" localSheetId="6">'GCs Detail'!$C$109:$D$109</definedName>
    <definedName name="\carryFORMAT" localSheetId="7">'GRs Detail'!$C$244:$D$244</definedName>
    <definedName name="\cend" localSheetId="0">Settings!$K$5</definedName>
    <definedName name="\cend" localSheetId="2">'Staff Detail'!$C$8</definedName>
    <definedName name="\chartRan" localSheetId="2">'Staff Detail'!$N$29:$N$45</definedName>
    <definedName name="\colSTART" localSheetId="3">'Labor Gantt'!$I$7</definedName>
    <definedName name="\conlabor" localSheetId="4">'[1]Staff Detail'!$AK$38</definedName>
    <definedName name="\conlabor" localSheetId="5">'[2]Staff Detail'!$R$16</definedName>
    <definedName name="\conlabor">'Staff Detail'!$Q$16</definedName>
    <definedName name="\conLIT" localSheetId="0">Settings!$H$10</definedName>
    <definedName name="\conLIT" localSheetId="2">'Staff Detail'!$K$6</definedName>
    <definedName name="\conRaise" localSheetId="0">Settings!$H$12</definedName>
    <definedName name="\conRaise" localSheetId="2">'Staff Detail'!$K$8</definedName>
    <definedName name="\contotal" localSheetId="0">Settings!$K$14</definedName>
    <definedName name="\cstart" localSheetId="0">Settings!$K$4</definedName>
    <definedName name="\cstart" localSheetId="2">'Staff Detail'!$C$7</definedName>
    <definedName name="\date" localSheetId="0">Settings!$D$11</definedName>
    <definedName name="\date" localSheetId="2">'Staff Detail'!$E$3</definedName>
    <definedName name="\defaultbody" localSheetId="8">'GCs Owner'!#REF!</definedName>
    <definedName name="\defaultFORMAT" localSheetId="6">'GCs Detail'!$C$111:$D$111</definedName>
    <definedName name="\defaultFORMAT" localSheetId="7">'GRs Detail'!$C$246:$D$246</definedName>
    <definedName name="\doc" localSheetId="8">'GCs Owner'!$D$4:$M$106</definedName>
    <definedName name="\doc" localSheetId="9">'GRs Owner'!$D$4:$M$232</definedName>
    <definedName name="\duration" localSheetId="6">'GCs Detail'!$I$6</definedName>
    <definedName name="\duration" localSheetId="7">'GRs Detail'!$I$6</definedName>
    <definedName name="\duration" localSheetId="0">Settings!$K$6</definedName>
    <definedName name="\duration" localSheetId="2">'Staff Detail'!$E$7</definedName>
    <definedName name="\errors" localSheetId="11">Errors!$A$2</definedName>
    <definedName name="\firewatch" localSheetId="5">'Rate Tables'!$F$50:$Y$50</definedName>
    <definedName name="\foot" localSheetId="8">'GCs Owner'!$D$104:$M$106</definedName>
    <definedName name="\foot" localSheetId="9">'GRs Owner'!$D$230:$M$232</definedName>
    <definedName name="\gas" localSheetId="0">Settings!$H$16</definedName>
    <definedName name="\gas" localSheetId="2">'Staff Detail'!$H$7</definedName>
    <definedName name="\gcontotal" localSheetId="0">Settings!$K$15</definedName>
    <definedName name="\gctotal" localSheetId="4">'[1]GCs Owner'!$L$135</definedName>
    <definedName name="\gctotal" localSheetId="5">'[2]GCs Owner'!$L$102</definedName>
    <definedName name="\gctotal">'GCs Owner'!$L$105</definedName>
    <definedName name="\gid" localSheetId="3">OFFSET('Labor Gantt'!$B$7,1,0):OFFSET('Labor Gantt'!$B$8,-1,0)</definedName>
    <definedName name="\greqtotal" localSheetId="0">Settings!$K$16</definedName>
    <definedName name="\grtotal" localSheetId="4">'[1]GRs Owner'!$L$194</definedName>
    <definedName name="\grtotal" localSheetId="5">'[2]GRs Owner'!$L$194</definedName>
    <definedName name="\grtotal">'GRs Owner'!$L$231</definedName>
    <definedName name="\h_trailers" localSheetId="6">Code!$T$2:$V$2</definedName>
    <definedName name="\h_trailers" localSheetId="7">Code!$T$2:$V$2</definedName>
    <definedName name="\h_trailers" localSheetId="4">[1]Code!$T$2:$V$2</definedName>
    <definedName name="\h_trailers">Code!$T$2:$V$2</definedName>
    <definedName name="\head" localSheetId="8">'GCs Owner'!$D$4:$M$8</definedName>
    <definedName name="\head" localSheetId="9">'GRs Owner'!$D$4:$M$8</definedName>
    <definedName name="\headertable" localSheetId="12">Code!$X$16:$X$25</definedName>
    <definedName name="\info" localSheetId="6">'GCs Detail'!$E$2:$K$6</definedName>
    <definedName name="\info" localSheetId="7">'GRs Detail'!$E$2:$K$6</definedName>
    <definedName name="\info" localSheetId="2">'Staff Detail'!$B$2:$M$9</definedName>
    <definedName name="\iphone" localSheetId="0">Settings!$H$15</definedName>
    <definedName name="\iphone" localSheetId="2">'Staff Detail'!$H$6</definedName>
    <definedName name="\IT" localSheetId="0">Settings!$H$14</definedName>
    <definedName name="\IT" localSheetId="2">'Staff Detail'!$H$5</definedName>
    <definedName name="\jdEnd" localSheetId="2">'Staff Detail'!$H$18</definedName>
    <definedName name="\jobEnd" localSheetId="2">'Staff Detail'!$G$18</definedName>
    <definedName name="\laborer" localSheetId="5">'Rate Tables'!$F$4:$Y$4</definedName>
    <definedName name="\laborforeman" localSheetId="5">'Rate Tables'!$F$11:$Y$11</definedName>
    <definedName name="\laborsteward" localSheetId="5">'Rate Tables'!$F$36:$Y$36</definedName>
    <definedName name="\lag" localSheetId="3">'Labor Gantt'!$G$7:$G$8</definedName>
    <definedName name="\loc" localSheetId="6">'GCs Detail'!$E$3</definedName>
    <definedName name="\loc" localSheetId="7">'GRs Detail'!$E$3</definedName>
    <definedName name="\loc" localSheetId="0">Settings!$D$5</definedName>
    <definedName name="\loc" localSheetId="2">'Staff Detail'!$B$3</definedName>
    <definedName name="\mark" localSheetId="12">Code!$A$2</definedName>
    <definedName name="\negMax" localSheetId="2">'Staff Detail'!$AJ$1</definedName>
    <definedName name="\negMin" localSheetId="2">'Staff Detail'!$AK$1</definedName>
    <definedName name="\ops" localSheetId="0">Settings!$D$9</definedName>
    <definedName name="\order" localSheetId="12">Code!$D$2</definedName>
    <definedName name="\pcost" localSheetId="0">Settings!$D$13</definedName>
    <definedName name="\pdur" localSheetId="0">Settings!$H$6</definedName>
    <definedName name="\pdur" localSheetId="2">'Staff Detail'!$E$5</definedName>
    <definedName name="\pend" localSheetId="0">Settings!$H$5</definedName>
    <definedName name="\pend" localSheetId="2">'Staff Detail'!$C$6</definedName>
    <definedName name="\perEND" localSheetId="2">'Staff Detail'!$K$18</definedName>
    <definedName name="\police" localSheetId="5">'Rate Tables'!$F$32:$Y$32</definedName>
    <definedName name="\position" localSheetId="12">Code!$B$2</definedName>
    <definedName name="\pred" localSheetId="3">'Labor Gantt'!$F$7:$F$8</definedName>
    <definedName name="\prelabor" localSheetId="4">'[1]Staff Detail'!$AK$21</definedName>
    <definedName name="\prelabor" localSheetId="5">'[2]Staff Detail'!$R$14</definedName>
    <definedName name="\prelabor">'Staff Detail'!$Q$14</definedName>
    <definedName name="\preLIT" localSheetId="0">Settings!$H$9</definedName>
    <definedName name="\preLIT" localSheetId="2">'Staff Detail'!$K$5</definedName>
    <definedName name="\preRaise" localSheetId="0">Settings!$H$11</definedName>
    <definedName name="\preRaise" localSheetId="2">'Staff Detail'!$K$7</definedName>
    <definedName name="\pretotal" localSheetId="0">Settings!$K$13</definedName>
    <definedName name="\proj" localSheetId="6">'GCs Detail'!$E$2</definedName>
    <definedName name="\proj" localSheetId="8">'GCs Owner'!$D$5</definedName>
    <definedName name="\proj" localSheetId="7">'GRs Detail'!$E$2</definedName>
    <definedName name="\proj" localSheetId="9">'GRs Owner'!$D$5</definedName>
    <definedName name="\proj" localSheetId="0">Settings!$D$4</definedName>
    <definedName name="\proj" localSheetId="2">'Staff Detail'!$B$2</definedName>
    <definedName name="\pstart" localSheetId="0">Settings!$H$4</definedName>
    <definedName name="\pstart" localSheetId="2">'Staff Detail'!$C$5</definedName>
    <definedName name="\pwdur" localSheetId="0">Settings!$H$7</definedName>
    <definedName name="\pwdur" localSheetId="2">'Staff Detail'!$E$6</definedName>
    <definedName name="\r_addphase" localSheetId="3">'Labor Gantt'!$A$8</definedName>
    <definedName name="\r_admin" localSheetId="6">'GCs Detail'!$A$103:$A$113</definedName>
    <definedName name="\r_admin" localSheetId="7">'GRs Detail'!$A$238:$A$248</definedName>
    <definedName name="\r_adminEND" localSheetId="6">'GCs Detail'!$A$102</definedName>
    <definedName name="\r_adminEND" localSheetId="8">'GCs Owner'!$A$113</definedName>
    <definedName name="\r_adminEND" localSheetId="7">'GRs Detail'!$A$237</definedName>
    <definedName name="\r_adminEND" localSheetId="9">'GRs Owner'!$A$239</definedName>
    <definedName name="\r_almostEnd" localSheetId="2">'Staff Detail'!$A$16</definedName>
    <definedName name="\r_bin" localSheetId="8">'GCs Owner'!$A$117:$A$119</definedName>
    <definedName name="\r_bin" localSheetId="9">'GRs Owner'!$A$243:$A$245</definedName>
    <definedName name="\r_blank" localSheetId="8">'GCs Owner'!$A$116</definedName>
    <definedName name="\r_blank" localSheetId="9">'GRs Owner'!$A$242</definedName>
    <definedName name="\r_carry" localSheetId="4">'Non-Staff Labor'!#REF!</definedName>
    <definedName name="\r_constr" localSheetId="2">'Staff Detail'!$A$15</definedName>
    <definedName name="\r_dates" localSheetId="3">'Labor Gantt'!$A$1</definedName>
    <definedName name="\r_defaultEnd" localSheetId="8">'GCs Owner'!$A$125</definedName>
    <definedName name="\r_defaultEnd" localSheetId="9">'GRs Owner'!$A$252</definedName>
    <definedName name="\r_defaultStart" localSheetId="8">'GCs Owner'!$A$124</definedName>
    <definedName name="\r_defaultStart" localSheetId="9">'GRs Owner'!$A$251</definedName>
    <definedName name="\r_dend" localSheetId="8">'GCs Owner'!$A$104</definedName>
    <definedName name="\r_dend" localSheetId="9">'GRs Owner'!$A$230</definedName>
    <definedName name="\r_dstart" localSheetId="8">'GCs Owner'!$A$14</definedName>
    <definedName name="\r_dstart" localSheetId="9">'GRs Owner'!$A$10</definedName>
    <definedName name="\r_end" localSheetId="6">'GCs Detail'!$A$99</definedName>
    <definedName name="\r_end" localSheetId="7">'GRs Detail'!$A$234</definedName>
    <definedName name="\r_end" localSheetId="4">'Non-Staff Labor'!#REF!</definedName>
    <definedName name="\r_end" localSheetId="2">'Staff Detail'!$A$17</definedName>
    <definedName name="\r_gbottom" localSheetId="3">'Labor Gantt'!$A$12</definedName>
    <definedName name="\r_header" localSheetId="4">'Non-Staff Labor'!$B$12</definedName>
    <definedName name="\r_heading" localSheetId="8">'GCs Owner'!$A$115</definedName>
    <definedName name="\r_heading" localSheetId="9">'GRs Owner'!$A$241</definedName>
    <definedName name="\r_insertSched" localSheetId="7">'GRs Detail'!$A$232</definedName>
    <definedName name="\r_lineitem" localSheetId="8">'GCs Owner'!$A$114</definedName>
    <definedName name="\r_lineitem" localSheetId="9">'GRs Owner'!$A$240</definedName>
    <definedName name="\r_lineitem" localSheetId="3">'Labor Gantt'!$A$30</definedName>
    <definedName name="\r_phase" localSheetId="2">'Staff Detail'!$A$36</definedName>
    <definedName name="\r_phaseitem" localSheetId="8">'GCs Owner'!$A$122</definedName>
    <definedName name="\r_phaseitem" localSheetId="3">'Labor Gantt'!$A$31</definedName>
    <definedName name="\r_phasephase" localSheetId="3">'Labor Gantt'!$A$32</definedName>
    <definedName name="\r_precon" localSheetId="2">'Staff Detail'!$A$13</definedName>
    <definedName name="\r_schedItem" localSheetId="7">'GRs Detail'!$A$256</definedName>
    <definedName name="\r_schedStart" localSheetId="7">'GRs Detail'!$A$225</definedName>
    <definedName name="\r_SchedTemp" localSheetId="4">'Non-Staff Labor'!$B$19</definedName>
    <definedName name="\r_settings" localSheetId="6">'GCs Detail'!$A$4:$A$7,'GCs Detail'!$A$100,'GCs Detail'!$A$101</definedName>
    <definedName name="\r_settings" localSheetId="8">'GCs Owner'!$A$107:$A$112,'GCs Owner'!$A$1:$A$3</definedName>
    <definedName name="\r_settings" localSheetId="7">'GRs Detail'!$A$4:$A$7,'GRs Detail'!$A$235,'GRs Detail'!$A$236</definedName>
    <definedName name="\r_settings" localSheetId="9">'GRs Owner'!$A$233:$A$238,'GRs Owner'!$A$1:$A$3</definedName>
    <definedName name="\r_settings" localSheetId="2">'Staff Detail'!$A$4:$A$9</definedName>
    <definedName name="\r_start" localSheetId="6">'GCs Detail'!$A$8</definedName>
    <definedName name="\r_start" localSheetId="7">'GRs Detail'!$A$8</definedName>
    <definedName name="\r_start" localSheetId="4">'Non-Staff Labor'!$A$13</definedName>
    <definedName name="\r_start" localSheetId="2">'Staff Detail'!$A$12</definedName>
    <definedName name="\r_tempCON" localSheetId="2">'Staff Detail'!$A$28</definedName>
    <definedName name="\r_tempEST" localSheetId="2">'Staff Detail'!$A$32</definedName>
    <definedName name="\r_tempPhase" localSheetId="2">'Staff Detail'!$A$30</definedName>
    <definedName name="\r_tempPRECON" localSheetId="2">'Staff Detail'!$A$26</definedName>
    <definedName name="\r_temptrailer" localSheetId="6">'GCs Detail'!$A$121:$A$129</definedName>
    <definedName name="\r_trailer" localSheetId="6">'GCs Detail'!$A$23</definedName>
    <definedName name="\r_trailer" localSheetId="7">'GRs Detail'!#REF!</definedName>
    <definedName name="\r_trailerSTART" localSheetId="6">'GCs Detail'!$A$22</definedName>
    <definedName name="\r_trailerSTART" localSheetId="7">'GRs Detail'!#REF!</definedName>
    <definedName name="\r_wheader" localSheetId="3">'Labor Gantt'!$A$7</definedName>
    <definedName name="\r_xfer" localSheetId="8">'GCs Owner'!$A$109</definedName>
    <definedName name="\r_xfer" localSheetId="9">'GRs Owner'!$A$235</definedName>
    <definedName name="\rank" localSheetId="12">Code!$C$2</definedName>
    <definedName name="\rank" localSheetId="2">'Staff Detail'!#REF!</definedName>
    <definedName name="\reg" localSheetId="6">'GCs Detail'!$F$5</definedName>
    <definedName name="\reg" localSheetId="7">'GRs Detail'!$F$5</definedName>
    <definedName name="\reg" localSheetId="0">Settings!$D$6</definedName>
    <definedName name="\safety" localSheetId="12">Code!$A$29</definedName>
    <definedName name="\safetyTABLE" localSheetId="12">Code!$B$68:$L$72</definedName>
    <definedName name="\salary" localSheetId="12">Code!$E$2</definedName>
    <definedName name="\salary" localSheetId="2">'Staff Detail'!$D$1</definedName>
    <definedName name="\schedDur" localSheetId="4">'Non-Staff Labor'!#REF!</definedName>
    <definedName name="\schedItem" localSheetId="4">'Non-Staff Labor'!#REF!</definedName>
    <definedName name="\sec" localSheetId="6">'GCs Detail'!$F$6</definedName>
    <definedName name="\sec" localSheetId="7">'GRs Detail'!$F$6</definedName>
    <definedName name="\sec" localSheetId="0">Settings!$D$7</definedName>
    <definedName name="\shapeSTORE" localSheetId="6">'GCs Detail'!$A$1</definedName>
    <definedName name="\shapeSTORE" localSheetId="8">'GCs Owner'!$D$4</definedName>
    <definedName name="\shapeSTORE" localSheetId="7">'GRs Detail'!$A$1</definedName>
    <definedName name="\shapeSTORE" localSheetId="9">'GRs Owner'!$D$4</definedName>
    <definedName name="\srsafety" localSheetId="12">Code!$A$28</definedName>
    <definedName name="\staffTABLE">Code!$B$3:$B$56</definedName>
    <definedName name="\sync" localSheetId="6">'GCs Detail'!$C$5</definedName>
    <definedName name="\sync" localSheetId="7">'GRs Detail'!$C$5</definedName>
    <definedName name="\t_carpenter" localSheetId="5">'Rate Tables'!$F$19:$Y$22</definedName>
    <definedName name="\t_carpenterforeman" localSheetId="5">'Rate Tables'!$F$26:$Y$29</definedName>
    <definedName name="\t_carpentersteward" localSheetId="5">'Rate Tables'!$F$44:$Y$47</definedName>
    <definedName name="\t_commBIM" localSheetId="6">Code!$P$3:$Q$8</definedName>
    <definedName name="\t_commBIM" localSheetId="7">Code!$P$3:$Q$8</definedName>
    <definedName name="\t_commBIM" localSheetId="4">[1]Code!$P$3:$Q$8</definedName>
    <definedName name="\t_commBIM" localSheetId="5">[2]Code!$P$3:$Q$8</definedName>
    <definedName name="\t_commBIM">Code!$P$3:$Q$8</definedName>
    <definedName name="\t_copiers" localSheetId="6">Code!$J$3:$K$5</definedName>
    <definedName name="\t_copiers" localSheetId="7">Code!$J$3:$K$5</definedName>
    <definedName name="\t_copiers" localSheetId="4">[1]Code!$J$3:$K$5</definedName>
    <definedName name="\t_copiers">Code!$J$3:$K$5</definedName>
    <definedName name="\t_firewatch" localSheetId="5">'Rate Tables'!$F$51:$Y$51</definedName>
    <definedName name="\t_instBIM" localSheetId="6">Code!$M$3:$N$8</definedName>
    <definedName name="\t_instBIM" localSheetId="7">Code!$M$3:$N$8</definedName>
    <definedName name="\t_instBIM" localSheetId="4">[1]Code!$M$3:$N$8</definedName>
    <definedName name="\t_instBIM">Code!$M$3:$N$8</definedName>
    <definedName name="\t_internalConsult" localSheetId="6">Code!$J$17:$K$20</definedName>
    <definedName name="\t_internalConsult" localSheetId="7">Code!$J$17:$K$20</definedName>
    <definedName name="\t_internalConsult" localSheetId="4">[1]Code!$J$17:$K$20</definedName>
    <definedName name="\t_internalConsult">Code!$J$17:$K$20</definedName>
    <definedName name="\t_internet" localSheetId="6">Code!$J$10:$K$12</definedName>
    <definedName name="\t_internet" localSheetId="7">Code!$J$10:$K$12</definedName>
    <definedName name="\t_internet" localSheetId="4">[1]Code!$J$10:$K$12</definedName>
    <definedName name="\t_internet">Code!$J$10:$K$12</definedName>
    <definedName name="\t_laborer" localSheetId="5">'Rate Tables'!$F$5:$Y$8</definedName>
    <definedName name="\t_laborforeman" localSheetId="5">'Rate Tables'!$F$12:$Y$15</definedName>
    <definedName name="\t_laborsteward" localSheetId="5">'Rate Tables'!$F$37:$Y$40</definedName>
    <definedName name="\t_police" localSheetId="5">'Rate Tables'!$F$33:$Y$33</definedName>
    <definedName name="\t_schedule" localSheetId="12">Code!$Y$16:$AD$25</definedName>
    <definedName name="\t_touchplan" localSheetId="6">Code!$M$17:$O$19</definedName>
    <definedName name="\t_touchplan" localSheetId="7">Code!$M$17:$O$19</definedName>
    <definedName name="\t_touchplan" localSheetId="4">[1]Code!$M$17:$O$19</definedName>
    <definedName name="\t_touchplan">Code!$M$17:$O$19</definedName>
    <definedName name="\t_trailer" localSheetId="6">Code!$S$2:$V$9</definedName>
    <definedName name="\t_trailer" localSheetId="7">Code!$S$2:$V$9</definedName>
    <definedName name="\t_trailer" localSheetId="4">[1]Code!$S$2:$V$9</definedName>
    <definedName name="\t_trailer">Code!$S$2:$V$10</definedName>
    <definedName name="\table_VACA" localSheetId="6">Settings!$O$4:$P$6</definedName>
    <definedName name="\table_VACA" localSheetId="7">Settings!$O$4:$P$6</definedName>
    <definedName name="\table_VACA" localSheetId="4">[1]Settings!$O$4:$P$6</definedName>
    <definedName name="\table_VACA" localSheetId="5">[2]Settings!$O$4:$P$6</definedName>
    <definedName name="\table_VACA">Settings!$O$4:$P$6</definedName>
    <definedName name="\task" localSheetId="0">Settings!$D$10</definedName>
    <definedName name="\tempRAN">Code!$I$14:$I$18</definedName>
    <definedName name="\tokens" localSheetId="12">Code!$G$2</definedName>
    <definedName name="\trailerTABLE">Code!$X$3:$X$5</definedName>
    <definedName name="\unit" localSheetId="6">'GCs Detail'!$K$5</definedName>
    <definedName name="\unit" localSheetId="7">'GRs Detail'!$K$5</definedName>
    <definedName name="\unit" localSheetId="0">Settings!$K$9</definedName>
    <definedName name="\vaca" localSheetId="0">Settings!$D$16</definedName>
    <definedName name="\VACAhrs" localSheetId="6">Settings!$P$7</definedName>
    <definedName name="\VACAhrs" localSheetId="7">Settings!$P$7</definedName>
    <definedName name="\VACAhrs" localSheetId="4">[1]Settings!$P$7</definedName>
    <definedName name="\VACAhrs" localSheetId="5">[2]Settings!$P$7</definedName>
    <definedName name="\VACAhrs">Settings!$P$7</definedName>
    <definedName name="\wbName" localSheetId="12">Code!$AG$1</definedName>
    <definedName name="\wdur" localSheetId="6">'GCs Detail'!$I$5</definedName>
    <definedName name="\wdur" localSheetId="7">'GRs Detail'!$I$5</definedName>
    <definedName name="\wdur" localSheetId="0">Settings!$K$7</definedName>
    <definedName name="\wdur" localSheetId="2">'Staff Detail'!$E$8</definedName>
    <definedName name="\workregion" localSheetId="12">Code!$S$32:$AB$32</definedName>
    <definedName name="\xfer" localSheetId="8">'GCs Owner'!$D$109:$M$110</definedName>
    <definedName name="\xfer" localSheetId="9">'GRs Owner'!$D$235:$M$236</definedName>
    <definedName name="_Order1" hidden="1">255</definedName>
    <definedName name="_Order2" hidden="1">255</definedName>
    <definedName name="formHEADER" localSheetId="6">'Staff Detail'!$P$13:$AA$13,'Staff Detail'!#REF!,'Staff Detail'!#REF!,'Staff Detail'!#REF!,'Staff Detail'!$B$13:$L$13,'Staff Detail'!#REF!</definedName>
    <definedName name="formHEADER" localSheetId="7">'Staff Detail'!$P$13:$AA$13,'Staff Detail'!#REF!,'Staff Detail'!#REF!,'Staff Detail'!#REF!,'Staff Detail'!$B$13:$L$13,'Staff Detail'!#REF!</definedName>
    <definedName name="formHEADER" localSheetId="4">'[1]Staff Detail'!$AL$13:$AX$13,'[1]Staff Detail'!#REF!,'[1]Staff Detail'!$R$13:$R$13,'[1]Staff Detail'!#REF!,'[1]Staff Detail'!$B$13:$K$13,'[1]Staff Detail'!#REF!</definedName>
    <definedName name="formHEADER" localSheetId="5">'[2]Staff Detail'!$S$13:$AE$13,'[2]Staff Detail'!$S$15:$AE$15,'[2]Staff Detail'!$O$13:$O$13,'[2]Staff Detail'!$O$15:$O$15,'[2]Staff Detail'!$B$13:$K$13,'[2]Staff Detail'!$B$15:$K$15</definedName>
    <definedName name="formHEADER">'Staff Detail'!$R$13:$AD$13,'Staff Detail'!$R$15:$AD$15,'Staff Detail'!$N$13:$N$13,'Staff Detail'!$N$15:$N$15,'Staff Detail'!$B$13:$K$13,'Staff Detail'!$B$15:$K$15</definedName>
    <definedName name="_xlnm.Print_Titles" localSheetId="14">splash!$A:$D</definedName>
    <definedName name="regions" localSheetId="6">Settings!$F$22:$F$31</definedName>
    <definedName name="regions" localSheetId="7">Settings!$F$22:$F$31</definedName>
    <definedName name="regions" localSheetId="4">[1]Settings!$F$22:$F$31</definedName>
    <definedName name="regions" localSheetId="5">[2]Settings!$F$22:$F$31</definedName>
    <definedName name="regions">Settings!$F$22:$F$31</definedName>
    <definedName name="sectors" localSheetId="6">Settings!$D$22:$D$39</definedName>
    <definedName name="sectors" localSheetId="7">Settings!$D$22:$D$39</definedName>
    <definedName name="sectors" localSheetId="4">[1]Settings!$D$22:$D$39</definedName>
    <definedName name="sectors" localSheetId="5">[2]Settings!$D$22:$D$39</definedName>
    <definedName name="sectors">Settings!$D$22:$D$39</definedName>
    <definedName name="staff" localSheetId="6">'Staff Detail'!$AD$12</definedName>
    <definedName name="staff" localSheetId="7">'Staff Detail'!$AD$12</definedName>
    <definedName name="staff" localSheetId="4">'[1]Staff Detail'!$BB$12</definedName>
    <definedName name="staff">'Staff Detail'!$AH$12</definedName>
    <definedName name="staffcounter" localSheetId="6">Settings!$H$22</definedName>
    <definedName name="staffcounter" localSheetId="7">Settings!$H$22</definedName>
    <definedName name="staffcounter">Settings!$H$22</definedName>
    <definedName name="testg">Code!$J$8</definedName>
  </definedNames>
  <calcPr calcId="17901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9" i="34" l="1"/>
  <c r="N19" i="34"/>
  <c r="K14" i="34" a="1"/>
  <c r="K14" i="34" s="1"/>
  <c r="H14" i="34" a="1"/>
  <c r="H14" i="34" s="1"/>
  <c r="B50" i="35"/>
  <c r="B43" i="35"/>
  <c r="B36" i="35"/>
  <c r="B32" i="35"/>
  <c r="B18" i="35"/>
  <c r="B4" i="35"/>
  <c r="D51" i="35"/>
  <c r="C51" i="35"/>
  <c r="D47" i="35"/>
  <c r="C47" i="35"/>
  <c r="D46" i="35"/>
  <c r="C46" i="35"/>
  <c r="D45" i="35"/>
  <c r="C45" i="35"/>
  <c r="D44" i="35"/>
  <c r="C44" i="35"/>
  <c r="D40" i="35"/>
  <c r="C40" i="35"/>
  <c r="D39" i="35"/>
  <c r="C39" i="35"/>
  <c r="D38" i="35"/>
  <c r="C38" i="35"/>
  <c r="D37" i="35"/>
  <c r="C37" i="35"/>
  <c r="D33" i="35"/>
  <c r="C33" i="35"/>
  <c r="D29" i="35"/>
  <c r="C29" i="35"/>
  <c r="D28" i="35"/>
  <c r="C28" i="35"/>
  <c r="D27" i="35"/>
  <c r="C27" i="35"/>
  <c r="D26" i="35"/>
  <c r="C26" i="35"/>
  <c r="D22" i="35"/>
  <c r="C22" i="35"/>
  <c r="D21" i="35"/>
  <c r="C21" i="35"/>
  <c r="D20" i="35"/>
  <c r="C20" i="35"/>
  <c r="D19" i="35"/>
  <c r="C19" i="35"/>
  <c r="D15" i="35"/>
  <c r="C15" i="35"/>
  <c r="D14" i="35"/>
  <c r="C14" i="35"/>
  <c r="D13" i="35"/>
  <c r="C13" i="35"/>
  <c r="D12" i="35"/>
  <c r="C12" i="35"/>
  <c r="D8" i="35"/>
  <c r="C8" i="35"/>
  <c r="D7" i="35"/>
  <c r="C7" i="35"/>
  <c r="D6" i="35"/>
  <c r="C6" i="35"/>
  <c r="D5" i="35"/>
  <c r="C5" i="35"/>
  <c r="Y51" i="35"/>
  <c r="W51" i="35"/>
  <c r="U51" i="35"/>
  <c r="S51" i="35"/>
  <c r="Q51" i="35"/>
  <c r="O51" i="35"/>
  <c r="M51" i="35"/>
  <c r="K51" i="35"/>
  <c r="I51" i="35"/>
  <c r="Y47" i="35"/>
  <c r="W47" i="35"/>
  <c r="U47" i="35"/>
  <c r="S47" i="35"/>
  <c r="Q47" i="35"/>
  <c r="O47" i="35"/>
  <c r="M47" i="35"/>
  <c r="K47" i="35"/>
  <c r="I47" i="35"/>
  <c r="G47" i="35"/>
  <c r="Y46" i="35"/>
  <c r="W46" i="35"/>
  <c r="U46" i="35"/>
  <c r="S46" i="35"/>
  <c r="Q46" i="35"/>
  <c r="O46" i="35"/>
  <c r="M46" i="35"/>
  <c r="K46" i="35"/>
  <c r="I46" i="35"/>
  <c r="G46" i="35"/>
  <c r="Y45" i="35"/>
  <c r="W45" i="35"/>
  <c r="U45" i="35"/>
  <c r="S45" i="35"/>
  <c r="Q45" i="35"/>
  <c r="O45" i="35"/>
  <c r="M45" i="35"/>
  <c r="K45" i="35"/>
  <c r="I45" i="35"/>
  <c r="G45" i="35"/>
  <c r="Y44" i="35"/>
  <c r="W44" i="35"/>
  <c r="U44" i="35"/>
  <c r="S44" i="35"/>
  <c r="Q44" i="35"/>
  <c r="O44" i="35"/>
  <c r="M44" i="35"/>
  <c r="K44" i="35"/>
  <c r="I44" i="35"/>
  <c r="G44" i="35"/>
  <c r="Y40" i="35"/>
  <c r="W40" i="35"/>
  <c r="U40" i="35"/>
  <c r="S40" i="35"/>
  <c r="Q40" i="35"/>
  <c r="O40" i="35"/>
  <c r="M40" i="35"/>
  <c r="K40" i="35"/>
  <c r="I40" i="35"/>
  <c r="G40" i="35"/>
  <c r="Y39" i="35"/>
  <c r="W39" i="35"/>
  <c r="U39" i="35"/>
  <c r="S39" i="35"/>
  <c r="Q39" i="35"/>
  <c r="O39" i="35"/>
  <c r="M39" i="35"/>
  <c r="K39" i="35"/>
  <c r="I39" i="35"/>
  <c r="G39" i="35"/>
  <c r="Y38" i="35"/>
  <c r="W38" i="35"/>
  <c r="U38" i="35"/>
  <c r="S38" i="35"/>
  <c r="Q38" i="35"/>
  <c r="O38" i="35"/>
  <c r="M38" i="35"/>
  <c r="K38" i="35"/>
  <c r="I38" i="35"/>
  <c r="G38" i="35"/>
  <c r="Y37" i="35"/>
  <c r="W37" i="35"/>
  <c r="U37" i="35"/>
  <c r="S37" i="35"/>
  <c r="Q37" i="35"/>
  <c r="O37" i="35"/>
  <c r="M37" i="35"/>
  <c r="K37" i="35"/>
  <c r="I37" i="35"/>
  <c r="G37" i="35"/>
  <c r="X29" i="35"/>
  <c r="Y29" i="35" s="1"/>
  <c r="W29" i="35"/>
  <c r="V29" i="35"/>
  <c r="T29" i="35"/>
  <c r="U29" i="35" s="1"/>
  <c r="S29" i="35"/>
  <c r="R29" i="35"/>
  <c r="P29" i="35"/>
  <c r="Q29" i="35" s="1"/>
  <c r="O29" i="35"/>
  <c r="N29" i="35"/>
  <c r="L29" i="35"/>
  <c r="M29" i="35" s="1"/>
  <c r="K29" i="35"/>
  <c r="J29" i="35"/>
  <c r="H29" i="35"/>
  <c r="I29" i="35" s="1"/>
  <c r="G29" i="35"/>
  <c r="F29" i="35"/>
  <c r="Y28" i="35"/>
  <c r="W28" i="35"/>
  <c r="U28" i="35"/>
  <c r="S28" i="35"/>
  <c r="Q28" i="35"/>
  <c r="O28" i="35"/>
  <c r="M28" i="35"/>
  <c r="K28" i="35"/>
  <c r="I28" i="35"/>
  <c r="G28" i="35"/>
  <c r="Y27" i="35"/>
  <c r="W27" i="35"/>
  <c r="U27" i="35"/>
  <c r="S27" i="35"/>
  <c r="Q27" i="35"/>
  <c r="O27" i="35"/>
  <c r="M27" i="35"/>
  <c r="K27" i="35"/>
  <c r="I27" i="35"/>
  <c r="G27" i="35"/>
  <c r="Y26" i="35"/>
  <c r="W26" i="35"/>
  <c r="U26" i="35"/>
  <c r="S26" i="35"/>
  <c r="Q26" i="35"/>
  <c r="O26" i="35"/>
  <c r="M26" i="35"/>
  <c r="K26" i="35"/>
  <c r="I26" i="35"/>
  <c r="G26" i="35"/>
  <c r="Y22" i="35"/>
  <c r="X22" i="35"/>
  <c r="V22" i="35"/>
  <c r="W22" i="35" s="1"/>
  <c r="U22" i="35"/>
  <c r="T22" i="35"/>
  <c r="R22" i="35"/>
  <c r="S22" i="35" s="1"/>
  <c r="Q22" i="35"/>
  <c r="P22" i="35"/>
  <c r="N22" i="35"/>
  <c r="O22" i="35" s="1"/>
  <c r="M22" i="35"/>
  <c r="L22" i="35"/>
  <c r="J22" i="35"/>
  <c r="K22" i="35" s="1"/>
  <c r="I22" i="35"/>
  <c r="H22" i="35"/>
  <c r="F22" i="35"/>
  <c r="Y21" i="35"/>
  <c r="W21" i="35"/>
  <c r="U21" i="35"/>
  <c r="S21" i="35"/>
  <c r="Q21" i="35"/>
  <c r="O21" i="35"/>
  <c r="M21" i="35"/>
  <c r="K21" i="35"/>
  <c r="I21" i="35"/>
  <c r="G21" i="35"/>
  <c r="Y20" i="35"/>
  <c r="W20" i="35"/>
  <c r="U20" i="35"/>
  <c r="S20" i="35"/>
  <c r="Q20" i="35"/>
  <c r="O20" i="35"/>
  <c r="M20" i="35"/>
  <c r="K20" i="35"/>
  <c r="I20" i="35"/>
  <c r="G20" i="35"/>
  <c r="Y19" i="35"/>
  <c r="W19" i="35"/>
  <c r="U19" i="35"/>
  <c r="S19" i="35"/>
  <c r="Q19" i="35"/>
  <c r="O19" i="35"/>
  <c r="M19" i="35"/>
  <c r="K19" i="35"/>
  <c r="I19" i="35"/>
  <c r="G19" i="35"/>
  <c r="X15" i="35"/>
  <c r="Y15" i="35" s="1"/>
  <c r="W15" i="35"/>
  <c r="V15" i="35"/>
  <c r="T15" i="35"/>
  <c r="U15" i="35" s="1"/>
  <c r="S15" i="35"/>
  <c r="R15" i="35"/>
  <c r="P15" i="35"/>
  <c r="Q15" i="35" s="1"/>
  <c r="O15" i="35"/>
  <c r="N15" i="35"/>
  <c r="L15" i="35"/>
  <c r="M15" i="35" s="1"/>
  <c r="K15" i="35"/>
  <c r="J15" i="35"/>
  <c r="H15" i="35"/>
  <c r="I15" i="35" s="1"/>
  <c r="G15" i="35"/>
  <c r="F15" i="35"/>
  <c r="Y14" i="35"/>
  <c r="W14" i="35"/>
  <c r="U14" i="35"/>
  <c r="S14" i="35"/>
  <c r="Q14" i="35"/>
  <c r="O14" i="35"/>
  <c r="M14" i="35"/>
  <c r="K14" i="35"/>
  <c r="I14" i="35"/>
  <c r="G14" i="35"/>
  <c r="Y13" i="35"/>
  <c r="W13" i="35"/>
  <c r="U13" i="35"/>
  <c r="S13" i="35"/>
  <c r="Q13" i="35"/>
  <c r="O13" i="35"/>
  <c r="M13" i="35"/>
  <c r="K13" i="35"/>
  <c r="I13" i="35"/>
  <c r="G13" i="35"/>
  <c r="Y12" i="35"/>
  <c r="W12" i="35"/>
  <c r="U12" i="35"/>
  <c r="S12" i="35"/>
  <c r="Q12" i="35"/>
  <c r="O12" i="35"/>
  <c r="M12" i="35"/>
  <c r="K12" i="35"/>
  <c r="I12" i="35"/>
  <c r="G12" i="35"/>
  <c r="Y8" i="35"/>
  <c r="X8" i="35"/>
  <c r="V8" i="35"/>
  <c r="W8" i="35" s="1"/>
  <c r="U8" i="35"/>
  <c r="T8" i="35"/>
  <c r="R8" i="35"/>
  <c r="S8" i="35" s="1"/>
  <c r="Q8" i="35"/>
  <c r="P8" i="35"/>
  <c r="N8" i="35"/>
  <c r="O8" i="35" s="1"/>
  <c r="M8" i="35"/>
  <c r="L8" i="35"/>
  <c r="J8" i="35"/>
  <c r="K8" i="35" s="1"/>
  <c r="I8" i="35"/>
  <c r="H8" i="35"/>
  <c r="F8" i="35"/>
  <c r="Y7" i="35"/>
  <c r="W7" i="35"/>
  <c r="U7" i="35"/>
  <c r="S7" i="35"/>
  <c r="Q7" i="35"/>
  <c r="O7" i="35"/>
  <c r="M7" i="35"/>
  <c r="K7" i="35"/>
  <c r="I7" i="35"/>
  <c r="G7" i="35"/>
  <c r="Y6" i="35"/>
  <c r="W6" i="35"/>
  <c r="U6" i="35"/>
  <c r="S6" i="35"/>
  <c r="Q6" i="35"/>
  <c r="O6" i="35"/>
  <c r="M6" i="35"/>
  <c r="K6" i="35"/>
  <c r="I6" i="35"/>
  <c r="G6" i="35"/>
  <c r="Y5" i="35"/>
  <c r="W5" i="35"/>
  <c r="U5" i="35"/>
  <c r="S5" i="35"/>
  <c r="Q5" i="35"/>
  <c r="O5" i="35"/>
  <c r="M5" i="35"/>
  <c r="K5" i="35"/>
  <c r="I5" i="35"/>
  <c r="G5" i="35"/>
  <c r="G22" i="35" l="1"/>
  <c r="G8" i="35"/>
  <c r="E231" i="24" l="1"/>
  <c r="E230" i="24"/>
  <c r="E229" i="24"/>
  <c r="E228" i="24"/>
  <c r="E227" i="24"/>
  <c r="E226" i="24"/>
  <c r="J129" i="23" l="1"/>
  <c r="J128" i="23"/>
  <c r="J127" i="23"/>
  <c r="J126" i="23"/>
  <c r="J125" i="23"/>
  <c r="J124" i="23"/>
  <c r="J123" i="23"/>
  <c r="J122" i="23"/>
  <c r="J87" i="23"/>
  <c r="J86" i="23"/>
  <c r="J85" i="23"/>
  <c r="J47" i="23"/>
  <c r="J36" i="23"/>
  <c r="AA32" i="1"/>
  <c r="AA30" i="1"/>
  <c r="AA28" i="1"/>
  <c r="AA26" i="1"/>
  <c r="K7" i="3"/>
  <c r="H7" i="3"/>
  <c r="K6" i="3"/>
  <c r="H6" i="3"/>
  <c r="E19" i="34"/>
  <c r="AM19" i="34"/>
  <c r="D19" i="34"/>
  <c r="H19" i="34" l="1"/>
  <c r="T19" i="34"/>
  <c r="Q19" i="34"/>
  <c r="K19" i="34"/>
  <c r="W13" i="34"/>
  <c r="W15" i="34" s="1"/>
  <c r="AM13" i="34"/>
  <c r="AM15" i="34" s="1"/>
  <c r="N13" i="34"/>
  <c r="N15" i="34" s="1"/>
  <c r="J231" i="24" l="1"/>
  <c r="J228" i="24"/>
  <c r="H13" i="34"/>
  <c r="T13" i="34"/>
  <c r="T15" i="34" s="1"/>
  <c r="Q13" i="34"/>
  <c r="Q15" i="34" s="1"/>
  <c r="J230" i="24" l="1"/>
  <c r="J229" i="24"/>
  <c r="K13" i="34"/>
  <c r="K15" i="34" l="1"/>
  <c r="J227" i="24" l="1"/>
  <c r="E11" i="30" l="1"/>
  <c r="F11" i="30" l="1"/>
  <c r="B11" i="30"/>
  <c r="CR7" i="30"/>
  <c r="I7" i="30"/>
  <c r="J7" i="30" s="1"/>
  <c r="K7" i="30" s="1"/>
  <c r="L7" i="30" s="1"/>
  <c r="M7" i="30" s="1"/>
  <c r="N7" i="30" s="1"/>
  <c r="O7" i="30" s="1"/>
  <c r="P7" i="30" s="1"/>
  <c r="Q7" i="30" s="1"/>
  <c r="R7" i="30" s="1"/>
  <c r="S7" i="30" s="1"/>
  <c r="T7" i="30" s="1"/>
  <c r="U7" i="30" s="1"/>
  <c r="V7" i="30" s="1"/>
  <c r="W7" i="30" s="1"/>
  <c r="X7" i="30" s="1"/>
  <c r="Y7" i="30" s="1"/>
  <c r="Z7" i="30" s="1"/>
  <c r="AA7" i="30" s="1"/>
  <c r="AB7" i="30" s="1"/>
  <c r="AC7" i="30" s="1"/>
  <c r="AD7" i="30" s="1"/>
  <c r="AE7" i="30" s="1"/>
  <c r="AF7" i="30" s="1"/>
  <c r="AG7" i="30" s="1"/>
  <c r="AH7" i="30" s="1"/>
  <c r="AI7" i="30" s="1"/>
  <c r="AJ7" i="30" s="1"/>
  <c r="AK7" i="30" s="1"/>
  <c r="AL7" i="30" s="1"/>
  <c r="AM7" i="30" s="1"/>
  <c r="AN7" i="30" s="1"/>
  <c r="AO7" i="30" s="1"/>
  <c r="AP7" i="30" s="1"/>
  <c r="AQ7" i="30" s="1"/>
  <c r="AR7" i="30" s="1"/>
  <c r="AS7" i="30" s="1"/>
  <c r="AT7" i="30" s="1"/>
  <c r="AU7" i="30" s="1"/>
  <c r="AV7" i="30" s="1"/>
  <c r="AW7" i="30" s="1"/>
  <c r="AX7" i="30" s="1"/>
  <c r="AY7" i="30" s="1"/>
  <c r="AZ7" i="30" s="1"/>
  <c r="BA7" i="30" s="1"/>
  <c r="BB7" i="30" s="1"/>
  <c r="BC7" i="30" s="1"/>
  <c r="BD7" i="30" s="1"/>
  <c r="BE7" i="30" s="1"/>
  <c r="BF7" i="30" s="1"/>
  <c r="BG7" i="30" s="1"/>
  <c r="BH7" i="30" s="1"/>
  <c r="BI7" i="30" s="1"/>
  <c r="BJ7" i="30" s="1"/>
  <c r="BK7" i="30" s="1"/>
  <c r="BL7" i="30" s="1"/>
  <c r="BM7" i="30" s="1"/>
  <c r="BN7" i="30" s="1"/>
  <c r="BO7" i="30" s="1"/>
  <c r="BP7" i="30" s="1"/>
  <c r="BQ7" i="30" s="1"/>
  <c r="BR7" i="30" s="1"/>
  <c r="BS7" i="30" s="1"/>
  <c r="BT7" i="30" s="1"/>
  <c r="BU7" i="30" s="1"/>
  <c r="BV7" i="30" s="1"/>
  <c r="BW7" i="30" s="1"/>
  <c r="BX7" i="30" s="1"/>
  <c r="BY7" i="30" s="1"/>
  <c r="BZ7" i="30" s="1"/>
  <c r="CA7" i="30" s="1"/>
  <c r="CB7" i="30" s="1"/>
  <c r="CC7" i="30" s="1"/>
  <c r="CD7" i="30" s="1"/>
  <c r="CE7" i="30" s="1"/>
  <c r="CF7" i="30" s="1"/>
  <c r="CG7" i="30" s="1"/>
  <c r="CH7" i="30" s="1"/>
  <c r="CI7" i="30" s="1"/>
  <c r="CJ7" i="30" s="1"/>
  <c r="CK7" i="30" s="1"/>
  <c r="CL7" i="30" s="1"/>
  <c r="CM7" i="30" s="1"/>
  <c r="CN7" i="30" s="1"/>
  <c r="CO7" i="30" s="1"/>
  <c r="I32" i="1" l="1"/>
  <c r="C6" i="1" l="1"/>
  <c r="J32" i="1" s="1"/>
  <c r="T32" i="1" s="1"/>
  <c r="C7" i="1"/>
  <c r="D11" i="30" s="1"/>
  <c r="R32" i="1" l="1"/>
  <c r="K87" i="23" l="1"/>
  <c r="K188" i="24" l="1"/>
  <c r="K184" i="24"/>
  <c r="K183" i="24"/>
  <c r="K182" i="24"/>
  <c r="K181" i="24"/>
  <c r="K180" i="24"/>
  <c r="K179" i="24"/>
  <c r="K178" i="24"/>
  <c r="K177" i="24"/>
  <c r="K176" i="24"/>
  <c r="K174" i="24"/>
  <c r="K167" i="24"/>
  <c r="K166" i="24"/>
  <c r="K164" i="24"/>
  <c r="K163" i="24"/>
  <c r="K159" i="24"/>
  <c r="K158" i="24"/>
  <c r="H153" i="24"/>
  <c r="K121" i="24"/>
  <c r="K120" i="24"/>
  <c r="K119" i="24"/>
  <c r="K118" i="24"/>
  <c r="K116" i="24"/>
  <c r="H78" i="23"/>
  <c r="H72" i="23"/>
  <c r="H187" i="24" l="1"/>
  <c r="K187" i="24" s="1"/>
  <c r="H117" i="24"/>
  <c r="K117" i="24" s="1"/>
  <c r="H92" i="24"/>
  <c r="H122" i="24"/>
  <c r="H186" i="24"/>
  <c r="K186" i="24" s="1"/>
  <c r="H88" i="24"/>
  <c r="H185" i="24"/>
  <c r="K185" i="24" s="1"/>
  <c r="H165" i="24"/>
  <c r="K165" i="24" s="1"/>
  <c r="H87" i="24"/>
  <c r="H161" i="24"/>
  <c r="K161" i="24" s="1"/>
  <c r="H175" i="24"/>
  <c r="K175" i="24" s="1"/>
  <c r="H162" i="24"/>
  <c r="K162" i="24" s="1"/>
  <c r="H83" i="24"/>
  <c r="H82" i="24"/>
  <c r="H100" i="24"/>
  <c r="H160" i="24"/>
  <c r="K160" i="24" s="1"/>
  <c r="H127" i="24"/>
  <c r="H81" i="24"/>
  <c r="H126" i="24"/>
  <c r="H169" i="24"/>
  <c r="K169" i="24" s="1"/>
  <c r="H168" i="24"/>
  <c r="K168" i="24" s="1"/>
  <c r="H170" i="24"/>
  <c r="K170" i="24" s="1"/>
  <c r="H110" i="24"/>
  <c r="H173" i="24"/>
  <c r="K173" i="24" s="1"/>
  <c r="H172" i="24"/>
  <c r="K172" i="24" s="1"/>
  <c r="H171" i="24"/>
  <c r="K171" i="24" s="1"/>
  <c r="H62" i="24"/>
  <c r="H59" i="24"/>
  <c r="H50" i="24"/>
  <c r="H48" i="24"/>
  <c r="H70" i="24"/>
  <c r="H86" i="23"/>
  <c r="K86" i="23" s="1"/>
  <c r="H85" i="23"/>
  <c r="K85" i="23" s="1"/>
  <c r="H75" i="23"/>
  <c r="H34" i="23"/>
  <c r="H43" i="23"/>
  <c r="H42" i="23"/>
  <c r="H49" i="23"/>
  <c r="H28" i="23"/>
  <c r="H47" i="23"/>
  <c r="H26" i="23"/>
  <c r="H41" i="23"/>
  <c r="H38" i="23"/>
  <c r="H37" i="23"/>
  <c r="H128" i="23"/>
  <c r="H126" i="23"/>
  <c r="H125" i="23"/>
  <c r="H122" i="23"/>
  <c r="E7" i="1"/>
  <c r="H16" i="23"/>
  <c r="H18" i="23"/>
  <c r="H17" i="23"/>
  <c r="H19" i="23"/>
  <c r="E5" i="1"/>
  <c r="G32" i="1" l="1"/>
  <c r="H32" i="1"/>
  <c r="K229" i="19"/>
  <c r="J229" i="19"/>
  <c r="I229" i="19"/>
  <c r="E229" i="19"/>
  <c r="K228" i="19"/>
  <c r="J228" i="19"/>
  <c r="I228" i="19"/>
  <c r="E228" i="19"/>
  <c r="K227" i="19"/>
  <c r="J227" i="19"/>
  <c r="K226" i="19"/>
  <c r="J226" i="19"/>
  <c r="K225" i="19"/>
  <c r="J225" i="19"/>
  <c r="K224" i="19"/>
  <c r="J224" i="19"/>
  <c r="K223" i="19"/>
  <c r="J223" i="19"/>
  <c r="K222" i="19"/>
  <c r="J222" i="19"/>
  <c r="K221" i="19"/>
  <c r="J221" i="19"/>
  <c r="I221" i="19"/>
  <c r="E221" i="19"/>
  <c r="K220" i="19"/>
  <c r="J220" i="19"/>
  <c r="I220" i="19"/>
  <c r="E220" i="19"/>
  <c r="K219" i="19"/>
  <c r="J219" i="19"/>
  <c r="I219" i="19"/>
  <c r="E219" i="19"/>
  <c r="K218" i="19"/>
  <c r="J218" i="19"/>
  <c r="I218" i="19"/>
  <c r="E218" i="19"/>
  <c r="K217" i="19"/>
  <c r="J217" i="19"/>
  <c r="I217" i="19"/>
  <c r="E217" i="19"/>
  <c r="K216" i="19"/>
  <c r="J216" i="19"/>
  <c r="I216" i="19"/>
  <c r="E216" i="19"/>
  <c r="K215" i="19"/>
  <c r="J215" i="19"/>
  <c r="I215" i="19"/>
  <c r="E215" i="19"/>
  <c r="K214" i="19"/>
  <c r="J214" i="19"/>
  <c r="I214" i="19"/>
  <c r="E214" i="19"/>
  <c r="K213" i="19"/>
  <c r="J213" i="19"/>
  <c r="I213" i="19"/>
  <c r="E213" i="19"/>
  <c r="K212" i="19"/>
  <c r="J212" i="19"/>
  <c r="I212" i="19"/>
  <c r="E212" i="19"/>
  <c r="K211" i="19"/>
  <c r="J211" i="19"/>
  <c r="I211" i="19"/>
  <c r="E211" i="19"/>
  <c r="K210" i="19"/>
  <c r="J210" i="19"/>
  <c r="I210" i="19"/>
  <c r="E210" i="19"/>
  <c r="K209" i="19"/>
  <c r="J209" i="19"/>
  <c r="I209" i="19"/>
  <c r="E209" i="19"/>
  <c r="K208" i="19"/>
  <c r="J208" i="19"/>
  <c r="I208" i="19"/>
  <c r="E208" i="19"/>
  <c r="K207" i="19"/>
  <c r="J207" i="19"/>
  <c r="I207" i="19"/>
  <c r="E207" i="19"/>
  <c r="K206" i="19"/>
  <c r="J206" i="19"/>
  <c r="I206" i="19"/>
  <c r="E206" i="19"/>
  <c r="K205" i="19"/>
  <c r="J205" i="19"/>
  <c r="I205" i="19"/>
  <c r="E205" i="19"/>
  <c r="K204" i="19"/>
  <c r="J204" i="19"/>
  <c r="I204" i="19"/>
  <c r="E204" i="19"/>
  <c r="K203" i="19"/>
  <c r="J203" i="19"/>
  <c r="I203" i="19"/>
  <c r="E203" i="19"/>
  <c r="K202" i="19"/>
  <c r="J202" i="19"/>
  <c r="I202" i="19"/>
  <c r="E202" i="19"/>
  <c r="K201" i="19"/>
  <c r="J201" i="19"/>
  <c r="I201" i="19"/>
  <c r="E201" i="19"/>
  <c r="K200" i="19"/>
  <c r="J200" i="19"/>
  <c r="I200" i="19"/>
  <c r="E200" i="19"/>
  <c r="K199" i="19"/>
  <c r="J199" i="19"/>
  <c r="I199" i="19"/>
  <c r="E199" i="19"/>
  <c r="K198" i="19"/>
  <c r="J198" i="19"/>
  <c r="I198" i="19"/>
  <c r="E198" i="19"/>
  <c r="K197" i="19"/>
  <c r="J197" i="19"/>
  <c r="I197" i="19"/>
  <c r="E197" i="19"/>
  <c r="K196" i="19"/>
  <c r="J196" i="19"/>
  <c r="I196" i="19"/>
  <c r="E196" i="19"/>
  <c r="K195" i="19"/>
  <c r="J195" i="19"/>
  <c r="I195" i="19"/>
  <c r="E195" i="19"/>
  <c r="K194" i="19"/>
  <c r="J194" i="19"/>
  <c r="I194" i="19"/>
  <c r="E194" i="19"/>
  <c r="K193" i="19"/>
  <c r="J193" i="19"/>
  <c r="I193" i="19"/>
  <c r="E193" i="19"/>
  <c r="K192" i="19"/>
  <c r="J192" i="19"/>
  <c r="I192" i="19"/>
  <c r="E192" i="19"/>
  <c r="K191" i="19"/>
  <c r="J191" i="19"/>
  <c r="I191" i="19"/>
  <c r="E191" i="19"/>
  <c r="K190" i="19"/>
  <c r="J190" i="19"/>
  <c r="I190" i="19"/>
  <c r="E190" i="19"/>
  <c r="K189" i="19"/>
  <c r="J189" i="19"/>
  <c r="I189" i="19"/>
  <c r="E189" i="19"/>
  <c r="K188" i="19"/>
  <c r="J188" i="19"/>
  <c r="I188" i="19"/>
  <c r="E188" i="19"/>
  <c r="K187" i="19"/>
  <c r="J187" i="19"/>
  <c r="I187" i="19"/>
  <c r="E187" i="19"/>
  <c r="K186" i="19"/>
  <c r="J186" i="19"/>
  <c r="I186" i="19"/>
  <c r="E186" i="19"/>
  <c r="K185" i="19"/>
  <c r="J185" i="19"/>
  <c r="I185" i="19"/>
  <c r="E185" i="19"/>
  <c r="K184" i="19"/>
  <c r="J184" i="19"/>
  <c r="I184" i="19"/>
  <c r="E184" i="19"/>
  <c r="K183" i="19"/>
  <c r="J183" i="19"/>
  <c r="I183" i="19"/>
  <c r="E183" i="19"/>
  <c r="K182" i="19"/>
  <c r="J182" i="19"/>
  <c r="I182" i="19"/>
  <c r="E182" i="19"/>
  <c r="K181" i="19"/>
  <c r="J181" i="19"/>
  <c r="I181" i="19"/>
  <c r="E181" i="19"/>
  <c r="K180" i="19"/>
  <c r="J180" i="19"/>
  <c r="I180" i="19"/>
  <c r="E180" i="19"/>
  <c r="K179" i="19"/>
  <c r="J179" i="19"/>
  <c r="I179" i="19"/>
  <c r="E179" i="19"/>
  <c r="K178" i="19"/>
  <c r="J178" i="19"/>
  <c r="I178" i="19"/>
  <c r="E178" i="19"/>
  <c r="K177" i="19"/>
  <c r="J177" i="19"/>
  <c r="I177" i="19"/>
  <c r="E177" i="19"/>
  <c r="K176" i="19"/>
  <c r="J176" i="19"/>
  <c r="I176" i="19"/>
  <c r="E176" i="19"/>
  <c r="K175" i="19"/>
  <c r="J175" i="19"/>
  <c r="I175" i="19"/>
  <c r="E175" i="19"/>
  <c r="K174" i="19"/>
  <c r="J174" i="19"/>
  <c r="I174" i="19"/>
  <c r="E174" i="19"/>
  <c r="K173" i="19"/>
  <c r="J173" i="19"/>
  <c r="I173" i="19"/>
  <c r="E173" i="19"/>
  <c r="K172" i="19"/>
  <c r="J172" i="19"/>
  <c r="I172" i="19"/>
  <c r="E172" i="19"/>
  <c r="K171" i="19"/>
  <c r="J171" i="19"/>
  <c r="I171" i="19"/>
  <c r="E171" i="19"/>
  <c r="K170" i="19"/>
  <c r="J170" i="19"/>
  <c r="I170" i="19"/>
  <c r="E170" i="19"/>
  <c r="K169" i="19"/>
  <c r="J169" i="19"/>
  <c r="I169" i="19"/>
  <c r="E169" i="19"/>
  <c r="K168" i="19"/>
  <c r="J168" i="19"/>
  <c r="I168" i="19"/>
  <c r="E168" i="19"/>
  <c r="K167" i="19"/>
  <c r="J167" i="19"/>
  <c r="I167" i="19"/>
  <c r="E167" i="19"/>
  <c r="K166" i="19"/>
  <c r="J166" i="19"/>
  <c r="I166" i="19"/>
  <c r="E166" i="19"/>
  <c r="K165" i="19"/>
  <c r="J165" i="19"/>
  <c r="I165" i="19"/>
  <c r="E165" i="19"/>
  <c r="K164" i="19"/>
  <c r="J164" i="19"/>
  <c r="I164" i="19"/>
  <c r="E164" i="19"/>
  <c r="K163" i="19"/>
  <c r="J163" i="19"/>
  <c r="I163" i="19"/>
  <c r="E163" i="19"/>
  <c r="K162" i="19"/>
  <c r="J162" i="19"/>
  <c r="I162" i="19"/>
  <c r="E162" i="19"/>
  <c r="K161" i="19"/>
  <c r="J161" i="19"/>
  <c r="I161" i="19"/>
  <c r="E161" i="19"/>
  <c r="K160" i="19"/>
  <c r="J160" i="19"/>
  <c r="I160" i="19"/>
  <c r="E160" i="19"/>
  <c r="K159" i="19"/>
  <c r="J159" i="19"/>
  <c r="I159" i="19"/>
  <c r="E159" i="19"/>
  <c r="K158" i="19"/>
  <c r="J158" i="19"/>
  <c r="I158" i="19"/>
  <c r="E158" i="19"/>
  <c r="K157" i="19"/>
  <c r="J157" i="19"/>
  <c r="I157" i="19"/>
  <c r="E157" i="19"/>
  <c r="K156" i="19"/>
  <c r="J156" i="19"/>
  <c r="I156" i="19"/>
  <c r="E156" i="19"/>
  <c r="K155" i="19"/>
  <c r="J155" i="19"/>
  <c r="I155" i="19"/>
  <c r="E155" i="19"/>
  <c r="K154" i="19"/>
  <c r="J154" i="19"/>
  <c r="I154" i="19"/>
  <c r="E154" i="19"/>
  <c r="K153" i="19"/>
  <c r="J153" i="19"/>
  <c r="I153" i="19"/>
  <c r="E153" i="19"/>
  <c r="K152" i="19"/>
  <c r="J152" i="19"/>
  <c r="I152" i="19"/>
  <c r="E152" i="19"/>
  <c r="K151" i="19"/>
  <c r="J151" i="19"/>
  <c r="I151" i="19"/>
  <c r="E151" i="19"/>
  <c r="K150" i="19"/>
  <c r="J150" i="19"/>
  <c r="I150" i="19"/>
  <c r="E150" i="19"/>
  <c r="K149" i="19"/>
  <c r="J149" i="19"/>
  <c r="I149" i="19"/>
  <c r="E149" i="19"/>
  <c r="K148" i="19"/>
  <c r="J148" i="19"/>
  <c r="I148" i="19"/>
  <c r="E148" i="19"/>
  <c r="K147" i="19"/>
  <c r="J147" i="19"/>
  <c r="I147" i="19"/>
  <c r="E147" i="19"/>
  <c r="K146" i="19"/>
  <c r="J146" i="19"/>
  <c r="I146" i="19"/>
  <c r="E146" i="19"/>
  <c r="K145" i="19"/>
  <c r="J145" i="19"/>
  <c r="I145" i="19"/>
  <c r="E145" i="19"/>
  <c r="K144" i="19"/>
  <c r="J144" i="19"/>
  <c r="I144" i="19"/>
  <c r="E144" i="19"/>
  <c r="K143" i="19"/>
  <c r="J143" i="19"/>
  <c r="I143" i="19"/>
  <c r="E143" i="19"/>
  <c r="K142" i="19"/>
  <c r="J142" i="19"/>
  <c r="I142" i="19"/>
  <c r="E142" i="19"/>
  <c r="K141" i="19"/>
  <c r="J141" i="19"/>
  <c r="I141" i="19"/>
  <c r="E141" i="19"/>
  <c r="K140" i="19"/>
  <c r="J140" i="19"/>
  <c r="I140" i="19"/>
  <c r="E140" i="19"/>
  <c r="K139" i="19"/>
  <c r="J139" i="19"/>
  <c r="I139" i="19"/>
  <c r="E139" i="19"/>
  <c r="K138" i="19"/>
  <c r="J138" i="19"/>
  <c r="I138" i="19"/>
  <c r="E138" i="19"/>
  <c r="K137" i="19"/>
  <c r="J137" i="19"/>
  <c r="I137" i="19"/>
  <c r="E137" i="19"/>
  <c r="K136" i="19"/>
  <c r="J136" i="19"/>
  <c r="I136" i="19"/>
  <c r="E136" i="19"/>
  <c r="K135" i="19"/>
  <c r="J135" i="19"/>
  <c r="I135" i="19"/>
  <c r="E135" i="19"/>
  <c r="K134" i="19"/>
  <c r="J134" i="19"/>
  <c r="I134" i="19"/>
  <c r="E134" i="19"/>
  <c r="K133" i="19"/>
  <c r="J133" i="19"/>
  <c r="I133" i="19"/>
  <c r="E133" i="19"/>
  <c r="K132" i="19"/>
  <c r="J132" i="19"/>
  <c r="I132" i="19"/>
  <c r="E132" i="19"/>
  <c r="K131" i="19"/>
  <c r="J131" i="19"/>
  <c r="I131" i="19"/>
  <c r="E131" i="19"/>
  <c r="K130" i="19"/>
  <c r="J130" i="19"/>
  <c r="I130" i="19"/>
  <c r="E130" i="19"/>
  <c r="K129" i="19"/>
  <c r="J129" i="19"/>
  <c r="I129" i="19"/>
  <c r="E129" i="19"/>
  <c r="K128" i="19"/>
  <c r="J128" i="19"/>
  <c r="I128" i="19"/>
  <c r="E128" i="19"/>
  <c r="K127" i="19"/>
  <c r="J127" i="19"/>
  <c r="I127" i="19"/>
  <c r="E127" i="19"/>
  <c r="K126" i="19"/>
  <c r="J126" i="19"/>
  <c r="I126" i="19"/>
  <c r="E126" i="19"/>
  <c r="K125" i="19"/>
  <c r="J125" i="19"/>
  <c r="I125" i="19"/>
  <c r="E125" i="19"/>
  <c r="K124" i="19"/>
  <c r="J124" i="19"/>
  <c r="I124" i="19"/>
  <c r="E124" i="19"/>
  <c r="K123" i="19"/>
  <c r="J123" i="19"/>
  <c r="I123" i="19"/>
  <c r="E123" i="19"/>
  <c r="K122" i="19"/>
  <c r="J122" i="19"/>
  <c r="I122" i="19"/>
  <c r="E122" i="19"/>
  <c r="K121" i="19"/>
  <c r="J121" i="19"/>
  <c r="I121" i="19"/>
  <c r="E121" i="19"/>
  <c r="K120" i="19"/>
  <c r="J120" i="19"/>
  <c r="I120" i="19"/>
  <c r="E120" i="19"/>
  <c r="K119" i="19"/>
  <c r="J119" i="19"/>
  <c r="I119" i="19"/>
  <c r="E119" i="19"/>
  <c r="K118" i="19"/>
  <c r="J118" i="19"/>
  <c r="I118" i="19"/>
  <c r="E118" i="19"/>
  <c r="K117" i="19"/>
  <c r="J117" i="19"/>
  <c r="I117" i="19"/>
  <c r="E117" i="19"/>
  <c r="K116" i="19"/>
  <c r="J116" i="19"/>
  <c r="I116" i="19"/>
  <c r="E116" i="19"/>
  <c r="K115" i="19"/>
  <c r="J115" i="19"/>
  <c r="I115" i="19"/>
  <c r="E115" i="19"/>
  <c r="K114" i="19"/>
  <c r="J114" i="19"/>
  <c r="I114" i="19"/>
  <c r="E114" i="19"/>
  <c r="K113" i="19"/>
  <c r="J113" i="19"/>
  <c r="I113" i="19"/>
  <c r="E113" i="19"/>
  <c r="K112" i="19"/>
  <c r="J112" i="19"/>
  <c r="I112" i="19"/>
  <c r="E112" i="19"/>
  <c r="K111" i="19"/>
  <c r="J111" i="19"/>
  <c r="I111" i="19"/>
  <c r="E111" i="19"/>
  <c r="K110" i="19"/>
  <c r="J110" i="19"/>
  <c r="I110" i="19"/>
  <c r="E110" i="19"/>
  <c r="K109" i="19"/>
  <c r="J109" i="19"/>
  <c r="I109" i="19"/>
  <c r="E109" i="19"/>
  <c r="K108" i="19"/>
  <c r="J108" i="19"/>
  <c r="I108" i="19"/>
  <c r="E108" i="19"/>
  <c r="K107" i="19"/>
  <c r="J107" i="19"/>
  <c r="I107" i="19"/>
  <c r="E107" i="19"/>
  <c r="K106" i="19"/>
  <c r="J106" i="19"/>
  <c r="I106" i="19"/>
  <c r="E106" i="19"/>
  <c r="K105" i="19"/>
  <c r="J105" i="19"/>
  <c r="I105" i="19"/>
  <c r="E105" i="19"/>
  <c r="K104" i="19"/>
  <c r="J104" i="19"/>
  <c r="I104" i="19"/>
  <c r="E104" i="19"/>
  <c r="K103" i="19"/>
  <c r="J103" i="19"/>
  <c r="I103" i="19"/>
  <c r="E103" i="19"/>
  <c r="K102" i="19"/>
  <c r="J102" i="19"/>
  <c r="I102" i="19"/>
  <c r="E102" i="19"/>
  <c r="K101" i="19"/>
  <c r="J101" i="19"/>
  <c r="I101" i="19"/>
  <c r="E101" i="19"/>
  <c r="K100" i="19"/>
  <c r="J100" i="19"/>
  <c r="I100" i="19"/>
  <c r="E100" i="19"/>
  <c r="K99" i="19"/>
  <c r="J99" i="19"/>
  <c r="I99" i="19"/>
  <c r="E99" i="19"/>
  <c r="K98" i="19"/>
  <c r="J98" i="19"/>
  <c r="I98" i="19"/>
  <c r="E98" i="19"/>
  <c r="K97" i="19"/>
  <c r="J97" i="19"/>
  <c r="I97" i="19"/>
  <c r="E97" i="19"/>
  <c r="K96" i="19"/>
  <c r="J96" i="19"/>
  <c r="I96" i="19"/>
  <c r="E96" i="19"/>
  <c r="K95" i="19"/>
  <c r="J95" i="19"/>
  <c r="I95" i="19"/>
  <c r="E95" i="19"/>
  <c r="K94" i="19"/>
  <c r="J94" i="19"/>
  <c r="I94" i="19"/>
  <c r="E94" i="19"/>
  <c r="K93" i="19"/>
  <c r="J93" i="19"/>
  <c r="I93" i="19"/>
  <c r="E93" i="19"/>
  <c r="K92" i="19"/>
  <c r="J92" i="19"/>
  <c r="I92" i="19"/>
  <c r="E92" i="19"/>
  <c r="K91" i="19"/>
  <c r="J91" i="19"/>
  <c r="I91" i="19"/>
  <c r="E91" i="19"/>
  <c r="K90" i="19"/>
  <c r="J90" i="19"/>
  <c r="I90" i="19"/>
  <c r="E90" i="19"/>
  <c r="K89" i="19"/>
  <c r="J89" i="19"/>
  <c r="I89" i="19"/>
  <c r="E89" i="19"/>
  <c r="K88" i="19"/>
  <c r="J88" i="19"/>
  <c r="I88" i="19"/>
  <c r="E88" i="19"/>
  <c r="K87" i="19"/>
  <c r="J87" i="19"/>
  <c r="I87" i="19"/>
  <c r="E87" i="19"/>
  <c r="K86" i="19"/>
  <c r="J86" i="19"/>
  <c r="I86" i="19"/>
  <c r="E86" i="19"/>
  <c r="K85" i="19"/>
  <c r="J85" i="19"/>
  <c r="I85" i="19"/>
  <c r="E85" i="19"/>
  <c r="K84" i="19"/>
  <c r="J84" i="19"/>
  <c r="I84" i="19"/>
  <c r="E84" i="19"/>
  <c r="K83" i="19"/>
  <c r="J83" i="19"/>
  <c r="I83" i="19"/>
  <c r="E83" i="19"/>
  <c r="K82" i="19"/>
  <c r="J82" i="19"/>
  <c r="I82" i="19"/>
  <c r="E82" i="19"/>
  <c r="K81" i="19"/>
  <c r="J81" i="19"/>
  <c r="I81" i="19"/>
  <c r="E81" i="19"/>
  <c r="K80" i="19"/>
  <c r="J80" i="19"/>
  <c r="I80" i="19"/>
  <c r="E80" i="19"/>
  <c r="K79" i="19"/>
  <c r="J79" i="19"/>
  <c r="I79" i="19"/>
  <c r="E79" i="19"/>
  <c r="K78" i="19"/>
  <c r="J78" i="19"/>
  <c r="I78" i="19"/>
  <c r="E78" i="19"/>
  <c r="K77" i="19"/>
  <c r="J77" i="19"/>
  <c r="I77" i="19"/>
  <c r="E77" i="19"/>
  <c r="K76" i="19"/>
  <c r="J76" i="19"/>
  <c r="I76" i="19"/>
  <c r="E76" i="19"/>
  <c r="K75" i="19"/>
  <c r="J75" i="19"/>
  <c r="I75" i="19"/>
  <c r="E75" i="19"/>
  <c r="K74" i="19"/>
  <c r="J74" i="19"/>
  <c r="I74" i="19"/>
  <c r="E74" i="19"/>
  <c r="K73" i="19"/>
  <c r="J73" i="19"/>
  <c r="I73" i="19"/>
  <c r="E73" i="19"/>
  <c r="K72" i="19"/>
  <c r="J72" i="19"/>
  <c r="I72" i="19"/>
  <c r="E72" i="19"/>
  <c r="K71" i="19"/>
  <c r="J71" i="19"/>
  <c r="I71" i="19"/>
  <c r="E71" i="19"/>
  <c r="K70" i="19"/>
  <c r="J70" i="19"/>
  <c r="I70" i="19"/>
  <c r="E70" i="19"/>
  <c r="K69" i="19"/>
  <c r="J69" i="19"/>
  <c r="I69" i="19"/>
  <c r="E69" i="19"/>
  <c r="K68" i="19"/>
  <c r="J68" i="19"/>
  <c r="I68" i="19"/>
  <c r="E68" i="19"/>
  <c r="K67" i="19"/>
  <c r="J67" i="19"/>
  <c r="I67" i="19"/>
  <c r="E67" i="19"/>
  <c r="K66" i="19"/>
  <c r="J66" i="19"/>
  <c r="I66" i="19"/>
  <c r="E66" i="19"/>
  <c r="K65" i="19"/>
  <c r="I65" i="19"/>
  <c r="E65" i="19"/>
  <c r="K64" i="19"/>
  <c r="J64" i="19"/>
  <c r="I64" i="19"/>
  <c r="E64" i="19"/>
  <c r="K63" i="19"/>
  <c r="J63" i="19"/>
  <c r="I63" i="19"/>
  <c r="E63" i="19"/>
  <c r="K62" i="19"/>
  <c r="J62" i="19"/>
  <c r="I62" i="19"/>
  <c r="E62" i="19"/>
  <c r="K61" i="19"/>
  <c r="J61" i="19"/>
  <c r="I61" i="19"/>
  <c r="E61" i="19"/>
  <c r="K60" i="19"/>
  <c r="J60" i="19"/>
  <c r="I60" i="19"/>
  <c r="E60" i="19"/>
  <c r="K59" i="19"/>
  <c r="J59" i="19"/>
  <c r="I59" i="19"/>
  <c r="E59" i="19"/>
  <c r="K58" i="19"/>
  <c r="J58" i="19"/>
  <c r="I58" i="19"/>
  <c r="E58" i="19"/>
  <c r="K57" i="19"/>
  <c r="J57" i="19"/>
  <c r="I57" i="19"/>
  <c r="E57" i="19"/>
  <c r="K56" i="19"/>
  <c r="J56" i="19"/>
  <c r="I56" i="19"/>
  <c r="E56" i="19"/>
  <c r="K55" i="19"/>
  <c r="J55" i="19"/>
  <c r="I55" i="19"/>
  <c r="E55" i="19"/>
  <c r="K54" i="19"/>
  <c r="J54" i="19"/>
  <c r="I54" i="19"/>
  <c r="E54" i="19"/>
  <c r="K53" i="19"/>
  <c r="J53" i="19"/>
  <c r="I53" i="19"/>
  <c r="E53" i="19"/>
  <c r="K52" i="19"/>
  <c r="J52" i="19"/>
  <c r="I52" i="19"/>
  <c r="E52" i="19"/>
  <c r="K51" i="19"/>
  <c r="J51" i="19"/>
  <c r="I51" i="19"/>
  <c r="E51" i="19"/>
  <c r="K50" i="19"/>
  <c r="J50" i="19"/>
  <c r="I50" i="19"/>
  <c r="E50" i="19"/>
  <c r="K49" i="19"/>
  <c r="J49" i="19"/>
  <c r="I49" i="19"/>
  <c r="E49" i="19"/>
  <c r="K48" i="19"/>
  <c r="J48" i="19"/>
  <c r="I48" i="19"/>
  <c r="E48" i="19"/>
  <c r="K47" i="19"/>
  <c r="J47" i="19"/>
  <c r="I47" i="19"/>
  <c r="E47" i="19"/>
  <c r="K46" i="19"/>
  <c r="J46" i="19"/>
  <c r="I46" i="19"/>
  <c r="E46" i="19"/>
  <c r="K45" i="19"/>
  <c r="J45" i="19"/>
  <c r="I45" i="19"/>
  <c r="E45" i="19"/>
  <c r="K44" i="19"/>
  <c r="J44" i="19"/>
  <c r="I44" i="19"/>
  <c r="E44" i="19"/>
  <c r="K43" i="19"/>
  <c r="J43" i="19"/>
  <c r="I43" i="19"/>
  <c r="E43" i="19"/>
  <c r="K42" i="19"/>
  <c r="J42" i="19"/>
  <c r="I42" i="19"/>
  <c r="E42" i="19"/>
  <c r="K41" i="19"/>
  <c r="J41" i="19"/>
  <c r="I41" i="19"/>
  <c r="E41" i="19"/>
  <c r="K40" i="19"/>
  <c r="J40" i="19"/>
  <c r="I40" i="19"/>
  <c r="E40" i="19"/>
  <c r="K39" i="19"/>
  <c r="J39" i="19"/>
  <c r="I39" i="19"/>
  <c r="E39" i="19"/>
  <c r="K38" i="19"/>
  <c r="J38" i="19"/>
  <c r="I38" i="19"/>
  <c r="E38" i="19"/>
  <c r="K37" i="19"/>
  <c r="J37" i="19"/>
  <c r="I37" i="19"/>
  <c r="E37" i="19"/>
  <c r="K36" i="19"/>
  <c r="J36" i="19"/>
  <c r="I36" i="19"/>
  <c r="E36" i="19"/>
  <c r="K35" i="19"/>
  <c r="J35" i="19"/>
  <c r="I35" i="19"/>
  <c r="E35" i="19"/>
  <c r="K34" i="19"/>
  <c r="J34" i="19"/>
  <c r="I34" i="19"/>
  <c r="E34" i="19"/>
  <c r="K33" i="19"/>
  <c r="J33" i="19"/>
  <c r="I33" i="19"/>
  <c r="E33" i="19"/>
  <c r="K32" i="19"/>
  <c r="J32" i="19"/>
  <c r="I32" i="19"/>
  <c r="E32" i="19"/>
  <c r="K31" i="19"/>
  <c r="J31" i="19"/>
  <c r="I31" i="19"/>
  <c r="E31" i="19"/>
  <c r="K30" i="19"/>
  <c r="J30" i="19"/>
  <c r="I30" i="19"/>
  <c r="E30" i="19"/>
  <c r="K29" i="19"/>
  <c r="J29" i="19"/>
  <c r="I29" i="19"/>
  <c r="E29" i="19"/>
  <c r="K28" i="19"/>
  <c r="J28" i="19"/>
  <c r="I28" i="19"/>
  <c r="E28" i="19"/>
  <c r="K27" i="19"/>
  <c r="J27" i="19"/>
  <c r="I27" i="19"/>
  <c r="E27" i="19"/>
  <c r="K26" i="19"/>
  <c r="J26" i="19"/>
  <c r="I26" i="19"/>
  <c r="E26" i="19"/>
  <c r="K25" i="19"/>
  <c r="J25" i="19"/>
  <c r="I25" i="19"/>
  <c r="E25" i="19"/>
  <c r="K24" i="19"/>
  <c r="J24" i="19"/>
  <c r="I24" i="19"/>
  <c r="E24" i="19"/>
  <c r="K23" i="19"/>
  <c r="J23" i="19"/>
  <c r="I23" i="19"/>
  <c r="E23" i="19"/>
  <c r="K22" i="19"/>
  <c r="J22" i="19"/>
  <c r="I22" i="19"/>
  <c r="E22" i="19"/>
  <c r="K21" i="19"/>
  <c r="J21" i="19"/>
  <c r="I21" i="19"/>
  <c r="E21" i="19"/>
  <c r="K20" i="19"/>
  <c r="J20" i="19"/>
  <c r="I20" i="19"/>
  <c r="E20" i="19"/>
  <c r="K19" i="19"/>
  <c r="J19" i="19"/>
  <c r="I19" i="19"/>
  <c r="E19" i="19"/>
  <c r="K18" i="19"/>
  <c r="J18" i="19"/>
  <c r="I18" i="19"/>
  <c r="E18" i="19"/>
  <c r="K17" i="19"/>
  <c r="I17" i="19"/>
  <c r="E17" i="19"/>
  <c r="K16" i="19"/>
  <c r="I16" i="19"/>
  <c r="E16" i="19"/>
  <c r="K15" i="19"/>
  <c r="J15" i="19"/>
  <c r="I15" i="19"/>
  <c r="E15" i="19"/>
  <c r="K14" i="19"/>
  <c r="J14" i="19"/>
  <c r="I14" i="19"/>
  <c r="E14" i="19"/>
  <c r="K13" i="19"/>
  <c r="I13" i="19"/>
  <c r="E13" i="19"/>
  <c r="K12" i="19"/>
  <c r="I12" i="19"/>
  <c r="E12" i="19"/>
  <c r="K11" i="19"/>
  <c r="J11" i="19"/>
  <c r="I11" i="19"/>
  <c r="E11" i="19"/>
  <c r="L36" i="19" l="1"/>
  <c r="L48" i="19"/>
  <c r="L60" i="19"/>
  <c r="L69" i="19"/>
  <c r="L81" i="19"/>
  <c r="L112" i="19"/>
  <c r="L184" i="19"/>
  <c r="L210" i="19"/>
  <c r="L142" i="19"/>
  <c r="L148" i="19"/>
  <c r="L150" i="19"/>
  <c r="L154" i="19"/>
  <c r="L158" i="19"/>
  <c r="L162" i="19"/>
  <c r="L164" i="19"/>
  <c r="L166" i="19"/>
  <c r="L19" i="19"/>
  <c r="L23" i="19"/>
  <c r="L25" i="19"/>
  <c r="L27" i="19"/>
  <c r="J17" i="19"/>
  <c r="L17" i="19" s="1"/>
  <c r="J16" i="19"/>
  <c r="L16" i="19" s="1"/>
  <c r="J12" i="19"/>
  <c r="L12" i="19" s="1"/>
  <c r="J13" i="19"/>
  <c r="L13" i="19" s="1"/>
  <c r="J65" i="19"/>
  <c r="L65" i="19" s="1"/>
  <c r="L170" i="19"/>
  <c r="L172" i="19"/>
  <c r="L174" i="19"/>
  <c r="L197" i="19"/>
  <c r="L201" i="19"/>
  <c r="L205" i="19"/>
  <c r="L209" i="19"/>
  <c r="L213" i="19"/>
  <c r="L217" i="19"/>
  <c r="L228" i="19"/>
  <c r="L64" i="19"/>
  <c r="L80" i="19"/>
  <c r="L82" i="19"/>
  <c r="L84" i="19"/>
  <c r="L86" i="19"/>
  <c r="L87" i="19"/>
  <c r="L91" i="19"/>
  <c r="L93" i="19"/>
  <c r="L99" i="19"/>
  <c r="L101" i="19"/>
  <c r="L103" i="19"/>
  <c r="L105" i="19"/>
  <c r="L107" i="19"/>
  <c r="L123" i="19"/>
  <c r="L155" i="19"/>
  <c r="L157" i="19"/>
  <c r="L163" i="19"/>
  <c r="L165" i="19"/>
  <c r="L167" i="19"/>
  <c r="L169" i="19"/>
  <c r="L171" i="19"/>
  <c r="L183" i="19"/>
  <c r="L126" i="19"/>
  <c r="L132" i="19"/>
  <c r="L176" i="19"/>
  <c r="L28" i="19"/>
  <c r="L30" i="19"/>
  <c r="L32" i="19"/>
  <c r="L192" i="19"/>
  <c r="L68" i="19"/>
  <c r="L187" i="19"/>
  <c r="L191" i="19"/>
  <c r="L193" i="19"/>
  <c r="L198" i="19"/>
  <c r="L202" i="19"/>
  <c r="L206" i="19"/>
  <c r="L53" i="19"/>
  <c r="L79" i="19"/>
  <c r="L94" i="19"/>
  <c r="L98" i="19"/>
  <c r="L100" i="19"/>
  <c r="L102" i="19"/>
  <c r="L106" i="19"/>
  <c r="L108" i="19"/>
  <c r="L110" i="19"/>
  <c r="L38" i="19"/>
  <c r="L40" i="19"/>
  <c r="L42" i="19"/>
  <c r="L44" i="19"/>
  <c r="L52" i="19"/>
  <c r="L54" i="19"/>
  <c r="L56" i="19"/>
  <c r="L62" i="19"/>
  <c r="L116" i="19"/>
  <c r="L118" i="19"/>
  <c r="L122" i="19"/>
  <c r="L175" i="19"/>
  <c r="L177" i="19"/>
  <c r="L179" i="19"/>
  <c r="L181" i="19"/>
  <c r="L11" i="19"/>
  <c r="L70" i="19"/>
  <c r="L74" i="19"/>
  <c r="L76" i="19"/>
  <c r="L128" i="19"/>
  <c r="L130" i="19"/>
  <c r="L134" i="19"/>
  <c r="L138" i="19"/>
  <c r="L140" i="19"/>
  <c r="L185" i="19"/>
  <c r="L219" i="19"/>
  <c r="L221" i="19"/>
  <c r="L195" i="19"/>
  <c r="L144" i="19"/>
  <c r="L29" i="19"/>
  <c r="L35" i="19"/>
  <c r="L39" i="19"/>
  <c r="L43" i="19"/>
  <c r="L47" i="19"/>
  <c r="L51" i="19"/>
  <c r="L59" i="19"/>
  <c r="L63" i="19"/>
  <c r="L111" i="19"/>
  <c r="L113" i="19"/>
  <c r="L115" i="19"/>
  <c r="L117" i="19"/>
  <c r="L119" i="19"/>
  <c r="L180" i="19"/>
  <c r="L182" i="19"/>
  <c r="L212" i="19"/>
  <c r="L214" i="19"/>
  <c r="L218" i="19"/>
  <c r="L220" i="19"/>
  <c r="L229" i="19"/>
  <c r="L67" i="19"/>
  <c r="L71" i="19"/>
  <c r="L125" i="19"/>
  <c r="L131" i="19"/>
  <c r="L133" i="19"/>
  <c r="L135" i="19"/>
  <c r="L137" i="19"/>
  <c r="L139" i="19"/>
  <c r="L14" i="19"/>
  <c r="L18" i="19"/>
  <c r="L20" i="19"/>
  <c r="L26" i="19"/>
  <c r="L90" i="19"/>
  <c r="L143" i="19"/>
  <c r="L145" i="19"/>
  <c r="L147" i="19"/>
  <c r="L149" i="19"/>
  <c r="L190" i="19"/>
  <c r="L85" i="19"/>
  <c r="L199" i="19"/>
  <c r="L57" i="19"/>
  <c r="L21" i="19"/>
  <c r="L31" i="19"/>
  <c r="L46" i="19"/>
  <c r="L50" i="19"/>
  <c r="L61" i="19"/>
  <c r="L72" i="19"/>
  <c r="L78" i="19"/>
  <c r="L88" i="19"/>
  <c r="L92" i="19"/>
  <c r="L109" i="19"/>
  <c r="L120" i="19"/>
  <c r="L124" i="19"/>
  <c r="L141" i="19"/>
  <c r="L152" i="19"/>
  <c r="L156" i="19"/>
  <c r="L173" i="19"/>
  <c r="L186" i="19"/>
  <c r="L196" i="19"/>
  <c r="L203" i="19"/>
  <c r="L216" i="19"/>
  <c r="L33" i="19"/>
  <c r="L58" i="19"/>
  <c r="L96" i="19"/>
  <c r="L160" i="19"/>
  <c r="L188" i="19"/>
  <c r="L200" i="19"/>
  <c r="L207" i="19"/>
  <c r="L37" i="19"/>
  <c r="L73" i="19"/>
  <c r="L75" i="19"/>
  <c r="L89" i="19"/>
  <c r="L121" i="19"/>
  <c r="L151" i="19"/>
  <c r="L153" i="19"/>
  <c r="L194" i="19"/>
  <c r="L204" i="19"/>
  <c r="L211" i="19"/>
  <c r="L22" i="19"/>
  <c r="L24" i="19"/>
  <c r="L41" i="19"/>
  <c r="L104" i="19"/>
  <c r="L136" i="19"/>
  <c r="L168" i="19"/>
  <c r="L15" i="19"/>
  <c r="L34" i="19"/>
  <c r="L45" i="19"/>
  <c r="L49" i="19"/>
  <c r="L55" i="19"/>
  <c r="L66" i="19"/>
  <c r="L77" i="19"/>
  <c r="L83" i="19"/>
  <c r="L95" i="19"/>
  <c r="L97" i="19"/>
  <c r="L114" i="19"/>
  <c r="L127" i="19"/>
  <c r="L129" i="19"/>
  <c r="L146" i="19"/>
  <c r="L159" i="19"/>
  <c r="L161" i="19"/>
  <c r="L178" i="19"/>
  <c r="L189" i="19"/>
  <c r="L208" i="19"/>
  <c r="L215" i="19"/>
  <c r="K147" i="24" l="1"/>
  <c r="K146" i="24"/>
  <c r="K145" i="24"/>
  <c r="K144" i="24"/>
  <c r="K143" i="24"/>
  <c r="K142" i="24"/>
  <c r="K141" i="24"/>
  <c r="K140" i="24"/>
  <c r="K129" i="24"/>
  <c r="K128" i="24"/>
  <c r="K127" i="24"/>
  <c r="K126" i="24"/>
  <c r="D11" i="3" l="1"/>
  <c r="E8" i="1" l="1"/>
  <c r="E227" i="19" l="1"/>
  <c r="E226" i="19"/>
  <c r="E225" i="19"/>
  <c r="E224" i="19"/>
  <c r="E223" i="19"/>
  <c r="E222" i="19"/>
  <c r="I224" i="19" l="1"/>
  <c r="L224" i="19" s="1"/>
  <c r="I223" i="19"/>
  <c r="L223" i="19" s="1"/>
  <c r="I227" i="19"/>
  <c r="L227" i="19" s="1"/>
  <c r="I226" i="19"/>
  <c r="L226" i="19" s="1"/>
  <c r="I225" i="19"/>
  <c r="L225" i="19" s="1"/>
  <c r="K103" i="20"/>
  <c r="J103" i="20"/>
  <c r="I103" i="20"/>
  <c r="E103" i="20"/>
  <c r="K102" i="20"/>
  <c r="J102" i="20"/>
  <c r="I102" i="20"/>
  <c r="E102" i="20"/>
  <c r="K101" i="20"/>
  <c r="J101" i="20"/>
  <c r="I101" i="20"/>
  <c r="E101" i="20"/>
  <c r="K100" i="20"/>
  <c r="J100" i="20"/>
  <c r="I100" i="20"/>
  <c r="E100" i="20"/>
  <c r="K99" i="20"/>
  <c r="J99" i="20"/>
  <c r="I99" i="20"/>
  <c r="E99" i="20"/>
  <c r="K98" i="20"/>
  <c r="J98" i="20"/>
  <c r="I98" i="20"/>
  <c r="E98" i="20"/>
  <c r="K97" i="20"/>
  <c r="J97" i="20"/>
  <c r="I97" i="20"/>
  <c r="E97" i="20"/>
  <c r="K96" i="20"/>
  <c r="J96" i="20"/>
  <c r="I96" i="20"/>
  <c r="E96" i="20"/>
  <c r="K95" i="20"/>
  <c r="J95" i="20"/>
  <c r="I95" i="20"/>
  <c r="E95" i="20"/>
  <c r="K94" i="20"/>
  <c r="J94" i="20"/>
  <c r="I94" i="20"/>
  <c r="E94" i="20"/>
  <c r="K93" i="20"/>
  <c r="J93" i="20"/>
  <c r="I93" i="20"/>
  <c r="E93" i="20"/>
  <c r="K92" i="20"/>
  <c r="J92" i="20"/>
  <c r="I92" i="20"/>
  <c r="E92" i="20"/>
  <c r="K91" i="20"/>
  <c r="J91" i="20"/>
  <c r="I91" i="20"/>
  <c r="E91" i="20"/>
  <c r="K90" i="20"/>
  <c r="J90" i="20"/>
  <c r="I90" i="20"/>
  <c r="E90" i="20"/>
  <c r="K89" i="20"/>
  <c r="J89" i="20"/>
  <c r="I89" i="20"/>
  <c r="E89" i="20"/>
  <c r="K88" i="20"/>
  <c r="J88" i="20"/>
  <c r="I88" i="20"/>
  <c r="E88" i="20"/>
  <c r="K87" i="20"/>
  <c r="I87" i="20"/>
  <c r="E87" i="20"/>
  <c r="K86" i="20"/>
  <c r="I86" i="20"/>
  <c r="E86" i="20"/>
  <c r="K85" i="20"/>
  <c r="J85" i="20"/>
  <c r="I85" i="20"/>
  <c r="E85" i="20"/>
  <c r="K84" i="20"/>
  <c r="J84" i="20"/>
  <c r="I84" i="20"/>
  <c r="E84" i="20"/>
  <c r="K83" i="20"/>
  <c r="J83" i="20"/>
  <c r="I83" i="20"/>
  <c r="E83" i="20"/>
  <c r="K82" i="20"/>
  <c r="J82" i="20"/>
  <c r="I82" i="20"/>
  <c r="E82" i="20"/>
  <c r="K81" i="20"/>
  <c r="J81" i="20"/>
  <c r="I81" i="20"/>
  <c r="E81" i="20"/>
  <c r="K80" i="20"/>
  <c r="J80" i="20"/>
  <c r="I80" i="20"/>
  <c r="E80" i="20"/>
  <c r="K79" i="20"/>
  <c r="J79" i="20"/>
  <c r="I79" i="20"/>
  <c r="E79" i="20"/>
  <c r="K78" i="20"/>
  <c r="J78" i="20"/>
  <c r="I78" i="20"/>
  <c r="E78" i="20"/>
  <c r="K77" i="20"/>
  <c r="J77" i="20"/>
  <c r="I77" i="20"/>
  <c r="E77" i="20"/>
  <c r="K76" i="20"/>
  <c r="J76" i="20"/>
  <c r="I76" i="20"/>
  <c r="E76" i="20"/>
  <c r="K75" i="20"/>
  <c r="J75" i="20"/>
  <c r="I75" i="20"/>
  <c r="E75" i="20"/>
  <c r="K74" i="20"/>
  <c r="J74" i="20"/>
  <c r="I74" i="20"/>
  <c r="E74" i="20"/>
  <c r="K73" i="20"/>
  <c r="J73" i="20"/>
  <c r="I73" i="20"/>
  <c r="E73" i="20"/>
  <c r="K72" i="20"/>
  <c r="J72" i="20"/>
  <c r="I72" i="20"/>
  <c r="E72" i="20"/>
  <c r="K71" i="20"/>
  <c r="J71" i="20"/>
  <c r="I71" i="20"/>
  <c r="E71" i="20"/>
  <c r="K70" i="20"/>
  <c r="J70" i="20"/>
  <c r="I70" i="20"/>
  <c r="E70" i="20"/>
  <c r="K69" i="20"/>
  <c r="J69" i="20"/>
  <c r="I69" i="20"/>
  <c r="E69" i="20"/>
  <c r="K68" i="20"/>
  <c r="J68" i="20"/>
  <c r="I68" i="20"/>
  <c r="E68" i="20"/>
  <c r="K67" i="20"/>
  <c r="J67" i="20"/>
  <c r="I67" i="20"/>
  <c r="E67" i="20"/>
  <c r="K66" i="20"/>
  <c r="J66" i="20"/>
  <c r="I66" i="20"/>
  <c r="E66" i="20"/>
  <c r="K65" i="20"/>
  <c r="J65" i="20"/>
  <c r="I65" i="20"/>
  <c r="E65" i="20"/>
  <c r="K64" i="20"/>
  <c r="J64" i="20"/>
  <c r="I64" i="20"/>
  <c r="E64" i="20"/>
  <c r="K63" i="20"/>
  <c r="J63" i="20"/>
  <c r="I63" i="20"/>
  <c r="E63" i="20"/>
  <c r="K62" i="20"/>
  <c r="J62" i="20"/>
  <c r="I62" i="20"/>
  <c r="E62" i="20"/>
  <c r="K61" i="20"/>
  <c r="J61" i="20"/>
  <c r="I61" i="20"/>
  <c r="E61" i="20"/>
  <c r="K60" i="20"/>
  <c r="J60" i="20"/>
  <c r="I60" i="20"/>
  <c r="E60" i="20"/>
  <c r="K59" i="20"/>
  <c r="J59" i="20"/>
  <c r="I59" i="20"/>
  <c r="E59" i="20"/>
  <c r="K58" i="20"/>
  <c r="J58" i="20"/>
  <c r="I58" i="20"/>
  <c r="E58" i="20"/>
  <c r="K57" i="20"/>
  <c r="J57" i="20"/>
  <c r="I57" i="20"/>
  <c r="E57" i="20"/>
  <c r="K56" i="20"/>
  <c r="J56" i="20"/>
  <c r="I56" i="20"/>
  <c r="E56" i="20"/>
  <c r="K55" i="20"/>
  <c r="J55" i="20"/>
  <c r="I55" i="20"/>
  <c r="E55" i="20"/>
  <c r="K54" i="20"/>
  <c r="J54" i="20"/>
  <c r="I54" i="20"/>
  <c r="E54" i="20"/>
  <c r="K53" i="20"/>
  <c r="J53" i="20"/>
  <c r="I53" i="20"/>
  <c r="E53" i="20"/>
  <c r="K52" i="20"/>
  <c r="J52" i="20"/>
  <c r="I52" i="20"/>
  <c r="E52" i="20"/>
  <c r="K51" i="20"/>
  <c r="J51" i="20"/>
  <c r="I51" i="20"/>
  <c r="E51" i="20"/>
  <c r="K50" i="20"/>
  <c r="J50" i="20"/>
  <c r="I50" i="20"/>
  <c r="E50" i="20"/>
  <c r="K49" i="20"/>
  <c r="J49" i="20"/>
  <c r="I49" i="20"/>
  <c r="E49" i="20"/>
  <c r="K48" i="20"/>
  <c r="J48" i="20"/>
  <c r="I48" i="20"/>
  <c r="E48" i="20"/>
  <c r="K47" i="20"/>
  <c r="J47" i="20"/>
  <c r="I47" i="20"/>
  <c r="E47" i="20"/>
  <c r="K46" i="20"/>
  <c r="J46" i="20"/>
  <c r="I46" i="20"/>
  <c r="E46" i="20"/>
  <c r="K45" i="20"/>
  <c r="J45" i="20"/>
  <c r="I45" i="20"/>
  <c r="E45" i="20"/>
  <c r="K44" i="20"/>
  <c r="J44" i="20"/>
  <c r="I44" i="20"/>
  <c r="E44" i="20"/>
  <c r="K43" i="20"/>
  <c r="J43" i="20"/>
  <c r="I43" i="20"/>
  <c r="E43" i="20"/>
  <c r="K42" i="20"/>
  <c r="J42" i="20"/>
  <c r="I42" i="20"/>
  <c r="E42" i="20"/>
  <c r="K41" i="20"/>
  <c r="J41" i="20"/>
  <c r="E41" i="20"/>
  <c r="K40" i="20"/>
  <c r="J40" i="20"/>
  <c r="I40" i="20"/>
  <c r="E40" i="20"/>
  <c r="K39" i="20"/>
  <c r="J39" i="20"/>
  <c r="I39" i="20"/>
  <c r="E39" i="20"/>
  <c r="K38" i="20"/>
  <c r="J38" i="20"/>
  <c r="I38" i="20"/>
  <c r="E38" i="20"/>
  <c r="K37" i="20"/>
  <c r="J37" i="20"/>
  <c r="I37" i="20"/>
  <c r="E37" i="20"/>
  <c r="K36" i="20"/>
  <c r="J36" i="20"/>
  <c r="I36" i="20"/>
  <c r="E36" i="20"/>
  <c r="K35" i="20"/>
  <c r="J35" i="20"/>
  <c r="I35" i="20"/>
  <c r="E35" i="20"/>
  <c r="K34" i="20"/>
  <c r="J34" i="20"/>
  <c r="I34" i="20"/>
  <c r="E34" i="20"/>
  <c r="K33" i="20"/>
  <c r="J33" i="20"/>
  <c r="I33" i="20"/>
  <c r="E33" i="20"/>
  <c r="K32" i="20"/>
  <c r="J32" i="20"/>
  <c r="I32" i="20"/>
  <c r="E32" i="20"/>
  <c r="K31" i="20"/>
  <c r="J31" i="20"/>
  <c r="I31" i="20"/>
  <c r="E31" i="20"/>
  <c r="K30" i="20"/>
  <c r="J30" i="20"/>
  <c r="I30" i="20"/>
  <c r="E30" i="20"/>
  <c r="K29" i="20"/>
  <c r="J29" i="20"/>
  <c r="I29" i="20"/>
  <c r="E29" i="20"/>
  <c r="K28" i="20"/>
  <c r="J28" i="20"/>
  <c r="I28" i="20"/>
  <c r="E28" i="20"/>
  <c r="K27" i="20"/>
  <c r="J27" i="20"/>
  <c r="I27" i="20"/>
  <c r="E27" i="20"/>
  <c r="K26" i="20"/>
  <c r="J26" i="20"/>
  <c r="I26" i="20"/>
  <c r="E26" i="20"/>
  <c r="K25" i="20"/>
  <c r="J25" i="20"/>
  <c r="I25" i="20"/>
  <c r="E25" i="20"/>
  <c r="K24" i="20"/>
  <c r="J24" i="20"/>
  <c r="I24" i="20"/>
  <c r="E24" i="20"/>
  <c r="K23" i="20"/>
  <c r="J23" i="20"/>
  <c r="I23" i="20"/>
  <c r="E23" i="20"/>
  <c r="K22" i="20"/>
  <c r="J22" i="20"/>
  <c r="I22" i="20"/>
  <c r="E22" i="20"/>
  <c r="K21" i="20"/>
  <c r="J21" i="20"/>
  <c r="I21" i="20"/>
  <c r="E21" i="20"/>
  <c r="K20" i="20"/>
  <c r="J20" i="20"/>
  <c r="I20" i="20"/>
  <c r="E20" i="20"/>
  <c r="K19" i="20"/>
  <c r="J19" i="20"/>
  <c r="I19" i="20"/>
  <c r="E19" i="20"/>
  <c r="K18" i="20"/>
  <c r="J18" i="20"/>
  <c r="I18" i="20"/>
  <c r="E18" i="20"/>
  <c r="K17" i="20"/>
  <c r="J17" i="20"/>
  <c r="I17" i="20"/>
  <c r="E17" i="20"/>
  <c r="K16" i="20"/>
  <c r="I16" i="20"/>
  <c r="E16" i="20"/>
  <c r="K15" i="20"/>
  <c r="J15" i="20"/>
  <c r="I15" i="20"/>
  <c r="E15" i="20"/>
  <c r="K196" i="24"/>
  <c r="K195" i="24"/>
  <c r="K194" i="24"/>
  <c r="K193" i="24"/>
  <c r="K197" i="24"/>
  <c r="K152" i="24"/>
  <c r="K151" i="24"/>
  <c r="K135" i="24"/>
  <c r="K134" i="24"/>
  <c r="K137" i="24"/>
  <c r="K136" i="24"/>
  <c r="K131" i="24"/>
  <c r="A244" i="19"/>
  <c r="L44" i="20" l="1"/>
  <c r="L46" i="20"/>
  <c r="L48" i="20"/>
  <c r="L45" i="20"/>
  <c r="L47" i="20"/>
  <c r="L49" i="20"/>
  <c r="L51" i="20"/>
  <c r="L61" i="20"/>
  <c r="L69" i="20"/>
  <c r="L71" i="20"/>
  <c r="L73" i="20"/>
  <c r="L77" i="20"/>
  <c r="L81" i="20"/>
  <c r="L89" i="20"/>
  <c r="L91" i="20"/>
  <c r="L93" i="20"/>
  <c r="L97" i="20"/>
  <c r="L99" i="20"/>
  <c r="L101" i="20"/>
  <c r="L103" i="20"/>
  <c r="L17" i="20"/>
  <c r="L25" i="20"/>
  <c r="L27" i="20"/>
  <c r="L29" i="20"/>
  <c r="L20" i="20"/>
  <c r="L22" i="20"/>
  <c r="L24" i="20"/>
  <c r="L26" i="20"/>
  <c r="L28" i="20"/>
  <c r="L70" i="20"/>
  <c r="L76" i="20"/>
  <c r="L84" i="20"/>
  <c r="L36" i="20"/>
  <c r="L38" i="20"/>
  <c r="L40" i="20"/>
  <c r="L52" i="20"/>
  <c r="L58" i="20"/>
  <c r="L60" i="20"/>
  <c r="L66" i="20"/>
  <c r="L68" i="20"/>
  <c r="L100" i="20"/>
  <c r="L15" i="20"/>
  <c r="L18" i="20"/>
  <c r="L88" i="20"/>
  <c r="L90" i="20"/>
  <c r="L92" i="20"/>
  <c r="L63" i="20"/>
  <c r="L94" i="20"/>
  <c r="L85" i="20"/>
  <c r="L65" i="20"/>
  <c r="L21" i="20"/>
  <c r="L33" i="20"/>
  <c r="L35" i="20"/>
  <c r="L37" i="20"/>
  <c r="L72" i="20"/>
  <c r="L53" i="20"/>
  <c r="L55" i="20"/>
  <c r="L57" i="20"/>
  <c r="L59" i="20"/>
  <c r="L80" i="20"/>
  <c r="L82" i="20"/>
  <c r="L78" i="20"/>
  <c r="L31" i="20"/>
  <c r="L42" i="20"/>
  <c r="L62" i="20"/>
  <c r="L64" i="20"/>
  <c r="L75" i="20"/>
  <c r="L95" i="20"/>
  <c r="L102" i="20"/>
  <c r="L19" i="20"/>
  <c r="L39" i="20"/>
  <c r="L50" i="20"/>
  <c r="L79" i="20"/>
  <c r="L83" i="20"/>
  <c r="L30" i="20"/>
  <c r="L32" i="20"/>
  <c r="L43" i="20"/>
  <c r="L74" i="20"/>
  <c r="L96" i="20"/>
  <c r="L23" i="20"/>
  <c r="L34" i="20"/>
  <c r="L54" i="20"/>
  <c r="L56" i="20"/>
  <c r="L67" i="20"/>
  <c r="L98" i="20"/>
  <c r="I41" i="20" l="1"/>
  <c r="L41" i="20" s="1"/>
  <c r="K90" i="24" l="1"/>
  <c r="K91" i="24"/>
  <c r="K88" i="24"/>
  <c r="K87" i="24"/>
  <c r="K86" i="24"/>
  <c r="K85" i="24"/>
  <c r="K89" i="24"/>
  <c r="K84" i="24"/>
  <c r="K83" i="24"/>
  <c r="K71" i="24"/>
  <c r="K45" i="24"/>
  <c r="K44" i="24"/>
  <c r="K43" i="24"/>
  <c r="K42" i="24"/>
  <c r="K49" i="24"/>
  <c r="K34" i="24"/>
  <c r="K33" i="24"/>
  <c r="K32" i="24"/>
  <c r="K31" i="24"/>
  <c r="K30" i="24"/>
  <c r="K95" i="23"/>
  <c r="K94" i="23"/>
  <c r="K97" i="23"/>
  <c r="H10" i="23" l="1"/>
  <c r="J16" i="20" s="1"/>
  <c r="L16" i="20" s="1"/>
  <c r="M16" i="1" l="1"/>
  <c r="AJ1" i="1"/>
  <c r="H5" i="1"/>
  <c r="U32" i="1" s="1"/>
  <c r="H6" i="1"/>
  <c r="V32" i="1" s="1"/>
  <c r="Y32" i="1" s="1"/>
  <c r="H7" i="1"/>
  <c r="W32" i="1" s="1"/>
  <c r="Z32" i="1" s="1"/>
  <c r="T30" i="1"/>
  <c r="K5" i="1"/>
  <c r="K8" i="1"/>
  <c r="K6" i="1"/>
  <c r="J28" i="1"/>
  <c r="I26" i="1"/>
  <c r="J26" i="1"/>
  <c r="K7" i="1"/>
  <c r="P7" i="3"/>
  <c r="F5" i="23"/>
  <c r="F6" i="23"/>
  <c r="K10" i="23"/>
  <c r="K11" i="23"/>
  <c r="K12" i="23"/>
  <c r="K13" i="23"/>
  <c r="K14" i="23"/>
  <c r="K15" i="23"/>
  <c r="K16" i="23"/>
  <c r="K17" i="23"/>
  <c r="K18" i="23"/>
  <c r="K19" i="23"/>
  <c r="K26" i="23"/>
  <c r="K27" i="23"/>
  <c r="K28" i="23"/>
  <c r="K29" i="23"/>
  <c r="K38" i="23"/>
  <c r="K32" i="23"/>
  <c r="K33" i="23"/>
  <c r="K34" i="23"/>
  <c r="K35" i="23"/>
  <c r="K37" i="23"/>
  <c r="K39" i="23"/>
  <c r="K40" i="23"/>
  <c r="K41" i="23"/>
  <c r="K42" i="23"/>
  <c r="K43" i="23"/>
  <c r="K46" i="23"/>
  <c r="K49" i="23"/>
  <c r="K50" i="23"/>
  <c r="K53" i="23"/>
  <c r="K48" i="23"/>
  <c r="K51" i="23"/>
  <c r="K52" i="23"/>
  <c r="K54" i="23"/>
  <c r="K55" i="23"/>
  <c r="K56" i="23"/>
  <c r="K59" i="23"/>
  <c r="K60" i="23"/>
  <c r="K61" i="23"/>
  <c r="K62" i="23"/>
  <c r="K63" i="23"/>
  <c r="K64" i="23"/>
  <c r="K65" i="23"/>
  <c r="K66" i="23"/>
  <c r="K67" i="23"/>
  <c r="K68" i="23"/>
  <c r="K69" i="23"/>
  <c r="K72" i="23"/>
  <c r="K75" i="23"/>
  <c r="K78" i="23"/>
  <c r="K90" i="23"/>
  <c r="K91" i="23"/>
  <c r="F5" i="24"/>
  <c r="F6" i="24"/>
  <c r="K77" i="24"/>
  <c r="K78" i="24"/>
  <c r="K79" i="24"/>
  <c r="K80" i="24"/>
  <c r="K81" i="24"/>
  <c r="K82" i="24"/>
  <c r="K92" i="24"/>
  <c r="K93" i="24"/>
  <c r="K94" i="24"/>
  <c r="K95" i="24"/>
  <c r="K96" i="24"/>
  <c r="K97" i="24"/>
  <c r="K98" i="24"/>
  <c r="K99" i="24"/>
  <c r="K100" i="24"/>
  <c r="K101" i="24"/>
  <c r="K10" i="24"/>
  <c r="K11" i="24"/>
  <c r="K14" i="24"/>
  <c r="K15" i="24"/>
  <c r="K18" i="24"/>
  <c r="K19" i="24"/>
  <c r="K20" i="24"/>
  <c r="K21" i="24"/>
  <c r="K24" i="24"/>
  <c r="K25" i="24"/>
  <c r="K26" i="24"/>
  <c r="K29" i="24"/>
  <c r="K38" i="24"/>
  <c r="K48" i="24"/>
  <c r="K50" i="24"/>
  <c r="K52" i="24"/>
  <c r="K53" i="24"/>
  <c r="K46" i="24"/>
  <c r="K47" i="24"/>
  <c r="K51" i="24"/>
  <c r="K54" i="24"/>
  <c r="K55" i="24"/>
  <c r="K56" i="24"/>
  <c r="K59" i="24"/>
  <c r="K63" i="24"/>
  <c r="K104" i="24"/>
  <c r="K105" i="24"/>
  <c r="K106" i="24"/>
  <c r="K109" i="24"/>
  <c r="K107" i="24"/>
  <c r="K108" i="24"/>
  <c r="K110" i="24"/>
  <c r="K111" i="24"/>
  <c r="K112" i="24"/>
  <c r="K115" i="24"/>
  <c r="K122" i="24"/>
  <c r="K130" i="24"/>
  <c r="K132" i="24"/>
  <c r="K133" i="24"/>
  <c r="K150" i="24"/>
  <c r="K153" i="24"/>
  <c r="K157" i="24"/>
  <c r="K209" i="24"/>
  <c r="K210" i="24"/>
  <c r="K211" i="24"/>
  <c r="K212" i="24"/>
  <c r="K213" i="24"/>
  <c r="K214" i="24"/>
  <c r="K218" i="24"/>
  <c r="K219" i="24"/>
  <c r="K220" i="24"/>
  <c r="K221" i="24"/>
  <c r="K222" i="24"/>
  <c r="J10" i="20"/>
  <c r="I10" i="20"/>
  <c r="J11" i="20"/>
  <c r="I11" i="20"/>
  <c r="K92" i="23"/>
  <c r="K93" i="23"/>
  <c r="K96" i="23"/>
  <c r="A118" i="20"/>
  <c r="D40" i="1"/>
  <c r="K205" i="24"/>
  <c r="K204" i="24"/>
  <c r="K203" i="24"/>
  <c r="K202" i="24"/>
  <c r="K201" i="24"/>
  <c r="K200" i="24"/>
  <c r="K199" i="24"/>
  <c r="K198" i="24"/>
  <c r="K192" i="24"/>
  <c r="K74" i="24"/>
  <c r="K73" i="24"/>
  <c r="K72" i="24"/>
  <c r="K70" i="24"/>
  <c r="K69" i="24"/>
  <c r="K68" i="24"/>
  <c r="K67" i="24"/>
  <c r="K66" i="24"/>
  <c r="K62" i="24"/>
  <c r="K39" i="24"/>
  <c r="K37" i="24"/>
  <c r="K36" i="24"/>
  <c r="K35" i="24"/>
  <c r="E12" i="20"/>
  <c r="M14" i="1"/>
  <c r="AD37" i="1"/>
  <c r="AC37" i="1"/>
  <c r="AB37" i="1"/>
  <c r="AA37" i="1"/>
  <c r="Z37" i="1"/>
  <c r="Y37" i="1"/>
  <c r="X37" i="1"/>
  <c r="W37" i="1"/>
  <c r="V37" i="1"/>
  <c r="U37" i="1"/>
  <c r="T37" i="1"/>
  <c r="R37" i="1"/>
  <c r="Q37" i="1"/>
  <c r="P37" i="1"/>
  <c r="K37" i="1"/>
  <c r="M37" i="1" s="1"/>
  <c r="T14" i="1"/>
  <c r="R14" i="1"/>
  <c r="K17" i="21"/>
  <c r="K19" i="21"/>
  <c r="K20" i="21"/>
  <c r="K7" i="21"/>
  <c r="K8" i="21"/>
  <c r="K9" i="21"/>
  <c r="K10" i="21"/>
  <c r="K11" i="21"/>
  <c r="D67" i="10"/>
  <c r="E67" i="10" s="1"/>
  <c r="F67" i="10" s="1"/>
  <c r="G67" i="10" s="1"/>
  <c r="H67" i="10" s="1"/>
  <c r="I67" i="10" s="1"/>
  <c r="J67" i="10" s="1"/>
  <c r="K67" i="10" s="1"/>
  <c r="L67" i="10" s="1"/>
  <c r="K6" i="24"/>
  <c r="K5" i="24"/>
  <c r="K5" i="23"/>
  <c r="K6" i="23"/>
  <c r="K256" i="24"/>
  <c r="C244" i="24"/>
  <c r="C109" i="23"/>
  <c r="H10" i="20"/>
  <c r="H11" i="20"/>
  <c r="F11" i="20"/>
  <c r="F10" i="20"/>
  <c r="E11" i="20"/>
  <c r="E10" i="20"/>
  <c r="L7" i="20"/>
  <c r="D5" i="20"/>
  <c r="L7" i="19"/>
  <c r="D5" i="19"/>
  <c r="R17" i="10"/>
  <c r="S17" i="10" s="1"/>
  <c r="S18" i="10" s="1"/>
  <c r="S19" i="10" s="1"/>
  <c r="S20" i="10" s="1"/>
  <c r="S21" i="10" s="1"/>
  <c r="S22" i="10" s="1"/>
  <c r="S23" i="10" s="1"/>
  <c r="D23" i="10"/>
  <c r="D26" i="10" s="1"/>
  <c r="D28" i="10" s="1"/>
  <c r="D29" i="10" s="1"/>
  <c r="D30" i="10" s="1"/>
  <c r="D31" i="10" s="1"/>
  <c r="D32" i="10" s="1"/>
  <c r="D33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7" i="10" s="1"/>
  <c r="D48" i="10" s="1"/>
  <c r="D53" i="10"/>
  <c r="D54" i="10" s="1"/>
  <c r="AP10" i="1"/>
  <c r="AH12" i="1"/>
  <c r="AL11" i="1"/>
  <c r="B3" i="1"/>
  <c r="B2" i="1"/>
  <c r="E3" i="1"/>
  <c r="B8" i="1"/>
  <c r="D7" i="1"/>
  <c r="B7" i="1"/>
  <c r="B6" i="1"/>
  <c r="D5" i="1"/>
  <c r="B5" i="1"/>
  <c r="AB32" i="1" l="1"/>
  <c r="P32" i="1" s="1"/>
  <c r="X32" i="1"/>
  <c r="H82" i="23"/>
  <c r="H81" i="23"/>
  <c r="O144" i="24"/>
  <c r="O147" i="24"/>
  <c r="O143" i="24"/>
  <c r="O129" i="24"/>
  <c r="O142" i="24"/>
  <c r="O128" i="24"/>
  <c r="O141" i="24"/>
  <c r="O127" i="24"/>
  <c r="O140" i="24"/>
  <c r="O126" i="24"/>
  <c r="O146" i="24"/>
  <c r="O145" i="24"/>
  <c r="R30" i="1"/>
  <c r="U28" i="1"/>
  <c r="V30" i="1"/>
  <c r="W30" i="1"/>
  <c r="I28" i="1"/>
  <c r="T28" i="1" s="1"/>
  <c r="O122" i="23"/>
  <c r="O195" i="24"/>
  <c r="O196" i="24"/>
  <c r="O194" i="24"/>
  <c r="O197" i="24"/>
  <c r="O193" i="24"/>
  <c r="O152" i="24"/>
  <c r="O151" i="24"/>
  <c r="O134" i="24"/>
  <c r="O135" i="24"/>
  <c r="O137" i="24"/>
  <c r="O131" i="24"/>
  <c r="O136" i="24"/>
  <c r="O90" i="24"/>
  <c r="O91" i="24"/>
  <c r="O88" i="24"/>
  <c r="O87" i="24"/>
  <c r="O86" i="24"/>
  <c r="O85" i="24"/>
  <c r="O84" i="24"/>
  <c r="O89" i="24"/>
  <c r="O71" i="24"/>
  <c r="O83" i="24"/>
  <c r="O44" i="24"/>
  <c r="O45" i="24"/>
  <c r="O49" i="24"/>
  <c r="O42" i="24"/>
  <c r="O43" i="24"/>
  <c r="O17" i="21"/>
  <c r="O34" i="24"/>
  <c r="O33" i="24"/>
  <c r="O32" i="24"/>
  <c r="O30" i="24"/>
  <c r="O31" i="24"/>
  <c r="O95" i="23"/>
  <c r="O97" i="23"/>
  <c r="O94" i="23"/>
  <c r="O21" i="21"/>
  <c r="O127" i="23"/>
  <c r="O10" i="21"/>
  <c r="O256" i="24"/>
  <c r="O18" i="21"/>
  <c r="O7" i="21"/>
  <c r="N11" i="1"/>
  <c r="O11" i="21"/>
  <c r="O9" i="21"/>
  <c r="O20" i="21"/>
  <c r="O8" i="21"/>
  <c r="O19" i="21"/>
  <c r="O6" i="21"/>
  <c r="O99" i="24"/>
  <c r="O37" i="23"/>
  <c r="O209" i="24"/>
  <c r="L10" i="20"/>
  <c r="O90" i="23"/>
  <c r="O78" i="23"/>
  <c r="K77" i="23" s="1"/>
  <c r="O59" i="23"/>
  <c r="O52" i="23"/>
  <c r="O34" i="23"/>
  <c r="O123" i="23"/>
  <c r="O87" i="23"/>
  <c r="O75" i="23"/>
  <c r="K74" i="23" s="1"/>
  <c r="O65" i="23"/>
  <c r="O51" i="23"/>
  <c r="O128" i="23"/>
  <c r="O86" i="23"/>
  <c r="O72" i="23"/>
  <c r="K71" i="23" s="1"/>
  <c r="O64" i="23"/>
  <c r="O56" i="23"/>
  <c r="O50" i="23"/>
  <c r="W28" i="1"/>
  <c r="O85" i="23"/>
  <c r="O124" i="23"/>
  <c r="O108" i="24"/>
  <c r="O96" i="23"/>
  <c r="O82" i="23"/>
  <c r="O62" i="23"/>
  <c r="O55" i="23"/>
  <c r="O48" i="23"/>
  <c r="O42" i="23"/>
  <c r="O63" i="23"/>
  <c r="O126" i="23"/>
  <c r="O93" i="23"/>
  <c r="O81" i="23"/>
  <c r="O68" i="23"/>
  <c r="O61" i="23"/>
  <c r="O54" i="23"/>
  <c r="O40" i="23"/>
  <c r="W26" i="1"/>
  <c r="O129" i="23"/>
  <c r="O92" i="23"/>
  <c r="O67" i="23"/>
  <c r="O60" i="23"/>
  <c r="O53" i="23"/>
  <c r="O47" i="23"/>
  <c r="O38" i="23"/>
  <c r="O69" i="23"/>
  <c r="AM11" i="1"/>
  <c r="O125" i="23"/>
  <c r="O91" i="23"/>
  <c r="O66" i="23"/>
  <c r="O46" i="23"/>
  <c r="O49" i="23"/>
  <c r="O199" i="24"/>
  <c r="O70" i="24"/>
  <c r="O226" i="24"/>
  <c r="O183" i="24"/>
  <c r="O56" i="24"/>
  <c r="O39" i="23"/>
  <c r="V28" i="1"/>
  <c r="O176" i="24"/>
  <c r="O47" i="24"/>
  <c r="O168" i="24"/>
  <c r="O29" i="24"/>
  <c r="O18" i="24"/>
  <c r="V26" i="1"/>
  <c r="O160" i="24"/>
  <c r="O13" i="23"/>
  <c r="O132" i="24"/>
  <c r="O220" i="24"/>
  <c r="O118" i="24"/>
  <c r="O82" i="24"/>
  <c r="L11" i="20"/>
  <c r="U30" i="1"/>
  <c r="AB30" i="1" s="1"/>
  <c r="O28" i="23"/>
  <c r="U26" i="1"/>
  <c r="O22" i="23"/>
  <c r="K21" i="23" s="1"/>
  <c r="O36" i="23"/>
  <c r="O17" i="23"/>
  <c r="O43" i="23"/>
  <c r="O35" i="23"/>
  <c r="O29" i="23"/>
  <c r="O16" i="23"/>
  <c r="T26" i="1"/>
  <c r="O15" i="23"/>
  <c r="O41" i="23"/>
  <c r="O33" i="23"/>
  <c r="O27" i="23"/>
  <c r="O12" i="23"/>
  <c r="O32" i="23"/>
  <c r="O26" i="23"/>
  <c r="O92" i="24"/>
  <c r="O100" i="24"/>
  <c r="O227" i="24"/>
  <c r="O19" i="24"/>
  <c r="O24" i="24"/>
  <c r="O35" i="24"/>
  <c r="O48" i="24"/>
  <c r="O59" i="24"/>
  <c r="K58" i="24" s="1"/>
  <c r="O72" i="24"/>
  <c r="O109" i="24"/>
  <c r="O119" i="24"/>
  <c r="O133" i="24"/>
  <c r="O161" i="24"/>
  <c r="O169" i="24"/>
  <c r="O177" i="24"/>
  <c r="O184" i="24"/>
  <c r="O200" i="24"/>
  <c r="O210" i="24"/>
  <c r="O221" i="24"/>
  <c r="O93" i="24"/>
  <c r="O101" i="24"/>
  <c r="O228" i="24"/>
  <c r="O20" i="24"/>
  <c r="O25" i="24"/>
  <c r="O36" i="24"/>
  <c r="O50" i="24"/>
  <c r="O62" i="24"/>
  <c r="O73" i="24"/>
  <c r="O110" i="24"/>
  <c r="O120" i="24"/>
  <c r="O162" i="24"/>
  <c r="O170" i="24"/>
  <c r="O185" i="24"/>
  <c r="O201" i="24"/>
  <c r="O211" i="24"/>
  <c r="O222" i="24"/>
  <c r="O77" i="24"/>
  <c r="O94" i="24"/>
  <c r="O229" i="24"/>
  <c r="O14" i="24"/>
  <c r="O21" i="24"/>
  <c r="O26" i="24"/>
  <c r="O37" i="24"/>
  <c r="O51" i="24"/>
  <c r="O63" i="24"/>
  <c r="K61" i="24" s="1"/>
  <c r="O74" i="24"/>
  <c r="K65" i="24" s="1"/>
  <c r="O111" i="24"/>
  <c r="O121" i="24"/>
  <c r="O150" i="24"/>
  <c r="O163" i="24"/>
  <c r="O171" i="24"/>
  <c r="O178" i="24"/>
  <c r="O186" i="24"/>
  <c r="O202" i="24"/>
  <c r="O212" i="24"/>
  <c r="O78" i="24"/>
  <c r="O95" i="24"/>
  <c r="O230" i="24"/>
  <c r="O15" i="24"/>
  <c r="O38" i="24"/>
  <c r="O52" i="24"/>
  <c r="O66" i="24"/>
  <c r="O104" i="24"/>
  <c r="O112" i="24"/>
  <c r="O122" i="24"/>
  <c r="O153" i="24"/>
  <c r="O164" i="24"/>
  <c r="O172" i="24"/>
  <c r="O179" i="24"/>
  <c r="O187" i="24"/>
  <c r="O203" i="24"/>
  <c r="O213" i="24"/>
  <c r="O79" i="24"/>
  <c r="O96" i="24"/>
  <c r="O231" i="24"/>
  <c r="O39" i="24"/>
  <c r="O53" i="24"/>
  <c r="O67" i="24"/>
  <c r="O105" i="24"/>
  <c r="O115" i="24"/>
  <c r="O157" i="24"/>
  <c r="O165" i="24"/>
  <c r="O173" i="24"/>
  <c r="O180" i="24"/>
  <c r="O188" i="24"/>
  <c r="O204" i="24"/>
  <c r="O214" i="24"/>
  <c r="O80" i="24"/>
  <c r="O97" i="24"/>
  <c r="O10" i="24"/>
  <c r="O54" i="24"/>
  <c r="O68" i="24"/>
  <c r="O106" i="24"/>
  <c r="O116" i="24"/>
  <c r="O158" i="24"/>
  <c r="O166" i="24"/>
  <c r="O174" i="24"/>
  <c r="O181" i="24"/>
  <c r="O192" i="24"/>
  <c r="O218" i="24"/>
  <c r="O81" i="24"/>
  <c r="O98" i="24"/>
  <c r="O11" i="24"/>
  <c r="O46" i="24"/>
  <c r="O55" i="24"/>
  <c r="O69" i="24"/>
  <c r="O107" i="24"/>
  <c r="O117" i="24"/>
  <c r="O130" i="24"/>
  <c r="O159" i="24"/>
  <c r="O167" i="24"/>
  <c r="O175" i="24"/>
  <c r="O182" i="24"/>
  <c r="O198" i="24"/>
  <c r="O205" i="24"/>
  <c r="O219" i="24"/>
  <c r="O19" i="23"/>
  <c r="O11" i="23"/>
  <c r="O18" i="23"/>
  <c r="O10" i="23"/>
  <c r="O14" i="23"/>
  <c r="K123" i="23"/>
  <c r="K124" i="23"/>
  <c r="K125" i="23"/>
  <c r="K126" i="23"/>
  <c r="I6" i="23"/>
  <c r="I6" i="24"/>
  <c r="K127" i="23"/>
  <c r="E6" i="1"/>
  <c r="K36" i="23"/>
  <c r="K128" i="23"/>
  <c r="I5" i="23"/>
  <c r="I5" i="24"/>
  <c r="K129" i="23"/>
  <c r="K122" i="23"/>
  <c r="K228" i="24"/>
  <c r="J18" i="21"/>
  <c r="K18" i="21" s="1"/>
  <c r="K231" i="24"/>
  <c r="K230" i="24"/>
  <c r="AB26" i="1" l="1"/>
  <c r="AB28" i="1"/>
  <c r="P30" i="1"/>
  <c r="AD32" i="1"/>
  <c r="Q32" i="1"/>
  <c r="J86" i="20"/>
  <c r="L86" i="20" s="1"/>
  <c r="K81" i="23"/>
  <c r="J87" i="20"/>
  <c r="L87" i="20" s="1"/>
  <c r="K82" i="23"/>
  <c r="K139" i="24"/>
  <c r="Z30" i="1"/>
  <c r="Y30" i="1"/>
  <c r="U16" i="1"/>
  <c r="AK1" i="1"/>
  <c r="W16" i="1"/>
  <c r="V16" i="1"/>
  <c r="H28" i="1"/>
  <c r="Y14" i="1"/>
  <c r="V14" i="1"/>
  <c r="Z14" i="1"/>
  <c r="W14" i="1"/>
  <c r="U14" i="1"/>
  <c r="K229" i="24"/>
  <c r="X30" i="1"/>
  <c r="K16" i="21"/>
  <c r="K58" i="23"/>
  <c r="K89" i="23"/>
  <c r="K84" i="23"/>
  <c r="K45" i="23"/>
  <c r="K125" i="24"/>
  <c r="R28" i="1"/>
  <c r="Z28" i="1" s="1"/>
  <c r="R26" i="1"/>
  <c r="Y26" i="1" s="1"/>
  <c r="K28" i="24"/>
  <c r="K208" i="24"/>
  <c r="K25" i="23"/>
  <c r="K9" i="23"/>
  <c r="J6" i="21"/>
  <c r="K6" i="21" s="1"/>
  <c r="K5" i="21" s="1"/>
  <c r="K41" i="24"/>
  <c r="K9" i="24"/>
  <c r="K156" i="24"/>
  <c r="K23" i="24"/>
  <c r="K149" i="24"/>
  <c r="K17" i="24"/>
  <c r="K217" i="24"/>
  <c r="K114" i="24"/>
  <c r="K13" i="24"/>
  <c r="K103" i="24"/>
  <c r="K227" i="24"/>
  <c r="H26" i="1"/>
  <c r="G26" i="1"/>
  <c r="K191" i="24"/>
  <c r="K31" i="23"/>
  <c r="L105" i="20" l="1"/>
  <c r="K15" i="3" s="1"/>
  <c r="K80" i="23"/>
  <c r="Q30" i="1"/>
  <c r="T16" i="1"/>
  <c r="AA16" i="1"/>
  <c r="AA14" i="1"/>
  <c r="AB14" i="1"/>
  <c r="X14" i="1"/>
  <c r="AD30" i="1"/>
  <c r="J2" i="23"/>
  <c r="Z26" i="1"/>
  <c r="Y28" i="1"/>
  <c r="X28" i="1"/>
  <c r="X26" i="1"/>
  <c r="P26" i="1"/>
  <c r="L231" i="19"/>
  <c r="K16" i="3" s="1"/>
  <c r="K76" i="24"/>
  <c r="L106" i="20" l="1"/>
  <c r="AB16" i="1"/>
  <c r="J2" i="24"/>
  <c r="L232" i="19" s="1"/>
  <c r="R16" i="1"/>
  <c r="Q14" i="1"/>
  <c r="K13" i="3" s="1"/>
  <c r="AD14" i="1"/>
  <c r="AD26" i="1"/>
  <c r="Q26" i="1"/>
  <c r="Z16" i="1" l="1"/>
  <c r="X16" i="1"/>
  <c r="Y16" i="1"/>
  <c r="Q16" i="1"/>
  <c r="AH15" i="1" s="1"/>
  <c r="L13" i="20"/>
  <c r="AH13" i="1"/>
  <c r="AD16" i="1" l="1"/>
  <c r="K14" i="3"/>
  <c r="P28" i="1" l="1"/>
  <c r="Q28" i="1"/>
  <c r="AD28" i="1"/>
  <c r="H15" i="34"/>
  <c r="J226" i="24" s="1"/>
  <c r="I222" i="19" l="1"/>
  <c r="L222" i="19" s="1"/>
  <c r="K226" i="24"/>
  <c r="K225" i="2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Navarro, Michael</author>
  </authors>
  <commentList>
    <comment ref="E60" authorId="0" shapeId="0" xr:uid="{99847521-FBA2-46B8-81DC-429136F3DD8A}">
      <text>
        <r>
          <rPr>
            <b/>
            <sz val="12"/>
            <color indexed="9"/>
            <rFont val="Tahoma"/>
            <family val="2"/>
          </rPr>
          <t>Includes Microsoft Licensing</t>
        </r>
      </text>
    </comment>
    <comment ref="E61" authorId="0" shapeId="0" xr:uid="{A2827C5E-E0F9-49BC-B8D5-0A6258C696DC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  <comment ref="E62" authorId="0" shapeId="0" xr:uid="{ECEE0F12-DAB3-422C-AEE6-26B5B9D633CA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Navarro, Michael</author>
  </authors>
  <commentList>
    <comment ref="E46" authorId="0" shapeId="0" xr:uid="{8CCD9C32-7C17-4D5E-AA5F-9AB7E80DB315}">
      <text>
        <r>
          <rPr>
            <b/>
            <sz val="12"/>
            <color indexed="9"/>
            <rFont val="Tahoma"/>
            <family val="2"/>
          </rPr>
          <t>Includes Microsoft Licensing</t>
        </r>
      </text>
    </comment>
    <comment ref="E47" authorId="0" shapeId="0" xr:uid="{4813094D-C251-45BE-8B8E-C9381764565A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  <comment ref="E48" authorId="0" shapeId="0" xr:uid="{41DC4ABB-71C0-49D2-95EE-BE1ED7ECA9C5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</commentList>
</comments>
</file>

<file path=xl/sharedStrings.xml><?xml version="1.0" encoding="utf-8"?>
<sst xmlns="http://schemas.openxmlformats.org/spreadsheetml/2006/main" count="2235" uniqueCount="1014">
  <si>
    <t>Salary</t>
  </si>
  <si>
    <t># of weeks</t>
  </si>
  <si>
    <t>Grand Total</t>
  </si>
  <si>
    <t>Rate</t>
  </si>
  <si>
    <t>Job Title</t>
  </si>
  <si>
    <t>Name</t>
  </si>
  <si>
    <t>VP of Preconstruction</t>
  </si>
  <si>
    <t>Assistant Estimator</t>
  </si>
  <si>
    <t>Start Month</t>
  </si>
  <si>
    <t>Duration</t>
  </si>
  <si>
    <t>weeks :</t>
  </si>
  <si>
    <t>months :</t>
  </si>
  <si>
    <t>units :</t>
  </si>
  <si>
    <t>Region:</t>
  </si>
  <si>
    <t>area :</t>
  </si>
  <si>
    <t>Sector:</t>
  </si>
  <si>
    <t>REPROGRAPHICS</t>
  </si>
  <si>
    <t>Pre-Construction</t>
  </si>
  <si>
    <t>lsum</t>
  </si>
  <si>
    <t>Construction</t>
  </si>
  <si>
    <t>POSTAGE &amp; COURIER</t>
  </si>
  <si>
    <t>mos</t>
  </si>
  <si>
    <t>EXPLORITORY &amp; SURVEYING SERVICES</t>
  </si>
  <si>
    <t>Exploratory Investigations</t>
  </si>
  <si>
    <t>Surveying Services</t>
  </si>
  <si>
    <t>day</t>
  </si>
  <si>
    <t>Survey Exist. Cond. / As-Builts</t>
  </si>
  <si>
    <t>Rental of Offsite Parking Lot</t>
  </si>
  <si>
    <t>Parking Shuttle Van</t>
  </si>
  <si>
    <t>Parking Shuttle Van Driver</t>
  </si>
  <si>
    <t>CONSULTING SERVICES</t>
  </si>
  <si>
    <t>Consulting Services</t>
  </si>
  <si>
    <t>Lean Consulting Services</t>
  </si>
  <si>
    <t>MISCELLANEOUS SUPPORT &amp; EQUIPMENT</t>
  </si>
  <si>
    <t>Master Mechanic</t>
  </si>
  <si>
    <t>wks</t>
  </si>
  <si>
    <t>Teamster</t>
  </si>
  <si>
    <t>Trucking/Transportation</t>
  </si>
  <si>
    <t>ls</t>
  </si>
  <si>
    <t>Storage Trailer</t>
  </si>
  <si>
    <t>Tools &amp; Equipment</t>
  </si>
  <si>
    <t>Rodent Control</t>
  </si>
  <si>
    <t>Mock Ups (include removal)</t>
  </si>
  <si>
    <t>Off Hours Work Permit</t>
  </si>
  <si>
    <t>days</t>
  </si>
  <si>
    <t>Punch List</t>
  </si>
  <si>
    <t>Cut &amp; Patch</t>
  </si>
  <si>
    <t>WATER CONSUMPTION</t>
  </si>
  <si>
    <t>ELECTRICITY CONSUMPTION</t>
  </si>
  <si>
    <t>Temp. Electric Vault &amp; Service</t>
  </si>
  <si>
    <t xml:space="preserve">TEMPORARY TOILETS </t>
  </si>
  <si>
    <t>Portables</t>
  </si>
  <si>
    <t>Temp Bathroom Install</t>
  </si>
  <si>
    <t>ea</t>
  </si>
  <si>
    <t>Temp Bathroom Remove</t>
  </si>
  <si>
    <t>Temp Bathroom Cleaning</t>
  </si>
  <si>
    <t>CONSTRUCTION MANAGEMENT PLAN</t>
  </si>
  <si>
    <t>Sidewalk Bridge</t>
  </si>
  <si>
    <t>lf</t>
  </si>
  <si>
    <t>New Traffic Markings</t>
  </si>
  <si>
    <t>Remove Old/Existing Traffic Markings</t>
  </si>
  <si>
    <t>Temporary Road Signs</t>
  </si>
  <si>
    <t>Sidewalk Rental</t>
  </si>
  <si>
    <t>Street Rental</t>
  </si>
  <si>
    <t>Parking Meter Fees</t>
  </si>
  <si>
    <t>Off Hours Permit</t>
  </si>
  <si>
    <t>CONSTRUCTION FENCE</t>
  </si>
  <si>
    <t>Jersey Barriers</t>
  </si>
  <si>
    <t>lf/month</t>
  </si>
  <si>
    <t>Fence on top of Jersey Barriers</t>
  </si>
  <si>
    <t>Gates</t>
  </si>
  <si>
    <t>Maintenance &amp; Relocations</t>
  </si>
  <si>
    <t>Fence Removal</t>
  </si>
  <si>
    <t>Laborer to Open &amp; Close Gates</t>
  </si>
  <si>
    <t>hrs</t>
  </si>
  <si>
    <t>SAFETY SUPPLIES &amp; EQUIPMENT</t>
  </si>
  <si>
    <t>Temporary Fire Extinguishers &amp; Stands</t>
  </si>
  <si>
    <t>Temporary Signage</t>
  </si>
  <si>
    <t>First Aid Supplies</t>
  </si>
  <si>
    <t>Fire Watch</t>
  </si>
  <si>
    <t>Security</t>
  </si>
  <si>
    <t>Waste Management Plan</t>
  </si>
  <si>
    <t>Final Cleaning - Building</t>
  </si>
  <si>
    <t>sf</t>
  </si>
  <si>
    <t>Final Cleaning - Parking</t>
  </si>
  <si>
    <t>Rubbish Chute</t>
  </si>
  <si>
    <t>Carpenters</t>
  </si>
  <si>
    <t>Laborers</t>
  </si>
  <si>
    <t>Materials</t>
  </si>
  <si>
    <t>Stair Towers during excavation of foundation</t>
  </si>
  <si>
    <t>Cleaning Supplies</t>
  </si>
  <si>
    <t>Cleaning Site</t>
  </si>
  <si>
    <t>Cleaning Trailers/Office</t>
  </si>
  <si>
    <t>DUMPSTERS</t>
  </si>
  <si>
    <t>loads</t>
  </si>
  <si>
    <t>Overweight Pulls (10% of total # of loads)</t>
  </si>
  <si>
    <t>PERSONNEL &amp; MATERIAL HOISTING</t>
  </si>
  <si>
    <t>Mobilize, Erect &amp; Dismantle</t>
  </si>
  <si>
    <t>Hoist Rental (Single Car)</t>
  </si>
  <si>
    <t>Hoist Rental (Double Car)</t>
  </si>
  <si>
    <t>Hoist Rental Insurance</t>
  </si>
  <si>
    <t>Communication Boxes</t>
  </si>
  <si>
    <t>Jumps</t>
  </si>
  <si>
    <t>Sales Tax</t>
  </si>
  <si>
    <t>Operator Car #1 (Regular Time)</t>
  </si>
  <si>
    <t>Operator Car #2 (Regular Time)</t>
  </si>
  <si>
    <t>Operator Car #1 (Overtime)</t>
  </si>
  <si>
    <t>Operator Car #2 (Overtime)</t>
  </si>
  <si>
    <t>Temporary Interior Elevator Operator (Regular Time)</t>
  </si>
  <si>
    <t>Temporary Interior Elevator Operator (Overtime)</t>
  </si>
  <si>
    <t>Elevator Maintenance</t>
  </si>
  <si>
    <t>Elevator Repairs</t>
  </si>
  <si>
    <t>Fence Enclosures</t>
  </si>
  <si>
    <t>Concrete Pad</t>
  </si>
  <si>
    <t>Reinforce Existing Structure @ Tie-Ins</t>
  </si>
  <si>
    <t>Loading Docks/Ramps/Overhead Prot.</t>
  </si>
  <si>
    <t>Cab Protection</t>
  </si>
  <si>
    <t>Plywood Partitions @ Gates</t>
  </si>
  <si>
    <t>Temporary Power Consumption</t>
  </si>
  <si>
    <t>Temporary Power Service</t>
  </si>
  <si>
    <t>WINTER CONDITIONS / TEMPORARY HEAT</t>
  </si>
  <si>
    <t>Snow Removal from Site</t>
  </si>
  <si>
    <t>Temporary Construction</t>
  </si>
  <si>
    <t>Miscellaneous Heat &amp; Tarps</t>
  </si>
  <si>
    <t>Babfar Rental/Install</t>
  </si>
  <si>
    <t>Temp. Ductwork</t>
  </si>
  <si>
    <t>Fuel</t>
  </si>
  <si>
    <t>STAGING &amp; SCAFFOLDING</t>
  </si>
  <si>
    <t>Exterior Scaffolding first months rental &amp; dismantle</t>
  </si>
  <si>
    <t>Exterior Scaffolding monthly rental</t>
  </si>
  <si>
    <t>Exterior Scaffolding move planks</t>
  </si>
  <si>
    <t>Interior Scaffolding first months rental &amp; dismantle</t>
  </si>
  <si>
    <t>Interior Scaffolding monthly rental</t>
  </si>
  <si>
    <t>Interior Scaffolding move planks</t>
  </si>
  <si>
    <t>TESTING &amp; INSPECTIONS</t>
  </si>
  <si>
    <t>Soils</t>
  </si>
  <si>
    <t>Concrete</t>
  </si>
  <si>
    <t>Steel</t>
  </si>
  <si>
    <t>Spray Fireproofing</t>
  </si>
  <si>
    <t>Curtainwall &amp; Windows</t>
  </si>
  <si>
    <t>PROJECT STAFFING EXPENSES</t>
  </si>
  <si>
    <t>Weekly Parking Fees</t>
  </si>
  <si>
    <t>Recruiting Charges</t>
  </si>
  <si>
    <t>Mileage</t>
  </si>
  <si>
    <t>miles</t>
  </si>
  <si>
    <t>Airfare</t>
  </si>
  <si>
    <t>flights</t>
  </si>
  <si>
    <t>nights</t>
  </si>
  <si>
    <t>Car Rental</t>
  </si>
  <si>
    <t>Tolls</t>
  </si>
  <si>
    <t>Food Allowance</t>
  </si>
  <si>
    <t xml:space="preserve">(64 x 36) Triple-wide trailer </t>
  </si>
  <si>
    <t>Delivery</t>
  </si>
  <si>
    <t>Pick-up</t>
  </si>
  <si>
    <t>Aluminum Steps</t>
  </si>
  <si>
    <t>Security System</t>
  </si>
  <si>
    <t>Utility Connections</t>
  </si>
  <si>
    <t>Utility Consumption</t>
  </si>
  <si>
    <t xml:space="preserve">(64 x 24) Double-wide trailer </t>
  </si>
  <si>
    <t xml:space="preserve">(60 x 12) Single-wide trailer </t>
  </si>
  <si>
    <t>TEMPORARY OFFICE RENTAL</t>
  </si>
  <si>
    <t>Rental Fees</t>
  </si>
  <si>
    <t>Build-Out Of Office Space</t>
  </si>
  <si>
    <t>Utilities</t>
  </si>
  <si>
    <t>Demolition &amp; Restore to Original Condition</t>
  </si>
  <si>
    <t xml:space="preserve">SUFFOLK OFFICE FUNITURE &amp; EQUIPMENT </t>
  </si>
  <si>
    <t>Digital Camera</t>
  </si>
  <si>
    <t>Jobsite Live Streaming Camera - Earthcam</t>
  </si>
  <si>
    <t>set-up</t>
  </si>
  <si>
    <t>Jobsite Live Streaming  Camera - Earthcam ($600/mth fee plus $300/mth for internet fee)</t>
  </si>
  <si>
    <t>Cell Phone Charging Stations</t>
  </si>
  <si>
    <t>Office Supplies</t>
  </si>
  <si>
    <t xml:space="preserve">Office Furniture for each staff member  (Desks, Chairs, File Cabinet) </t>
  </si>
  <si>
    <t xml:space="preserve">Office Furniture (Conf. Tables, Chairs, Plan Tables, Filing Cabinets) </t>
  </si>
  <si>
    <t>Consumables</t>
  </si>
  <si>
    <t>Bottled Water/Coffee</t>
  </si>
  <si>
    <t>INFORMATION TECHNOLOGY &amp; SUPPORT</t>
  </si>
  <si>
    <t>Internet set-up / job site set up</t>
  </si>
  <si>
    <t>lines</t>
  </si>
  <si>
    <t>Mifi Set-up Cost (Cradlepoints)</t>
  </si>
  <si>
    <t>Mifi Monthly Cost</t>
  </si>
  <si>
    <t>Cisco PoE Switch (One required for every job) - Good for Up to 20 Users</t>
  </si>
  <si>
    <t>Internal Wireless Access Point (Trailer)</t>
  </si>
  <si>
    <t>External Wireless Access Point (Site)</t>
  </si>
  <si>
    <t>Cisco VoiP phone</t>
  </si>
  <si>
    <t>Cisco Conference Star phone</t>
  </si>
  <si>
    <t>File Server, Rack, UPS, SkySync License</t>
  </si>
  <si>
    <t xml:space="preserve">COMPUTER EQUIPMENT   </t>
  </si>
  <si>
    <t>Printer</t>
  </si>
  <si>
    <t>24" Monitor</t>
  </si>
  <si>
    <t>27" Monitor</t>
  </si>
  <si>
    <t>27" DELL 4K monitor</t>
  </si>
  <si>
    <t>Digital Signage</t>
  </si>
  <si>
    <t>Apple TV (iPad Screen Mirroring)</t>
  </si>
  <si>
    <t>Field iPad</t>
  </si>
  <si>
    <t>Procore Fee</t>
  </si>
  <si>
    <t>SUFFOLK SAFETY APPLICATION</t>
  </si>
  <si>
    <t>BIM 360</t>
  </si>
  <si>
    <t>BIM</t>
  </si>
  <si>
    <t>Scanning an Existing Building</t>
  </si>
  <si>
    <t>QA/QC of a New Building</t>
  </si>
  <si>
    <t>LEAN CONSULTING</t>
  </si>
  <si>
    <t>Internal Consulting</t>
  </si>
  <si>
    <t>MISCELLANEOUS EXPENSES</t>
  </si>
  <si>
    <t>Suffolk Project Sign</t>
  </si>
  <si>
    <t>Marketing Photographs</t>
  </si>
  <si>
    <t>gsf</t>
  </si>
  <si>
    <t>PreCon Start</t>
  </si>
  <si>
    <t>PreCon Finish</t>
  </si>
  <si>
    <t>Contruction Start</t>
  </si>
  <si>
    <t>Construction Finish</t>
  </si>
  <si>
    <t>Units</t>
  </si>
  <si>
    <t>Area</t>
  </si>
  <si>
    <t>Project Cost</t>
  </si>
  <si>
    <t>Project</t>
  </si>
  <si>
    <t>Location</t>
  </si>
  <si>
    <t>Date</t>
  </si>
  <si>
    <t>Region</t>
  </si>
  <si>
    <t>Sector</t>
  </si>
  <si>
    <t>Construction LIT</t>
  </si>
  <si>
    <t>Ops Job #</t>
  </si>
  <si>
    <t>Precon Task #</t>
  </si>
  <si>
    <t>Precon Raises</t>
  </si>
  <si>
    <t>Construction Raises</t>
  </si>
  <si>
    <r>
      <t>Iphone</t>
    </r>
    <r>
      <rPr>
        <b/>
        <sz val="9"/>
        <color theme="1"/>
        <rFont val="Verdana"/>
        <family val="2"/>
      </rPr>
      <t>/week</t>
    </r>
  </si>
  <si>
    <r>
      <t>IT</t>
    </r>
    <r>
      <rPr>
        <b/>
        <sz val="9"/>
        <color theme="1"/>
        <rFont val="Verdana"/>
        <family val="2"/>
      </rPr>
      <t>/week</t>
    </r>
  </si>
  <si>
    <r>
      <t>Gas</t>
    </r>
    <r>
      <rPr>
        <b/>
        <sz val="9"/>
        <color theme="1"/>
        <rFont val="Verdana"/>
        <family val="2"/>
      </rPr>
      <t>/week</t>
    </r>
  </si>
  <si>
    <t>Vacation</t>
  </si>
  <si>
    <t>PTO Reimbursable</t>
  </si>
  <si>
    <t>4wks PTO Non-Reimbursable</t>
  </si>
  <si>
    <t>3wks PTO Non-Reimbursable</t>
  </si>
  <si>
    <t>Precon</t>
  </si>
  <si>
    <t>%</t>
  </si>
  <si>
    <t>Start
Date</t>
  </si>
  <si>
    <r>
      <t xml:space="preserve">IT
</t>
    </r>
    <r>
      <rPr>
        <b/>
        <sz val="9"/>
        <color theme="0"/>
        <rFont val="Verdana"/>
        <family val="2"/>
      </rPr>
      <t>/week</t>
    </r>
  </si>
  <si>
    <r>
      <t xml:space="preserve">IPhone
</t>
    </r>
    <r>
      <rPr>
        <b/>
        <sz val="9"/>
        <color theme="0"/>
        <rFont val="Verdana"/>
        <family val="2"/>
      </rPr>
      <t>/week</t>
    </r>
  </si>
  <si>
    <t xml:space="preserve">Total Annual </t>
  </si>
  <si>
    <r>
      <t xml:space="preserve">IT
</t>
    </r>
    <r>
      <rPr>
        <b/>
        <sz val="9"/>
        <color theme="0"/>
        <rFont val="Verdana"/>
        <family val="2"/>
      </rPr>
      <t>total</t>
    </r>
    <r>
      <rPr>
        <b/>
        <sz val="10"/>
        <color theme="0"/>
        <rFont val="Verdana"/>
        <family val="2"/>
      </rPr>
      <t xml:space="preserve"> </t>
    </r>
  </si>
  <si>
    <r>
      <t>Iphone</t>
    </r>
    <r>
      <rPr>
        <b/>
        <sz val="9"/>
        <color theme="0"/>
        <rFont val="Verdana"/>
        <family val="2"/>
      </rPr>
      <t xml:space="preserve">
total</t>
    </r>
  </si>
  <si>
    <r>
      <t>Gas</t>
    </r>
    <r>
      <rPr>
        <b/>
        <sz val="9"/>
        <color theme="0"/>
        <rFont val="Verdana"/>
        <family val="2"/>
      </rPr>
      <t xml:space="preserve">
/week</t>
    </r>
  </si>
  <si>
    <r>
      <t xml:space="preserve">Labor
</t>
    </r>
    <r>
      <rPr>
        <b/>
        <sz val="9"/>
        <color theme="0"/>
        <rFont val="Verdana"/>
        <family val="2"/>
      </rPr>
      <t>total</t>
    </r>
  </si>
  <si>
    <r>
      <t xml:space="preserve">Gas
</t>
    </r>
    <r>
      <rPr>
        <b/>
        <sz val="9"/>
        <color theme="0"/>
        <rFont val="Verdana"/>
        <family val="2"/>
      </rPr>
      <t>total</t>
    </r>
  </si>
  <si>
    <t>IT/wk</t>
  </si>
  <si>
    <t>Iphone/wk</t>
  </si>
  <si>
    <t>Gas/wk</t>
  </si>
  <si>
    <t>Annual Car Allow</t>
  </si>
  <si>
    <t>Finish
Date</t>
  </si>
  <si>
    <t>Total</t>
  </si>
  <si>
    <t>Project Engineer</t>
  </si>
  <si>
    <t>Position</t>
  </si>
  <si>
    <t>Salary Default</t>
  </si>
  <si>
    <t>Auto</t>
  </si>
  <si>
    <t>\revit</t>
  </si>
  <si>
    <t>\auto</t>
  </si>
  <si>
    <t>\salary</t>
  </si>
  <si>
    <t>\position</t>
  </si>
  <si>
    <t>\rank</t>
  </si>
  <si>
    <t>Insert Order</t>
  </si>
  <si>
    <t>Tokens/wk</t>
  </si>
  <si>
    <t>Rank</t>
  </si>
  <si>
    <t>SELECT</t>
  </si>
  <si>
    <t>\order</t>
  </si>
  <si>
    <t>USERNAME</t>
  </si>
  <si>
    <t>MODULE</t>
  </si>
  <si>
    <t>PROCEDURE</t>
  </si>
  <si>
    <t>MESSAGE</t>
  </si>
  <si>
    <t>NUMBER</t>
  </si>
  <si>
    <t>TIME</t>
  </si>
  <si>
    <t>West Palm Beach</t>
  </si>
  <si>
    <t>[</t>
  </si>
  <si>
    <t>]</t>
  </si>
  <si>
    <t>SECTORS</t>
  </si>
  <si>
    <t>REGIONS</t>
  </si>
  <si>
    <t>Mixed-Use</t>
  </si>
  <si>
    <t>Boston</t>
  </si>
  <si>
    <t>Parking</t>
  </si>
  <si>
    <t>New York</t>
  </si>
  <si>
    <t>Office</t>
  </si>
  <si>
    <t>Miami</t>
  </si>
  <si>
    <t>Retail</t>
  </si>
  <si>
    <t>Hospitality &amp; Entertainment</t>
  </si>
  <si>
    <t>Estero</t>
  </si>
  <si>
    <t>Residential</t>
  </si>
  <si>
    <t>Tampa</t>
  </si>
  <si>
    <t>Elder Care</t>
  </si>
  <si>
    <t>Dallas</t>
  </si>
  <si>
    <t>Health Care</t>
  </si>
  <si>
    <t>San Diego</t>
  </si>
  <si>
    <t>Laboratory</t>
  </si>
  <si>
    <t>Los Angeles</t>
  </si>
  <si>
    <t>Education</t>
  </si>
  <si>
    <t>San Francisco</t>
  </si>
  <si>
    <t>Community / Cultural</t>
  </si>
  <si>
    <t>Sports / Recreation</t>
  </si>
  <si>
    <t>Food Service</t>
  </si>
  <si>
    <t>Manufacturing / Warehouse</t>
  </si>
  <si>
    <t>Site / Infrastructure</t>
  </si>
  <si>
    <t>Energy / Communications</t>
  </si>
  <si>
    <t>Transportation</t>
  </si>
  <si>
    <t>Government</t>
  </si>
  <si>
    <t>graph staffing</t>
  </si>
  <si>
    <t>regions</t>
  </si>
  <si>
    <t>sectors</t>
  </si>
  <si>
    <t>then</t>
  </si>
  <si>
    <t>if &gt;=</t>
  </si>
  <si>
    <t>copiers</t>
  </si>
  <si>
    <t>internet</t>
  </si>
  <si>
    <t>staff ct</t>
  </si>
  <si>
    <t>Internet Monthly Cost</t>
  </si>
  <si>
    <t xml:space="preserve">Copiers </t>
  </si>
  <si>
    <t>institutional BIM</t>
  </si>
  <si>
    <t>Commercial BIM</t>
  </si>
  <si>
    <t>touchplan fees</t>
  </si>
  <si>
    <t>monthly</t>
  </si>
  <si>
    <t>one time</t>
  </si>
  <si>
    <t>Touchplan Fees, Monthly</t>
  </si>
  <si>
    <t>Touchplan Fees, One Time Fee</t>
  </si>
  <si>
    <t>Rent</t>
  </si>
  <si>
    <t>Trailers</t>
  </si>
  <si>
    <t>PROCORE</t>
  </si>
  <si>
    <t>PROJECT TRAILERS</t>
  </si>
  <si>
    <t>VP Of Operations</t>
  </si>
  <si>
    <t xml:space="preserve">Project Executive 2 </t>
  </si>
  <si>
    <t>Project Executive 1</t>
  </si>
  <si>
    <t>Sr. Project Manager 2</t>
  </si>
  <si>
    <t xml:space="preserve">Sr. Project Manager 1 </t>
  </si>
  <si>
    <t xml:space="preserve">Project Manager 2 </t>
  </si>
  <si>
    <t xml:space="preserve">Project Manager 1 </t>
  </si>
  <si>
    <t xml:space="preserve">Asst Project Manager 1 </t>
  </si>
  <si>
    <t>Asst Project Manager 2</t>
  </si>
  <si>
    <t>Proj Admin</t>
  </si>
  <si>
    <t>General Superintendent</t>
  </si>
  <si>
    <t xml:space="preserve">Sr. Superintendent 3 </t>
  </si>
  <si>
    <t xml:space="preserve">Sr. Superintendent 2 </t>
  </si>
  <si>
    <t xml:space="preserve">Sr. Superintendent 1 </t>
  </si>
  <si>
    <t xml:space="preserve">Superintendent 3 </t>
  </si>
  <si>
    <t>Superintendent 2</t>
  </si>
  <si>
    <t xml:space="preserve">Superintendent 1 </t>
  </si>
  <si>
    <t xml:space="preserve">Asst Superintendent 2 </t>
  </si>
  <si>
    <t>Asst Superintendent 1</t>
  </si>
  <si>
    <t>Field Engineer</t>
  </si>
  <si>
    <t>Safety Manager 2</t>
  </si>
  <si>
    <t>Safety Manager 1</t>
  </si>
  <si>
    <t>Reg Safety Director</t>
  </si>
  <si>
    <t>Senior Scheduler</t>
  </si>
  <si>
    <t>Scheduler</t>
  </si>
  <si>
    <t>VP Engineering</t>
  </si>
  <si>
    <t>Sr. MEP Project Manager</t>
  </si>
  <si>
    <t>MEP Project Manager</t>
  </si>
  <si>
    <t xml:space="preserve">Reg. BIM/VDC Director </t>
  </si>
  <si>
    <t xml:space="preserve">VDC Manager </t>
  </si>
  <si>
    <t xml:space="preserve">VDC Coordinator </t>
  </si>
  <si>
    <t>Director of Trade Partner Diversity</t>
  </si>
  <si>
    <t>Trade Partner Diversity Officer</t>
  </si>
  <si>
    <t>Project Controller</t>
  </si>
  <si>
    <t>Project Accountant</t>
  </si>
  <si>
    <t>Sr. Estimator 2</t>
  </si>
  <si>
    <t>Sr. Estimator 1</t>
  </si>
  <si>
    <t xml:space="preserve">Estimator 2 </t>
  </si>
  <si>
    <t>Estimating Assistant</t>
  </si>
  <si>
    <t>cost code</t>
  </si>
  <si>
    <t>Week</t>
  </si>
  <si>
    <t>Labor</t>
  </si>
  <si>
    <t>Crew Size</t>
  </si>
  <si>
    <t>Police</t>
  </si>
  <si>
    <t>Straight</t>
  </si>
  <si>
    <t>1-1/2X</t>
  </si>
  <si>
    <t>2X</t>
  </si>
  <si>
    <t>Man Weeks</t>
  </si>
  <si>
    <t>Sort Order</t>
  </si>
  <si>
    <t>Career Start Estimator</t>
  </si>
  <si>
    <t>Intern</t>
  </si>
  <si>
    <t>MEP Estimator</t>
  </si>
  <si>
    <t>Template</t>
  </si>
  <si>
    <t>Index</t>
  </si>
  <si>
    <t>Totals</t>
  </si>
  <si>
    <t>General Requirements</t>
  </si>
  <si>
    <t>Unit</t>
  </si>
  <si>
    <t>Water Consumption</t>
  </si>
  <si>
    <t>Dumpsters</t>
  </si>
  <si>
    <t>GENERAL REQUIREMENTS  TOTAL</t>
  </si>
  <si>
    <t xml:space="preserve">Don't Forget to relocate the items below that were transferred from the GRs up into the GCs </t>
  </si>
  <si>
    <t>Line Item</t>
  </si>
  <si>
    <t>Header</t>
  </si>
  <si>
    <t/>
  </si>
  <si>
    <t>GENERAL CONDITIONS  TOTAL</t>
  </si>
  <si>
    <t>General Conditions</t>
  </si>
  <si>
    <t>Project Staffing:</t>
  </si>
  <si>
    <t>% of Time</t>
  </si>
  <si>
    <t>Bill Rate</t>
  </si>
  <si>
    <t>QT</t>
  </si>
  <si>
    <t>Safety Application - per each on site staff</t>
  </si>
  <si>
    <t>TBD</t>
  </si>
  <si>
    <t xml:space="preserve">Laptop Standard </t>
  </si>
  <si>
    <t>Laptop BIM High Spec</t>
  </si>
  <si>
    <t>Desktop Computer</t>
  </si>
  <si>
    <t>Red Analog Emergency Phone</t>
  </si>
  <si>
    <t>contract</t>
  </si>
  <si>
    <r>
      <t xml:space="preserve">MACROS MUST BE </t>
    </r>
    <r>
      <rPr>
        <sz val="28"/>
        <color theme="1"/>
        <rFont val="Calibri"/>
        <family val="2"/>
        <scheme val="minor"/>
      </rPr>
      <t>ENABLED</t>
    </r>
    <r>
      <rPr>
        <sz val="11"/>
        <color theme="1"/>
        <rFont val="Calibri"/>
        <family val="2"/>
        <scheme val="minor"/>
      </rPr>
      <t xml:space="preserve"> TO USE THIS WORKBOOK</t>
    </r>
  </si>
  <si>
    <t xml:space="preserve">Close this workbook and reopen.  When this workbook opens, select 'ENABLE' when prompted. </t>
  </si>
  <si>
    <t>If you do not see a prompt to enable Macros, follow the below steps:</t>
  </si>
  <si>
    <r>
      <t xml:space="preserve">[1]    Click the </t>
    </r>
    <r>
      <rPr>
        <b/>
        <sz val="12"/>
        <color theme="1"/>
        <rFont val="Calibri"/>
        <family val="2"/>
        <scheme val="minor"/>
      </rPr>
      <t>'File'</t>
    </r>
    <r>
      <rPr>
        <sz val="11"/>
        <color theme="1"/>
        <rFont val="Calibri"/>
        <family val="2"/>
        <scheme val="minor"/>
      </rPr>
      <t xml:space="preserve"> tab in the menu header above</t>
    </r>
  </si>
  <si>
    <r>
      <t>[2]    Select</t>
    </r>
    <r>
      <rPr>
        <b/>
        <sz val="12"/>
        <color theme="1"/>
        <rFont val="Calibri"/>
        <family val="2"/>
        <scheme val="minor"/>
      </rPr>
      <t xml:space="preserve"> 'Options' </t>
    </r>
    <r>
      <rPr>
        <sz val="11"/>
        <color theme="1"/>
        <rFont val="Calibri"/>
        <family val="2"/>
        <scheme val="minor"/>
      </rPr>
      <t>in the navigation bar on the left</t>
    </r>
  </si>
  <si>
    <r>
      <t xml:space="preserve">[3]    Select </t>
    </r>
    <r>
      <rPr>
        <b/>
        <sz val="12"/>
        <color theme="1"/>
        <rFont val="Calibri"/>
        <family val="2"/>
        <scheme val="minor"/>
      </rPr>
      <t xml:space="preserve">'Trust Center' </t>
    </r>
    <r>
      <rPr>
        <sz val="11"/>
        <color theme="1"/>
        <rFont val="Calibri"/>
        <family val="2"/>
        <scheme val="minor"/>
      </rPr>
      <t>in the left navigation bar</t>
    </r>
  </si>
  <si>
    <r>
      <t>[4]    Click the</t>
    </r>
    <r>
      <rPr>
        <b/>
        <sz val="12"/>
        <color theme="1"/>
        <rFont val="Calibri"/>
        <family val="2"/>
        <scheme val="minor"/>
      </rPr>
      <t xml:space="preserve"> 'Trust Center Settings' </t>
    </r>
    <r>
      <rPr>
        <sz val="11"/>
        <color theme="1"/>
        <rFont val="Calibri"/>
        <family val="2"/>
        <scheme val="minor"/>
      </rPr>
      <t>button on the middle right</t>
    </r>
  </si>
  <si>
    <r>
      <t xml:space="preserve">[5]    Under the Macro Settings header, click </t>
    </r>
    <r>
      <rPr>
        <b/>
        <sz val="12"/>
        <color theme="1"/>
        <rFont val="Calibri"/>
        <family val="2"/>
        <scheme val="minor"/>
      </rPr>
      <t>'Disable all macros with notification'</t>
    </r>
  </si>
  <si>
    <r>
      <t xml:space="preserve">[6]    Close this workbook and excel, select </t>
    </r>
    <r>
      <rPr>
        <b/>
        <sz val="12"/>
        <color theme="1"/>
        <rFont val="Calibri"/>
        <family val="2"/>
        <scheme val="minor"/>
      </rPr>
      <t>'ENABLE'</t>
    </r>
    <r>
      <rPr>
        <sz val="11"/>
        <color theme="1"/>
        <rFont val="Calibri"/>
        <family val="2"/>
        <scheme val="minor"/>
      </rPr>
      <t xml:space="preserve"> when prompted</t>
    </r>
  </si>
  <si>
    <t>Subtotals</t>
  </si>
  <si>
    <t>Elder Care
Laboratory
Education
Sports / Recreation</t>
  </si>
  <si>
    <t>Tampa
Dallas
San Diego</t>
  </si>
  <si>
    <t>Boston
San Diego
Los Angeles
San Francisco</t>
  </si>
  <si>
    <t>Trailer</t>
  </si>
  <si>
    <t>dataSMART        GCs &amp; GRs</t>
  </si>
  <si>
    <t>Microsoft Surface Hub</t>
  </si>
  <si>
    <t>Surveying Equipment</t>
  </si>
  <si>
    <t>Partnering Session</t>
  </si>
  <si>
    <t>Electric Consumption</t>
  </si>
  <si>
    <t>Police Details</t>
  </si>
  <si>
    <t>Chain Link Fence</t>
  </si>
  <si>
    <t>Shanty Protection - smoke detector &amp; fire extinguisher</t>
  </si>
  <si>
    <t>Creation of Temp. Fire Protection Plan (over 40 stories only)</t>
  </si>
  <si>
    <t>Misc. Safety Supplies (hard hats, safety glasses, harnesses, etc)</t>
  </si>
  <si>
    <t>TEMPORARY SAFETY &amp; PROTECTION</t>
  </si>
  <si>
    <t>CLEANING &amp; MISC. LABOR</t>
  </si>
  <si>
    <t>Clean-up Laborers</t>
  </si>
  <si>
    <t>Police Details, Cranes, Permits during E &amp; D</t>
  </si>
  <si>
    <t>Operating Engineers during E &amp; D</t>
  </si>
  <si>
    <t>Gate Rental</t>
  </si>
  <si>
    <t>Snow Removal from Building</t>
  </si>
  <si>
    <t>Portable Heaters</t>
  </si>
  <si>
    <t>Use/cln perm.system</t>
  </si>
  <si>
    <t>floors</t>
  </si>
  <si>
    <t>House/Apartment Rental</t>
  </si>
  <si>
    <t>Moving/Relocation</t>
  </si>
  <si>
    <t>Miami
West Palm Beach
Estero
Tampa</t>
  </si>
  <si>
    <t>Skirting</t>
  </si>
  <si>
    <t>Copier Maintenance</t>
  </si>
  <si>
    <t>Team Lunch (Owner Meetings)</t>
  </si>
  <si>
    <t>Aerial Photos</t>
  </si>
  <si>
    <t>Client Entertainment</t>
  </si>
  <si>
    <t>Topping Off Ceremony</t>
  </si>
  <si>
    <t>Legal Services</t>
  </si>
  <si>
    <t>Smoke Control</t>
  </si>
  <si>
    <t>Small Business/Work Force Compliance Consultant</t>
  </si>
  <si>
    <t>Radios</t>
  </si>
  <si>
    <t>Boston
New York
Dallas
San Diego
Los Angeles
San Francisco</t>
  </si>
  <si>
    <t>Portable Unit Delivery Fee</t>
  </si>
  <si>
    <t>Hand Sanitizer</t>
  </si>
  <si>
    <t>Gel Pak</t>
  </si>
  <si>
    <t>Holding Tanks</t>
  </si>
  <si>
    <t>Railway Spotter</t>
  </si>
  <si>
    <t>Car/Boat Detailing</t>
  </si>
  <si>
    <t>Clean Adjacent Building</t>
  </si>
  <si>
    <t>MOT Plan</t>
  </si>
  <si>
    <t>Miscellaneous Permits</t>
  </si>
  <si>
    <t>Overtime Inspection Costs</t>
  </si>
  <si>
    <t>Access Point Turnstiles</t>
  </si>
  <si>
    <t>Hurricane Preparation</t>
  </si>
  <si>
    <t>Water Barriers</t>
  </si>
  <si>
    <t>Overtime Equipment Hours</t>
  </si>
  <si>
    <t>Gate Installation</t>
  </si>
  <si>
    <t>Drop Tests</t>
  </si>
  <si>
    <t>Threshold Rentals</t>
  </si>
  <si>
    <t>Assist Crane</t>
  </si>
  <si>
    <t>3rd Party Certification</t>
  </si>
  <si>
    <t>Trailer Table</t>
  </si>
  <si>
    <t>Schedule Table</t>
  </si>
  <si>
    <t>Flagman</t>
  </si>
  <si>
    <t>KeyRunner</t>
  </si>
  <si>
    <t>Miscelleneous Labor</t>
  </si>
  <si>
    <t>Safety (C &amp; L)</t>
  </si>
  <si>
    <t>Boston
New York</t>
  </si>
  <si>
    <t>Scheduling Director (601)</t>
  </si>
  <si>
    <t>Project Executive 3</t>
  </si>
  <si>
    <t>MEP Superintendent</t>
  </si>
  <si>
    <t>Estimator 1</t>
  </si>
  <si>
    <t>Senior Safety Manager 1</t>
  </si>
  <si>
    <t>Junior Scheduler</t>
  </si>
  <si>
    <t>Chief Estimator</t>
  </si>
  <si>
    <t>Director Of Field Ops</t>
  </si>
  <si>
    <t>Estimating Manager</t>
  </si>
  <si>
    <t>\safety, 1, 0.5;\srsafety, 1, 0.1</t>
  </si>
  <si>
    <t>\safety, 2, 1;\srsafety, 1, 0.35</t>
  </si>
  <si>
    <t>\safety, 1, 1;\srsafety, 1, 0.2</t>
  </si>
  <si>
    <t>\srsafety, 1, 0.1</t>
  </si>
  <si>
    <t>Safety Presets</t>
  </si>
  <si>
    <t>prelabor</t>
  </si>
  <si>
    <t>conlabor</t>
  </si>
  <si>
    <t>Preconstruction</t>
  </si>
  <si>
    <t>017400</t>
  </si>
  <si>
    <t>\id</t>
  </si>
  <si>
    <t>ID</t>
  </si>
  <si>
    <t>est</t>
  </si>
  <si>
    <t>Estimating LIT</t>
  </si>
  <si>
    <t>Subtotals:</t>
  </si>
  <si>
    <t>New Phase:</t>
  </si>
  <si>
    <t>Phase Item</t>
  </si>
  <si>
    <t>TOTAL</t>
  </si>
  <si>
    <t>Value</t>
  </si>
  <si>
    <t>010000.000</t>
  </si>
  <si>
    <t>010100.010</t>
  </si>
  <si>
    <t>Document Reproduction</t>
  </si>
  <si>
    <t>010100.015</t>
  </si>
  <si>
    <t>Postage and Courier</t>
  </si>
  <si>
    <t>010100.020</t>
  </si>
  <si>
    <t>010100.030</t>
  </si>
  <si>
    <t>010100.040</t>
  </si>
  <si>
    <t>010100.050</t>
  </si>
  <si>
    <t>010100.060</t>
  </si>
  <si>
    <t>010100.070</t>
  </si>
  <si>
    <t>010100.080</t>
  </si>
  <si>
    <t>010100.090</t>
  </si>
  <si>
    <t>Partnering Sessions</t>
  </si>
  <si>
    <t>010100.100</t>
  </si>
  <si>
    <t>Entertainment / Topping Off / Etc.</t>
  </si>
  <si>
    <t>010100.110</t>
  </si>
  <si>
    <t>010100.120</t>
  </si>
  <si>
    <t>010100.130</t>
  </si>
  <si>
    <t>010100.140</t>
  </si>
  <si>
    <t>On Site Vehicle</t>
  </si>
  <si>
    <t>010100.150</t>
  </si>
  <si>
    <t>010100.160</t>
  </si>
  <si>
    <t>Tools and Equipment</t>
  </si>
  <si>
    <t>010100.170</t>
  </si>
  <si>
    <t>010100.180</t>
  </si>
  <si>
    <t>010100.190</t>
  </si>
  <si>
    <t>010100.200</t>
  </si>
  <si>
    <t>Cut and Patch</t>
  </si>
  <si>
    <t>010100.210</t>
  </si>
  <si>
    <t>Signage</t>
  </si>
  <si>
    <t>010100.215</t>
  </si>
  <si>
    <t>010100.220</t>
  </si>
  <si>
    <t>Smart Box</t>
  </si>
  <si>
    <t>010100.230</t>
  </si>
  <si>
    <t>Owner Office Trailers</t>
  </si>
  <si>
    <t>010100.235</t>
  </si>
  <si>
    <t>Office Trailer Lot Rental</t>
  </si>
  <si>
    <t>010100.240</t>
  </si>
  <si>
    <t>Office Trailer Lot Improvements</t>
  </si>
  <si>
    <t>011030.020</t>
  </si>
  <si>
    <t>Precon - Misc Preconstruction Costs</t>
  </si>
  <si>
    <t>011100.010</t>
  </si>
  <si>
    <t>Temporary Utilities</t>
  </si>
  <si>
    <t>011100.020</t>
  </si>
  <si>
    <t>Temp Electricity - Consumption</t>
  </si>
  <si>
    <t>011100.030</t>
  </si>
  <si>
    <t>Temp Electricity - Install Temp Vault</t>
  </si>
  <si>
    <t>011100.040</t>
  </si>
  <si>
    <t>Temp Power and Light - Install</t>
  </si>
  <si>
    <t>011100.050</t>
  </si>
  <si>
    <t>Temp Heating Fuel (Oil/Gas/Steam)</t>
  </si>
  <si>
    <t>011100.060</t>
  </si>
  <si>
    <t>Temp Cooling</t>
  </si>
  <si>
    <t>011100.070</t>
  </si>
  <si>
    <t>Temp Toilets</t>
  </si>
  <si>
    <t>011100.080</t>
  </si>
  <si>
    <t>Temp Construction Water</t>
  </si>
  <si>
    <t>011100.090</t>
  </si>
  <si>
    <t>Temp Sewer</t>
  </si>
  <si>
    <t>011100.100</t>
  </si>
  <si>
    <t>Temp Utilities - Deposits</t>
  </si>
  <si>
    <t>011200.070</t>
  </si>
  <si>
    <t>Consumables/Meals</t>
  </si>
  <si>
    <t>011200.080</t>
  </si>
  <si>
    <t>Water/Coffee</t>
  </si>
  <si>
    <t>012050.010</t>
  </si>
  <si>
    <t>Office Trailer</t>
  </si>
  <si>
    <t>012050.090</t>
  </si>
  <si>
    <t>012070.040</t>
  </si>
  <si>
    <t>Progress Photos</t>
  </si>
  <si>
    <t>012100.010</t>
  </si>
  <si>
    <t>Safety Labor</t>
  </si>
  <si>
    <t>012100.020</t>
  </si>
  <si>
    <t>Safety Material and Equipment</t>
  </si>
  <si>
    <t>012100.030</t>
  </si>
  <si>
    <t>Temp Fire Protection</t>
  </si>
  <si>
    <t>012100.040</t>
  </si>
  <si>
    <t>Temp Railings</t>
  </si>
  <si>
    <t>012100.050</t>
  </si>
  <si>
    <t>012100.060</t>
  </si>
  <si>
    <t>012100.065</t>
  </si>
  <si>
    <t>Fire Detail</t>
  </si>
  <si>
    <t>012100.070</t>
  </si>
  <si>
    <t>Security/Watchman Service</t>
  </si>
  <si>
    <t>012100.080</t>
  </si>
  <si>
    <t>Rail Road Flagmen</t>
  </si>
  <si>
    <t>012100.090</t>
  </si>
  <si>
    <t>Temp Labor Services</t>
  </si>
  <si>
    <t>013100.010</t>
  </si>
  <si>
    <t>013100.020</t>
  </si>
  <si>
    <t>Interim Cleaning</t>
  </si>
  <si>
    <t>013100.025</t>
  </si>
  <si>
    <t>Field Office Cleaning</t>
  </si>
  <si>
    <t>013100.030</t>
  </si>
  <si>
    <t>013100.040</t>
  </si>
  <si>
    <t>013100.050</t>
  </si>
  <si>
    <t>Glass Cleaning</t>
  </si>
  <si>
    <t>013100.060</t>
  </si>
  <si>
    <t>013529.000</t>
  </si>
  <si>
    <t>Health, Safety, and Emergency Response Procedures</t>
  </si>
  <si>
    <t>014100.010</t>
  </si>
  <si>
    <t>Temp Mobile Cranes - Use</t>
  </si>
  <si>
    <t>014100.020</t>
  </si>
  <si>
    <t>Temporary Tower Cranes - Install/Remove</t>
  </si>
  <si>
    <t>014100.030</t>
  </si>
  <si>
    <t>Temporary Tower Cranes - Use</t>
  </si>
  <si>
    <t>014100.040</t>
  </si>
  <si>
    <t>Temporary Tower Cranes - Power Supply</t>
  </si>
  <si>
    <t>014100.050</t>
  </si>
  <si>
    <t>Temporary Tower Cranes - Construct/Remove Base</t>
  </si>
  <si>
    <t>014100.060</t>
  </si>
  <si>
    <t>Temporary Hoists - Install/Remove</t>
  </si>
  <si>
    <t>014100.070</t>
  </si>
  <si>
    <t>Temporary Hoists - Use</t>
  </si>
  <si>
    <t>014100.075</t>
  </si>
  <si>
    <t>Temporary Hoists - Operator</t>
  </si>
  <si>
    <t>014100.080</t>
  </si>
  <si>
    <t>Temporary Hoists - Loading Platform</t>
  </si>
  <si>
    <t>014100.090</t>
  </si>
  <si>
    <t>Temporary Scaffolding and Platforms</t>
  </si>
  <si>
    <t>014100.100</t>
  </si>
  <si>
    <t>Temporary Swing Staging</t>
  </si>
  <si>
    <t>014100.110</t>
  </si>
  <si>
    <t>Temporary Elevators - Protect Finished Cabs</t>
  </si>
  <si>
    <t>014100.120</t>
  </si>
  <si>
    <t>Temporary Elevators - Operator</t>
  </si>
  <si>
    <t>014100.130</t>
  </si>
  <si>
    <t>Trucking</t>
  </si>
  <si>
    <t>015100.010</t>
  </si>
  <si>
    <t>Temp Access Roads</t>
  </si>
  <si>
    <t>015100.020</t>
  </si>
  <si>
    <t>Temp  Parking Areas</t>
  </si>
  <si>
    <t>015100.030</t>
  </si>
  <si>
    <t>Traffic Control</t>
  </si>
  <si>
    <t>015100.040</t>
  </si>
  <si>
    <t>Street / Sidewalk Permits</t>
  </si>
  <si>
    <t>015100.050</t>
  </si>
  <si>
    <t>Parking Meter Rental</t>
  </si>
  <si>
    <t>015100.060</t>
  </si>
  <si>
    <t>Sidewalk/Parking Lane Deposit</t>
  </si>
  <si>
    <t>015100.070</t>
  </si>
  <si>
    <t>Permits</t>
  </si>
  <si>
    <t>016100.010</t>
  </si>
  <si>
    <t>Temporary Air Barriers</t>
  </si>
  <si>
    <t>016100.020</t>
  </si>
  <si>
    <t>Temporary Dust Barriers</t>
  </si>
  <si>
    <t>016100.030</t>
  </si>
  <si>
    <t>Temporary Noise Barriers</t>
  </si>
  <si>
    <t>016100.040</t>
  </si>
  <si>
    <t>Temporary Barricades</t>
  </si>
  <si>
    <t>016100.050</t>
  </si>
  <si>
    <t>Temporary Fencing</t>
  </si>
  <si>
    <t>016100.060</t>
  </si>
  <si>
    <t>Temporary Protective Walkways</t>
  </si>
  <si>
    <t>016100.070</t>
  </si>
  <si>
    <t>Temporary Security Barriers</t>
  </si>
  <si>
    <t>016100.080</t>
  </si>
  <si>
    <t>Temporary Security Enclosures</t>
  </si>
  <si>
    <t>016100.090</t>
  </si>
  <si>
    <t>Temporary Tree and Plant Protection</t>
  </si>
  <si>
    <t>016100.100</t>
  </si>
  <si>
    <t>Scrim/Screens</t>
  </si>
  <si>
    <t>016100.110</t>
  </si>
  <si>
    <t>Move Fencing</t>
  </si>
  <si>
    <t>017100.010</t>
  </si>
  <si>
    <t>Winter Conditions - Fuel</t>
  </si>
  <si>
    <t>017100.020</t>
  </si>
  <si>
    <t>Winter Conditions - Heaters</t>
  </si>
  <si>
    <t>017100.030</t>
  </si>
  <si>
    <t>Winter Conditions - Enclosures</t>
  </si>
  <si>
    <t>017100.040</t>
  </si>
  <si>
    <t>Winter Conditions - Winter Concrete</t>
  </si>
  <si>
    <t>017100.050</t>
  </si>
  <si>
    <t>Winter Conditions - Snow Removal</t>
  </si>
  <si>
    <t>017100.060</t>
  </si>
  <si>
    <t>Winter Conditions - Other</t>
  </si>
  <si>
    <t>017400.000</t>
  </si>
  <si>
    <t>Cleaning and Waste Management</t>
  </si>
  <si>
    <t>017413.000</t>
  </si>
  <si>
    <t>Progress Cleaning</t>
  </si>
  <si>
    <t>017416.000</t>
  </si>
  <si>
    <t>Site Maintenance</t>
  </si>
  <si>
    <t>017420.000</t>
  </si>
  <si>
    <t>Dust Control</t>
  </si>
  <si>
    <t>017423.000</t>
  </si>
  <si>
    <t>Final Cleaning</t>
  </si>
  <si>
    <t>017427.000</t>
  </si>
  <si>
    <t>Construction Entrance Maintenance</t>
  </si>
  <si>
    <t>018100.010</t>
  </si>
  <si>
    <t>Legal</t>
  </si>
  <si>
    <t>018100.020</t>
  </si>
  <si>
    <t>Structural</t>
  </si>
  <si>
    <t>018100.030</t>
  </si>
  <si>
    <t>Roofing</t>
  </si>
  <si>
    <t>018100.040</t>
  </si>
  <si>
    <t>Waterproofing</t>
  </si>
  <si>
    <t>018100.050</t>
  </si>
  <si>
    <t>Specialty</t>
  </si>
  <si>
    <t>018100.060</t>
  </si>
  <si>
    <t>Testing and Inspection</t>
  </si>
  <si>
    <t>018100.070</t>
  </si>
  <si>
    <t>Scheduling</t>
  </si>
  <si>
    <t>018100.075</t>
  </si>
  <si>
    <t>Pull Planning</t>
  </si>
  <si>
    <t>018100.080</t>
  </si>
  <si>
    <t>Computer/Technology</t>
  </si>
  <si>
    <t>018100.085</t>
  </si>
  <si>
    <t>Construction Cameras</t>
  </si>
  <si>
    <t>019100.010</t>
  </si>
  <si>
    <t>Suffolk Signage</t>
  </si>
  <si>
    <t>019100.020</t>
  </si>
  <si>
    <t>Temp Owner Project Signage</t>
  </si>
  <si>
    <t>019100.030</t>
  </si>
  <si>
    <t>Core Boards</t>
  </si>
  <si>
    <t>019999.000</t>
  </si>
  <si>
    <t>General Requirements Allocation</t>
  </si>
  <si>
    <t>019999.999</t>
  </si>
  <si>
    <t>General Requirements - Fee Contingency</t>
  </si>
  <si>
    <t>980000.000</t>
  </si>
  <si>
    <t>980100.190</t>
  </si>
  <si>
    <t>981000.000</t>
  </si>
  <si>
    <t>981010.010</t>
  </si>
  <si>
    <t>Precon - Director of Precon</t>
  </si>
  <si>
    <t>981010.020</t>
  </si>
  <si>
    <t>Precon - Chief Estimator</t>
  </si>
  <si>
    <t>981010.030</t>
  </si>
  <si>
    <t>Precon - Preconstruction Manager</t>
  </si>
  <si>
    <t>981010.040</t>
  </si>
  <si>
    <t>Precon - Sr. Estimator</t>
  </si>
  <si>
    <t>981010.050</t>
  </si>
  <si>
    <t>Precon - Estimator</t>
  </si>
  <si>
    <t>981010.060</t>
  </si>
  <si>
    <t>Precon - MEP Estimator</t>
  </si>
  <si>
    <t>981010.070</t>
  </si>
  <si>
    <t>Precon - Regional Scheduling Director</t>
  </si>
  <si>
    <t>981010.080</t>
  </si>
  <si>
    <t>Precon - Scheduling Engineer</t>
  </si>
  <si>
    <t>981010.090</t>
  </si>
  <si>
    <t>Precon - Engineering Manager</t>
  </si>
  <si>
    <t>981010.100</t>
  </si>
  <si>
    <t>Precon - Regional BIM/VDC Director</t>
  </si>
  <si>
    <t>981010.110</t>
  </si>
  <si>
    <t>Precon - BIM/VDC Manager</t>
  </si>
  <si>
    <t>981010.120</t>
  </si>
  <si>
    <t>Precon - Purchasing Manager</t>
  </si>
  <si>
    <t>981010.130</t>
  </si>
  <si>
    <t>Precon - Project Executive</t>
  </si>
  <si>
    <t>981010.140</t>
  </si>
  <si>
    <t>Precon - Senior Project Manager</t>
  </si>
  <si>
    <t>981010.150</t>
  </si>
  <si>
    <t>Precon - Project Manager</t>
  </si>
  <si>
    <t>981010.160</t>
  </si>
  <si>
    <t>Precon - Assistant Project Manager</t>
  </si>
  <si>
    <t>981010.170</t>
  </si>
  <si>
    <t>Precon - General Superintendent</t>
  </si>
  <si>
    <t>981010.180</t>
  </si>
  <si>
    <t>Precon - Senior Superintendent</t>
  </si>
  <si>
    <t>981010.190</t>
  </si>
  <si>
    <t>Precon - Superintendent</t>
  </si>
  <si>
    <t>981030.010</t>
  </si>
  <si>
    <t>Precon - Prints and Copies</t>
  </si>
  <si>
    <t>981030.020</t>
  </si>
  <si>
    <t>981100.080</t>
  </si>
  <si>
    <t>982010.010</t>
  </si>
  <si>
    <t>Director of Field Ops</t>
  </si>
  <si>
    <t>982010.020</t>
  </si>
  <si>
    <t>VP Operations</t>
  </si>
  <si>
    <t>982010.030</t>
  </si>
  <si>
    <t>Regional Safety Director</t>
  </si>
  <si>
    <t>982010.040</t>
  </si>
  <si>
    <t>Regional Scheduling Director</t>
  </si>
  <si>
    <t>982010.050</t>
  </si>
  <si>
    <t>Scheduling Engineer</t>
  </si>
  <si>
    <t>982010.060</t>
  </si>
  <si>
    <t>Regional Engineering Director</t>
  </si>
  <si>
    <t>982010.070</t>
  </si>
  <si>
    <t>Sr. Engineering</t>
  </si>
  <si>
    <t>982010.080</t>
  </si>
  <si>
    <t>Engineering Manager</t>
  </si>
  <si>
    <t>982010.090</t>
  </si>
  <si>
    <t>Regional BIM/VDC Director</t>
  </si>
  <si>
    <t>982010.100</t>
  </si>
  <si>
    <t>BIM/VDC Manager</t>
  </si>
  <si>
    <t>982010.110</t>
  </si>
  <si>
    <t>BIM/VDC Coordinator</t>
  </si>
  <si>
    <t>982010.120</t>
  </si>
  <si>
    <t>BIM/VDC Operator</t>
  </si>
  <si>
    <t>982010.130</t>
  </si>
  <si>
    <t>Director of Precon</t>
  </si>
  <si>
    <t>982010.140</t>
  </si>
  <si>
    <t>982010.150</t>
  </si>
  <si>
    <t>Preconstruction Manager</t>
  </si>
  <si>
    <t>982010.160</t>
  </si>
  <si>
    <t>Sr. Estimator</t>
  </si>
  <si>
    <t>982010.170</t>
  </si>
  <si>
    <t>Estimator</t>
  </si>
  <si>
    <t>982010.180</t>
  </si>
  <si>
    <t>982010.190</t>
  </si>
  <si>
    <t>Purchasing Manager</t>
  </si>
  <si>
    <t>982010.200</t>
  </si>
  <si>
    <t>982010.210</t>
  </si>
  <si>
    <t>982010.220</t>
  </si>
  <si>
    <t>Compliance</t>
  </si>
  <si>
    <t>982010.225</t>
  </si>
  <si>
    <t>Compliance Director</t>
  </si>
  <si>
    <t>982010.230</t>
  </si>
  <si>
    <t>Quality Control Manager</t>
  </si>
  <si>
    <t>982010.240</t>
  </si>
  <si>
    <t>Project Executive</t>
  </si>
  <si>
    <t>982010.250</t>
  </si>
  <si>
    <t>Senior Project Manager</t>
  </si>
  <si>
    <t>982010.260</t>
  </si>
  <si>
    <t>Project Manager</t>
  </si>
  <si>
    <t>982010.270</t>
  </si>
  <si>
    <t>Assistant Project Manager</t>
  </si>
  <si>
    <t>982010.280</t>
  </si>
  <si>
    <t>982010.290</t>
  </si>
  <si>
    <t>Project Engineer (Office)</t>
  </si>
  <si>
    <t>982010.300</t>
  </si>
  <si>
    <t>Administrative Assistant</t>
  </si>
  <si>
    <t>982010.310</t>
  </si>
  <si>
    <t>982010.320</t>
  </si>
  <si>
    <t>Senior Superintendent</t>
  </si>
  <si>
    <t>982010.330</t>
  </si>
  <si>
    <t>Superintendent</t>
  </si>
  <si>
    <t>982010.340</t>
  </si>
  <si>
    <t>Assistant Superintendent</t>
  </si>
  <si>
    <t>982010.350</t>
  </si>
  <si>
    <t>Safety Manager</t>
  </si>
  <si>
    <t>982010.360</t>
  </si>
  <si>
    <t>Project Engineer (Field)</t>
  </si>
  <si>
    <t>982010.370</t>
  </si>
  <si>
    <t>Insurance Admin</t>
  </si>
  <si>
    <t>982010.380</t>
  </si>
  <si>
    <t>Intern/Career Start</t>
  </si>
  <si>
    <t>982010.900</t>
  </si>
  <si>
    <t>Labor Increases</t>
  </si>
  <si>
    <t>982030.010</t>
  </si>
  <si>
    <t>982030.020</t>
  </si>
  <si>
    <t>982030.025</t>
  </si>
  <si>
    <t>Travel</t>
  </si>
  <si>
    <t>982030.030</t>
  </si>
  <si>
    <t>982030.040</t>
  </si>
  <si>
    <t>982030.050</t>
  </si>
  <si>
    <t>Hotel</t>
  </si>
  <si>
    <t>982030.060</t>
  </si>
  <si>
    <t>982030.070</t>
  </si>
  <si>
    <t>House/Apartment  Rental</t>
  </si>
  <si>
    <t>982030.080</t>
  </si>
  <si>
    <t>982030.090</t>
  </si>
  <si>
    <t>982030.100</t>
  </si>
  <si>
    <t>Vehicle Fuel</t>
  </si>
  <si>
    <t>982050.010</t>
  </si>
  <si>
    <t>982050.020</t>
  </si>
  <si>
    <t>Office Furniture and Equipment</t>
  </si>
  <si>
    <t>982050.025</t>
  </si>
  <si>
    <t>Office Other</t>
  </si>
  <si>
    <t>982050.030</t>
  </si>
  <si>
    <t>Communications</t>
  </si>
  <si>
    <t>982050.040</t>
  </si>
  <si>
    <t>Computer Equipment</t>
  </si>
  <si>
    <t>982050.045</t>
  </si>
  <si>
    <t>Procore</t>
  </si>
  <si>
    <t>982050.050</t>
  </si>
  <si>
    <t>On Trac</t>
  </si>
  <si>
    <t>982050.060</t>
  </si>
  <si>
    <t>DBO2</t>
  </si>
  <si>
    <t>982050.070</t>
  </si>
  <si>
    <t>Vela</t>
  </si>
  <si>
    <t>982050.080</t>
  </si>
  <si>
    <t>Misc. Software</t>
  </si>
  <si>
    <t>982050.085</t>
  </si>
  <si>
    <t>LGB Tracker</t>
  </si>
  <si>
    <t>982050.090</t>
  </si>
  <si>
    <t>982050.095</t>
  </si>
  <si>
    <t>982050.100</t>
  </si>
  <si>
    <t>Cell Phones</t>
  </si>
  <si>
    <t>982050.110</t>
  </si>
  <si>
    <t>Field Internet Communications</t>
  </si>
  <si>
    <t>982070.010</t>
  </si>
  <si>
    <t>982070.020</t>
  </si>
  <si>
    <t>982070.030</t>
  </si>
  <si>
    <t>982070.040</t>
  </si>
  <si>
    <t>982070.050</t>
  </si>
  <si>
    <t>982070.060</t>
  </si>
  <si>
    <t>982070.070</t>
  </si>
  <si>
    <t>Prints and Copies</t>
  </si>
  <si>
    <t>982080.010</t>
  </si>
  <si>
    <t>Owner Office Trailer</t>
  </si>
  <si>
    <t>982080.020</t>
  </si>
  <si>
    <t>Owner Office Furniture and Equip.</t>
  </si>
  <si>
    <t>982080.030</t>
  </si>
  <si>
    <t>Owner IT and Support Charges</t>
  </si>
  <si>
    <t>982080.040</t>
  </si>
  <si>
    <t>983010.000</t>
  </si>
  <si>
    <t>983020.000</t>
  </si>
  <si>
    <t>983030.000</t>
  </si>
  <si>
    <t>983050.010</t>
  </si>
  <si>
    <t>Safety Allocation</t>
  </si>
  <si>
    <t>983050.020</t>
  </si>
  <si>
    <t>Lean Allocation</t>
  </si>
  <si>
    <t>984100.010</t>
  </si>
  <si>
    <t>984100.020</t>
  </si>
  <si>
    <t>989000.000</t>
  </si>
  <si>
    <t>Warranty</t>
  </si>
  <si>
    <t>989999.000</t>
  </si>
  <si>
    <t>General Conditions Allocation</t>
  </si>
  <si>
    <t>989999.999</t>
  </si>
  <si>
    <t>General Conditions - Fee Contingency</t>
  </si>
  <si>
    <t>MF3</t>
  </si>
  <si>
    <t>Code</t>
  </si>
  <si>
    <t>Map Description</t>
  </si>
  <si>
    <t>Cost Code Description</t>
  </si>
  <si>
    <t>Summary of Work</t>
  </si>
  <si>
    <t>Multiple Contract Summary</t>
  </si>
  <si>
    <t>Project Utility Sources</t>
  </si>
  <si>
    <t>Allowances</t>
  </si>
  <si>
    <t>Project Management and Coordination</t>
  </si>
  <si>
    <t>Special Procedures</t>
  </si>
  <si>
    <t>Regulatory Requirements</t>
  </si>
  <si>
    <t>Common Product Requirements</t>
  </si>
  <si>
    <t>Examination and Preparation</t>
  </si>
  <si>
    <t>Facility Performance Requirements</t>
  </si>
  <si>
    <t>Commissioning</t>
  </si>
  <si>
    <t>Facility Decommissioning</t>
  </si>
  <si>
    <t>Preconstruction Staffing</t>
  </si>
  <si>
    <t>Preconstruction Expenses</t>
  </si>
  <si>
    <t>Owner Support</t>
  </si>
  <si>
    <t>dp</t>
  </si>
  <si>
    <t>Finish?</t>
  </si>
  <si>
    <t>Start?</t>
  </si>
  <si>
    <t>Phase Start</t>
  </si>
  <si>
    <t>Phase Finish</t>
  </si>
  <si>
    <t>SUBTOTAL</t>
  </si>
  <si>
    <t>Missing</t>
  </si>
  <si>
    <t>Miami
West Palm Beach
Estero
Tampa
Dallas</t>
  </si>
  <si>
    <t>Association Dues - TEXO</t>
  </si>
  <si>
    <t>Groundbreaking Ceremony</t>
  </si>
  <si>
    <t>Team-Building Event</t>
  </si>
  <si>
    <t>CONSTRUCTION PARKING &amp; TRANSPORTATION</t>
  </si>
  <si>
    <t>Misc. Consulting Services</t>
  </si>
  <si>
    <t>Envelope Consulting Services</t>
  </si>
  <si>
    <t>Structural Consulting Services</t>
  </si>
  <si>
    <t>Equipment Consulting Services</t>
  </si>
  <si>
    <t>Minority / HUB Consulting Services</t>
  </si>
  <si>
    <t>LEED / Dallas Green Consulting Services</t>
  </si>
  <si>
    <t>Boston
New York
Miami
West Palm Beach
Estero
Tampa
San Diego
Los Angeles
San Francisco</t>
  </si>
  <si>
    <t>Boston
New York
San Diego
Los Angeles
San Francisco</t>
  </si>
  <si>
    <t>SkyTrak</t>
  </si>
  <si>
    <t>Forklift</t>
  </si>
  <si>
    <t>Scissor Lift</t>
  </si>
  <si>
    <t>Hand Wash Stations</t>
  </si>
  <si>
    <t>Covered Pedestrian Walkways</t>
  </si>
  <si>
    <t>Car Washes</t>
  </si>
  <si>
    <t>Turnstiles</t>
  </si>
  <si>
    <t>Guard Shack/s</t>
  </si>
  <si>
    <t>Site Security System</t>
  </si>
  <si>
    <t>MultiVista</t>
  </si>
  <si>
    <t>Windscreen/Scrim/Red Ribbon</t>
  </si>
  <si>
    <t>Shanty Protection - NYC Sprinkler Kit (not required yet - over 40 stories only)</t>
  </si>
  <si>
    <t>Fire Department Post (signage, gang box, keys, plans, etc. - over 40 stories only)</t>
  </si>
  <si>
    <t>Pre-Clean - Interiors</t>
  </si>
  <si>
    <t>Final Clean - Interiors</t>
  </si>
  <si>
    <t>Final Clean - Exterior Windows</t>
  </si>
  <si>
    <t>Pre-Clean - Exterior Windows</t>
  </si>
  <si>
    <t>Recycle Dumpster Premium</t>
  </si>
  <si>
    <t>Post-Sort Services</t>
  </si>
  <si>
    <t>Temporary Heating</t>
  </si>
  <si>
    <t>Temporary Cooling</t>
  </si>
  <si>
    <t>Temporary De-Humidification</t>
  </si>
  <si>
    <t>Negative Air Machines</t>
  </si>
  <si>
    <t>Dewatering</t>
  </si>
  <si>
    <t>Start Week</t>
  </si>
  <si>
    <t>OT</t>
  </si>
  <si>
    <t>Labor Rates</t>
  </si>
  <si>
    <t>RT</t>
  </si>
  <si>
    <t>DT</t>
  </si>
  <si>
    <t>MISC LABOR &amp; CLEANING</t>
  </si>
  <si>
    <t>Perimeter Fall Protection</t>
  </si>
  <si>
    <t>Elevator Protection</t>
  </si>
  <si>
    <t>Floor Protection</t>
  </si>
  <si>
    <t>Door Protection</t>
  </si>
  <si>
    <t>Window Protection</t>
  </si>
  <si>
    <t>Temporary Stairs</t>
  </si>
  <si>
    <t>Temporary Wall Protection</t>
  </si>
  <si>
    <t>Foreman</t>
  </si>
  <si>
    <t>TOTALS</t>
  </si>
  <si>
    <t>LABOR ITEMS</t>
  </si>
  <si>
    <t>events</t>
  </si>
  <si>
    <t>Safety &amp; Carpentry</t>
  </si>
  <si>
    <t>\est</t>
  </si>
  <si>
    <t>01 10 00</t>
  </si>
  <si>
    <t>01 11 00</t>
  </si>
  <si>
    <t>01 21 00</t>
  </si>
  <si>
    <t>01 61 00</t>
  </si>
  <si>
    <t>01 74 00</t>
  </si>
  <si>
    <t>01 41 00</t>
  </si>
  <si>
    <t>01 71 00</t>
  </si>
  <si>
    <t>01 81 00</t>
  </si>
  <si>
    <t>98 22 00</t>
  </si>
  <si>
    <t>98 23 00</t>
  </si>
  <si>
    <t>98 24 00</t>
  </si>
  <si>
    <t>Pred</t>
  </si>
  <si>
    <t>Lag</t>
  </si>
  <si>
    <t>Add Phase Here:</t>
  </si>
  <si>
    <t>% Work</t>
  </si>
  <si>
    <t>GCGR_TemplateNEWPENDING.xlsx</t>
  </si>
  <si>
    <t>OT ratio:</t>
  </si>
  <si>
    <t>DT Ratio:</t>
  </si>
  <si>
    <t>Clean-Up Labor</t>
  </si>
  <si>
    <t>Labor Steward</t>
  </si>
  <si>
    <t>Carpenter Steward</t>
  </si>
  <si>
    <t>Laborer Foreman</t>
  </si>
  <si>
    <t>Carpenter Foreman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</si>
</sst>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\-yy;@"/>
    <numFmt numFmtId="165" formatCode="[$-409]mmmm\ d\,\ yyyy;@"/>
    <numFmt numFmtId="166" formatCode="General_)"/>
    <numFmt numFmtId="167" formatCode="_(* #,##0_);_(* \(#,##0\);_(* &quot;-&quot;??_);_(@_)"/>
    <numFmt numFmtId="168" formatCode="&quot;$&quot;#,##0"/>
    <numFmt numFmtId="169" formatCode="&quot;$&quot;#,##0.00"/>
    <numFmt numFmtId="170" formatCode="dd\-mmm\-yyyy"/>
    <numFmt numFmtId="171" formatCode="0.000%"/>
    <numFmt numFmtId="172" formatCode="_(&quot;$&quot;* #,##0_);_(&quot;$&quot;* \(#,##0\);_(&quot;$&quot;* &quot;-&quot;??_);_(@_)"/>
    <numFmt numFmtId="173" formatCode="0_);\(0\)"/>
    <numFmt numFmtId="174" formatCode="#,###&quot; wks&quot;"/>
    <numFmt numFmtId="175" formatCode="#,###&quot; mos&quot;"/>
    <numFmt numFmtId="176" formatCode="m/d/yyyy;@"/>
    <numFmt numFmtId="177" formatCode="&quot;$&quot;#,###,,&quot;mil&quot;"/>
    <numFmt numFmtId="178" formatCode="mmmm"/>
    <numFmt numFmtId="179" formatCode="m/d/yy;@"/>
    <numFmt numFmtId="180" formatCode="d\ mmm\ yyyy;@"/>
    <numFmt numFmtId="181" formatCode="[$-409]dd\-mmm\-yy;@"/>
    <numFmt numFmtId="182" formatCode="###,###,###"/>
    <numFmt numFmtId="183" formatCode="0#####"/>
  </numFmts>
  <fonts count="8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i/>
      <sz val="11"/>
      <color theme="1"/>
      <name val="Verdana"/>
      <family val="2"/>
    </font>
    <font>
      <b/>
      <sz val="9"/>
      <color theme="1"/>
      <name val="Verdana"/>
      <family val="2"/>
    </font>
    <font>
      <b/>
      <sz val="11"/>
      <color theme="0"/>
      <name val="Verdana"/>
      <family val="2"/>
    </font>
    <font>
      <i/>
      <sz val="11"/>
      <color rgb="FF002C77"/>
      <name val="Verdana"/>
      <family val="2"/>
    </font>
    <font>
      <i/>
      <sz val="11"/>
      <color theme="2" tint="-0.749992370372631"/>
      <name val="Verdana"/>
      <family val="2"/>
    </font>
    <font>
      <b/>
      <sz val="11"/>
      <color rgb="FF002C77"/>
      <name val="Verdana"/>
      <family val="2"/>
    </font>
    <font>
      <i/>
      <sz val="11"/>
      <color theme="2" tint="-0.499984740745262"/>
      <name val="Verdana"/>
      <family val="2"/>
    </font>
    <font>
      <b/>
      <sz val="10"/>
      <color theme="0"/>
      <name val="Verdana"/>
      <family val="2"/>
    </font>
    <font>
      <sz val="10"/>
      <color theme="1"/>
      <name val="Verdana"/>
      <family val="2"/>
    </font>
    <font>
      <b/>
      <sz val="9"/>
      <color theme="0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  <font>
      <b/>
      <sz val="14"/>
      <color theme="1"/>
      <name val="Verdana"/>
      <family val="2"/>
    </font>
    <font>
      <b/>
      <sz val="11"/>
      <color theme="2" tint="-0.749992370372631"/>
      <name val="Verdana"/>
      <family val="2"/>
    </font>
    <font>
      <sz val="12"/>
      <color theme="2" tint="-0.749992370372631"/>
      <name val="Verdana"/>
      <family val="2"/>
    </font>
    <font>
      <sz val="11"/>
      <color theme="2" tint="-0.749992370372631"/>
      <name val="Verdana"/>
      <family val="2"/>
    </font>
    <font>
      <b/>
      <sz val="16"/>
      <color theme="2" tint="-0.749992370372631"/>
      <name val="Verdana"/>
      <family val="2"/>
    </font>
    <font>
      <sz val="12"/>
      <name val="Verdana"/>
      <family val="2"/>
    </font>
    <font>
      <b/>
      <sz val="12"/>
      <color indexed="9"/>
      <name val="Tahoma"/>
      <family val="2"/>
    </font>
    <font>
      <sz val="11"/>
      <color theme="0"/>
      <name val="Verdana"/>
      <family val="2"/>
    </font>
    <font>
      <b/>
      <sz val="12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1"/>
      <color theme="1"/>
      <name val="Calibri"/>
      <family val="2"/>
      <scheme val="minor"/>
    </font>
    <font>
      <b/>
      <sz val="10"/>
      <color rgb="FF002C77"/>
      <name val="Verdana"/>
      <family val="2"/>
    </font>
    <font>
      <sz val="10"/>
      <color theme="1" tint="0.14999847407452621"/>
      <name val="Verdana"/>
      <family val="2"/>
    </font>
    <font>
      <sz val="11"/>
      <color theme="0" tint="-0.14999847407452621"/>
      <name val="Verdana"/>
      <family val="2"/>
    </font>
    <font>
      <sz val="11"/>
      <name val="Calibri"/>
      <family val="2"/>
      <scheme val="minor"/>
    </font>
    <font>
      <sz val="11"/>
      <name val="Verdana"/>
      <family val="2"/>
    </font>
    <font>
      <b/>
      <sz val="11"/>
      <color theme="0"/>
      <name val="Calibri"/>
      <family val="2"/>
      <scheme val="minor"/>
    </font>
    <font>
      <b/>
      <sz val="11"/>
      <color rgb="FF002C77"/>
      <name val="Calibri"/>
      <family val="2"/>
      <scheme val="minor"/>
    </font>
    <font>
      <b/>
      <sz val="7"/>
      <color rgb="FF002C77"/>
      <name val="Verdana"/>
      <family val="2"/>
    </font>
    <font>
      <sz val="11"/>
      <color theme="0" tint="-0.34998626667073579"/>
      <name val="Swis721 LtEx BT"/>
      <family val="2"/>
    </font>
    <font>
      <b/>
      <sz val="11"/>
      <color theme="0"/>
      <name val="Swis721 LtEx BT"/>
      <family val="2"/>
    </font>
    <font>
      <sz val="8"/>
      <color theme="0"/>
      <name val="Verdana"/>
      <family val="2"/>
    </font>
    <font>
      <sz val="16"/>
      <color theme="0"/>
      <name val="Marlett"/>
      <charset val="2"/>
    </font>
    <font>
      <sz val="20"/>
      <color theme="0"/>
      <name val="Webdings"/>
      <family val="1"/>
      <charset val="2"/>
    </font>
    <font>
      <sz val="10"/>
      <color theme="2" tint="-0.749992370372631"/>
      <name val="Verdana"/>
      <family val="2"/>
    </font>
    <font>
      <sz val="12"/>
      <color theme="0"/>
      <name val="Verdana"/>
      <family val="2"/>
    </font>
    <font>
      <b/>
      <sz val="16"/>
      <name val="Verdana"/>
      <family val="2"/>
    </font>
    <font>
      <sz val="16"/>
      <name val="Verdana"/>
      <family val="2"/>
    </font>
    <font>
      <b/>
      <sz val="12"/>
      <color indexed="8"/>
      <name val="Verdana"/>
      <family val="2"/>
    </font>
    <font>
      <b/>
      <sz val="14"/>
      <color indexed="8"/>
      <name val="Verdana"/>
      <family val="2"/>
    </font>
    <font>
      <sz val="14"/>
      <name val="Verdana"/>
      <family val="2"/>
    </font>
    <font>
      <b/>
      <sz val="14"/>
      <name val="Verdana"/>
      <family val="2"/>
    </font>
    <font>
      <b/>
      <sz val="16"/>
      <color indexed="8"/>
      <name val="Verdana"/>
      <family val="2"/>
    </font>
    <font>
      <b/>
      <sz val="12"/>
      <color rgb="FFC00000"/>
      <name val="Verdana"/>
      <family val="2"/>
    </font>
    <font>
      <u/>
      <sz val="14"/>
      <name val="Verdana"/>
      <family val="2"/>
    </font>
    <font>
      <sz val="14"/>
      <color theme="0"/>
      <name val="Verdana"/>
      <family val="2"/>
    </font>
    <font>
      <sz val="10"/>
      <color rgb="FF002C77"/>
      <name val="Verdana"/>
      <family val="2"/>
    </font>
    <font>
      <sz val="10"/>
      <color theme="3" tint="-0.249977111117893"/>
      <name val="Verdana"/>
      <family val="2"/>
    </font>
    <font>
      <b/>
      <sz val="10"/>
      <color theme="3" tint="-0.249977111117893"/>
      <name val="Verdana"/>
      <family val="2"/>
    </font>
    <font>
      <b/>
      <sz val="9"/>
      <color theme="3" tint="-0.249977111117893"/>
      <name val="Verdana"/>
      <family val="2"/>
    </font>
    <font>
      <b/>
      <sz val="12"/>
      <color theme="0"/>
      <name val="Verdana"/>
      <family val="2"/>
    </font>
    <font>
      <sz val="16"/>
      <color theme="2" tint="-0.749992370372631"/>
      <name val="Verdana"/>
      <family val="2"/>
    </font>
    <font>
      <b/>
      <sz val="9"/>
      <color rgb="FF00917D"/>
      <name val="Verdana"/>
      <family val="2"/>
    </font>
    <font>
      <sz val="10"/>
      <name val="Arial"/>
      <family val="2"/>
    </font>
    <font>
      <b/>
      <sz val="10"/>
      <color theme="0" tint="-0.14999847407452621"/>
      <name val="Verdana"/>
      <family val="2"/>
    </font>
    <font>
      <b/>
      <sz val="20"/>
      <name val="Arial"/>
      <family val="2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Verdana"/>
      <family val="2"/>
    </font>
    <font>
      <b/>
      <i/>
      <sz val="10"/>
      <color theme="2" tint="-0.499984740745262"/>
      <name val="Verdana"/>
      <family val="2"/>
    </font>
    <font>
      <b/>
      <sz val="10"/>
      <color theme="2" tint="-0.749992370372631"/>
      <name val="Verdana"/>
      <family val="2"/>
    </font>
    <font>
      <b/>
      <i/>
      <sz val="10"/>
      <color theme="2" tint="-0.749992370372631"/>
      <name val="Verdana"/>
      <family val="2"/>
    </font>
    <font>
      <b/>
      <i/>
      <sz val="9"/>
      <color theme="2" tint="-0.499984740745262"/>
      <name val="Verdana"/>
      <family val="2"/>
    </font>
    <font>
      <b/>
      <i/>
      <sz val="9"/>
      <color theme="2" tint="-0.749992370372631"/>
      <name val="Verdana"/>
      <family val="2"/>
    </font>
    <font>
      <i/>
      <sz val="11"/>
      <name val="Verdana"/>
      <family val="2"/>
    </font>
    <font>
      <b/>
      <sz val="14"/>
      <color theme="0"/>
      <name val="Verdana"/>
      <family val="2"/>
    </font>
    <font>
      <sz val="14"/>
      <color rgb="FFFF0000"/>
      <name val="Verdana"/>
      <family val="2"/>
    </font>
    <font>
      <i/>
      <sz val="11"/>
      <color theme="0"/>
      <name val="Verdana"/>
      <family val="2"/>
    </font>
    <font>
      <sz val="11"/>
      <color theme="0"/>
      <name val="Calibri"/>
      <family val="2"/>
      <scheme val="minor"/>
    </font>
    <font>
      <b/>
      <sz val="11"/>
      <color indexed="56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theme="6" tint="0.79998168889431442"/>
      <name val="Verdana"/>
      <family val="2"/>
    </font>
    <font>
      <b/>
      <sz val="11"/>
      <name val="Verdana"/>
      <family val="2"/>
    </font>
    <font>
      <b/>
      <i/>
      <sz val="11"/>
      <color theme="0"/>
      <name val="Calibri"/>
      <family val="2"/>
      <scheme val="minor"/>
    </font>
    <font>
      <i/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2C7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3E908E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C909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9"/>
      </patternFill>
    </fill>
    <fill>
      <patternFill patternType="solid">
        <fgColor rgb="FF00917D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indexed="9"/>
        <bgColor indexed="64"/>
      </patternFill>
    </fill>
  </fills>
  <borders count="12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double">
        <color theme="2" tint="-0.749961851863155"/>
      </top>
      <bottom/>
      <diagonal/>
    </border>
    <border>
      <left style="medium">
        <color rgb="FF002C77"/>
      </left>
      <right/>
      <top style="medium">
        <color rgb="FF002C77"/>
      </top>
      <bottom/>
      <diagonal/>
    </border>
    <border>
      <left/>
      <right/>
      <top style="medium">
        <color rgb="FF002C77"/>
      </top>
      <bottom/>
      <diagonal/>
    </border>
    <border>
      <left/>
      <right style="medium">
        <color rgb="FF002C77"/>
      </right>
      <top style="medium">
        <color rgb="FF002C77"/>
      </top>
      <bottom/>
      <diagonal/>
    </border>
    <border>
      <left style="medium">
        <color rgb="FF002C77"/>
      </left>
      <right/>
      <top/>
      <bottom/>
      <diagonal/>
    </border>
    <border>
      <left/>
      <right style="medium">
        <color rgb="FF002C77"/>
      </right>
      <top/>
      <bottom/>
      <diagonal/>
    </border>
    <border>
      <left style="medium">
        <color rgb="FF002C77"/>
      </left>
      <right/>
      <top/>
      <bottom style="medium">
        <color rgb="FF002C77"/>
      </bottom>
      <diagonal/>
    </border>
    <border>
      <left/>
      <right/>
      <top/>
      <bottom style="medium">
        <color rgb="FF002C77"/>
      </bottom>
      <diagonal/>
    </border>
    <border>
      <left/>
      <right style="medium">
        <color rgb="FF002C77"/>
      </right>
      <top/>
      <bottom style="medium">
        <color rgb="FF002C77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medium">
        <color rgb="FF002C77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rgb="FF002C77"/>
      </right>
      <top/>
      <bottom style="thin">
        <color theme="0" tint="-0.24994659260841701"/>
      </bottom>
      <diagonal/>
    </border>
    <border>
      <left/>
      <right/>
      <top style="medium">
        <color theme="1" tint="0.34998626667073579"/>
      </top>
      <bottom/>
      <diagonal/>
    </border>
    <border>
      <left style="slantDashDot">
        <color rgb="FF002C77"/>
      </left>
      <right/>
      <top style="slantDashDot">
        <color rgb="FF002C77"/>
      </top>
      <bottom/>
      <diagonal/>
    </border>
    <border>
      <left/>
      <right/>
      <top style="slantDashDot">
        <color rgb="FF002C77"/>
      </top>
      <bottom/>
      <diagonal/>
    </border>
    <border>
      <left/>
      <right style="slantDashDot">
        <color rgb="FF002C77"/>
      </right>
      <top style="slantDashDot">
        <color rgb="FF002C77"/>
      </top>
      <bottom/>
      <diagonal/>
    </border>
    <border>
      <left style="slantDashDot">
        <color rgb="FF002C77"/>
      </left>
      <right/>
      <top/>
      <bottom/>
      <diagonal/>
    </border>
    <border>
      <left/>
      <right style="slantDashDot">
        <color rgb="FF002C77"/>
      </right>
      <top/>
      <bottom/>
      <diagonal/>
    </border>
    <border>
      <left style="slantDashDot">
        <color rgb="FF002C77"/>
      </left>
      <right/>
      <top/>
      <bottom style="slantDashDot">
        <color rgb="FF002C77"/>
      </bottom>
      <diagonal/>
    </border>
    <border>
      <left/>
      <right/>
      <top/>
      <bottom style="slantDashDot">
        <color rgb="FF002C77"/>
      </bottom>
      <diagonal/>
    </border>
    <border>
      <left/>
      <right style="slantDashDot">
        <color rgb="FF002C77"/>
      </right>
      <top/>
      <bottom style="slantDashDot">
        <color rgb="FF002C77"/>
      </bottom>
      <diagonal/>
    </border>
    <border>
      <left/>
      <right style="medium">
        <color rgb="FF002C77"/>
      </right>
      <top/>
      <bottom style="thin">
        <color theme="2" tint="-0.749961851863155"/>
      </bottom>
      <diagonal/>
    </border>
    <border>
      <left/>
      <right/>
      <top/>
      <bottom style="thin">
        <color theme="2" tint="-0.749961851863155"/>
      </bottom>
      <diagonal/>
    </border>
    <border>
      <left style="medium">
        <color rgb="FF002C77"/>
      </left>
      <right/>
      <top/>
      <bottom style="thin">
        <color theme="2" tint="-0.749961851863155"/>
      </bottom>
      <diagonal/>
    </border>
    <border>
      <left/>
      <right style="medium">
        <color rgb="FF002C77"/>
      </right>
      <top style="thin">
        <color theme="0" tint="-0.24994659260841701"/>
      </top>
      <bottom style="thin">
        <color theme="2" tint="-0.749961851863155"/>
      </bottom>
      <diagonal/>
    </border>
    <border>
      <left/>
      <right/>
      <top style="thin">
        <color theme="0" tint="-0.24994659260841701"/>
      </top>
      <bottom style="thin">
        <color theme="2" tint="-0.749961851863155"/>
      </bottom>
      <diagonal/>
    </border>
    <border>
      <left/>
      <right/>
      <top style="thin">
        <color theme="3" tint="0.59996337778862885"/>
      </top>
      <bottom style="medium">
        <color rgb="FF002C77"/>
      </bottom>
      <diagonal/>
    </border>
    <border>
      <left style="medium">
        <color rgb="FF002C77"/>
      </left>
      <right style="medium">
        <color theme="1" tint="0.34998626667073579"/>
      </right>
      <top/>
      <bottom/>
      <diagonal/>
    </border>
    <border>
      <left style="medium">
        <color rgb="FF002C77"/>
      </left>
      <right/>
      <top style="thin">
        <color theme="3" tint="0.59996337778862885"/>
      </top>
      <bottom style="thin">
        <color theme="3" tint="0.59996337778862885"/>
      </bottom>
      <diagonal/>
    </border>
    <border>
      <left style="medium">
        <color rgb="FF002C77"/>
      </left>
      <right style="medium">
        <color rgb="FF002C77"/>
      </right>
      <top style="medium">
        <color rgb="FF002C77"/>
      </top>
      <bottom style="medium">
        <color rgb="FF002C77"/>
      </bottom>
      <diagonal/>
    </border>
    <border>
      <left style="medium">
        <color rgb="FF002C77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C77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2C77"/>
      </left>
      <right/>
      <top style="thin">
        <color theme="0" tint="-0.499984740745262"/>
      </top>
      <bottom style="medium">
        <color rgb="FF002C77"/>
      </bottom>
      <diagonal/>
    </border>
    <border>
      <left/>
      <right/>
      <top style="thin">
        <color theme="0" tint="-0.499984740745262"/>
      </top>
      <bottom style="medium">
        <color rgb="FF002C77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rgb="FF002C77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rgb="FF002C77"/>
      </bottom>
      <diagonal/>
    </border>
    <border>
      <left style="thin">
        <color theme="0" tint="-0.499984740745262"/>
      </left>
      <right style="medium">
        <color rgb="FF002C77"/>
      </right>
      <top style="thin">
        <color theme="0" tint="-0.499984740745262"/>
      </top>
      <bottom style="medium">
        <color rgb="FF002C77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002C77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C77"/>
      </right>
      <top style="medium">
        <color rgb="FF002C77"/>
      </top>
      <bottom style="thin">
        <color theme="0" tint="-0.499984740745262"/>
      </bottom>
      <diagonal/>
    </border>
    <border>
      <left style="medium">
        <color rgb="FF002C77"/>
      </left>
      <right/>
      <top style="medium">
        <color rgb="FF002C77"/>
      </top>
      <bottom style="thin">
        <color theme="0" tint="-0.499984740745262"/>
      </bottom>
      <diagonal/>
    </border>
    <border>
      <left style="medium">
        <color rgb="FF002C77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C77"/>
      </right>
      <top/>
      <bottom style="thin">
        <color theme="0" tint="-0.499984740745262"/>
      </bottom>
      <diagonal/>
    </border>
    <border>
      <left/>
      <right/>
      <top style="medium">
        <color rgb="FF002C77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rgb="FF002C77"/>
      </top>
      <bottom style="thin">
        <color theme="0" tint="-0.499984740745262"/>
      </bottom>
      <diagonal/>
    </border>
    <border>
      <left style="double">
        <color theme="4" tint="0.39994506668294322"/>
      </left>
      <right style="double">
        <color theme="4" tint="0.39994506668294322"/>
      </right>
      <top style="double">
        <color theme="4" tint="0.39994506668294322"/>
      </top>
      <bottom style="double">
        <color theme="4" tint="0.39994506668294322"/>
      </bottom>
      <diagonal/>
    </border>
    <border>
      <left/>
      <right style="medium">
        <color theme="2" tint="-0.499984740745262"/>
      </right>
      <top/>
      <bottom style="thin">
        <color theme="2" tint="-0.749961851863155"/>
      </bottom>
      <diagonal/>
    </border>
    <border>
      <left style="medium">
        <color rgb="FF002C77"/>
      </left>
      <right/>
      <top style="medium">
        <color theme="1" tint="0.34998626667073579"/>
      </top>
      <bottom/>
      <diagonal/>
    </border>
    <border>
      <left/>
      <right style="medium">
        <color theme="1" tint="0.34998626667073579"/>
      </right>
      <top style="medium">
        <color theme="1" tint="0.34998626667073579"/>
      </top>
      <bottom/>
      <diagonal/>
    </border>
    <border>
      <left/>
      <right style="medium">
        <color theme="1" tint="0.34998626667073579"/>
      </right>
      <top/>
      <bottom/>
      <diagonal/>
    </border>
    <border>
      <left/>
      <right/>
      <top style="thin">
        <color theme="0" tint="-0.34998626667073579"/>
      </top>
      <bottom/>
      <diagonal/>
    </border>
    <border>
      <left style="slantDashDot">
        <color rgb="FF002C77"/>
      </left>
      <right/>
      <top style="slantDashDot">
        <color rgb="FFC00000"/>
      </top>
      <bottom/>
      <diagonal/>
    </border>
    <border>
      <left/>
      <right/>
      <top style="slantDashDot">
        <color rgb="FFC00000"/>
      </top>
      <bottom/>
      <diagonal/>
    </border>
    <border>
      <left/>
      <right style="slantDashDot">
        <color rgb="FF002C77"/>
      </right>
      <top style="slantDashDot">
        <color rgb="FFC00000"/>
      </top>
      <bottom/>
      <diagonal/>
    </border>
    <border>
      <left style="slantDashDot">
        <color rgb="FF002C77"/>
      </left>
      <right/>
      <top/>
      <bottom style="slantDashDot">
        <color rgb="FFC00000"/>
      </bottom>
      <diagonal/>
    </border>
    <border>
      <left/>
      <right/>
      <top/>
      <bottom style="slantDashDot">
        <color rgb="FFC00000"/>
      </bottom>
      <diagonal/>
    </border>
    <border>
      <left/>
      <right style="slantDashDot">
        <color rgb="FF002C77"/>
      </right>
      <top/>
      <bottom style="slantDashDot">
        <color rgb="FFC00000"/>
      </bottom>
      <diagonal/>
    </border>
    <border>
      <left/>
      <right/>
      <top/>
      <bottom style="thin">
        <color rgb="FFC00000"/>
      </bottom>
      <diagonal/>
    </border>
    <border>
      <left style="medium">
        <color rgb="FF002C77"/>
      </left>
      <right/>
      <top style="medium">
        <color rgb="FF002C77"/>
      </top>
      <bottom style="medium">
        <color rgb="FF002C77"/>
      </bottom>
      <diagonal/>
    </border>
    <border>
      <left/>
      <right/>
      <top style="medium">
        <color rgb="FF002C77"/>
      </top>
      <bottom style="medium">
        <color rgb="FF002C77"/>
      </bottom>
      <diagonal/>
    </border>
    <border>
      <left/>
      <right style="medium">
        <color rgb="FF002C77"/>
      </right>
      <top style="medium">
        <color rgb="FF002C77"/>
      </top>
      <bottom style="medium">
        <color rgb="FF002C77"/>
      </bottom>
      <diagonal/>
    </border>
    <border>
      <left style="medium">
        <color rgb="FF00917D"/>
      </left>
      <right style="slantDashDot">
        <color rgb="FF002C77"/>
      </right>
      <top style="medium">
        <color rgb="FF00917D"/>
      </top>
      <bottom style="medium">
        <color rgb="FF00917D"/>
      </bottom>
      <diagonal/>
    </border>
    <border>
      <left style="medium">
        <color theme="1" tint="0.14996795556505021"/>
      </left>
      <right style="medium">
        <color theme="1" tint="0.14996795556505021"/>
      </right>
      <top style="medium">
        <color theme="1" tint="0.14996795556505021"/>
      </top>
      <bottom style="medium">
        <color theme="1" tint="0.14996795556505021"/>
      </bottom>
      <diagonal/>
    </border>
    <border>
      <left style="medium">
        <color theme="1" tint="0.14996795556505021"/>
      </left>
      <right style="medium">
        <color theme="1" tint="0.14996795556505021"/>
      </right>
      <top style="medium">
        <color theme="1" tint="0.14996795556505021"/>
      </top>
      <bottom style="medium">
        <color theme="0" tint="-0.499984740745262"/>
      </bottom>
      <diagonal/>
    </border>
    <border>
      <left style="medium">
        <color theme="1" tint="0.14996795556505021"/>
      </left>
      <right style="medium">
        <color theme="1" tint="0.14996795556505021"/>
      </right>
      <top/>
      <bottom/>
      <diagonal/>
    </border>
    <border>
      <left style="medium">
        <color theme="1" tint="0.14996795556505021"/>
      </left>
      <right style="medium">
        <color theme="1" tint="0.14996795556505021"/>
      </right>
      <top/>
      <bottom style="medium">
        <color theme="1" tint="0.14996795556505021"/>
      </bottom>
      <diagonal/>
    </border>
    <border>
      <left style="medium">
        <color rgb="FF002C77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rgb="FF002C77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medium">
        <color rgb="FF002C77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2C77"/>
      </left>
      <right/>
      <top style="thin">
        <color theme="0" tint="-0.34998626667073579"/>
      </top>
      <bottom/>
      <diagonal/>
    </border>
    <border>
      <left/>
      <right style="thin">
        <color theme="0" tint="-0.499984740745262"/>
      </right>
      <top style="medium">
        <color rgb="FF002C77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002C77"/>
      </top>
      <bottom/>
      <diagonal/>
    </border>
    <border>
      <left style="thin">
        <color theme="0" tint="-0.499984740745262"/>
      </left>
      <right style="medium">
        <color rgb="FF002C77"/>
      </right>
      <top style="medium">
        <color rgb="FF002C77"/>
      </top>
      <bottom/>
      <diagonal/>
    </border>
    <border>
      <left/>
      <right style="medium">
        <color theme="2" tint="-0.499984740745262"/>
      </right>
      <top/>
      <bottom/>
      <diagonal/>
    </border>
    <border>
      <left style="medium">
        <color rgb="FF002C77"/>
      </left>
      <right/>
      <top style="thin">
        <color theme="2" tint="-0.749961851863155"/>
      </top>
      <bottom style="thin">
        <color theme="1" tint="0.34998626667073579"/>
      </bottom>
      <diagonal/>
    </border>
    <border>
      <left/>
      <right/>
      <top style="thin">
        <color theme="2" tint="-0.749961851863155"/>
      </top>
      <bottom style="thin">
        <color theme="1" tint="0.34998626667073579"/>
      </bottom>
      <diagonal/>
    </border>
    <border>
      <left/>
      <right style="medium">
        <color rgb="FF002C77"/>
      </right>
      <top style="thin">
        <color theme="2" tint="-0.749961851863155"/>
      </top>
      <bottom style="thin">
        <color theme="1" tint="0.34998626667073579"/>
      </bottom>
      <diagonal/>
    </border>
    <border>
      <left style="medium">
        <color rgb="FF002C77"/>
      </left>
      <right/>
      <top style="thin">
        <color theme="1" tint="0.34998626667073579"/>
      </top>
      <bottom style="medium">
        <color rgb="FF002C77"/>
      </bottom>
      <diagonal/>
    </border>
    <border>
      <left/>
      <right/>
      <top style="thin">
        <color theme="1" tint="0.34998626667073579"/>
      </top>
      <bottom style="medium">
        <color rgb="FF002C77"/>
      </bottom>
      <diagonal/>
    </border>
    <border>
      <left/>
      <right style="medium">
        <color rgb="FF002C77"/>
      </right>
      <top style="thin">
        <color theme="1" tint="0.34998626667073579"/>
      </top>
      <bottom style="medium">
        <color rgb="FF002C77"/>
      </bottom>
      <diagonal/>
    </border>
    <border>
      <left/>
      <right/>
      <top style="thin">
        <color theme="1" tint="0.34998626667073579"/>
      </top>
      <bottom style="medium">
        <color theme="1" tint="0.34998626667073579"/>
      </bottom>
      <diagonal/>
    </border>
    <border>
      <left/>
      <right style="medium">
        <color theme="2" tint="-0.499984740745262"/>
      </right>
      <top style="thin">
        <color theme="1" tint="0.34998626667073579"/>
      </top>
      <bottom style="medium">
        <color theme="1" tint="0.34998626667073579"/>
      </bottom>
      <diagonal/>
    </border>
    <border>
      <left style="medium">
        <color rgb="FF002C77"/>
      </left>
      <right/>
      <top style="thin">
        <color theme="4" tint="0.59996337778862885"/>
      </top>
      <bottom style="medium">
        <color rgb="FF002C77"/>
      </bottom>
      <diagonal/>
    </border>
    <border>
      <left/>
      <right/>
      <top style="thin">
        <color theme="4" tint="0.59996337778862885"/>
      </top>
      <bottom style="medium">
        <color rgb="FF002C77"/>
      </bottom>
      <diagonal/>
    </border>
    <border>
      <left/>
      <right/>
      <top style="thin">
        <color theme="2" tint="-9.9948118533890809E-2"/>
      </top>
      <bottom style="thin">
        <color theme="2" tint="-0.749961851863155"/>
      </bottom>
      <diagonal/>
    </border>
    <border>
      <left style="medium">
        <color rgb="FF002C77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medium">
        <color rgb="FF002C77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rgb="FF002C77"/>
      </left>
      <right/>
      <top style="thin">
        <color theme="2" tint="-9.9948118533890809E-2"/>
      </top>
      <bottom style="thin">
        <color theme="2" tint="-0.749961851863155"/>
      </bottom>
      <diagonal/>
    </border>
    <border>
      <left style="medium">
        <color rgb="FF002C77"/>
      </left>
      <right/>
      <top style="thin">
        <color theme="2" tint="-0.749961851863155"/>
      </top>
      <bottom/>
      <diagonal/>
    </border>
    <border>
      <left/>
      <right/>
      <top style="thin">
        <color theme="2" tint="-0.749961851863155"/>
      </top>
      <bottom/>
      <diagonal/>
    </border>
    <border>
      <left/>
      <right style="medium">
        <color rgb="FF002C77"/>
      </right>
      <top style="thin">
        <color theme="2" tint="-0.749961851863155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medium">
        <color theme="2" tint="-0.499984740745262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rgb="FF002C77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 style="medium">
        <color rgb="FF002C77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rgb="FF002C77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medium">
        <color theme="2" tint="-0.499984740745262"/>
      </right>
      <top style="thin">
        <color theme="2" tint="-0.749961851863155"/>
      </top>
      <bottom style="thin">
        <color theme="1" tint="0.34998626667073579"/>
      </bottom>
      <diagonal/>
    </border>
    <border>
      <left/>
      <right style="medium">
        <color theme="2" tint="-0.499984740745262"/>
      </right>
      <top style="thin">
        <color theme="2" tint="-0.24994659260841701"/>
      </top>
      <bottom style="thin">
        <color theme="2" tint="-0.499984740745262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rgb="FF002C77"/>
      </left>
      <right style="medium">
        <color rgb="FF002C77"/>
      </right>
      <top/>
      <bottom/>
      <diagonal/>
    </border>
    <border>
      <left style="medium">
        <color rgb="FF002C77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rgb="FF002C77"/>
      </right>
      <top style="thin">
        <color auto="1"/>
      </top>
      <bottom style="medium">
        <color rgb="FF002C77"/>
      </bottom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6" fontId="28" fillId="6" borderId="0">
      <alignment horizontal="left" vertical="center" indent="3"/>
    </xf>
    <xf numFmtId="168" fontId="28" fillId="5" borderId="38">
      <alignment horizontal="right" vertical="center"/>
    </xf>
    <xf numFmtId="168" fontId="53" fillId="5" borderId="56" applyBorder="0">
      <alignment horizontal="right"/>
    </xf>
    <xf numFmtId="0" fontId="36" fillId="5" borderId="0">
      <alignment horizontal="center" vertical="center"/>
    </xf>
    <xf numFmtId="0" fontId="37" fillId="12" borderId="59">
      <alignment horizontal="center" vertical="center"/>
    </xf>
    <xf numFmtId="0" fontId="39" fillId="10" borderId="0">
      <alignment horizontal="right" vertical="center"/>
    </xf>
    <xf numFmtId="0" fontId="40" fillId="11" borderId="0">
      <alignment horizontal="right" vertical="center"/>
    </xf>
    <xf numFmtId="0" fontId="38" fillId="12" borderId="0" applyNumberFormat="0" applyFont="0" applyBorder="0" applyAlignment="0" applyProtection="0">
      <alignment horizontal="left" vertical="center"/>
    </xf>
    <xf numFmtId="0" fontId="38" fillId="11" borderId="0" applyNumberFormat="0" applyFont="0" applyBorder="0" applyAlignment="0" applyProtection="0">
      <alignment horizontal="left" vertical="center"/>
    </xf>
    <xf numFmtId="0" fontId="60" fillId="0" borderId="0"/>
  </cellStyleXfs>
  <cellXfs count="708">
    <xf numFmtId="0" fontId="0" fillId="0" borderId="0" xfId="0"/>
    <xf numFmtId="0" fontId="2" fillId="0" borderId="0" xfId="0" applyFont="1"/>
    <xf numFmtId="0" fontId="2" fillId="5" borderId="0" xfId="0" applyFont="1" applyFill="1"/>
    <xf numFmtId="0" fontId="2" fillId="5" borderId="0" xfId="0" applyFont="1" applyFill="1" applyAlignment="1">
      <alignment vertical="center"/>
    </xf>
    <xf numFmtId="0" fontId="2" fillId="0" borderId="0" xfId="0" applyFont="1" applyFill="1"/>
    <xf numFmtId="0" fontId="14" fillId="5" borderId="0" xfId="0" applyFont="1" applyFill="1" applyBorder="1" applyAlignment="1">
      <alignment horizontal="right" vertical="center" indent="1"/>
    </xf>
    <xf numFmtId="0" fontId="2" fillId="5" borderId="23" xfId="0" applyFont="1" applyFill="1" applyBorder="1"/>
    <xf numFmtId="0" fontId="2" fillId="5" borderId="26" xfId="0" applyFont="1" applyFill="1" applyBorder="1" applyAlignment="1">
      <alignment vertical="center"/>
    </xf>
    <xf numFmtId="0" fontId="2" fillId="5" borderId="28" xfId="0" applyFont="1" applyFill="1" applyBorder="1"/>
    <xf numFmtId="0" fontId="0" fillId="6" borderId="0" xfId="0" applyFill="1"/>
    <xf numFmtId="176" fontId="2" fillId="6" borderId="1" xfId="0" applyNumberFormat="1" applyFont="1" applyFill="1" applyBorder="1" applyAlignment="1" applyProtection="1">
      <alignment vertical="center"/>
      <protection locked="0"/>
    </xf>
    <xf numFmtId="173" fontId="2" fillId="6" borderId="1" xfId="1" applyNumberFormat="1" applyFont="1" applyFill="1" applyBorder="1" applyAlignment="1" applyProtection="1">
      <alignment vertical="center"/>
      <protection locked="0"/>
    </xf>
    <xf numFmtId="14" fontId="2" fillId="6" borderId="1" xfId="0" applyNumberFormat="1" applyFont="1" applyFill="1" applyBorder="1" applyAlignment="1" applyProtection="1">
      <alignment vertical="center"/>
      <protection locked="0"/>
    </xf>
    <xf numFmtId="172" fontId="2" fillId="6" borderId="1" xfId="2" applyNumberFormat="1" applyFont="1" applyFill="1" applyBorder="1" applyAlignment="1" applyProtection="1">
      <alignment vertical="center"/>
      <protection locked="0"/>
    </xf>
    <xf numFmtId="10" fontId="2" fillId="6" borderId="1" xfId="3" applyNumberFormat="1" applyFont="1" applyFill="1" applyBorder="1" applyAlignment="1" applyProtection="1">
      <alignment vertical="center"/>
      <protection locked="0"/>
    </xf>
    <xf numFmtId="167" fontId="2" fillId="6" borderId="1" xfId="1" applyNumberFormat="1" applyFont="1" applyFill="1" applyBorder="1" applyAlignment="1" applyProtection="1">
      <alignment vertical="center"/>
      <protection locked="0"/>
    </xf>
    <xf numFmtId="7" fontId="2" fillId="6" borderId="1" xfId="2" applyNumberFormat="1" applyFont="1" applyFill="1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27" fillId="0" borderId="0" xfId="0" applyFont="1" applyAlignment="1" applyProtection="1">
      <alignment horizontal="left"/>
      <protection locked="0"/>
    </xf>
    <xf numFmtId="0" fontId="2" fillId="6" borderId="0" xfId="0" applyFont="1" applyFill="1"/>
    <xf numFmtId="165" fontId="24" fillId="6" borderId="0" xfId="0" applyNumberFormat="1" applyFont="1" applyFill="1" applyAlignment="1"/>
    <xf numFmtId="170" fontId="24" fillId="6" borderId="0" xfId="0" quotePrefix="1" applyNumberFormat="1" applyFont="1" applyFill="1" applyAlignment="1">
      <alignment horizontal="center"/>
    </xf>
    <xf numFmtId="15" fontId="24" fillId="6" borderId="0" xfId="0" quotePrefix="1" applyNumberFormat="1" applyFont="1" applyFill="1" applyAlignment="1">
      <alignment horizontal="center"/>
    </xf>
    <xf numFmtId="166" fontId="24" fillId="6" borderId="0" xfId="0" applyNumberFormat="1" applyFont="1" applyFill="1" applyAlignment="1" applyProtection="1">
      <alignment horizontal="right"/>
    </xf>
    <xf numFmtId="0" fontId="26" fillId="6" borderId="0" xfId="0" applyFont="1" applyFill="1"/>
    <xf numFmtId="166" fontId="25" fillId="6" borderId="0" xfId="0" applyNumberFormat="1" applyFont="1" applyFill="1" applyBorder="1" applyAlignment="1" applyProtection="1">
      <alignment horizontal="left"/>
    </xf>
    <xf numFmtId="167" fontId="25" fillId="6" borderId="0" xfId="1" applyNumberFormat="1" applyFont="1" applyFill="1" applyBorder="1" applyProtection="1"/>
    <xf numFmtId="166" fontId="25" fillId="6" borderId="0" xfId="0" applyNumberFormat="1" applyFont="1" applyFill="1" applyBorder="1" applyAlignment="1" applyProtection="1">
      <alignment horizontal="center"/>
    </xf>
    <xf numFmtId="168" fontId="25" fillId="6" borderId="0" xfId="1" applyNumberFormat="1" applyFont="1" applyFill="1" applyBorder="1" applyProtection="1"/>
    <xf numFmtId="168" fontId="25" fillId="6" borderId="0" xfId="0" applyNumberFormat="1" applyFont="1" applyFill="1" applyBorder="1" applyProtection="1"/>
    <xf numFmtId="167" fontId="12" fillId="6" borderId="1" xfId="1" applyNumberFormat="1" applyFont="1" applyFill="1" applyBorder="1" applyAlignment="1" applyProtection="1">
      <alignment vertical="center"/>
    </xf>
    <xf numFmtId="0" fontId="0" fillId="5" borderId="23" xfId="0" applyFill="1" applyBorder="1" applyAlignment="1"/>
    <xf numFmtId="0" fontId="0" fillId="5" borderId="23" xfId="0" applyFill="1" applyBorder="1"/>
    <xf numFmtId="0" fontId="2" fillId="5" borderId="26" xfId="0" applyFont="1" applyFill="1" applyBorder="1"/>
    <xf numFmtId="165" fontId="24" fillId="5" borderId="28" xfId="0" applyNumberFormat="1" applyFont="1" applyFill="1" applyBorder="1" applyAlignment="1">
      <alignment horizontal="center"/>
    </xf>
    <xf numFmtId="165" fontId="24" fillId="5" borderId="28" xfId="0" applyNumberFormat="1" applyFont="1" applyFill="1" applyBorder="1" applyAlignment="1">
      <alignment horizontal="right"/>
    </xf>
    <xf numFmtId="3" fontId="24" fillId="5" borderId="28" xfId="0" applyNumberFormat="1" applyFont="1" applyFill="1" applyBorder="1" applyAlignment="1">
      <alignment horizontal="center"/>
    </xf>
    <xf numFmtId="0" fontId="2" fillId="6" borderId="0" xfId="0" applyFont="1" applyFill="1" applyBorder="1"/>
    <xf numFmtId="0" fontId="2" fillId="6" borderId="0" xfId="0" applyFont="1" applyFill="1" applyAlignment="1">
      <alignment vertical="center"/>
    </xf>
    <xf numFmtId="0" fontId="6" fillId="6" borderId="0" xfId="0" applyFont="1" applyFill="1" applyBorder="1"/>
    <xf numFmtId="0" fontId="2" fillId="5" borderId="0" xfId="0" applyFont="1" applyFill="1" applyBorder="1"/>
    <xf numFmtId="0" fontId="6" fillId="8" borderId="0" xfId="0" applyFont="1" applyFill="1" applyAlignment="1"/>
    <xf numFmtId="0" fontId="2" fillId="9" borderId="0" xfId="0" applyFont="1" applyFill="1" applyAlignment="1"/>
    <xf numFmtId="0" fontId="2" fillId="9" borderId="0" xfId="0" applyFont="1" applyFill="1" applyAlignment="1">
      <alignment wrapText="1"/>
    </xf>
    <xf numFmtId="168" fontId="28" fillId="5" borderId="38" xfId="7">
      <alignment horizontal="right" vertical="center"/>
    </xf>
    <xf numFmtId="0" fontId="31" fillId="5" borderId="23" xfId="0" applyFont="1" applyFill="1" applyBorder="1"/>
    <xf numFmtId="0" fontId="25" fillId="5" borderId="0" xfId="0" applyFont="1" applyFill="1" applyBorder="1" applyAlignment="1">
      <alignment horizontal="right" vertical="center" indent="1"/>
    </xf>
    <xf numFmtId="0" fontId="32" fillId="6" borderId="0" xfId="0" applyFont="1" applyFill="1"/>
    <xf numFmtId="0" fontId="32" fillId="0" borderId="0" xfId="0" applyFont="1"/>
    <xf numFmtId="168" fontId="53" fillId="5" borderId="48" xfId="8" applyBorder="1">
      <alignment horizontal="right"/>
    </xf>
    <xf numFmtId="0" fontId="2" fillId="6" borderId="0" xfId="0" applyFont="1" applyFill="1" applyProtection="1">
      <protection locked="0"/>
    </xf>
    <xf numFmtId="0" fontId="36" fillId="5" borderId="0" xfId="9">
      <alignment horizontal="center" vertical="center"/>
    </xf>
    <xf numFmtId="165" fontId="24" fillId="5" borderId="28" xfId="0" applyNumberFormat="1" applyFont="1" applyFill="1" applyBorder="1" applyAlignment="1">
      <alignment horizontal="left"/>
    </xf>
    <xf numFmtId="165" fontId="24" fillId="5" borderId="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0" fillId="6" borderId="10" xfId="0" applyFill="1" applyBorder="1"/>
    <xf numFmtId="0" fontId="0" fillId="6" borderId="0" xfId="0" applyFill="1" applyBorder="1"/>
    <xf numFmtId="0" fontId="11" fillId="13" borderId="0" xfId="0" applyFont="1" applyFill="1" applyAlignment="1">
      <alignment horizontal="center"/>
    </xf>
    <xf numFmtId="0" fontId="0" fillId="14" borderId="64" xfId="0" applyFill="1" applyBorder="1"/>
    <xf numFmtId="0" fontId="0" fillId="14" borderId="0" xfId="0" applyFill="1" applyBorder="1"/>
    <xf numFmtId="0" fontId="2" fillId="5" borderId="25" xfId="0" applyFont="1" applyFill="1" applyBorder="1"/>
    <xf numFmtId="0" fontId="21" fillId="15" borderId="0" xfId="0" applyNumberFormat="1" applyFont="1" applyFill="1" applyBorder="1" applyProtection="1">
      <protection locked="0"/>
    </xf>
    <xf numFmtId="0" fontId="46" fillId="15" borderId="0" xfId="0" applyNumberFormat="1" applyFont="1" applyFill="1" applyBorder="1" applyProtection="1">
      <protection locked="0"/>
    </xf>
    <xf numFmtId="0" fontId="46" fillId="15" borderId="0" xfId="0" applyNumberFormat="1" applyFont="1" applyFill="1" applyBorder="1" applyAlignment="1" applyProtection="1">
      <alignment horizontal="center"/>
      <protection locked="0"/>
    </xf>
    <xf numFmtId="176" fontId="47" fillId="15" borderId="0" xfId="0" applyNumberFormat="1" applyFont="1" applyFill="1" applyBorder="1" applyAlignment="1" applyProtection="1">
      <alignment horizontal="right"/>
      <protection locked="0"/>
    </xf>
    <xf numFmtId="176" fontId="48" fillId="15" borderId="0" xfId="0" applyNumberFormat="1" applyFont="1" applyFill="1" applyBorder="1" applyAlignment="1" applyProtection="1">
      <alignment horizontal="right"/>
      <protection locked="0"/>
    </xf>
    <xf numFmtId="0" fontId="48" fillId="15" borderId="0" xfId="0" applyNumberFormat="1" applyFont="1" applyFill="1" applyAlignment="1" applyProtection="1">
      <alignment horizontal="centerContinuous"/>
      <protection locked="0"/>
    </xf>
    <xf numFmtId="0" fontId="48" fillId="15" borderId="0" xfId="0" applyNumberFormat="1" applyFont="1" applyFill="1" applyBorder="1" applyAlignment="1" applyProtection="1">
      <alignment horizontal="right" indent="1"/>
      <protection locked="0"/>
    </xf>
    <xf numFmtId="0" fontId="47" fillId="15" borderId="0" xfId="0" applyNumberFormat="1" applyFont="1" applyFill="1" applyBorder="1" applyAlignment="1" applyProtection="1">
      <alignment horizontal="left" indent="1"/>
      <protection locked="0"/>
    </xf>
    <xf numFmtId="169" fontId="47" fillId="15" borderId="0" xfId="0" applyNumberFormat="1" applyFont="1" applyFill="1" applyBorder="1" applyProtection="1">
      <protection locked="0"/>
    </xf>
    <xf numFmtId="7" fontId="47" fillId="15" borderId="0" xfId="0" applyNumberFormat="1" applyFont="1" applyFill="1" applyBorder="1" applyAlignment="1" applyProtection="1">
      <alignment horizontal="right" indent="1"/>
      <protection locked="0"/>
    </xf>
    <xf numFmtId="37" fontId="47" fillId="15" borderId="0" xfId="0" applyNumberFormat="1" applyFont="1" applyFill="1" applyBorder="1" applyProtection="1">
      <protection locked="0"/>
    </xf>
    <xf numFmtId="7" fontId="47" fillId="15" borderId="0" xfId="0" applyNumberFormat="1" applyFont="1" applyFill="1" applyBorder="1" applyProtection="1">
      <protection locked="0"/>
    </xf>
    <xf numFmtId="0" fontId="2" fillId="6" borderId="65" xfId="0" applyFont="1" applyFill="1" applyBorder="1" applyProtection="1">
      <protection locked="0"/>
    </xf>
    <xf numFmtId="0" fontId="2" fillId="6" borderId="66" xfId="0" applyFont="1" applyFill="1" applyBorder="1" applyProtection="1">
      <protection locked="0"/>
    </xf>
    <xf numFmtId="0" fontId="2" fillId="6" borderId="67" xfId="0" applyFont="1" applyFill="1" applyBorder="1" applyProtection="1">
      <protection locked="0"/>
    </xf>
    <xf numFmtId="0" fontId="2" fillId="6" borderId="68" xfId="0" applyFont="1" applyFill="1" applyBorder="1" applyProtection="1">
      <protection locked="0"/>
    </xf>
    <xf numFmtId="0" fontId="2" fillId="6" borderId="69" xfId="0" applyFont="1" applyFill="1" applyBorder="1" applyProtection="1">
      <protection locked="0"/>
    </xf>
    <xf numFmtId="0" fontId="2" fillId="6" borderId="70" xfId="0" applyFont="1" applyFill="1" applyBorder="1" applyProtection="1">
      <protection locked="0"/>
    </xf>
    <xf numFmtId="9" fontId="47" fillId="15" borderId="0" xfId="0" applyNumberFormat="1" applyFont="1" applyFill="1" applyBorder="1" applyProtection="1">
      <protection locked="0"/>
    </xf>
    <xf numFmtId="3" fontId="47" fillId="15" borderId="0" xfId="0" applyNumberFormat="1" applyFont="1" applyFill="1" applyBorder="1" applyAlignment="1" applyProtection="1">
      <alignment horizontal="right"/>
      <protection locked="0"/>
    </xf>
    <xf numFmtId="1" fontId="47" fillId="15" borderId="0" xfId="0" applyNumberFormat="1" applyFont="1" applyFill="1" applyBorder="1" applyAlignment="1" applyProtection="1">
      <alignment horizontal="left"/>
      <protection locked="0"/>
    </xf>
    <xf numFmtId="5" fontId="47" fillId="15" borderId="0" xfId="0" applyNumberFormat="1" applyFont="1" applyFill="1" applyBorder="1" applyProtection="1">
      <protection locked="0"/>
    </xf>
    <xf numFmtId="167" fontId="47" fillId="15" borderId="0" xfId="0" applyNumberFormat="1" applyFont="1" applyFill="1" applyBorder="1" applyAlignment="1" applyProtection="1">
      <alignment horizontal="center"/>
      <protection locked="0"/>
    </xf>
    <xf numFmtId="44" fontId="47" fillId="15" borderId="0" xfId="0" applyNumberFormat="1" applyFont="1" applyFill="1" applyBorder="1" applyAlignment="1" applyProtection="1">
      <alignment horizontal="right" indent="1"/>
      <protection locked="0"/>
    </xf>
    <xf numFmtId="1" fontId="47" fillId="15" borderId="0" xfId="0" applyNumberFormat="1" applyFont="1" applyFill="1" applyBorder="1" applyAlignment="1" applyProtection="1">
      <protection locked="0"/>
    </xf>
    <xf numFmtId="172" fontId="47" fillId="15" borderId="0" xfId="0" applyNumberFormat="1" applyFont="1" applyFill="1" applyBorder="1" applyProtection="1">
      <protection locked="0"/>
    </xf>
    <xf numFmtId="9" fontId="47" fillId="15" borderId="0" xfId="0" applyNumberFormat="1" applyFont="1" applyFill="1" applyBorder="1" applyAlignment="1" applyProtection="1">
      <alignment horizontal="right" indent="1"/>
      <protection locked="0"/>
    </xf>
    <xf numFmtId="0" fontId="13" fillId="5" borderId="0" xfId="0" applyFont="1" applyFill="1" applyAlignment="1">
      <alignment horizontal="centerContinuous" vertical="top"/>
    </xf>
    <xf numFmtId="0" fontId="13" fillId="5" borderId="0" xfId="0" applyFont="1" applyFill="1" applyAlignment="1">
      <alignment horizontal="centerContinuous"/>
    </xf>
    <xf numFmtId="0" fontId="13" fillId="5" borderId="0" xfId="0" applyFont="1" applyFill="1" applyBorder="1" applyAlignment="1">
      <alignment horizontal="centerContinuous"/>
    </xf>
    <xf numFmtId="0" fontId="32" fillId="5" borderId="0" xfId="0" applyFont="1" applyFill="1"/>
    <xf numFmtId="0" fontId="32" fillId="5" borderId="23" xfId="0" applyFont="1" applyFill="1" applyBorder="1"/>
    <xf numFmtId="166" fontId="28" fillId="6" borderId="72" xfId="6" applyBorder="1">
      <alignment horizontal="left" vertical="center" indent="3"/>
    </xf>
    <xf numFmtId="166" fontId="28" fillId="6" borderId="73" xfId="6" applyBorder="1">
      <alignment horizontal="left" vertical="center" indent="3"/>
    </xf>
    <xf numFmtId="166" fontId="25" fillId="6" borderId="74" xfId="6" applyFont="1" applyBorder="1">
      <alignment horizontal="left" vertical="center" indent="3"/>
    </xf>
    <xf numFmtId="0" fontId="39" fillId="5" borderId="0" xfId="11" applyFill="1" applyAlignment="1">
      <alignment vertical="center"/>
    </xf>
    <xf numFmtId="0" fontId="2" fillId="8" borderId="0" xfId="0" applyFont="1" applyFill="1"/>
    <xf numFmtId="0" fontId="32" fillId="8" borderId="0" xfId="0" applyFont="1" applyFill="1"/>
    <xf numFmtId="0" fontId="36" fillId="5" borderId="0" xfId="9" applyAlignment="1">
      <alignment horizontal="center" vertical="center"/>
    </xf>
    <xf numFmtId="166" fontId="26" fillId="6" borderId="0" xfId="0" applyNumberFormat="1" applyFont="1" applyFill="1" applyAlignment="1" applyProtection="1">
      <alignment horizontal="center" vertical="center"/>
    </xf>
    <xf numFmtId="166" fontId="54" fillId="6" borderId="53" xfId="0" applyNumberFormat="1" applyFont="1" applyFill="1" applyBorder="1" applyAlignment="1" applyProtection="1">
      <alignment horizontal="left" vertical="center"/>
    </xf>
    <xf numFmtId="166" fontId="54" fillId="6" borderId="54" xfId="0" applyNumberFormat="1" applyFont="1" applyFill="1" applyBorder="1" applyAlignment="1" applyProtection="1">
      <alignment horizontal="left" vertical="center"/>
    </xf>
    <xf numFmtId="0" fontId="2" fillId="5" borderId="25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30" fillId="8" borderId="0" xfId="0" applyFont="1" applyFill="1" applyAlignment="1">
      <alignment vertical="center"/>
    </xf>
    <xf numFmtId="14" fontId="2" fillId="9" borderId="0" xfId="0" applyNumberFormat="1" applyFont="1" applyFill="1" applyAlignment="1">
      <alignment vertical="center" wrapText="1"/>
    </xf>
    <xf numFmtId="0" fontId="2" fillId="9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166" fontId="54" fillId="6" borderId="41" xfId="0" applyNumberFormat="1" applyFont="1" applyFill="1" applyBorder="1" applyAlignment="1" applyProtection="1">
      <alignment horizontal="left" vertical="center"/>
    </xf>
    <xf numFmtId="0" fontId="2" fillId="9" borderId="0" xfId="0" applyFont="1" applyFill="1" applyAlignment="1">
      <alignment vertical="center" wrapText="1"/>
    </xf>
    <xf numFmtId="166" fontId="54" fillId="6" borderId="46" xfId="0" applyNumberFormat="1" applyFont="1" applyFill="1" applyBorder="1" applyAlignment="1" applyProtection="1">
      <alignment horizontal="left" vertical="center"/>
    </xf>
    <xf numFmtId="0" fontId="26" fillId="6" borderId="0" xfId="0" applyFont="1" applyFill="1" applyAlignment="1">
      <alignment horizontal="center" vertical="center"/>
    </xf>
    <xf numFmtId="166" fontId="54" fillId="0" borderId="40" xfId="0" applyNumberFormat="1" applyFont="1" applyFill="1" applyBorder="1" applyAlignment="1" applyProtection="1">
      <alignment horizontal="left" vertical="center"/>
    </xf>
    <xf numFmtId="166" fontId="54" fillId="0" borderId="41" xfId="0" applyNumberFormat="1" applyFont="1" applyFill="1" applyBorder="1" applyAlignment="1" applyProtection="1">
      <alignment horizontal="left" vertical="center"/>
    </xf>
    <xf numFmtId="0" fontId="26" fillId="6" borderId="0" xfId="0" applyFont="1" applyFill="1" applyAlignment="1">
      <alignment vertical="center"/>
    </xf>
    <xf numFmtId="0" fontId="6" fillId="8" borderId="0" xfId="0" applyFont="1" applyFill="1" applyAlignment="1">
      <alignment vertical="center"/>
    </xf>
    <xf numFmtId="0" fontId="26" fillId="6" borderId="0" xfId="0" applyFont="1" applyFill="1" applyAlignment="1">
      <alignment horizontal="left" vertical="center" wrapText="1"/>
    </xf>
    <xf numFmtId="166" fontId="54" fillId="6" borderId="41" xfId="0" applyNumberFormat="1" applyFont="1" applyFill="1" applyBorder="1" applyAlignment="1" applyProtection="1">
      <alignment horizontal="left" vertical="center" wrapText="1"/>
    </xf>
    <xf numFmtId="166" fontId="54" fillId="6" borderId="58" xfId="0" applyNumberFormat="1" applyFont="1" applyFill="1" applyBorder="1" applyAlignment="1" applyProtection="1">
      <alignment horizontal="left" vertical="center"/>
    </xf>
    <xf numFmtId="166" fontId="29" fillId="5" borderId="44" xfId="0" applyNumberFormat="1" applyFont="1" applyFill="1" applyBorder="1" applyAlignment="1" applyProtection="1">
      <alignment horizontal="left"/>
    </xf>
    <xf numFmtId="166" fontId="29" fillId="5" borderId="45" xfId="0" applyNumberFormat="1" applyFont="1" applyFill="1" applyBorder="1" applyAlignment="1" applyProtection="1">
      <alignment horizontal="left"/>
    </xf>
    <xf numFmtId="167" fontId="29" fillId="5" borderId="45" xfId="1" applyNumberFormat="1" applyFont="1" applyFill="1" applyBorder="1" applyProtection="1"/>
    <xf numFmtId="166" fontId="29" fillId="5" borderId="45" xfId="0" applyNumberFormat="1" applyFont="1" applyFill="1" applyBorder="1" applyAlignment="1" applyProtection="1">
      <alignment horizontal="center"/>
    </xf>
    <xf numFmtId="168" fontId="26" fillId="5" borderId="46" xfId="1" applyNumberFormat="1" applyFont="1" applyFill="1" applyBorder="1" applyProtection="1"/>
    <xf numFmtId="0" fontId="6" fillId="6" borderId="0" xfId="0" applyFont="1" applyFill="1"/>
    <xf numFmtId="0" fontId="57" fillId="6" borderId="0" xfId="0" applyFont="1" applyFill="1" applyAlignment="1">
      <alignment horizontal="center"/>
    </xf>
    <xf numFmtId="0" fontId="57" fillId="6" borderId="0" xfId="0" applyFont="1" applyFill="1" applyAlignment="1"/>
    <xf numFmtId="0" fontId="6" fillId="0" borderId="0" xfId="0" applyFont="1"/>
    <xf numFmtId="0" fontId="57" fillId="6" borderId="0" xfId="0" applyFont="1" applyFill="1" applyBorder="1" applyAlignment="1"/>
    <xf numFmtId="165" fontId="24" fillId="6" borderId="0" xfId="0" applyNumberFormat="1" applyFont="1" applyFill="1" applyBorder="1" applyAlignment="1"/>
    <xf numFmtId="0" fontId="31" fillId="6" borderId="0" xfId="0" applyFont="1" applyFill="1" applyBorder="1"/>
    <xf numFmtId="44" fontId="0" fillId="14" borderId="0" xfId="0" applyNumberFormat="1" applyFill="1" applyBorder="1"/>
    <xf numFmtId="9" fontId="0" fillId="14" borderId="0" xfId="0" applyNumberFormat="1" applyFont="1" applyFill="1" applyBorder="1" applyAlignment="1">
      <alignment horizontal="center" vertical="center"/>
    </xf>
    <xf numFmtId="0" fontId="18" fillId="6" borderId="0" xfId="0" applyFont="1" applyFill="1" applyBorder="1" applyAlignment="1" applyProtection="1">
      <alignment horizontal="left" vertical="top" indent="2"/>
    </xf>
    <xf numFmtId="166" fontId="54" fillId="6" borderId="39" xfId="0" applyNumberFormat="1" applyFont="1" applyFill="1" applyBorder="1" applyAlignment="1" applyProtection="1">
      <alignment horizontal="left" vertical="center"/>
    </xf>
    <xf numFmtId="166" fontId="54" fillId="6" borderId="40" xfId="0" applyNumberFormat="1" applyFont="1" applyFill="1" applyBorder="1" applyAlignment="1" applyProtection="1">
      <alignment horizontal="left" vertical="center"/>
    </xf>
    <xf numFmtId="0" fontId="2" fillId="16" borderId="0" xfId="0" applyFont="1" applyFill="1"/>
    <xf numFmtId="0" fontId="2" fillId="0" borderId="17" xfId="0" applyFont="1" applyBorder="1" applyProtection="1">
      <protection locked="0"/>
    </xf>
    <xf numFmtId="0" fontId="2" fillId="0" borderId="18" xfId="0" applyFont="1" applyBorder="1" applyProtection="1">
      <protection locked="0"/>
    </xf>
    <xf numFmtId="172" fontId="2" fillId="0" borderId="18" xfId="2" applyNumberFormat="1" applyFont="1" applyBorder="1" applyProtection="1">
      <protection locked="0"/>
    </xf>
    <xf numFmtId="166" fontId="54" fillId="6" borderId="52" xfId="0" applyNumberFormat="1" applyFont="1" applyFill="1" applyBorder="1" applyAlignment="1" applyProtection="1">
      <alignment horizontal="left" vertical="center"/>
      <protection locked="0"/>
    </xf>
    <xf numFmtId="167" fontId="54" fillId="6" borderId="55" xfId="1" applyNumberFormat="1" applyFont="1" applyFill="1" applyBorder="1" applyAlignment="1" applyProtection="1">
      <alignment vertical="center"/>
      <protection locked="0"/>
    </xf>
    <xf numFmtId="167" fontId="54" fillId="6" borderId="42" xfId="1" applyNumberFormat="1" applyFont="1" applyFill="1" applyBorder="1" applyAlignment="1" applyProtection="1">
      <alignment vertical="center"/>
      <protection locked="0"/>
    </xf>
    <xf numFmtId="167" fontId="54" fillId="6" borderId="47" xfId="1" applyNumberFormat="1" applyFont="1" applyFill="1" applyBorder="1" applyAlignment="1" applyProtection="1">
      <alignment vertical="center"/>
      <protection locked="0"/>
    </xf>
    <xf numFmtId="166" fontId="54" fillId="6" borderId="55" xfId="0" applyNumberFormat="1" applyFont="1" applyFill="1" applyBorder="1" applyAlignment="1" applyProtection="1">
      <alignment horizontal="center" vertical="center"/>
      <protection locked="0"/>
    </xf>
    <xf numFmtId="166" fontId="54" fillId="6" borderId="42" xfId="0" applyNumberFormat="1" applyFont="1" applyFill="1" applyBorder="1" applyAlignment="1" applyProtection="1">
      <alignment horizontal="center" vertical="center"/>
      <protection locked="0"/>
    </xf>
    <xf numFmtId="166" fontId="54" fillId="6" borderId="47" xfId="0" applyNumberFormat="1" applyFont="1" applyFill="1" applyBorder="1" applyAlignment="1" applyProtection="1">
      <alignment horizontal="center" vertical="center"/>
      <protection locked="0"/>
    </xf>
    <xf numFmtId="168" fontId="54" fillId="6" borderId="55" xfId="1" applyNumberFormat="1" applyFont="1" applyFill="1" applyBorder="1" applyAlignment="1" applyProtection="1">
      <alignment vertical="center"/>
      <protection locked="0"/>
    </xf>
    <xf numFmtId="168" fontId="53" fillId="5" borderId="56" xfId="8" applyBorder="1" applyAlignment="1" applyProtection="1">
      <alignment horizontal="right" vertical="center"/>
      <protection locked="0"/>
    </xf>
    <xf numFmtId="168" fontId="54" fillId="6" borderId="42" xfId="1" applyNumberFormat="1" applyFont="1" applyFill="1" applyBorder="1" applyAlignment="1" applyProtection="1">
      <alignment vertical="center"/>
      <protection locked="0"/>
    </xf>
    <xf numFmtId="168" fontId="53" fillId="5" borderId="43" xfId="8" applyBorder="1" applyAlignment="1" applyProtection="1">
      <alignment horizontal="right" vertical="center"/>
      <protection locked="0"/>
    </xf>
    <xf numFmtId="169" fontId="54" fillId="6" borderId="42" xfId="1" applyNumberFormat="1" applyFont="1" applyFill="1" applyBorder="1" applyAlignment="1" applyProtection="1">
      <alignment vertical="center"/>
      <protection locked="0"/>
    </xf>
    <xf numFmtId="168" fontId="54" fillId="6" borderId="47" xfId="1" applyNumberFormat="1" applyFont="1" applyFill="1" applyBorder="1" applyAlignment="1" applyProtection="1">
      <alignment vertical="center"/>
      <protection locked="0"/>
    </xf>
    <xf numFmtId="168" fontId="53" fillId="5" borderId="48" xfId="8" applyBorder="1" applyAlignment="1" applyProtection="1">
      <alignment horizontal="right" vertical="center"/>
      <protection locked="0"/>
    </xf>
    <xf numFmtId="168" fontId="28" fillId="5" borderId="38" xfId="7" applyProtection="1">
      <alignment horizontal="right" vertical="center"/>
      <protection locked="0"/>
    </xf>
    <xf numFmtId="166" fontId="54" fillId="0" borderId="39" xfId="0" applyNumberFormat="1" applyFont="1" applyFill="1" applyBorder="1" applyAlignment="1" applyProtection="1">
      <alignment horizontal="left" vertical="center"/>
      <protection locked="0"/>
    </xf>
    <xf numFmtId="167" fontId="54" fillId="0" borderId="42" xfId="1" applyNumberFormat="1" applyFont="1" applyFill="1" applyBorder="1" applyAlignment="1" applyProtection="1">
      <alignment vertical="center"/>
      <protection locked="0"/>
    </xf>
    <xf numFmtId="166" fontId="54" fillId="0" borderId="42" xfId="0" applyNumberFormat="1" applyFont="1" applyFill="1" applyBorder="1" applyAlignment="1" applyProtection="1">
      <alignment horizontal="center" vertical="center"/>
      <protection locked="0"/>
    </xf>
    <xf numFmtId="168" fontId="54" fillId="0" borderId="42" xfId="1" applyNumberFormat="1" applyFont="1" applyFill="1" applyBorder="1" applyAlignment="1" applyProtection="1">
      <alignment vertical="center"/>
      <protection locked="0"/>
    </xf>
    <xf numFmtId="0" fontId="54" fillId="6" borderId="40" xfId="0" applyNumberFormat="1" applyFont="1" applyFill="1" applyBorder="1" applyAlignment="1" applyProtection="1">
      <alignment vertical="center"/>
      <protection locked="0"/>
    </xf>
    <xf numFmtId="166" fontId="54" fillId="6" borderId="41" xfId="0" applyNumberFormat="1" applyFont="1" applyFill="1" applyBorder="1" applyAlignment="1" applyProtection="1">
      <alignment horizontal="left" vertical="center"/>
      <protection locked="0"/>
    </xf>
    <xf numFmtId="168" fontId="54" fillId="6" borderId="42" xfId="2" applyNumberFormat="1" applyFont="1" applyFill="1" applyBorder="1" applyAlignment="1" applyProtection="1">
      <alignment horizontal="right" vertical="center" wrapText="1"/>
      <protection locked="0"/>
    </xf>
    <xf numFmtId="168" fontId="54" fillId="6" borderId="42" xfId="2" applyNumberFormat="1" applyFont="1" applyFill="1" applyBorder="1" applyAlignment="1" applyProtection="1">
      <alignment horizontal="right" vertical="center"/>
      <protection locked="0"/>
    </xf>
    <xf numFmtId="167" fontId="54" fillId="0" borderId="42" xfId="1" applyNumberFormat="1" applyFont="1" applyFill="1" applyBorder="1" applyAlignment="1" applyProtection="1">
      <alignment horizontal="left" vertical="center" wrapText="1"/>
      <protection locked="0"/>
    </xf>
    <xf numFmtId="166" fontId="55" fillId="6" borderId="40" xfId="0" applyNumberFormat="1" applyFont="1" applyFill="1" applyBorder="1" applyAlignment="1" applyProtection="1">
      <alignment horizontal="left" vertical="center"/>
      <protection locked="0"/>
    </xf>
    <xf numFmtId="169" fontId="54" fillId="6" borderId="42" xfId="2" applyNumberFormat="1" applyFont="1" applyFill="1" applyBorder="1" applyAlignment="1" applyProtection="1">
      <alignment horizontal="right" vertical="center"/>
      <protection locked="0"/>
    </xf>
    <xf numFmtId="166" fontId="54" fillId="6" borderId="51" xfId="0" applyNumberFormat="1" applyFont="1" applyFill="1" applyBorder="1" applyAlignment="1" applyProtection="1">
      <alignment vertical="center"/>
      <protection locked="0"/>
    </xf>
    <xf numFmtId="166" fontId="54" fillId="6" borderId="57" xfId="0" applyNumberFormat="1" applyFont="1" applyFill="1" applyBorder="1" applyAlignment="1" applyProtection="1">
      <alignment vertical="center"/>
      <protection locked="0"/>
    </xf>
    <xf numFmtId="167" fontId="54" fillId="6" borderId="49" xfId="1" applyNumberFormat="1" applyFont="1" applyFill="1" applyBorder="1" applyAlignment="1" applyProtection="1">
      <alignment vertical="center"/>
      <protection locked="0"/>
    </xf>
    <xf numFmtId="166" fontId="54" fillId="6" borderId="49" xfId="0" applyNumberFormat="1" applyFont="1" applyFill="1" applyBorder="1" applyAlignment="1" applyProtection="1">
      <alignment horizontal="center" vertical="center"/>
      <protection locked="0"/>
    </xf>
    <xf numFmtId="168" fontId="54" fillId="6" borderId="49" xfId="2" applyNumberFormat="1" applyFont="1" applyFill="1" applyBorder="1" applyAlignment="1" applyProtection="1">
      <alignment horizontal="right" vertical="center"/>
      <protection locked="0"/>
    </xf>
    <xf numFmtId="168" fontId="53" fillId="5" borderId="50" xfId="8" applyBorder="1" applyAlignment="1" applyProtection="1">
      <alignment horizontal="right" vertical="center"/>
      <protection locked="0"/>
    </xf>
    <xf numFmtId="166" fontId="54" fillId="6" borderId="53" xfId="0" applyNumberFormat="1" applyFont="1" applyFill="1" applyBorder="1" applyAlignment="1" applyProtection="1">
      <alignment horizontal="left" vertical="center"/>
      <protection locked="0"/>
    </xf>
    <xf numFmtId="9" fontId="65" fillId="14" borderId="0" xfId="0" applyNumberFormat="1" applyFont="1" applyFill="1" applyBorder="1" applyAlignment="1" applyProtection="1">
      <alignment horizontal="right"/>
      <protection locked="0"/>
    </xf>
    <xf numFmtId="1" fontId="65" fillId="14" borderId="64" xfId="0" applyNumberFormat="1" applyFont="1" applyFill="1" applyBorder="1" applyProtection="1">
      <protection locked="0"/>
    </xf>
    <xf numFmtId="0" fontId="65" fillId="14" borderId="64" xfId="0" applyFont="1" applyFill="1" applyBorder="1" applyProtection="1">
      <protection locked="0"/>
    </xf>
    <xf numFmtId="169" fontId="65" fillId="14" borderId="64" xfId="0" applyNumberFormat="1" applyFont="1" applyFill="1" applyBorder="1" applyProtection="1">
      <protection locked="0"/>
    </xf>
    <xf numFmtId="44" fontId="65" fillId="14" borderId="64" xfId="0" applyNumberFormat="1" applyFont="1" applyFill="1" applyBorder="1" applyProtection="1">
      <protection locked="0"/>
    </xf>
    <xf numFmtId="0" fontId="0" fillId="0" borderId="0" xfId="0" applyProtection="1">
      <protection locked="0"/>
    </xf>
    <xf numFmtId="179" fontId="0" fillId="0" borderId="0" xfId="0" applyNumberFormat="1" applyProtection="1">
      <protection locked="0"/>
    </xf>
    <xf numFmtId="1" fontId="0" fillId="0" borderId="0" xfId="0" applyNumberFormat="1" applyAlignment="1" applyProtection="1">
      <protection locked="0"/>
    </xf>
    <xf numFmtId="3" fontId="0" fillId="0" borderId="0" xfId="0" applyNumberFormat="1" applyAlignment="1" applyProtection="1">
      <protection locked="0"/>
    </xf>
    <xf numFmtId="44" fontId="0" fillId="0" borderId="0" xfId="0" applyNumberFormat="1" applyFont="1" applyProtection="1">
      <protection locked="0"/>
    </xf>
    <xf numFmtId="0" fontId="0" fillId="6" borderId="0" xfId="0" applyFill="1" applyProtection="1">
      <protection locked="0"/>
    </xf>
    <xf numFmtId="9" fontId="47" fillId="15" borderId="0" xfId="0" applyNumberFormat="1" applyFont="1" applyFill="1" applyBorder="1" applyProtection="1"/>
    <xf numFmtId="7" fontId="47" fillId="15" borderId="0" xfId="0" applyNumberFormat="1" applyFont="1" applyFill="1" applyBorder="1" applyAlignment="1" applyProtection="1">
      <alignment horizontal="right" indent="1"/>
    </xf>
    <xf numFmtId="3" fontId="47" fillId="15" borderId="0" xfId="0" applyNumberFormat="1" applyFont="1" applyFill="1" applyBorder="1" applyAlignment="1" applyProtection="1">
      <alignment horizontal="right"/>
    </xf>
    <xf numFmtId="1" fontId="47" fillId="15" borderId="0" xfId="0" applyNumberFormat="1" applyFont="1" applyFill="1" applyBorder="1" applyAlignment="1" applyProtection="1">
      <alignment horizontal="left"/>
    </xf>
    <xf numFmtId="5" fontId="47" fillId="15" borderId="0" xfId="0" applyNumberFormat="1" applyFont="1" applyFill="1" applyBorder="1" applyProtection="1"/>
    <xf numFmtId="168" fontId="53" fillId="5" borderId="43" xfId="8" applyNumberFormat="1" applyBorder="1" applyAlignment="1" applyProtection="1">
      <alignment horizontal="right" vertical="center"/>
      <protection locked="0"/>
    </xf>
    <xf numFmtId="9" fontId="7" fillId="0" borderId="16" xfId="0" applyNumberFormat="1" applyFont="1" applyFill="1" applyBorder="1" applyProtection="1">
      <protection locked="0"/>
    </xf>
    <xf numFmtId="9" fontId="7" fillId="0" borderId="37" xfId="0" applyNumberFormat="1" applyFont="1" applyFill="1" applyBorder="1" applyProtection="1"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166" fontId="56" fillId="6" borderId="39" xfId="0" applyNumberFormat="1" applyFont="1" applyFill="1" applyBorder="1" applyAlignment="1" applyProtection="1">
      <alignment horizontal="left" vertical="center"/>
      <protection locked="0"/>
    </xf>
    <xf numFmtId="9" fontId="2" fillId="6" borderId="11" xfId="0" applyNumberFormat="1" applyFont="1" applyFill="1" applyBorder="1" applyProtection="1">
      <protection locked="0"/>
    </xf>
    <xf numFmtId="168" fontId="54" fillId="6" borderId="41" xfId="0" applyNumberFormat="1" applyFont="1" applyFill="1" applyBorder="1" applyAlignment="1" applyProtection="1">
      <alignment horizontal="left" vertical="center"/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0" fontId="18" fillId="6" borderId="0" xfId="0" applyFont="1" applyFill="1" applyBorder="1" applyAlignment="1" applyProtection="1">
      <alignment horizontal="left" vertical="top" indent="2"/>
    </xf>
    <xf numFmtId="166" fontId="54" fillId="6" borderId="44" xfId="0" applyNumberFormat="1" applyFont="1" applyFill="1" applyBorder="1" applyAlignment="1" applyProtection="1">
      <alignment horizontal="left" vertical="center"/>
      <protection locked="0"/>
    </xf>
    <xf numFmtId="166" fontId="54" fillId="6" borderId="45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168" fontId="59" fillId="6" borderId="75" xfId="0" applyNumberFormat="1" applyFont="1" applyFill="1" applyBorder="1" applyAlignment="1" applyProtection="1">
      <alignment vertical="center"/>
      <protection locked="0"/>
    </xf>
    <xf numFmtId="166" fontId="54" fillId="6" borderId="81" xfId="0" applyNumberFormat="1" applyFont="1" applyFill="1" applyBorder="1" applyAlignment="1" applyProtection="1">
      <alignment horizontal="left" vertical="center"/>
    </xf>
    <xf numFmtId="166" fontId="54" fillId="6" borderId="80" xfId="0" applyNumberFormat="1" applyFont="1" applyFill="1" applyBorder="1" applyAlignment="1" applyProtection="1">
      <alignment horizontal="left" vertical="center"/>
      <protection locked="0"/>
    </xf>
    <xf numFmtId="166" fontId="54" fillId="6" borderId="81" xfId="0" applyNumberFormat="1" applyFont="1" applyFill="1" applyBorder="1" applyAlignment="1" applyProtection="1">
      <alignment horizontal="left" vertical="center"/>
      <protection locked="0"/>
    </xf>
    <xf numFmtId="166" fontId="54" fillId="6" borderId="82" xfId="0" applyNumberFormat="1" applyFont="1" applyFill="1" applyBorder="1" applyAlignment="1" applyProtection="1">
      <alignment horizontal="left" vertical="center"/>
      <protection locked="0"/>
    </xf>
    <xf numFmtId="167" fontId="54" fillId="0" borderId="84" xfId="1" applyNumberFormat="1" applyFont="1" applyFill="1" applyBorder="1" applyAlignment="1" applyProtection="1">
      <alignment vertical="center"/>
      <protection locked="0"/>
    </xf>
    <xf numFmtId="168" fontId="53" fillId="5" borderId="83" xfId="8" applyNumberFormat="1" applyBorder="1" applyAlignment="1" applyProtection="1">
      <alignment horizontal="right" vertical="center"/>
      <protection locked="0"/>
    </xf>
    <xf numFmtId="166" fontId="25" fillId="6" borderId="73" xfId="0" applyNumberFormat="1" applyFont="1" applyFill="1" applyBorder="1" applyAlignment="1" applyProtection="1">
      <alignment horizontal="left"/>
    </xf>
    <xf numFmtId="167" fontId="25" fillId="6" borderId="73" xfId="1" applyNumberFormat="1" applyFont="1" applyFill="1" applyBorder="1" applyProtection="1"/>
    <xf numFmtId="166" fontId="25" fillId="6" borderId="73" xfId="0" applyNumberFormat="1" applyFont="1" applyFill="1" applyBorder="1" applyAlignment="1" applyProtection="1">
      <alignment horizontal="center"/>
    </xf>
    <xf numFmtId="168" fontId="25" fillId="6" borderId="73" xfId="1" applyNumberFormat="1" applyFont="1" applyFill="1" applyBorder="1" applyProtection="1"/>
    <xf numFmtId="168" fontId="25" fillId="6" borderId="73" xfId="0" applyNumberFormat="1" applyFont="1" applyFill="1" applyBorder="1" applyProtection="1"/>
    <xf numFmtId="166" fontId="54" fillId="6" borderId="82" xfId="0" applyNumberFormat="1" applyFont="1" applyFill="1" applyBorder="1" applyAlignment="1" applyProtection="1">
      <alignment horizontal="left" vertical="center"/>
    </xf>
    <xf numFmtId="167" fontId="54" fillId="6" borderId="84" xfId="1" applyNumberFormat="1" applyFont="1" applyFill="1" applyBorder="1" applyAlignment="1" applyProtection="1">
      <alignment vertical="center"/>
      <protection locked="0"/>
    </xf>
    <xf numFmtId="166" fontId="54" fillId="6" borderId="84" xfId="0" applyNumberFormat="1" applyFont="1" applyFill="1" applyBorder="1" applyAlignment="1" applyProtection="1">
      <alignment horizontal="center" vertical="center"/>
      <protection locked="0"/>
    </xf>
    <xf numFmtId="168" fontId="54" fillId="6" borderId="84" xfId="1" applyNumberFormat="1" applyFont="1" applyFill="1" applyBorder="1" applyAlignment="1" applyProtection="1">
      <alignment vertical="center"/>
      <protection locked="0"/>
    </xf>
    <xf numFmtId="168" fontId="53" fillId="5" borderId="83" xfId="8" applyBorder="1" applyAlignment="1" applyProtection="1">
      <alignment horizontal="right" vertical="center"/>
      <protection locked="0"/>
    </xf>
    <xf numFmtId="166" fontId="26" fillId="6" borderId="73" xfId="0" applyNumberFormat="1" applyFont="1" applyFill="1" applyBorder="1" applyAlignment="1" applyProtection="1">
      <alignment horizontal="left"/>
    </xf>
    <xf numFmtId="167" fontId="26" fillId="6" borderId="73" xfId="1" applyNumberFormat="1" applyFont="1" applyFill="1" applyBorder="1" applyProtection="1"/>
    <xf numFmtId="166" fontId="26" fillId="6" borderId="73" xfId="0" applyNumberFormat="1" applyFont="1" applyFill="1" applyBorder="1" applyAlignment="1" applyProtection="1">
      <alignment horizontal="center"/>
    </xf>
    <xf numFmtId="168" fontId="26" fillId="6" borderId="73" xfId="1" applyNumberFormat="1" applyFont="1" applyFill="1" applyBorder="1" applyProtection="1"/>
    <xf numFmtId="168" fontId="26" fillId="6" borderId="73" xfId="0" applyNumberFormat="1" applyFont="1" applyFill="1" applyBorder="1" applyProtection="1"/>
    <xf numFmtId="168" fontId="54" fillId="6" borderId="84" xfId="2" applyNumberFormat="1" applyFont="1" applyFill="1" applyBorder="1" applyAlignment="1" applyProtection="1">
      <alignment horizontal="right" vertical="center" wrapText="1"/>
      <protection locked="0"/>
    </xf>
    <xf numFmtId="0" fontId="25" fillId="6" borderId="73" xfId="0" applyFont="1" applyFill="1" applyBorder="1" applyAlignment="1">
      <alignment vertical="top"/>
    </xf>
    <xf numFmtId="0" fontId="2" fillId="6" borderId="73" xfId="0" applyNumberFormat="1" applyFont="1" applyFill="1" applyBorder="1" applyAlignment="1"/>
    <xf numFmtId="168" fontId="26" fillId="6" borderId="73" xfId="2" applyNumberFormat="1" applyFont="1" applyFill="1" applyBorder="1" applyAlignment="1">
      <alignment horizontal="right" vertical="center" wrapText="1"/>
    </xf>
    <xf numFmtId="168" fontId="54" fillId="6" borderId="84" xfId="2" applyNumberFormat="1" applyFont="1" applyFill="1" applyBorder="1" applyAlignment="1" applyProtection="1">
      <alignment horizontal="right" vertical="center"/>
      <protection locked="0"/>
    </xf>
    <xf numFmtId="169" fontId="54" fillId="6" borderId="84" xfId="2" applyNumberFormat="1" applyFont="1" applyFill="1" applyBorder="1" applyAlignment="1" applyProtection="1">
      <alignment horizontal="right" vertical="center"/>
      <protection locked="0"/>
    </xf>
    <xf numFmtId="166" fontId="54" fillId="6" borderId="41" xfId="0" applyNumberFormat="1" applyFont="1" applyFill="1" applyBorder="1" applyAlignment="1" applyProtection="1">
      <alignment horizontal="center" vertical="center"/>
      <protection locked="0"/>
    </xf>
    <xf numFmtId="166" fontId="54" fillId="6" borderId="82" xfId="0" applyNumberFormat="1" applyFont="1" applyFill="1" applyBorder="1" applyAlignment="1" applyProtection="1">
      <alignment horizontal="center" vertical="center"/>
      <protection locked="0"/>
    </xf>
    <xf numFmtId="166" fontId="54" fillId="6" borderId="42" xfId="0" applyNumberFormat="1" applyFont="1" applyFill="1" applyBorder="1" applyAlignment="1" applyProtection="1">
      <alignment horizontal="center" vertical="center" wrapText="1"/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166" fontId="54" fillId="6" borderId="12" xfId="0" applyNumberFormat="1" applyFont="1" applyFill="1" applyBorder="1" applyAlignment="1" applyProtection="1">
      <alignment horizontal="left" vertical="center"/>
      <protection locked="0"/>
    </xf>
    <xf numFmtId="166" fontId="54" fillId="6" borderId="13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vertical="center"/>
    </xf>
    <xf numFmtId="0" fontId="23" fillId="8" borderId="0" xfId="0" applyFont="1" applyFill="1" applyAlignment="1"/>
    <xf numFmtId="166" fontId="25" fillId="6" borderId="8" xfId="0" applyNumberFormat="1" applyFont="1" applyFill="1" applyBorder="1" applyAlignment="1" applyProtection="1">
      <alignment horizontal="center"/>
    </xf>
    <xf numFmtId="166" fontId="25" fillId="6" borderId="8" xfId="0" applyNumberFormat="1" applyFont="1" applyFill="1" applyBorder="1" applyAlignment="1" applyProtection="1">
      <alignment horizontal="left"/>
    </xf>
    <xf numFmtId="167" fontId="25" fillId="6" borderId="8" xfId="1" applyNumberFormat="1" applyFont="1" applyFill="1" applyBorder="1" applyProtection="1"/>
    <xf numFmtId="168" fontId="25" fillId="6" borderId="8" xfId="1" applyNumberFormat="1" applyFont="1" applyFill="1" applyBorder="1" applyProtection="1"/>
    <xf numFmtId="168" fontId="25" fillId="6" borderId="8" xfId="0" applyNumberFormat="1" applyFont="1" applyFill="1" applyBorder="1" applyProtection="1"/>
    <xf numFmtId="0" fontId="65" fillId="6" borderId="0" xfId="0" applyFont="1" applyFill="1"/>
    <xf numFmtId="166" fontId="54" fillId="6" borderId="13" xfId="0" applyNumberFormat="1" applyFont="1" applyFill="1" applyBorder="1" applyAlignment="1" applyProtection="1">
      <alignment horizontal="left" vertical="center"/>
    </xf>
    <xf numFmtId="167" fontId="54" fillId="6" borderId="13" xfId="1" applyNumberFormat="1" applyFont="1" applyFill="1" applyBorder="1" applyAlignment="1" applyProtection="1">
      <alignment vertical="center"/>
      <protection locked="0"/>
    </xf>
    <xf numFmtId="166" fontId="54" fillId="6" borderId="13" xfId="0" applyNumberFormat="1" applyFont="1" applyFill="1" applyBorder="1" applyAlignment="1" applyProtection="1">
      <alignment horizontal="center" vertical="center"/>
      <protection locked="0"/>
    </xf>
    <xf numFmtId="168" fontId="54" fillId="6" borderId="13" xfId="1" applyNumberFormat="1" applyFont="1" applyFill="1" applyBorder="1" applyAlignment="1" applyProtection="1">
      <alignment vertical="center"/>
      <protection locked="0"/>
    </xf>
    <xf numFmtId="168" fontId="53" fillId="5" borderId="14" xfId="8" applyBorder="1" applyAlignment="1" applyProtection="1">
      <alignment horizontal="right" vertical="center"/>
      <protection locked="0"/>
    </xf>
    <xf numFmtId="168" fontId="28" fillId="5" borderId="38" xfId="7" applyBorder="1" applyProtection="1">
      <alignment horizontal="right" vertical="center"/>
      <protection locked="0"/>
    </xf>
    <xf numFmtId="0" fontId="36" fillId="5" borderId="0" xfId="9" applyAlignment="1">
      <alignment horizontal="center" vertical="center"/>
    </xf>
    <xf numFmtId="166" fontId="54" fillId="6" borderId="57" xfId="0" applyNumberFormat="1" applyFont="1" applyFill="1" applyBorder="1" applyAlignment="1" applyProtection="1">
      <alignment horizontal="left" vertical="center"/>
    </xf>
    <xf numFmtId="167" fontId="54" fillId="6" borderId="57" xfId="1" applyNumberFormat="1" applyFont="1" applyFill="1" applyBorder="1" applyAlignment="1" applyProtection="1">
      <alignment vertical="center"/>
    </xf>
    <xf numFmtId="166" fontId="54" fillId="6" borderId="57" xfId="0" applyNumberFormat="1" applyFont="1" applyFill="1" applyBorder="1" applyAlignment="1" applyProtection="1">
      <alignment horizontal="center" vertical="center"/>
    </xf>
    <xf numFmtId="168" fontId="53" fillId="5" borderId="85" xfId="8" applyBorder="1" applyAlignment="1">
      <alignment horizontal="right" vertical="center"/>
    </xf>
    <xf numFmtId="168" fontId="54" fillId="6" borderId="57" xfId="1" applyNumberFormat="1" applyFont="1" applyFill="1" applyBorder="1" applyAlignment="1" applyProtection="1">
      <alignment vertical="center"/>
    </xf>
    <xf numFmtId="0" fontId="65" fillId="6" borderId="0" xfId="0" applyFont="1" applyFill="1" applyBorder="1"/>
    <xf numFmtId="0" fontId="66" fillId="14" borderId="86" xfId="0" applyFont="1" applyFill="1" applyBorder="1"/>
    <xf numFmtId="0" fontId="66" fillId="14" borderId="10" xfId="0" applyFont="1" applyFill="1" applyBorder="1" applyAlignment="1">
      <alignment wrapText="1"/>
    </xf>
    <xf numFmtId="0" fontId="6" fillId="13" borderId="7" xfId="0" applyFont="1" applyFill="1" applyBorder="1"/>
    <xf numFmtId="0" fontId="6" fillId="13" borderId="8" xfId="0" applyFont="1" applyFill="1" applyBorder="1"/>
    <xf numFmtId="0" fontId="11" fillId="2" borderId="0" xfId="0" applyFont="1" applyFill="1" applyBorder="1" applyAlignment="1">
      <alignment horizontal="center"/>
    </xf>
    <xf numFmtId="0" fontId="65" fillId="6" borderId="10" xfId="0" applyFont="1" applyFill="1" applyBorder="1"/>
    <xf numFmtId="0" fontId="0" fillId="6" borderId="8" xfId="0" applyFill="1" applyBorder="1"/>
    <xf numFmtId="14" fontId="12" fillId="6" borderId="1" xfId="0" applyNumberFormat="1" applyFont="1" applyFill="1" applyBorder="1" applyAlignment="1" applyProtection="1">
      <alignment vertical="center"/>
      <protection locked="0"/>
    </xf>
    <xf numFmtId="166" fontId="54" fillId="6" borderId="87" xfId="0" applyNumberFormat="1" applyFont="1" applyFill="1" applyBorder="1" applyAlignment="1" applyProtection="1">
      <alignment horizontal="left" vertical="center"/>
      <protection locked="0"/>
    </xf>
    <xf numFmtId="177" fontId="54" fillId="0" borderId="88" xfId="1" applyNumberFormat="1" applyFont="1" applyFill="1" applyBorder="1" applyAlignment="1" applyProtection="1">
      <alignment vertical="center"/>
      <protection locked="0"/>
    </xf>
    <xf numFmtId="166" fontId="54" fillId="6" borderId="88" xfId="0" applyNumberFormat="1" applyFont="1" applyFill="1" applyBorder="1" applyAlignment="1" applyProtection="1">
      <alignment horizontal="center" vertical="center" wrapText="1"/>
      <protection locked="0"/>
    </xf>
    <xf numFmtId="10" fontId="54" fillId="6" borderId="88" xfId="3" applyNumberFormat="1" applyFont="1" applyFill="1" applyBorder="1" applyAlignment="1" applyProtection="1">
      <alignment horizontal="right" vertical="center"/>
      <protection locked="0"/>
    </xf>
    <xf numFmtId="168" fontId="53" fillId="5" borderId="89" xfId="8" applyBorder="1" applyAlignment="1" applyProtection="1">
      <alignment horizontal="right" vertical="center"/>
      <protection locked="0"/>
    </xf>
    <xf numFmtId="166" fontId="54" fillId="6" borderId="73" xfId="0" applyNumberFormat="1" applyFont="1" applyFill="1" applyBorder="1" applyAlignment="1" applyProtection="1">
      <alignment horizontal="left" vertical="center"/>
      <protection locked="0"/>
    </xf>
    <xf numFmtId="177" fontId="54" fillId="0" borderId="73" xfId="1" applyNumberFormat="1" applyFont="1" applyFill="1" applyBorder="1" applyAlignment="1" applyProtection="1">
      <alignment vertical="center"/>
      <protection locked="0"/>
    </xf>
    <xf numFmtId="166" fontId="54" fillId="6" borderId="73" xfId="0" applyNumberFormat="1" applyFont="1" applyFill="1" applyBorder="1" applyAlignment="1" applyProtection="1">
      <alignment horizontal="center" vertical="center" wrapText="1"/>
      <protection locked="0"/>
    </xf>
    <xf numFmtId="10" fontId="54" fillId="6" borderId="73" xfId="3" applyNumberFormat="1" applyFont="1" applyFill="1" applyBorder="1" applyAlignment="1" applyProtection="1">
      <alignment horizontal="right" vertical="center"/>
      <protection locked="0"/>
    </xf>
    <xf numFmtId="168" fontId="53" fillId="5" borderId="73" xfId="8" applyBorder="1" applyAlignment="1" applyProtection="1">
      <alignment horizontal="right" vertical="center"/>
      <protection locked="0"/>
    </xf>
    <xf numFmtId="166" fontId="54" fillId="6" borderId="80" xfId="0" applyNumberFormat="1" applyFont="1" applyFill="1" applyBorder="1" applyAlignment="1" applyProtection="1">
      <alignment vertical="center"/>
    </xf>
    <xf numFmtId="166" fontId="54" fillId="6" borderId="81" xfId="0" applyNumberFormat="1" applyFont="1" applyFill="1" applyBorder="1" applyAlignment="1" applyProtection="1">
      <alignment vertical="center"/>
      <protection locked="0"/>
    </xf>
    <xf numFmtId="166" fontId="54" fillId="6" borderId="84" xfId="0" applyNumberFormat="1" applyFont="1" applyFill="1" applyBorder="1" applyAlignment="1" applyProtection="1">
      <alignment horizontal="center" vertical="center" wrapText="1"/>
      <protection locked="0"/>
    </xf>
    <xf numFmtId="166" fontId="54" fillId="6" borderId="7" xfId="0" applyNumberFormat="1" applyFont="1" applyFill="1" applyBorder="1" applyAlignment="1" applyProtection="1">
      <alignment vertical="center"/>
    </xf>
    <xf numFmtId="166" fontId="54" fillId="6" borderId="8" xfId="0" applyNumberFormat="1" applyFont="1" applyFill="1" applyBorder="1" applyAlignment="1" applyProtection="1">
      <alignment vertical="center"/>
      <protection locked="0"/>
    </xf>
    <xf numFmtId="167" fontId="54" fillId="0" borderId="88" xfId="1" applyNumberFormat="1" applyFont="1" applyFill="1" applyBorder="1" applyAlignment="1" applyProtection="1">
      <alignment vertical="center"/>
      <protection locked="0"/>
    </xf>
    <xf numFmtId="166" fontId="54" fillId="6" borderId="88" xfId="0" applyNumberFormat="1" applyFont="1" applyFill="1" applyBorder="1" applyAlignment="1" applyProtection="1">
      <alignment horizontal="center" vertical="center"/>
      <protection locked="0"/>
    </xf>
    <xf numFmtId="168" fontId="54" fillId="6" borderId="88" xfId="2" applyNumberFormat="1" applyFont="1" applyFill="1" applyBorder="1" applyAlignment="1" applyProtection="1">
      <alignment horizontal="right" vertical="center"/>
      <protection locked="0"/>
    </xf>
    <xf numFmtId="171" fontId="54" fillId="6" borderId="88" xfId="3" applyNumberFormat="1" applyFont="1" applyFill="1" applyBorder="1" applyAlignment="1" applyProtection="1">
      <alignment horizontal="right" vertical="center"/>
      <protection locked="0"/>
    </xf>
    <xf numFmtId="5" fontId="2" fillId="6" borderId="1" xfId="1" applyNumberFormat="1" applyFont="1" applyFill="1" applyBorder="1" applyAlignment="1" applyProtection="1">
      <alignment vertical="center"/>
      <protection locked="0"/>
    </xf>
    <xf numFmtId="166" fontId="54" fillId="6" borderId="39" xfId="0" applyNumberFormat="1" applyFont="1" applyFill="1" applyBorder="1" applyAlignment="1" applyProtection="1">
      <alignment vertical="center"/>
      <protection locked="0"/>
    </xf>
    <xf numFmtId="166" fontId="54" fillId="6" borderId="40" xfId="0" applyNumberFormat="1" applyFont="1" applyFill="1" applyBorder="1" applyAlignment="1" applyProtection="1">
      <alignment vertical="center"/>
      <protection locked="0"/>
    </xf>
    <xf numFmtId="166" fontId="54" fillId="6" borderId="80" xfId="0" applyNumberFormat="1" applyFont="1" applyFill="1" applyBorder="1" applyAlignment="1" applyProtection="1">
      <alignment vertical="center"/>
      <protection locked="0"/>
    </xf>
    <xf numFmtId="0" fontId="54" fillId="6" borderId="39" xfId="0" applyFont="1" applyFill="1" applyBorder="1" applyAlignment="1" applyProtection="1">
      <alignment vertical="center"/>
      <protection locked="0"/>
    </xf>
    <xf numFmtId="0" fontId="54" fillId="6" borderId="40" xfId="0" applyFont="1" applyFill="1" applyBorder="1" applyAlignment="1" applyProtection="1">
      <alignment vertical="center" wrapText="1"/>
      <protection locked="0"/>
    </xf>
    <xf numFmtId="166" fontId="54" fillId="6" borderId="7" xfId="0" applyNumberFormat="1" applyFont="1" applyFill="1" applyBorder="1" applyAlignment="1" applyProtection="1">
      <alignment vertical="center"/>
      <protection locked="0"/>
    </xf>
    <xf numFmtId="49" fontId="6" fillId="8" borderId="0" xfId="0" applyNumberFormat="1" applyFont="1" applyFill="1" applyAlignment="1"/>
    <xf numFmtId="49" fontId="2" fillId="9" borderId="0" xfId="0" applyNumberFormat="1" applyFont="1" applyFill="1" applyAlignment="1"/>
    <xf numFmtId="49" fontId="2" fillId="9" borderId="0" xfId="0" applyNumberFormat="1" applyFont="1" applyFill="1" applyAlignment="1">
      <alignment vertical="center"/>
    </xf>
    <xf numFmtId="0" fontId="17" fillId="5" borderId="32" xfId="0" applyFont="1" applyFill="1" applyBorder="1" applyProtection="1">
      <protection locked="0"/>
    </xf>
    <xf numFmtId="0" fontId="17" fillId="5" borderId="31" xfId="0" applyFont="1" applyFill="1" applyBorder="1" applyProtection="1">
      <protection locked="0"/>
    </xf>
    <xf numFmtId="2" fontId="68" fillId="5" borderId="0" xfId="0" applyNumberFormat="1" applyFont="1" applyFill="1" applyBorder="1" applyProtection="1">
      <protection locked="0"/>
    </xf>
    <xf numFmtId="0" fontId="68" fillId="5" borderId="0" xfId="0" applyFont="1" applyFill="1" applyBorder="1" applyProtection="1">
      <protection locked="0"/>
    </xf>
    <xf numFmtId="43" fontId="68" fillId="5" borderId="0" xfId="0" applyNumberFormat="1" applyFont="1" applyFill="1" applyBorder="1" applyProtection="1">
      <protection locked="0"/>
    </xf>
    <xf numFmtId="167" fontId="68" fillId="5" borderId="0" xfId="1" applyNumberFormat="1" applyFont="1" applyFill="1" applyBorder="1" applyProtection="1">
      <protection locked="0"/>
    </xf>
    <xf numFmtId="167" fontId="68" fillId="5" borderId="90" xfId="0" applyNumberFormat="1" applyFont="1" applyFill="1" applyBorder="1" applyProtection="1">
      <protection locked="0"/>
    </xf>
    <xf numFmtId="0" fontId="70" fillId="5" borderId="32" xfId="0" applyFont="1" applyFill="1" applyBorder="1" applyProtection="1">
      <protection locked="0"/>
    </xf>
    <xf numFmtId="9" fontId="2" fillId="6" borderId="0" xfId="0" applyNumberFormat="1" applyFont="1" applyFill="1" applyBorder="1" applyProtection="1">
      <protection locked="0"/>
    </xf>
    <xf numFmtId="0" fontId="17" fillId="5" borderId="34" xfId="0" applyFont="1" applyFill="1" applyBorder="1" applyProtection="1">
      <protection locked="0"/>
    </xf>
    <xf numFmtId="0" fontId="17" fillId="5" borderId="101" xfId="0" applyFont="1" applyFill="1" applyBorder="1" applyProtection="1">
      <protection locked="0"/>
    </xf>
    <xf numFmtId="0" fontId="2" fillId="2" borderId="0" xfId="0" applyFont="1" applyFill="1" applyProtection="1">
      <protection locked="0"/>
    </xf>
    <xf numFmtId="0" fontId="2" fillId="6" borderId="0" xfId="0" applyFont="1" applyFill="1" applyBorder="1" applyProtection="1">
      <protection locked="0"/>
    </xf>
    <xf numFmtId="0" fontId="2" fillId="5" borderId="6" xfId="0" applyFont="1" applyFill="1" applyBorder="1" applyProtection="1">
      <protection locked="0"/>
    </xf>
    <xf numFmtId="0" fontId="2" fillId="5" borderId="0" xfId="0" applyFont="1" applyFill="1" applyProtection="1">
      <protection locked="0"/>
    </xf>
    <xf numFmtId="0" fontId="3" fillId="5" borderId="0" xfId="0" applyFont="1" applyFill="1" applyAlignment="1" applyProtection="1">
      <alignment horizontal="right" vertical="center" indent="1"/>
      <protection locked="0"/>
    </xf>
    <xf numFmtId="0" fontId="2" fillId="5" borderId="0" xfId="0" applyFont="1" applyFill="1" applyAlignment="1" applyProtection="1">
      <alignment vertical="center"/>
      <protection locked="0"/>
    </xf>
    <xf numFmtId="0" fontId="2" fillId="5" borderId="0" xfId="0" applyFont="1" applyFill="1" applyAlignment="1" applyProtection="1">
      <alignment horizontal="left" vertical="center"/>
      <protection locked="0"/>
    </xf>
    <xf numFmtId="0" fontId="3" fillId="5" borderId="0" xfId="0" applyFont="1" applyFill="1" applyAlignment="1" applyProtection="1">
      <alignment vertical="center"/>
      <protection locked="0"/>
    </xf>
    <xf numFmtId="0" fontId="4" fillId="5" borderId="0" xfId="0" applyFont="1" applyFill="1" applyAlignment="1" applyProtection="1">
      <alignment horizontal="left" vertical="center"/>
      <protection locked="0"/>
    </xf>
    <xf numFmtId="0" fontId="4" fillId="5" borderId="0" xfId="0" applyFont="1" applyFill="1" applyAlignment="1" applyProtection="1">
      <alignment vertical="center"/>
      <protection locked="0"/>
    </xf>
    <xf numFmtId="0" fontId="67" fillId="5" borderId="0" xfId="0" applyFont="1" applyFill="1" applyAlignment="1" applyProtection="1">
      <alignment horizontal="right" vertical="center" indent="1"/>
      <protection locked="0"/>
    </xf>
    <xf numFmtId="178" fontId="2" fillId="6" borderId="0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32" fillId="6" borderId="0" xfId="0" applyFont="1" applyFill="1" applyBorder="1" applyProtection="1">
      <protection locked="0"/>
    </xf>
    <xf numFmtId="0" fontId="16" fillId="6" borderId="0" xfId="0" applyFont="1" applyFill="1" applyBorder="1" applyAlignment="1" applyProtection="1">
      <protection locked="0"/>
    </xf>
    <xf numFmtId="0" fontId="3" fillId="6" borderId="0" xfId="0" applyFont="1" applyFill="1" applyBorder="1" applyAlignment="1" applyProtection="1">
      <alignment horizontal="right" indent="1"/>
      <protection locked="0"/>
    </xf>
    <xf numFmtId="43" fontId="2" fillId="6" borderId="0" xfId="0" applyNumberFormat="1" applyFont="1" applyFill="1" applyBorder="1" applyProtection="1">
      <protection locked="0"/>
    </xf>
    <xf numFmtId="0" fontId="19" fillId="6" borderId="0" xfId="0" applyFont="1" applyFill="1" applyBorder="1" applyAlignment="1" applyProtection="1">
      <alignment vertical="center"/>
      <protection locked="0"/>
    </xf>
    <xf numFmtId="14" fontId="41" fillId="6" borderId="0" xfId="0" applyNumberFormat="1" applyFont="1" applyFill="1" applyBorder="1" applyAlignment="1" applyProtection="1">
      <alignment horizontal="left" vertical="center"/>
      <protection locked="0"/>
    </xf>
    <xf numFmtId="0" fontId="3" fillId="5" borderId="22" xfId="0" applyFont="1" applyFill="1" applyBorder="1" applyAlignment="1" applyProtection="1">
      <alignment horizontal="right" indent="1"/>
      <protection locked="0"/>
    </xf>
    <xf numFmtId="14" fontId="2" fillId="5" borderId="23" xfId="0" applyNumberFormat="1" applyFont="1" applyFill="1" applyBorder="1" applyAlignment="1" applyProtection="1">
      <alignment horizontal="left"/>
      <protection locked="0"/>
    </xf>
    <xf numFmtId="0" fontId="2" fillId="5" borderId="23" xfId="0" applyFont="1" applyFill="1" applyBorder="1" applyProtection="1">
      <protection locked="0"/>
    </xf>
    <xf numFmtId="0" fontId="2" fillId="5" borderId="24" xfId="0" applyFont="1" applyFill="1" applyBorder="1" applyProtection="1">
      <protection locked="0"/>
    </xf>
    <xf numFmtId="0" fontId="2" fillId="6" borderId="25" xfId="0" applyFont="1" applyFill="1" applyBorder="1" applyProtection="1">
      <protection locked="0"/>
    </xf>
    <xf numFmtId="0" fontId="2" fillId="6" borderId="0" xfId="0" applyFont="1" applyFill="1" applyAlignment="1" applyProtection="1">
      <alignment vertical="center"/>
      <protection locked="0"/>
    </xf>
    <xf numFmtId="0" fontId="14" fillId="5" borderId="25" xfId="0" applyFont="1" applyFill="1" applyBorder="1" applyAlignment="1" applyProtection="1">
      <alignment horizontal="right" vertical="center" indent="1"/>
      <protection locked="0"/>
    </xf>
    <xf numFmtId="0" fontId="14" fillId="5" borderId="0" xfId="0" applyFont="1" applyFill="1" applyBorder="1" applyAlignment="1" applyProtection="1">
      <alignment horizontal="right" vertical="center" indent="1"/>
      <protection locked="0"/>
    </xf>
    <xf numFmtId="0" fontId="15" fillId="5" borderId="0" xfId="0" applyFont="1" applyFill="1" applyBorder="1" applyAlignment="1" applyProtection="1">
      <alignment vertical="center"/>
      <protection locked="0"/>
    </xf>
    <xf numFmtId="0" fontId="12" fillId="5" borderId="0" xfId="0" applyFont="1" applyFill="1" applyBorder="1" applyAlignment="1" applyProtection="1">
      <alignment vertical="center"/>
      <protection locked="0"/>
    </xf>
    <xf numFmtId="0" fontId="2" fillId="5" borderId="26" xfId="0" applyFont="1" applyFill="1" applyBorder="1" applyAlignment="1" applyProtection="1">
      <alignment vertical="center"/>
      <protection locked="0"/>
    </xf>
    <xf numFmtId="0" fontId="2" fillId="6" borderId="25" xfId="0" applyFont="1" applyFill="1" applyBorder="1" applyAlignment="1" applyProtection="1">
      <alignment vertical="center"/>
      <protection locked="0"/>
    </xf>
    <xf numFmtId="0" fontId="2" fillId="0" borderId="0" xfId="0" applyFont="1" applyFill="1" applyAlignment="1" applyProtection="1">
      <alignment vertical="center"/>
      <protection locked="0"/>
    </xf>
    <xf numFmtId="0" fontId="12" fillId="5" borderId="0" xfId="0" applyFont="1" applyFill="1" applyBorder="1" applyAlignment="1" applyProtection="1">
      <alignment horizontal="right" vertical="center" indent="1"/>
      <protection locked="0"/>
    </xf>
    <xf numFmtId="0" fontId="2" fillId="6" borderId="0" xfId="0" applyFont="1" applyFill="1" applyBorder="1" applyAlignment="1" applyProtection="1">
      <alignment vertical="center"/>
      <protection locked="0"/>
    </xf>
    <xf numFmtId="0" fontId="4" fillId="5" borderId="26" xfId="0" applyFont="1" applyFill="1" applyBorder="1" applyAlignment="1" applyProtection="1">
      <alignment vertical="center"/>
      <protection locked="0"/>
    </xf>
    <xf numFmtId="0" fontId="4" fillId="6" borderId="25" xfId="0" applyFont="1" applyFill="1" applyBorder="1" applyAlignment="1" applyProtection="1">
      <alignment vertical="center"/>
      <protection locked="0"/>
    </xf>
    <xf numFmtId="43" fontId="2" fillId="6" borderId="0" xfId="0" applyNumberFormat="1" applyFont="1" applyFill="1" applyAlignment="1" applyProtection="1">
      <alignment vertical="center"/>
      <protection locked="0"/>
    </xf>
    <xf numFmtId="0" fontId="2" fillId="5" borderId="28" xfId="0" applyFont="1" applyFill="1" applyBorder="1" applyProtection="1">
      <protection locked="0"/>
    </xf>
    <xf numFmtId="0" fontId="2" fillId="5" borderId="29" xfId="0" applyFont="1" applyFill="1" applyBorder="1" applyProtection="1">
      <protection locked="0"/>
    </xf>
    <xf numFmtId="0" fontId="6" fillId="6" borderId="0" xfId="0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0" fontId="2" fillId="2" borderId="7" xfId="0" applyFont="1" applyFill="1" applyBorder="1" applyProtection="1">
      <protection locked="0"/>
    </xf>
    <xf numFmtId="0" fontId="2" fillId="2" borderId="8" xfId="0" applyFont="1" applyFill="1" applyBorder="1" applyProtection="1">
      <protection locked="0"/>
    </xf>
    <xf numFmtId="0" fontId="6" fillId="2" borderId="9" xfId="0" applyFont="1" applyFill="1" applyBorder="1" applyProtection="1">
      <protection locked="0"/>
    </xf>
    <xf numFmtId="0" fontId="6" fillId="6" borderId="0" xfId="0" applyFont="1" applyFill="1" applyProtection="1">
      <protection locked="0"/>
    </xf>
    <xf numFmtId="0" fontId="6" fillId="6" borderId="11" xfId="0" applyFont="1" applyFill="1" applyBorder="1" applyProtection="1">
      <protection locked="0"/>
    </xf>
    <xf numFmtId="178" fontId="35" fillId="3" borderId="8" xfId="0" applyNumberFormat="1" applyFont="1" applyFill="1" applyBorder="1" applyAlignment="1" applyProtection="1">
      <alignment horizontal="centerContinuous"/>
      <protection locked="0"/>
    </xf>
    <xf numFmtId="178" fontId="35" fillId="7" borderId="7" xfId="0" applyNumberFormat="1" applyFont="1" applyFill="1" applyBorder="1" applyAlignment="1" applyProtection="1">
      <alignment horizontal="centerContinuous"/>
      <protection locked="0"/>
    </xf>
    <xf numFmtId="178" fontId="35" fillId="7" borderId="8" xfId="0" applyNumberFormat="1" applyFont="1" applyFill="1" applyBorder="1" applyAlignment="1" applyProtection="1">
      <alignment horizontal="centerContinuous"/>
      <protection locked="0"/>
    </xf>
    <xf numFmtId="0" fontId="6" fillId="6" borderId="36" xfId="0" applyFont="1" applyFill="1" applyBorder="1" applyProtection="1">
      <protection locked="0"/>
    </xf>
    <xf numFmtId="0" fontId="6" fillId="2" borderId="7" xfId="0" applyFont="1" applyFill="1" applyBorder="1" applyProtection="1">
      <protection locked="0"/>
    </xf>
    <xf numFmtId="0" fontId="12" fillId="4" borderId="21" xfId="0" applyFont="1" applyFill="1" applyBorder="1" applyProtection="1">
      <protection locked="0"/>
    </xf>
    <xf numFmtId="0" fontId="12" fillId="4" borderId="62" xfId="0" applyFont="1" applyFill="1" applyBorder="1" applyProtection="1">
      <protection locked="0"/>
    </xf>
    <xf numFmtId="0" fontId="2" fillId="6" borderId="0" xfId="0" applyFont="1" applyFill="1" applyAlignment="1" applyProtection="1">
      <alignment wrapText="1"/>
      <protection locked="0"/>
    </xf>
    <xf numFmtId="0" fontId="6" fillId="2" borderId="10" xfId="0" applyFont="1" applyFill="1" applyBorder="1" applyAlignment="1" applyProtection="1">
      <alignment wrapText="1"/>
      <protection locked="0"/>
    </xf>
    <xf numFmtId="0" fontId="6" fillId="2" borderId="0" xfId="0" applyFont="1" applyFill="1" applyBorder="1" applyAlignment="1" applyProtection="1">
      <alignment wrapText="1"/>
      <protection locked="0"/>
    </xf>
    <xf numFmtId="0" fontId="6" fillId="2" borderId="11" xfId="0" applyFont="1" applyFill="1" applyBorder="1" applyAlignment="1" applyProtection="1">
      <alignment wrapText="1"/>
      <protection locked="0"/>
    </xf>
    <xf numFmtId="0" fontId="6" fillId="6" borderId="0" xfId="0" applyFont="1" applyFill="1" applyAlignment="1" applyProtection="1">
      <alignment wrapText="1"/>
      <protection locked="0"/>
    </xf>
    <xf numFmtId="0" fontId="6" fillId="6" borderId="11" xfId="0" applyFont="1" applyFill="1" applyBorder="1" applyAlignment="1" applyProtection="1">
      <alignment wrapText="1"/>
      <protection locked="0"/>
    </xf>
    <xf numFmtId="0" fontId="9" fillId="3" borderId="0" xfId="0" applyFont="1" applyFill="1" applyBorder="1" applyAlignment="1" applyProtection="1">
      <alignment horizontal="center" wrapText="1"/>
      <protection locked="0"/>
    </xf>
    <xf numFmtId="0" fontId="9" fillId="7" borderId="10" xfId="0" applyFont="1" applyFill="1" applyBorder="1" applyAlignment="1" applyProtection="1">
      <alignment horizontal="center" wrapText="1"/>
      <protection locked="0"/>
    </xf>
    <xf numFmtId="0" fontId="9" fillId="7" borderId="0" xfId="0" applyFont="1" applyFill="1" applyBorder="1" applyAlignment="1" applyProtection="1">
      <alignment horizontal="center" wrapText="1"/>
      <protection locked="0"/>
    </xf>
    <xf numFmtId="0" fontId="6" fillId="6" borderId="36" xfId="0" applyFont="1" applyFill="1" applyBorder="1" applyAlignment="1" applyProtection="1">
      <alignment wrapText="1"/>
      <protection locked="0"/>
    </xf>
    <xf numFmtId="0" fontId="11" fillId="2" borderId="10" xfId="0" applyFont="1" applyFill="1" applyBorder="1" applyAlignment="1" applyProtection="1">
      <alignment horizontal="right" wrapText="1"/>
      <protection locked="0"/>
    </xf>
    <xf numFmtId="0" fontId="11" fillId="4" borderId="0" xfId="0" applyFont="1" applyFill="1" applyBorder="1" applyAlignment="1" applyProtection="1">
      <alignment wrapText="1"/>
      <protection locked="0"/>
    </xf>
    <xf numFmtId="0" fontId="11" fillId="4" borderId="63" xfId="0" applyFont="1" applyFill="1" applyBorder="1" applyAlignment="1" applyProtection="1">
      <alignment wrapText="1"/>
      <protection locked="0"/>
    </xf>
    <xf numFmtId="0" fontId="2" fillId="0" borderId="0" xfId="0" applyFont="1" applyAlignment="1" applyProtection="1">
      <alignment wrapText="1"/>
      <protection locked="0"/>
    </xf>
    <xf numFmtId="0" fontId="17" fillId="5" borderId="31" xfId="0" applyNumberFormat="1" applyFont="1" applyFill="1" applyBorder="1" applyProtection="1">
      <protection locked="0"/>
    </xf>
    <xf numFmtId="0" fontId="17" fillId="5" borderId="30" xfId="0" applyFont="1" applyFill="1" applyBorder="1" applyProtection="1">
      <protection locked="0"/>
    </xf>
    <xf numFmtId="0" fontId="17" fillId="5" borderId="60" xfId="0" applyFont="1" applyFill="1" applyBorder="1" applyProtection="1">
      <protection locked="0"/>
    </xf>
    <xf numFmtId="9" fontId="2" fillId="6" borderId="36" xfId="0" applyNumberFormat="1" applyFont="1" applyFill="1" applyBorder="1" applyProtection="1">
      <protection locked="0"/>
    </xf>
    <xf numFmtId="0" fontId="17" fillId="5" borderId="33" xfId="0" applyFont="1" applyFill="1" applyBorder="1" applyProtection="1">
      <protection locked="0"/>
    </xf>
    <xf numFmtId="167" fontId="17" fillId="5" borderId="30" xfId="1" applyNumberFormat="1" applyFont="1" applyFill="1" applyBorder="1" applyProtection="1">
      <protection locked="0"/>
    </xf>
    <xf numFmtId="1" fontId="17" fillId="5" borderId="31" xfId="0" applyNumberFormat="1" applyFont="1" applyFill="1" applyBorder="1" applyProtection="1">
      <protection locked="0"/>
    </xf>
    <xf numFmtId="0" fontId="2" fillId="0" borderId="15" xfId="0" applyFont="1" applyBorder="1" applyProtection="1">
      <protection locked="0"/>
    </xf>
    <xf numFmtId="0" fontId="2" fillId="0" borderId="12" xfId="0" applyFont="1" applyBorder="1" applyProtection="1">
      <protection locked="0"/>
    </xf>
    <xf numFmtId="0" fontId="2" fillId="0" borderId="13" xfId="0" applyFont="1" applyBorder="1" applyProtection="1">
      <protection locked="0"/>
    </xf>
    <xf numFmtId="0" fontId="2" fillId="0" borderId="13" xfId="0" applyNumberFormat="1" applyFont="1" applyFill="1" applyBorder="1" applyProtection="1">
      <protection locked="0"/>
    </xf>
    <xf numFmtId="0" fontId="2" fillId="0" borderId="13" xfId="0" applyFont="1" applyFill="1" applyBorder="1" applyProtection="1">
      <protection locked="0"/>
    </xf>
    <xf numFmtId="164" fontId="2" fillId="0" borderId="13" xfId="0" applyNumberFormat="1" applyFont="1" applyBorder="1" applyProtection="1">
      <protection locked="0"/>
    </xf>
    <xf numFmtId="9" fontId="2" fillId="0" borderId="14" xfId="0" applyNumberFormat="1" applyFont="1" applyBorder="1" applyProtection="1">
      <protection locked="0"/>
    </xf>
    <xf numFmtId="9" fontId="2" fillId="6" borderId="0" xfId="0" applyNumberFormat="1" applyFont="1" applyFill="1" applyProtection="1">
      <protection locked="0"/>
    </xf>
    <xf numFmtId="9" fontId="2" fillId="6" borderId="35" xfId="0" applyNumberFormat="1" applyFont="1" applyFill="1" applyBorder="1" applyProtection="1">
      <protection locked="0"/>
    </xf>
    <xf numFmtId="9" fontId="2" fillId="0" borderId="99" xfId="0" applyNumberFormat="1" applyFont="1" applyFill="1" applyBorder="1" applyProtection="1">
      <protection locked="0"/>
    </xf>
    <xf numFmtId="9" fontId="2" fillId="6" borderId="100" xfId="0" applyNumberFormat="1" applyFont="1" applyFill="1" applyBorder="1" applyProtection="1">
      <protection locked="0"/>
    </xf>
    <xf numFmtId="0" fontId="2" fillId="5" borderId="94" xfId="0" applyFont="1" applyFill="1" applyBorder="1" applyProtection="1">
      <protection locked="0"/>
    </xf>
    <xf numFmtId="0" fontId="2" fillId="5" borderId="95" xfId="0" applyFont="1" applyFill="1" applyBorder="1" applyProtection="1">
      <protection locked="0"/>
    </xf>
    <xf numFmtId="9" fontId="2" fillId="5" borderId="96" xfId="0" applyNumberFormat="1" applyFont="1" applyFill="1" applyBorder="1" applyProtection="1">
      <protection locked="0"/>
    </xf>
    <xf numFmtId="1" fontId="2" fillId="5" borderId="97" xfId="0" applyNumberFormat="1" applyFont="1" applyFill="1" applyBorder="1" applyProtection="1">
      <protection locked="0"/>
    </xf>
    <xf numFmtId="0" fontId="2" fillId="5" borderId="97" xfId="0" applyFont="1" applyFill="1" applyBorder="1" applyProtection="1">
      <protection locked="0"/>
    </xf>
    <xf numFmtId="0" fontId="2" fillId="5" borderId="98" xfId="0" applyFont="1" applyFill="1" applyBorder="1" applyProtection="1">
      <protection locked="0"/>
    </xf>
    <xf numFmtId="2" fontId="2" fillId="6" borderId="0" xfId="0" applyNumberFormat="1" applyFont="1" applyFill="1" applyProtection="1">
      <protection locked="0"/>
    </xf>
    <xf numFmtId="44" fontId="2" fillId="0" borderId="0" xfId="2" applyFont="1" applyProtection="1">
      <protection locked="0"/>
    </xf>
    <xf numFmtId="0" fontId="1" fillId="16" borderId="0" xfId="4" applyFill="1" applyProtection="1">
      <protection locked="0"/>
    </xf>
    <xf numFmtId="0" fontId="1" fillId="0" borderId="0" xfId="4" applyProtection="1">
      <protection locked="0"/>
    </xf>
    <xf numFmtId="0" fontId="0" fillId="0" borderId="0" xfId="4" quotePrefix="1" applyFont="1" applyProtection="1">
      <protection locked="0"/>
    </xf>
    <xf numFmtId="0" fontId="0" fillId="0" borderId="0" xfId="4" applyFont="1" applyProtection="1">
      <protection locked="0"/>
    </xf>
    <xf numFmtId="0" fontId="1" fillId="0" borderId="0" xfId="4" applyBorder="1" applyProtection="1">
      <protection locked="0"/>
    </xf>
    <xf numFmtId="0" fontId="34" fillId="0" borderId="0" xfId="4" applyFont="1" applyBorder="1" applyProtection="1">
      <protection locked="0"/>
    </xf>
    <xf numFmtId="0" fontId="33" fillId="8" borderId="0" xfId="4" applyNumberFormat="1" applyFont="1" applyFill="1" applyBorder="1" applyAlignment="1" applyProtection="1">
      <protection locked="0"/>
    </xf>
    <xf numFmtId="0" fontId="33" fillId="8" borderId="0" xfId="4" applyFont="1" applyFill="1" applyProtection="1">
      <protection locked="0"/>
    </xf>
    <xf numFmtId="0" fontId="1" fillId="0" borderId="0" xfId="4" applyFill="1" applyProtection="1">
      <protection locked="0"/>
    </xf>
    <xf numFmtId="0" fontId="0" fillId="0" borderId="0" xfId="0" applyAlignment="1" applyProtection="1">
      <alignment horizontal="left"/>
      <protection locked="0"/>
    </xf>
    <xf numFmtId="2" fontId="1" fillId="0" borderId="0" xfId="4" applyNumberFormat="1" applyProtection="1">
      <protection locked="0"/>
    </xf>
    <xf numFmtId="168" fontId="0" fillId="0" borderId="0" xfId="0" applyNumberFormat="1" applyProtection="1">
      <protection locked="0"/>
    </xf>
    <xf numFmtId="167" fontId="0" fillId="5" borderId="0" xfId="1" applyNumberFormat="1" applyFont="1" applyFill="1" applyBorder="1" applyProtection="1">
      <protection locked="0"/>
    </xf>
    <xf numFmtId="0" fontId="0" fillId="5" borderId="0" xfId="4" applyNumberFormat="1" applyFont="1" applyFill="1" applyBorder="1" applyAlignment="1" applyProtection="1">
      <protection locked="0"/>
    </xf>
    <xf numFmtId="167" fontId="0" fillId="5" borderId="0" xfId="1" applyNumberFormat="1" applyFont="1" applyFill="1" applyBorder="1" applyAlignment="1" applyProtection="1">
      <protection locked="0"/>
    </xf>
    <xf numFmtId="0" fontId="31" fillId="7" borderId="0" xfId="4" applyFont="1" applyFill="1" applyProtection="1">
      <protection locked="0"/>
    </xf>
    <xf numFmtId="0" fontId="1" fillId="7" borderId="0" xfId="4" applyFill="1" applyProtection="1">
      <protection locked="0"/>
    </xf>
    <xf numFmtId="0" fontId="1" fillId="0" borderId="0" xfId="4" applyFill="1" applyBorder="1" applyProtection="1">
      <protection locked="0"/>
    </xf>
    <xf numFmtId="3" fontId="1" fillId="0" borderId="0" xfId="4" applyNumberFormat="1" applyProtection="1">
      <protection locked="0"/>
    </xf>
    <xf numFmtId="0" fontId="1" fillId="5" borderId="0" xfId="4" applyFill="1" applyProtection="1">
      <protection locked="0"/>
    </xf>
    <xf numFmtId="179" fontId="1" fillId="0" borderId="0" xfId="4" applyNumberFormat="1" applyProtection="1">
      <protection locked="0"/>
    </xf>
    <xf numFmtId="179" fontId="31" fillId="7" borderId="0" xfId="4" applyNumberFormat="1" applyFont="1" applyFill="1" applyProtection="1">
      <protection locked="0"/>
    </xf>
    <xf numFmtId="0" fontId="0" fillId="5" borderId="0" xfId="4" applyFont="1" applyFill="1" applyProtection="1">
      <protection locked="0"/>
    </xf>
    <xf numFmtId="0" fontId="1" fillId="5" borderId="0" xfId="4" applyFill="1" applyAlignment="1" applyProtection="1">
      <protection locked="0"/>
    </xf>
    <xf numFmtId="182" fontId="1" fillId="0" borderId="0" xfId="4" applyNumberFormat="1" applyProtection="1">
      <protection locked="0"/>
    </xf>
    <xf numFmtId="0" fontId="60" fillId="17" borderId="0" xfId="15" applyFont="1" applyFill="1" applyProtection="1">
      <protection locked="0"/>
    </xf>
    <xf numFmtId="0" fontId="61" fillId="17" borderId="0" xfId="15" applyFont="1" applyFill="1" applyAlignment="1" applyProtection="1">
      <alignment vertical="top"/>
      <protection locked="0"/>
    </xf>
    <xf numFmtId="0" fontId="62" fillId="0" borderId="76" xfId="15" applyFont="1" applyFill="1" applyBorder="1" applyAlignment="1" applyProtection="1">
      <alignment horizontal="center" vertical="center"/>
      <protection locked="0"/>
    </xf>
    <xf numFmtId="0" fontId="24" fillId="0" borderId="76" xfId="15" applyFont="1" applyFill="1" applyBorder="1" applyAlignment="1" applyProtection="1">
      <alignment horizontal="center" vertical="center"/>
      <protection locked="0"/>
    </xf>
    <xf numFmtId="0" fontId="60" fillId="17" borderId="0" xfId="15" applyFont="1" applyFill="1" applyAlignment="1" applyProtection="1">
      <alignment vertical="center"/>
      <protection locked="0"/>
    </xf>
    <xf numFmtId="0" fontId="24" fillId="0" borderId="77" xfId="15" applyFont="1" applyFill="1" applyBorder="1" applyAlignment="1" applyProtection="1">
      <alignment horizontal="center" vertical="center"/>
      <protection locked="0"/>
    </xf>
    <xf numFmtId="0" fontId="60" fillId="0" borderId="78" xfId="15" applyFont="1" applyFill="1" applyBorder="1" applyProtection="1">
      <protection locked="0"/>
    </xf>
    <xf numFmtId="0" fontId="32" fillId="0" borderId="78" xfId="15" applyFont="1" applyFill="1" applyBorder="1" applyProtection="1">
      <protection locked="0"/>
    </xf>
    <xf numFmtId="0" fontId="60" fillId="0" borderId="79" xfId="15" applyFont="1" applyFill="1" applyBorder="1" applyProtection="1">
      <protection locked="0"/>
    </xf>
    <xf numFmtId="0" fontId="17" fillId="5" borderId="105" xfId="0" applyFont="1" applyFill="1" applyBorder="1" applyProtection="1">
      <protection locked="0"/>
    </xf>
    <xf numFmtId="0" fontId="17" fillId="5" borderId="106" xfId="0" applyFont="1" applyFill="1" applyBorder="1" applyProtection="1">
      <protection locked="0"/>
    </xf>
    <xf numFmtId="0" fontId="17" fillId="5" borderId="107" xfId="0" applyFont="1" applyFill="1" applyBorder="1" applyProtection="1">
      <protection locked="0"/>
    </xf>
    <xf numFmtId="44" fontId="68" fillId="5" borderId="106" xfId="2" applyFont="1" applyFill="1" applyBorder="1" applyProtection="1">
      <protection locked="0"/>
    </xf>
    <xf numFmtId="167" fontId="68" fillId="5" borderId="107" xfId="0" applyNumberFormat="1" applyFont="1" applyFill="1" applyBorder="1" applyProtection="1">
      <protection locked="0"/>
    </xf>
    <xf numFmtId="43" fontId="68" fillId="5" borderId="108" xfId="1" applyNumberFormat="1" applyFont="1" applyFill="1" applyBorder="1" applyProtection="1">
      <protection locked="0"/>
    </xf>
    <xf numFmtId="0" fontId="70" fillId="5" borderId="106" xfId="0" applyFont="1" applyFill="1" applyBorder="1" applyProtection="1">
      <protection locked="0"/>
    </xf>
    <xf numFmtId="0" fontId="70" fillId="5" borderId="107" xfId="0" applyFont="1" applyFill="1" applyBorder="1" applyProtection="1">
      <protection locked="0"/>
    </xf>
    <xf numFmtId="9" fontId="69" fillId="5" borderId="108" xfId="3" applyFont="1" applyFill="1" applyBorder="1" applyProtection="1">
      <protection locked="0"/>
    </xf>
    <xf numFmtId="44" fontId="71" fillId="5" borderId="91" xfId="2" applyFont="1" applyFill="1" applyBorder="1" applyProtection="1">
      <protection locked="0"/>
    </xf>
    <xf numFmtId="167" fontId="71" fillId="5" borderId="92" xfId="0" applyNumberFormat="1" applyFont="1" applyFill="1" applyBorder="1" applyProtection="1">
      <protection locked="0"/>
    </xf>
    <xf numFmtId="43" fontId="71" fillId="5" borderId="93" xfId="1" applyNumberFormat="1" applyFont="1" applyFill="1" applyBorder="1" applyProtection="1">
      <protection locked="0"/>
    </xf>
    <xf numFmtId="2" fontId="71" fillId="5" borderId="92" xfId="0" applyNumberFormat="1" applyFont="1" applyFill="1" applyBorder="1" applyProtection="1">
      <protection locked="0"/>
    </xf>
    <xf numFmtId="43" fontId="71" fillId="5" borderId="92" xfId="0" applyNumberFormat="1" applyFont="1" applyFill="1" applyBorder="1" applyProtection="1">
      <protection locked="0"/>
    </xf>
    <xf numFmtId="0" fontId="71" fillId="5" borderId="92" xfId="0" applyFont="1" applyFill="1" applyBorder="1" applyProtection="1">
      <protection locked="0"/>
    </xf>
    <xf numFmtId="167" fontId="71" fillId="5" borderId="92" xfId="1" applyNumberFormat="1" applyFont="1" applyFill="1" applyBorder="1" applyProtection="1">
      <protection locked="0"/>
    </xf>
    <xf numFmtId="167" fontId="71" fillId="5" borderId="115" xfId="0" applyNumberFormat="1" applyFont="1" applyFill="1" applyBorder="1" applyProtection="1">
      <protection locked="0"/>
    </xf>
    <xf numFmtId="44" fontId="71" fillId="5" borderId="102" xfId="2" applyFont="1" applyFill="1" applyBorder="1" applyProtection="1">
      <protection locked="0"/>
    </xf>
    <xf numFmtId="167" fontId="71" fillId="5" borderId="103" xfId="0" applyNumberFormat="1" applyFont="1" applyFill="1" applyBorder="1" applyProtection="1">
      <protection locked="0"/>
    </xf>
    <xf numFmtId="43" fontId="71" fillId="5" borderId="104" xfId="1" applyNumberFormat="1" applyFont="1" applyFill="1" applyBorder="1" applyProtection="1">
      <protection locked="0"/>
    </xf>
    <xf numFmtId="2" fontId="71" fillId="5" borderId="0" xfId="0" applyNumberFormat="1" applyFont="1" applyFill="1" applyBorder="1" applyProtection="1">
      <protection locked="0"/>
    </xf>
    <xf numFmtId="43" fontId="71" fillId="5" borderId="0" xfId="0" applyNumberFormat="1" applyFont="1" applyFill="1" applyBorder="1" applyProtection="1">
      <protection locked="0"/>
    </xf>
    <xf numFmtId="0" fontId="71" fillId="5" borderId="0" xfId="0" applyFont="1" applyFill="1" applyBorder="1" applyProtection="1">
      <protection locked="0"/>
    </xf>
    <xf numFmtId="167" fontId="71" fillId="5" borderId="0" xfId="1" applyNumberFormat="1" applyFont="1" applyFill="1" applyBorder="1" applyProtection="1">
      <protection locked="0"/>
    </xf>
    <xf numFmtId="0" fontId="72" fillId="5" borderId="31" xfId="0" applyFont="1" applyFill="1" applyBorder="1" applyProtection="1">
      <protection locked="0"/>
    </xf>
    <xf numFmtId="0" fontId="10" fillId="5" borderId="117" xfId="0" applyFont="1" applyFill="1" applyBorder="1" applyProtection="1">
      <protection locked="0"/>
    </xf>
    <xf numFmtId="167" fontId="71" fillId="5" borderId="116" xfId="0" applyNumberFormat="1" applyFont="1" applyFill="1" applyBorder="1" applyProtection="1">
      <protection locked="0"/>
    </xf>
    <xf numFmtId="44" fontId="73" fillId="0" borderId="114" xfId="2" applyFont="1" applyFill="1" applyBorder="1" applyProtection="1">
      <protection locked="0"/>
    </xf>
    <xf numFmtId="167" fontId="73" fillId="0" borderId="109" xfId="0" applyNumberFormat="1" applyFont="1" applyFill="1" applyBorder="1" applyProtection="1">
      <protection locked="0"/>
    </xf>
    <xf numFmtId="43" fontId="73" fillId="0" borderId="113" xfId="1" applyNumberFormat="1" applyFont="1" applyFill="1" applyBorder="1" applyProtection="1">
      <protection locked="0"/>
    </xf>
    <xf numFmtId="2" fontId="73" fillId="0" borderId="112" xfId="0" applyNumberFormat="1" applyFont="1" applyFill="1" applyBorder="1" applyProtection="1">
      <protection locked="0"/>
    </xf>
    <xf numFmtId="43" fontId="73" fillId="0" borderId="109" xfId="0" applyNumberFormat="1" applyFont="1" applyFill="1" applyBorder="1" applyProtection="1">
      <protection locked="0"/>
    </xf>
    <xf numFmtId="2" fontId="73" fillId="0" borderId="109" xfId="0" applyNumberFormat="1" applyFont="1" applyFill="1" applyBorder="1" applyProtection="1">
      <protection locked="0"/>
    </xf>
    <xf numFmtId="0" fontId="73" fillId="0" borderId="109" xfId="0" applyFont="1" applyFill="1" applyBorder="1" applyProtection="1">
      <protection locked="0"/>
    </xf>
    <xf numFmtId="167" fontId="73" fillId="0" borderId="109" xfId="1" applyNumberFormat="1" applyFont="1" applyFill="1" applyBorder="1" applyProtection="1">
      <protection locked="0"/>
    </xf>
    <xf numFmtId="167" fontId="73" fillId="0" borderId="110" xfId="1" applyNumberFormat="1" applyFont="1" applyFill="1" applyBorder="1" applyProtection="1">
      <protection locked="0"/>
    </xf>
    <xf numFmtId="0" fontId="73" fillId="0" borderId="110" xfId="0" applyFont="1" applyFill="1" applyBorder="1" applyProtection="1">
      <protection locked="0"/>
    </xf>
    <xf numFmtId="167" fontId="73" fillId="0" borderId="111" xfId="0" applyNumberFormat="1" applyFont="1" applyFill="1" applyBorder="1" applyProtection="1">
      <protection locked="0"/>
    </xf>
    <xf numFmtId="9" fontId="71" fillId="5" borderId="33" xfId="3" applyFont="1" applyFill="1" applyBorder="1" applyProtection="1">
      <protection locked="0"/>
    </xf>
    <xf numFmtId="0" fontId="52" fillId="15" borderId="0" xfId="0" applyNumberFormat="1" applyFont="1" applyFill="1" applyBorder="1" applyAlignment="1" applyProtection="1">
      <alignment horizontal="left" indent="1"/>
      <protection locked="0"/>
    </xf>
    <xf numFmtId="0" fontId="51" fillId="15" borderId="0" xfId="0" applyNumberFormat="1" applyFont="1" applyFill="1" applyBorder="1" applyAlignment="1" applyProtection="1">
      <alignment horizontal="left" indent="1"/>
      <protection locked="0"/>
    </xf>
    <xf numFmtId="0" fontId="52" fillId="15" borderId="0" xfId="0" applyNumberFormat="1" applyFont="1" applyFill="1" applyBorder="1" applyProtection="1">
      <protection locked="0"/>
    </xf>
    <xf numFmtId="169" fontId="52" fillId="15" borderId="0" xfId="0" applyNumberFormat="1" applyFont="1" applyFill="1" applyBorder="1" applyProtection="1">
      <protection locked="0"/>
    </xf>
    <xf numFmtId="10" fontId="52" fillId="15" borderId="0" xfId="0" applyNumberFormat="1" applyFont="1" applyFill="1" applyBorder="1" applyProtection="1">
      <protection locked="0"/>
    </xf>
    <xf numFmtId="7" fontId="52" fillId="15" borderId="0" xfId="0" applyNumberFormat="1" applyFont="1" applyFill="1" applyBorder="1" applyAlignment="1" applyProtection="1">
      <alignment horizontal="right" indent="1"/>
      <protection locked="0"/>
    </xf>
    <xf numFmtId="1" fontId="52" fillId="15" borderId="0" xfId="0" applyNumberFormat="1" applyFont="1" applyFill="1" applyBorder="1" applyProtection="1">
      <protection locked="0"/>
    </xf>
    <xf numFmtId="37" fontId="52" fillId="15" borderId="0" xfId="0" applyNumberFormat="1" applyFont="1" applyFill="1" applyBorder="1" applyProtection="1">
      <protection locked="0"/>
    </xf>
    <xf numFmtId="183" fontId="0" fillId="0" borderId="0" xfId="0" applyNumberFormat="1"/>
    <xf numFmtId="0" fontId="23" fillId="6" borderId="0" xfId="0" applyFont="1" applyFill="1" applyProtection="1">
      <protection locked="0"/>
    </xf>
    <xf numFmtId="0" fontId="17" fillId="18" borderId="31" xfId="0" applyFont="1" applyFill="1" applyBorder="1" applyProtection="1">
      <protection locked="0"/>
    </xf>
    <xf numFmtId="0" fontId="17" fillId="18" borderId="30" xfId="0" applyFont="1" applyFill="1" applyBorder="1" applyProtection="1">
      <protection locked="0"/>
    </xf>
    <xf numFmtId="0" fontId="17" fillId="18" borderId="32" xfId="0" applyFont="1" applyFill="1" applyBorder="1" applyProtection="1">
      <protection locked="0"/>
    </xf>
    <xf numFmtId="167" fontId="17" fillId="18" borderId="30" xfId="1" applyNumberFormat="1" applyFont="1" applyFill="1" applyBorder="1" applyProtection="1">
      <protection locked="0"/>
    </xf>
    <xf numFmtId="1" fontId="17" fillId="18" borderId="31" xfId="0" applyNumberFormat="1" applyFont="1" applyFill="1" applyBorder="1" applyProtection="1">
      <protection locked="0"/>
    </xf>
    <xf numFmtId="0" fontId="17" fillId="18" borderId="60" xfId="0" applyFont="1" applyFill="1" applyBorder="1" applyProtection="1">
      <protection locked="0"/>
    </xf>
    <xf numFmtId="0" fontId="3" fillId="5" borderId="27" xfId="0" applyFont="1" applyFill="1" applyBorder="1" applyAlignment="1" applyProtection="1">
      <alignment horizontal="right" vertical="center"/>
      <protection locked="0"/>
    </xf>
    <xf numFmtId="0" fontId="2" fillId="5" borderId="0" xfId="0" applyFont="1" applyFill="1" applyProtection="1"/>
    <xf numFmtId="0" fontId="2" fillId="5" borderId="26" xfId="0" applyFont="1" applyFill="1" applyBorder="1" applyProtection="1"/>
    <xf numFmtId="169" fontId="47" fillId="15" borderId="0" xfId="0" applyNumberFormat="1" applyFont="1" applyFill="1" applyBorder="1" applyProtection="1"/>
    <xf numFmtId="10" fontId="47" fillId="15" borderId="0" xfId="0" applyNumberFormat="1" applyFont="1" applyFill="1" applyBorder="1" applyProtection="1"/>
    <xf numFmtId="1" fontId="47" fillId="15" borderId="0" xfId="0" applyNumberFormat="1" applyFont="1" applyFill="1" applyBorder="1" applyProtection="1"/>
    <xf numFmtId="0" fontId="2" fillId="5" borderId="25" xfId="0" applyFont="1" applyFill="1" applyBorder="1" applyProtection="1"/>
    <xf numFmtId="0" fontId="0" fillId="0" borderId="0" xfId="0" applyProtection="1"/>
    <xf numFmtId="0" fontId="74" fillId="15" borderId="0" xfId="0" applyNumberFormat="1" applyFont="1" applyFill="1" applyBorder="1" applyProtection="1">
      <protection locked="0"/>
    </xf>
    <xf numFmtId="0" fontId="54" fillId="6" borderId="41" xfId="0" applyNumberFormat="1" applyFont="1" applyFill="1" applyBorder="1" applyAlignment="1" applyProtection="1">
      <alignment vertical="center"/>
      <protection locked="0"/>
    </xf>
    <xf numFmtId="0" fontId="68" fillId="18" borderId="32" xfId="0" applyFont="1" applyFill="1" applyBorder="1" applyAlignment="1" applyProtection="1">
      <alignment horizontal="left" vertical="center"/>
      <protection locked="0"/>
    </xf>
    <xf numFmtId="176" fontId="68" fillId="18" borderId="31" xfId="0" applyNumberFormat="1" applyFont="1" applyFill="1" applyBorder="1" applyProtection="1">
      <protection locked="0"/>
    </xf>
    <xf numFmtId="9" fontId="2" fillId="6" borderId="118" xfId="0" applyNumberFormat="1" applyFont="1" applyFill="1" applyBorder="1" applyProtection="1">
      <protection locked="0"/>
    </xf>
    <xf numFmtId="37" fontId="75" fillId="0" borderId="0" xfId="0" applyNumberFormat="1" applyFont="1" applyFill="1" applyBorder="1" applyProtection="1">
      <protection locked="0"/>
    </xf>
    <xf numFmtId="0" fontId="43" fillId="15" borderId="0" xfId="0" applyNumberFormat="1" applyFont="1" applyFill="1" applyBorder="1" applyAlignment="1" applyProtection="1">
      <alignment horizontal="left" vertical="center" indent="1"/>
      <protection locked="0"/>
    </xf>
    <xf numFmtId="167" fontId="44" fillId="15" borderId="0" xfId="0" applyNumberFormat="1" applyFont="1" applyFill="1" applyBorder="1" applyAlignment="1" applyProtection="1">
      <alignment horizontal="center"/>
      <protection locked="0"/>
    </xf>
    <xf numFmtId="169" fontId="44" fillId="15" borderId="0" xfId="0" applyNumberFormat="1" applyFont="1" applyFill="1" applyBorder="1" applyProtection="1">
      <protection locked="0"/>
    </xf>
    <xf numFmtId="9" fontId="44" fillId="15" borderId="0" xfId="0" applyNumberFormat="1" applyFont="1" applyFill="1" applyBorder="1" applyProtection="1"/>
    <xf numFmtId="7" fontId="44" fillId="15" borderId="0" xfId="0" applyNumberFormat="1" applyFont="1" applyFill="1" applyBorder="1" applyAlignment="1" applyProtection="1">
      <alignment horizontal="right" indent="1"/>
    </xf>
    <xf numFmtId="3" fontId="44" fillId="15" borderId="0" xfId="0" applyNumberFormat="1" applyFont="1" applyFill="1" applyBorder="1" applyAlignment="1" applyProtection="1">
      <alignment horizontal="right"/>
    </xf>
    <xf numFmtId="1" fontId="44" fillId="15" borderId="0" xfId="0" applyNumberFormat="1" applyFont="1" applyFill="1" applyBorder="1" applyAlignment="1" applyProtection="1">
      <alignment horizontal="left"/>
    </xf>
    <xf numFmtId="172" fontId="43" fillId="15" borderId="0" xfId="0" applyNumberFormat="1" applyFont="1" applyFill="1" applyBorder="1" applyProtection="1"/>
    <xf numFmtId="175" fontId="2" fillId="6" borderId="1" xfId="0" applyNumberFormat="1" applyFont="1" applyFill="1" applyBorder="1" applyAlignment="1" applyProtection="1">
      <alignment vertical="center"/>
      <protection locked="0"/>
    </xf>
    <xf numFmtId="174" fontId="2" fillId="6" borderId="1" xfId="0" applyNumberFormat="1" applyFont="1" applyFill="1" applyBorder="1" applyAlignment="1" applyProtection="1">
      <alignment vertical="center"/>
      <protection locked="0"/>
    </xf>
    <xf numFmtId="172" fontId="43" fillId="0" borderId="0" xfId="0" applyNumberFormat="1" applyFont="1" applyFill="1" applyBorder="1" applyProtection="1">
      <protection locked="0"/>
    </xf>
    <xf numFmtId="176" fontId="32" fillId="0" borderId="0" xfId="0" applyNumberFormat="1" applyFont="1" applyFill="1" applyBorder="1" applyProtection="1">
      <protection locked="0"/>
    </xf>
    <xf numFmtId="166" fontId="54" fillId="6" borderId="80" xfId="0" applyNumberFormat="1" applyFont="1" applyFill="1" applyBorder="1" applyAlignment="1" applyProtection="1">
      <alignment horizontal="left" vertical="center"/>
      <protection locked="0"/>
    </xf>
    <xf numFmtId="166" fontId="54" fillId="6" borderId="81" xfId="0" applyNumberFormat="1" applyFont="1" applyFill="1" applyBorder="1" applyAlignment="1" applyProtection="1">
      <alignment horizontal="left" vertical="center"/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166" fontId="54" fillId="6" borderId="7" xfId="0" applyNumberFormat="1" applyFont="1" applyFill="1" applyBorder="1" applyAlignment="1" applyProtection="1">
      <alignment horizontal="left" vertical="center"/>
      <protection locked="0"/>
    </xf>
    <xf numFmtId="166" fontId="54" fillId="6" borderId="8" xfId="0" applyNumberFormat="1" applyFont="1" applyFill="1" applyBorder="1" applyAlignment="1" applyProtection="1">
      <alignment horizontal="left" vertical="center"/>
      <protection locked="0"/>
    </xf>
    <xf numFmtId="0" fontId="54" fillId="6" borderId="40" xfId="0" applyFont="1" applyFill="1" applyBorder="1" applyAlignment="1" applyProtection="1">
      <alignment horizontal="left" vertical="center" wrapText="1"/>
      <protection locked="0"/>
    </xf>
    <xf numFmtId="0" fontId="54" fillId="6" borderId="39" xfId="0" applyFont="1" applyFill="1" applyBorder="1" applyAlignment="1" applyProtection="1">
      <alignment horizontal="left" vertical="center"/>
      <protection locked="0"/>
    </xf>
    <xf numFmtId="0" fontId="54" fillId="6" borderId="40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0" fontId="54" fillId="6" borderId="80" xfId="0" applyFont="1" applyFill="1" applyBorder="1" applyAlignment="1" applyProtection="1">
      <alignment horizontal="left" vertical="center"/>
      <protection locked="0"/>
    </xf>
    <xf numFmtId="0" fontId="54" fillId="6" borderId="81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7" fontId="47" fillId="15" borderId="0" xfId="0" applyNumberFormat="1" applyFont="1" applyFill="1" applyBorder="1" applyProtection="1"/>
    <xf numFmtId="0" fontId="11" fillId="13" borderId="10" xfId="0" applyFont="1" applyFill="1" applyBorder="1" applyAlignment="1" applyProtection="1">
      <alignment horizontal="center"/>
    </xf>
    <xf numFmtId="169" fontId="65" fillId="14" borderId="0" xfId="0" applyNumberFormat="1" applyFont="1" applyFill="1" applyBorder="1" applyProtection="1">
      <protection locked="0"/>
    </xf>
    <xf numFmtId="9" fontId="65" fillId="14" borderId="0" xfId="3" applyFont="1" applyFill="1" applyBorder="1" applyProtection="1">
      <protection locked="0"/>
    </xf>
    <xf numFmtId="0" fontId="0" fillId="0" borderId="0" xfId="0" applyAlignment="1">
      <alignment wrapText="1"/>
    </xf>
    <xf numFmtId="0" fontId="36" fillId="5" borderId="0" xfId="9" applyAlignment="1">
      <alignment horizontal="center" vertical="center"/>
    </xf>
    <xf numFmtId="169" fontId="0" fillId="14" borderId="0" xfId="0" applyNumberFormat="1" applyFill="1" applyBorder="1"/>
    <xf numFmtId="44" fontId="1" fillId="0" borderId="0" xfId="2" applyProtection="1">
      <protection locked="0"/>
    </xf>
    <xf numFmtId="175" fontId="12" fillId="6" borderId="1" xfId="0" applyNumberFormat="1" applyFont="1" applyFill="1" applyBorder="1" applyAlignment="1" applyProtection="1">
      <alignment vertical="center"/>
      <protection locked="0"/>
    </xf>
    <xf numFmtId="7" fontId="12" fillId="6" borderId="1" xfId="2" applyNumberFormat="1" applyFont="1" applyFill="1" applyBorder="1" applyAlignment="1" applyProtection="1">
      <alignment vertical="center"/>
      <protection locked="0"/>
    </xf>
    <xf numFmtId="10" fontId="12" fillId="6" borderId="1" xfId="3" applyNumberFormat="1" applyFont="1" applyFill="1" applyBorder="1" applyAlignment="1" applyProtection="1">
      <alignment vertical="center"/>
      <protection locked="0"/>
    </xf>
    <xf numFmtId="174" fontId="12" fillId="6" borderId="1" xfId="0" applyNumberFormat="1" applyFont="1" applyFill="1" applyBorder="1" applyAlignment="1" applyProtection="1">
      <alignment vertical="center"/>
      <protection locked="0"/>
    </xf>
    <xf numFmtId="0" fontId="2" fillId="0" borderId="19" xfId="0" applyNumberFormat="1" applyFont="1" applyFill="1" applyBorder="1" applyProtection="1">
      <protection locked="0"/>
    </xf>
    <xf numFmtId="1" fontId="2" fillId="0" borderId="18" xfId="0" applyNumberFormat="1" applyFont="1" applyFill="1" applyBorder="1" applyProtection="1">
      <protection locked="0"/>
    </xf>
    <xf numFmtId="176" fontId="8" fillId="5" borderId="18" xfId="0" applyNumberFormat="1" applyFont="1" applyFill="1" applyBorder="1" applyProtection="1">
      <protection locked="0"/>
    </xf>
    <xf numFmtId="9" fontId="2" fillId="0" borderId="20" xfId="0" applyNumberFormat="1" applyFont="1" applyBorder="1" applyProtection="1">
      <protection locked="0"/>
    </xf>
    <xf numFmtId="10" fontId="12" fillId="6" borderId="0" xfId="3" applyNumberFormat="1" applyFont="1" applyFill="1" applyBorder="1" applyAlignment="1" applyProtection="1">
      <alignment vertical="center"/>
      <protection locked="0"/>
    </xf>
    <xf numFmtId="0" fontId="2" fillId="2" borderId="0" xfId="0" applyFont="1" applyFill="1" applyProtection="1"/>
    <xf numFmtId="0" fontId="42" fillId="2" borderId="0" xfId="0" applyNumberFormat="1" applyFont="1" applyFill="1" applyBorder="1" applyProtection="1"/>
    <xf numFmtId="0" fontId="23" fillId="2" borderId="0" xfId="0" applyFont="1" applyFill="1" applyProtection="1"/>
    <xf numFmtId="0" fontId="42" fillId="5" borderId="0" xfId="0" applyNumberFormat="1" applyFont="1" applyFill="1" applyBorder="1" applyProtection="1"/>
    <xf numFmtId="0" fontId="23" fillId="5" borderId="0" xfId="0" applyFont="1" applyFill="1" applyProtection="1"/>
    <xf numFmtId="0" fontId="42" fillId="5" borderId="28" xfId="0" applyNumberFormat="1" applyFont="1" applyFill="1" applyBorder="1" applyProtection="1"/>
    <xf numFmtId="0" fontId="23" fillId="5" borderId="28" xfId="0" applyFont="1" applyFill="1" applyBorder="1" applyProtection="1"/>
    <xf numFmtId="0" fontId="21" fillId="6" borderId="0" xfId="0" applyNumberFormat="1" applyFont="1" applyFill="1" applyBorder="1" applyProtection="1"/>
    <xf numFmtId="0" fontId="2" fillId="6" borderId="0" xfId="0" applyFont="1" applyFill="1" applyProtection="1"/>
    <xf numFmtId="0" fontId="43" fillId="6" borderId="0" xfId="0" applyNumberFormat="1" applyFont="1" applyFill="1" applyBorder="1" applyAlignment="1" applyProtection="1">
      <alignment horizontal="centerContinuous" vertical="center"/>
    </xf>
    <xf numFmtId="0" fontId="2" fillId="6" borderId="0" xfId="0" applyFont="1" applyFill="1" applyAlignment="1" applyProtection="1">
      <alignment horizontal="centerContinuous"/>
    </xf>
    <xf numFmtId="0" fontId="44" fillId="15" borderId="0" xfId="0" applyNumberFormat="1" applyFont="1" applyFill="1" applyBorder="1" applyAlignment="1" applyProtection="1">
      <alignment horizontal="centerContinuous" vertical="center"/>
    </xf>
    <xf numFmtId="0" fontId="21" fillId="15" borderId="0" xfId="0" applyNumberFormat="1" applyFont="1" applyFill="1" applyBorder="1" applyAlignment="1" applyProtection="1">
      <alignment horizontal="centerContinuous"/>
    </xf>
    <xf numFmtId="0" fontId="43" fillId="15" borderId="0" xfId="0" applyNumberFormat="1" applyFont="1" applyFill="1" applyAlignment="1" applyProtection="1">
      <alignment horizontal="centerContinuous"/>
    </xf>
    <xf numFmtId="0" fontId="21" fillId="15" borderId="0" xfId="0" applyNumberFormat="1" applyFont="1" applyFill="1" applyBorder="1" applyProtection="1"/>
    <xf numFmtId="180" fontId="45" fillId="15" borderId="0" xfId="0" applyNumberFormat="1" applyFont="1" applyFill="1" applyBorder="1" applyAlignment="1" applyProtection="1">
      <alignment horizontal="center"/>
    </xf>
    <xf numFmtId="181" fontId="45" fillId="15" borderId="0" xfId="0" applyNumberFormat="1" applyFont="1" applyFill="1" applyBorder="1" applyAlignment="1" applyProtection="1">
      <alignment horizontal="center"/>
    </xf>
    <xf numFmtId="0" fontId="45" fillId="15" borderId="0" xfId="0" applyNumberFormat="1" applyFont="1" applyFill="1" applyBorder="1" applyAlignment="1" applyProtection="1">
      <alignment horizontal="center"/>
    </xf>
    <xf numFmtId="0" fontId="51" fillId="15" borderId="0" xfId="0" applyNumberFormat="1" applyFont="1" applyFill="1" applyBorder="1" applyAlignment="1" applyProtection="1">
      <alignment horizontal="left" indent="1"/>
    </xf>
    <xf numFmtId="167" fontId="52" fillId="15" borderId="0" xfId="0" applyNumberFormat="1" applyFont="1" applyFill="1" applyBorder="1" applyAlignment="1" applyProtection="1">
      <alignment horizontal="center"/>
    </xf>
    <xf numFmtId="9" fontId="52" fillId="15" borderId="0" xfId="0" applyNumberFormat="1" applyFont="1" applyFill="1" applyBorder="1" applyAlignment="1" applyProtection="1">
      <alignment horizontal="right" indent="1"/>
    </xf>
    <xf numFmtId="44" fontId="52" fillId="15" borderId="0" xfId="0" applyNumberFormat="1" applyFont="1" applyFill="1" applyBorder="1" applyAlignment="1" applyProtection="1">
      <alignment horizontal="right" indent="1"/>
    </xf>
    <xf numFmtId="1" fontId="52" fillId="15" borderId="0" xfId="0" applyNumberFormat="1" applyFont="1" applyFill="1" applyBorder="1" applyAlignment="1" applyProtection="1"/>
    <xf numFmtId="169" fontId="52" fillId="15" borderId="0" xfId="0" applyNumberFormat="1" applyFont="1" applyFill="1" applyBorder="1" applyProtection="1"/>
    <xf numFmtId="0" fontId="47" fillId="15" borderId="0" xfId="0" applyNumberFormat="1" applyFont="1" applyFill="1" applyBorder="1" applyProtection="1"/>
    <xf numFmtId="37" fontId="47" fillId="15" borderId="0" xfId="0" applyNumberFormat="1" applyFont="1" applyFill="1" applyBorder="1" applyProtection="1"/>
    <xf numFmtId="0" fontId="49" fillId="15" borderId="0" xfId="0" applyNumberFormat="1" applyFont="1" applyFill="1" applyBorder="1" applyProtection="1"/>
    <xf numFmtId="0" fontId="44" fillId="15" borderId="0" xfId="0" applyNumberFormat="1" applyFont="1" applyFill="1" applyBorder="1" applyProtection="1"/>
    <xf numFmtId="1" fontId="44" fillId="15" borderId="0" xfId="0" applyNumberFormat="1" applyFont="1" applyFill="1" applyBorder="1" applyProtection="1"/>
    <xf numFmtId="37" fontId="49" fillId="15" borderId="0" xfId="0" applyNumberFormat="1" applyFont="1" applyFill="1" applyBorder="1" applyProtection="1"/>
    <xf numFmtId="0" fontId="23" fillId="6" borderId="0" xfId="0" applyFont="1" applyFill="1" applyAlignment="1" applyProtection="1">
      <alignment horizontal="right"/>
    </xf>
    <xf numFmtId="172" fontId="76" fillId="6" borderId="0" xfId="1" applyNumberFormat="1" applyFont="1" applyFill="1" applyProtection="1"/>
    <xf numFmtId="0" fontId="2" fillId="5" borderId="23" xfId="0" applyFont="1" applyFill="1" applyBorder="1" applyProtection="1"/>
    <xf numFmtId="0" fontId="2" fillId="5" borderId="0" xfId="0" applyFont="1" applyFill="1" applyBorder="1" applyProtection="1"/>
    <xf numFmtId="0" fontId="50" fillId="5" borderId="0" xfId="0" applyFont="1" applyFill="1" applyBorder="1" applyProtection="1"/>
    <xf numFmtId="0" fontId="2" fillId="5" borderId="71" xfId="0" applyFont="1" applyFill="1" applyBorder="1" applyProtection="1"/>
    <xf numFmtId="0" fontId="2" fillId="0" borderId="71" xfId="0" applyFont="1" applyBorder="1" applyProtection="1"/>
    <xf numFmtId="0" fontId="2" fillId="0" borderId="0" xfId="0" applyFont="1" applyProtection="1"/>
    <xf numFmtId="0" fontId="48" fillId="15" borderId="0" xfId="0" applyNumberFormat="1" applyFont="1" applyFill="1" applyBorder="1" applyProtection="1"/>
    <xf numFmtId="0" fontId="48" fillId="15" borderId="0" xfId="0" applyNumberFormat="1" applyFont="1" applyFill="1" applyBorder="1" applyAlignment="1" applyProtection="1">
      <alignment horizontal="center"/>
    </xf>
    <xf numFmtId="0" fontId="46" fillId="15" borderId="0" xfId="0" applyNumberFormat="1" applyFont="1" applyFill="1" applyBorder="1" applyAlignment="1" applyProtection="1">
      <alignment horizontal="center"/>
    </xf>
    <xf numFmtId="172" fontId="49" fillId="15" borderId="0" xfId="0" applyNumberFormat="1" applyFont="1" applyFill="1" applyBorder="1" applyProtection="1"/>
    <xf numFmtId="172" fontId="76" fillId="6" borderId="0" xfId="1" applyNumberFormat="1" applyFont="1" applyFill="1" applyAlignment="1" applyProtection="1"/>
    <xf numFmtId="0" fontId="82" fillId="14" borderId="10" xfId="0" applyFont="1" applyFill="1" applyBorder="1" applyAlignment="1">
      <alignment wrapText="1"/>
    </xf>
    <xf numFmtId="0" fontId="12" fillId="6" borderId="1" xfId="0" applyNumberFormat="1" applyFont="1" applyFill="1" applyBorder="1" applyAlignment="1" applyProtection="1">
      <alignment vertical="center"/>
      <protection locked="0"/>
    </xf>
    <xf numFmtId="0" fontId="28" fillId="6" borderId="72" xfId="6" applyNumberFormat="1" applyBorder="1">
      <alignment horizontal="left" vertical="center" indent="3"/>
    </xf>
    <xf numFmtId="0" fontId="26" fillId="6" borderId="0" xfId="0" applyFont="1" applyFill="1" applyAlignment="1" applyProtection="1">
      <alignment vertical="center"/>
    </xf>
    <xf numFmtId="0" fontId="83" fillId="5" borderId="31" xfId="0" applyFont="1" applyFill="1" applyBorder="1" applyAlignment="1" applyProtection="1">
      <alignment vertical="center"/>
      <protection locked="0"/>
    </xf>
    <xf numFmtId="0" fontId="54" fillId="6" borderId="80" xfId="0" applyFont="1" applyFill="1" applyBorder="1" applyAlignment="1" applyProtection="1">
      <alignment horizontal="left" vertical="center"/>
      <protection locked="0"/>
    </xf>
    <xf numFmtId="0" fontId="54" fillId="6" borderId="81" xfId="0" applyNumberFormat="1" applyFont="1" applyFill="1" applyBorder="1" applyAlignment="1" applyProtection="1">
      <alignment horizontal="left" vertical="center"/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166" fontId="54" fillId="6" borderId="80" xfId="0" applyNumberFormat="1" applyFont="1" applyFill="1" applyBorder="1" applyAlignment="1" applyProtection="1">
      <alignment horizontal="left" vertical="center"/>
      <protection locked="0"/>
    </xf>
    <xf numFmtId="166" fontId="54" fillId="6" borderId="81" xfId="0" applyNumberFormat="1" applyFont="1" applyFill="1" applyBorder="1" applyAlignment="1" applyProtection="1">
      <alignment horizontal="left" vertical="center"/>
      <protection locked="0"/>
    </xf>
    <xf numFmtId="0" fontId="54" fillId="6" borderId="40" xfId="0" applyFont="1" applyFill="1" applyBorder="1" applyAlignment="1" applyProtection="1">
      <alignment horizontal="left" vertical="center" wrapText="1"/>
      <protection locked="0"/>
    </xf>
    <xf numFmtId="168" fontId="54" fillId="6" borderId="41" xfId="0" applyNumberFormat="1" applyFont="1" applyFill="1" applyBorder="1" applyAlignment="1" applyProtection="1">
      <alignment vertical="center"/>
      <protection locked="0"/>
    </xf>
    <xf numFmtId="168" fontId="54" fillId="6" borderId="82" xfId="0" applyNumberFormat="1" applyFont="1" applyFill="1" applyBorder="1" applyAlignment="1" applyProtection="1">
      <alignment vertical="center"/>
      <protection locked="0"/>
    </xf>
    <xf numFmtId="168" fontId="54" fillId="6" borderId="88" xfId="3" applyNumberFormat="1" applyFont="1" applyFill="1" applyBorder="1" applyAlignment="1" applyProtection="1">
      <alignment horizontal="right" vertical="center"/>
      <protection locked="0"/>
    </xf>
    <xf numFmtId="0" fontId="0" fillId="6" borderId="8" xfId="0" applyFill="1" applyBorder="1" applyProtection="1">
      <protection locked="0"/>
    </xf>
    <xf numFmtId="0" fontId="0" fillId="0" borderId="0" xfId="0" applyFill="1" applyBorder="1" applyProtection="1">
      <protection locked="0"/>
    </xf>
    <xf numFmtId="164" fontId="0" fillId="6" borderId="0" xfId="0" applyNumberFormat="1" applyFill="1" applyProtection="1">
      <protection locked="0"/>
    </xf>
    <xf numFmtId="0" fontId="0" fillId="6" borderId="0" xfId="0" applyFill="1" applyBorder="1" applyProtection="1">
      <protection locked="0"/>
    </xf>
    <xf numFmtId="0" fontId="78" fillId="20" borderId="0" xfId="0" applyFont="1" applyFill="1" applyAlignment="1" applyProtection="1">
      <alignment textRotation="90"/>
      <protection locked="0"/>
    </xf>
    <xf numFmtId="0" fontId="78" fillId="0" borderId="0" xfId="0" applyFont="1" applyFill="1" applyAlignment="1" applyProtection="1">
      <alignment textRotation="90"/>
      <protection locked="0"/>
    </xf>
    <xf numFmtId="0" fontId="0" fillId="6" borderId="13" xfId="0" applyFill="1" applyBorder="1" applyProtection="1">
      <protection locked="0"/>
    </xf>
    <xf numFmtId="0" fontId="0" fillId="6" borderId="14" xfId="0" applyFill="1" applyBorder="1" applyProtection="1">
      <protection locked="0"/>
    </xf>
    <xf numFmtId="0" fontId="33" fillId="19" borderId="7" xfId="0" applyFont="1" applyFill="1" applyBorder="1" applyAlignment="1" applyProtection="1">
      <alignment horizontal="center" vertical="center"/>
      <protection locked="0"/>
    </xf>
    <xf numFmtId="0" fontId="33" fillId="19" borderId="8" xfId="0" applyFont="1" applyFill="1" applyBorder="1" applyAlignment="1" applyProtection="1">
      <alignment horizontal="center" vertical="center"/>
      <protection locked="0"/>
    </xf>
    <xf numFmtId="0" fontId="33" fillId="19" borderId="9" xfId="0" applyFont="1" applyFill="1" applyBorder="1" applyAlignment="1" applyProtection="1">
      <alignment horizontal="center" vertical="center"/>
      <protection locked="0"/>
    </xf>
    <xf numFmtId="0" fontId="33" fillId="6" borderId="10" xfId="0" applyFont="1" applyFill="1" applyBorder="1" applyProtection="1">
      <protection locked="0"/>
    </xf>
    <xf numFmtId="0" fontId="85" fillId="6" borderId="11" xfId="0" applyFont="1" applyFill="1" applyBorder="1" applyProtection="1">
      <protection locked="0"/>
    </xf>
    <xf numFmtId="0" fontId="66" fillId="0" borderId="0" xfId="0" applyFont="1" applyFill="1" applyProtection="1">
      <protection locked="0"/>
    </xf>
    <xf numFmtId="0" fontId="77" fillId="0" borderId="0" xfId="0" applyFont="1" applyFill="1" applyProtection="1">
      <protection locked="0"/>
    </xf>
    <xf numFmtId="0" fontId="77" fillId="6" borderId="118" xfId="0" applyFont="1" applyFill="1" applyBorder="1" applyProtection="1">
      <protection locked="0"/>
    </xf>
    <xf numFmtId="0" fontId="0" fillId="0" borderId="0" xfId="0" applyFill="1" applyProtection="1">
      <protection locked="0"/>
    </xf>
    <xf numFmtId="0" fontId="0" fillId="6" borderId="10" xfId="0" applyFill="1" applyBorder="1" applyProtection="1">
      <protection locked="0"/>
    </xf>
    <xf numFmtId="1" fontId="86" fillId="0" borderId="0" xfId="0" applyNumberFormat="1" applyFont="1" applyFill="1" applyProtection="1">
      <protection locked="0"/>
    </xf>
    <xf numFmtId="1" fontId="86" fillId="0" borderId="0" xfId="0" applyNumberFormat="1" applyFont="1" applyFill="1" applyBorder="1" applyProtection="1">
      <protection locked="0"/>
    </xf>
    <xf numFmtId="0" fontId="86" fillId="0" borderId="0" xfId="0" applyFont="1" applyFill="1" applyBorder="1" applyProtection="1">
      <protection locked="0"/>
    </xf>
    <xf numFmtId="0" fontId="86" fillId="0" borderId="11" xfId="0" applyFont="1" applyFill="1" applyBorder="1" applyProtection="1">
      <protection locked="0"/>
    </xf>
    <xf numFmtId="0" fontId="65" fillId="0" borderId="119" xfId="0" applyFont="1" applyFill="1" applyBorder="1" applyProtection="1">
      <protection locked="0"/>
    </xf>
    <xf numFmtId="0" fontId="0" fillId="0" borderId="120" xfId="0" applyFill="1" applyBorder="1" applyProtection="1">
      <protection locked="0"/>
    </xf>
    <xf numFmtId="0" fontId="33" fillId="0" borderId="120" xfId="0" applyFont="1" applyFill="1" applyBorder="1" applyProtection="1">
      <protection locked="0"/>
    </xf>
    <xf numFmtId="0" fontId="33" fillId="0" borderId="121" xfId="0" applyFont="1" applyFill="1" applyBorder="1" applyProtection="1">
      <protection locked="0"/>
    </xf>
    <xf numFmtId="0" fontId="33" fillId="6" borderId="118" xfId="0" applyFont="1" applyFill="1" applyBorder="1" applyProtection="1">
      <protection locked="0"/>
    </xf>
    <xf numFmtId="0" fontId="81" fillId="0" borderId="10" xfId="0" applyFont="1" applyFill="1" applyBorder="1" applyAlignment="1" applyProtection="1">
      <alignment horizontal="center"/>
      <protection locked="0"/>
    </xf>
    <xf numFmtId="0" fontId="0" fillId="0" borderId="0" xfId="0" applyFill="1" applyAlignment="1" applyProtection="1">
      <alignment horizontal="center"/>
      <protection locked="0"/>
    </xf>
    <xf numFmtId="0" fontId="78" fillId="0" borderId="0" xfId="0" applyFont="1" applyFill="1" applyAlignment="1" applyProtection="1">
      <alignment horizontal="center"/>
      <protection locked="0"/>
    </xf>
    <xf numFmtId="0" fontId="33" fillId="6" borderId="73" xfId="0" applyFont="1" applyFill="1" applyBorder="1" applyProtection="1">
      <protection locked="0"/>
    </xf>
    <xf numFmtId="0" fontId="33" fillId="6" borderId="8" xfId="0" applyFont="1" applyFill="1" applyBorder="1" applyProtection="1">
      <protection locked="0"/>
    </xf>
    <xf numFmtId="0" fontId="33" fillId="6" borderId="11" xfId="0" applyFont="1" applyFill="1" applyBorder="1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78" fillId="0" borderId="0" xfId="0" applyFont="1" applyFill="1" applyBorder="1" applyAlignment="1" applyProtection="1">
      <alignment horizontal="center"/>
      <protection locked="0"/>
    </xf>
    <xf numFmtId="0" fontId="33" fillId="19" borderId="7" xfId="0" applyFont="1" applyFill="1" applyBorder="1" applyAlignment="1" applyProtection="1">
      <alignment horizontal="center"/>
      <protection locked="0"/>
    </xf>
    <xf numFmtId="0" fontId="33" fillId="19" borderId="8" xfId="0" applyFont="1" applyFill="1" applyBorder="1" applyAlignment="1" applyProtection="1">
      <alignment horizontal="center"/>
      <protection locked="0"/>
    </xf>
    <xf numFmtId="0" fontId="33" fillId="19" borderId="9" xfId="0" applyFont="1" applyFill="1" applyBorder="1" applyAlignment="1" applyProtection="1">
      <alignment horizontal="center"/>
      <protection locked="0"/>
    </xf>
    <xf numFmtId="0" fontId="33" fillId="0" borderId="10" xfId="0" applyFont="1" applyFill="1" applyBorder="1" applyProtection="1">
      <protection locked="0"/>
    </xf>
    <xf numFmtId="0" fontId="81" fillId="0" borderId="0" xfId="0" applyFont="1" applyFill="1" applyBorder="1" applyAlignment="1" applyProtection="1">
      <alignment horizontal="center"/>
      <protection locked="0"/>
    </xf>
    <xf numFmtId="0" fontId="79" fillId="0" borderId="7" xfId="0" applyFont="1" applyFill="1" applyBorder="1" applyProtection="1">
      <protection locked="0"/>
    </xf>
    <xf numFmtId="0" fontId="0" fillId="0" borderId="8" xfId="0" applyFill="1" applyBorder="1" applyProtection="1">
      <protection locked="0"/>
    </xf>
    <xf numFmtId="0" fontId="80" fillId="0" borderId="8" xfId="0" applyFont="1" applyFill="1" applyBorder="1" applyProtection="1">
      <protection locked="0"/>
    </xf>
    <xf numFmtId="0" fontId="77" fillId="0" borderId="8" xfId="0" applyFont="1" applyFill="1" applyBorder="1" applyProtection="1">
      <protection locked="0"/>
    </xf>
    <xf numFmtId="9" fontId="77" fillId="0" borderId="9" xfId="0" applyNumberFormat="1" applyFont="1" applyFill="1" applyBorder="1" applyProtection="1">
      <protection locked="0"/>
    </xf>
    <xf numFmtId="9" fontId="77" fillId="6" borderId="10" xfId="0" applyNumberFormat="1" applyFont="1" applyFill="1" applyBorder="1" applyProtection="1">
      <protection locked="0"/>
    </xf>
    <xf numFmtId="0" fontId="0" fillId="6" borderId="11" xfId="0" applyFill="1" applyBorder="1" applyProtection="1">
      <protection locked="0"/>
    </xf>
    <xf numFmtId="0" fontId="65" fillId="6" borderId="11" xfId="0" applyFont="1" applyFill="1" applyBorder="1" applyProtection="1">
      <protection locked="0"/>
    </xf>
    <xf numFmtId="0" fontId="0" fillId="0" borderId="0" xfId="0" applyFont="1" applyFill="1" applyProtection="1">
      <protection locked="0"/>
    </xf>
    <xf numFmtId="0" fontId="65" fillId="0" borderId="0" xfId="0" applyFont="1" applyFill="1" applyProtection="1">
      <protection locked="0"/>
    </xf>
    <xf numFmtId="1" fontId="65" fillId="0" borderId="0" xfId="0" applyNumberFormat="1" applyFont="1" applyFill="1" applyProtection="1">
      <protection locked="0"/>
    </xf>
    <xf numFmtId="1" fontId="65" fillId="0" borderId="0" xfId="0" applyNumberFormat="1" applyFont="1" applyFill="1" applyBorder="1" applyProtection="1">
      <protection locked="0"/>
    </xf>
    <xf numFmtId="1" fontId="0" fillId="6" borderId="0" xfId="0" applyNumberFormat="1" applyFill="1" applyProtection="1">
      <protection locked="0"/>
    </xf>
    <xf numFmtId="14" fontId="0" fillId="6" borderId="0" xfId="0" applyNumberFormat="1" applyFill="1" applyProtection="1">
      <protection locked="0"/>
    </xf>
    <xf numFmtId="9" fontId="86" fillId="0" borderId="0" xfId="0" applyNumberFormat="1" applyFont="1" applyFill="1" applyBorder="1" applyProtection="1">
      <protection locked="0"/>
    </xf>
    <xf numFmtId="1" fontId="77" fillId="0" borderId="0" xfId="0" applyNumberFormat="1" applyFont="1" applyFill="1" applyProtection="1">
      <protection locked="0"/>
    </xf>
    <xf numFmtId="1" fontId="77" fillId="0" borderId="0" xfId="0" applyNumberFormat="1" applyFont="1" applyFill="1" applyBorder="1" applyProtection="1">
      <protection locked="0"/>
    </xf>
    <xf numFmtId="168" fontId="54" fillId="6" borderId="41" xfId="0" applyNumberFormat="1" applyFont="1" applyFill="1" applyBorder="1" applyAlignment="1" applyProtection="1">
      <alignment horizontal="right" vertical="center"/>
      <protection locked="0"/>
    </xf>
    <xf numFmtId="0" fontId="77" fillId="6" borderId="11" xfId="0" applyFont="1" applyFill="1" applyBorder="1" applyProtection="1">
      <protection locked="0"/>
    </xf>
    <xf numFmtId="9" fontId="86" fillId="6" borderId="10" xfId="0" applyNumberFormat="1" applyFont="1" applyFill="1" applyBorder="1" applyProtection="1">
      <protection locked="0"/>
    </xf>
    <xf numFmtId="0" fontId="31" fillId="6" borderId="10" xfId="0" applyFont="1" applyFill="1" applyBorder="1" applyProtection="1">
      <protection locked="0"/>
    </xf>
    <xf numFmtId="0" fontId="77" fillId="0" borderId="0" xfId="0" applyFont="1" applyFill="1" applyBorder="1" applyProtection="1">
      <protection locked="0"/>
    </xf>
    <xf numFmtId="3" fontId="65" fillId="14" borderId="0" xfId="0" applyNumberFormat="1" applyFont="1" applyFill="1" applyBorder="1" applyProtection="1">
      <protection locked="0"/>
    </xf>
    <xf numFmtId="0" fontId="0" fillId="6" borderId="38" xfId="0" applyFill="1" applyBorder="1" applyProtection="1">
      <protection locked="0"/>
    </xf>
    <xf numFmtId="14" fontId="1" fillId="0" borderId="0" xfId="4" applyNumberFormat="1" applyProtection="1">
      <protection locked="0"/>
    </xf>
    <xf numFmtId="14" fontId="0" fillId="0" borderId="0" xfId="0" applyNumberFormat="1"/>
    <xf numFmtId="0" fontId="84" fillId="6" borderId="0" xfId="0" applyFont="1" applyFill="1" applyBorder="1" applyAlignment="1"/>
    <xf numFmtId="9" fontId="0" fillId="0" borderId="0" xfId="0" applyNumberFormat="1" applyFont="1" applyProtection="1">
      <protection locked="0"/>
    </xf>
    <xf numFmtId="0" fontId="31" fillId="6" borderId="0" xfId="0" applyFont="1" applyFill="1"/>
    <xf numFmtId="3" fontId="65" fillId="14" borderId="64" xfId="0" applyNumberFormat="1" applyFont="1" applyFill="1" applyBorder="1" applyProtection="1">
      <protection locked="0"/>
    </xf>
    <xf numFmtId="0" fontId="86" fillId="6" borderId="0" xfId="0" applyFont="1" applyFill="1"/>
    <xf numFmtId="4" fontId="0" fillId="0" borderId="0" xfId="0" applyNumberFormat="1" applyAlignment="1" applyProtection="1">
      <protection locked="0"/>
    </xf>
    <xf numFmtId="43" fontId="0" fillId="0" borderId="0" xfId="0" applyNumberFormat="1" applyFont="1" applyProtection="1">
      <protection locked="0"/>
    </xf>
    <xf numFmtId="44" fontId="65" fillId="14" borderId="0" xfId="0" applyNumberFormat="1" applyFont="1" applyFill="1" applyBorder="1" applyProtection="1">
      <protection locked="0"/>
    </xf>
    <xf numFmtId="0" fontId="77" fillId="6" borderId="0" xfId="0" applyFont="1" applyFill="1"/>
    <xf numFmtId="0" fontId="0" fillId="0" borderId="13" xfId="0" applyFill="1" applyBorder="1" applyProtection="1">
      <protection locked="0"/>
    </xf>
    <xf numFmtId="0" fontId="0" fillId="6" borderId="9" xfId="0" applyFill="1" applyBorder="1"/>
    <xf numFmtId="0" fontId="2" fillId="6" borderId="4" xfId="0" applyFont="1" applyFill="1" applyBorder="1" applyAlignment="1" applyProtection="1">
      <alignment horizontal="left" vertical="center"/>
      <protection locked="0"/>
    </xf>
    <xf numFmtId="0" fontId="2" fillId="6" borderId="5" xfId="0" applyFont="1" applyFill="1" applyBorder="1" applyAlignment="1" applyProtection="1">
      <alignment horizontal="left" vertical="center"/>
      <protection locked="0"/>
    </xf>
    <xf numFmtId="0" fontId="2" fillId="6" borderId="2" xfId="0" applyFont="1" applyFill="1" applyBorder="1" applyAlignment="1" applyProtection="1">
      <alignment horizontal="left" vertical="center"/>
      <protection locked="0"/>
    </xf>
    <xf numFmtId="0" fontId="2" fillId="6" borderId="3" xfId="0" applyFont="1" applyFill="1" applyBorder="1" applyAlignment="1" applyProtection="1">
      <alignment horizontal="left" vertical="center"/>
      <protection locked="0"/>
    </xf>
    <xf numFmtId="0" fontId="3" fillId="5" borderId="0" xfId="0" applyFont="1" applyFill="1" applyAlignment="1" applyProtection="1">
      <alignment horizontal="right" vertical="center" indent="1"/>
      <protection locked="0"/>
    </xf>
    <xf numFmtId="0" fontId="11" fillId="4" borderId="21" xfId="0" applyFont="1" applyFill="1" applyBorder="1" applyAlignment="1" applyProtection="1">
      <alignment horizontal="center" wrapText="1"/>
      <protection locked="0"/>
    </xf>
    <xf numFmtId="0" fontId="11" fillId="4" borderId="0" xfId="0" applyFont="1" applyFill="1" applyBorder="1" applyAlignment="1" applyProtection="1">
      <alignment horizontal="center" wrapText="1"/>
      <protection locked="0"/>
    </xf>
    <xf numFmtId="0" fontId="11" fillId="2" borderId="9" xfId="0" applyFont="1" applyFill="1" applyBorder="1" applyAlignment="1" applyProtection="1">
      <alignment horizontal="center" wrapText="1"/>
      <protection locked="0"/>
    </xf>
    <xf numFmtId="0" fontId="11" fillId="2" borderId="11" xfId="0" applyFont="1" applyFill="1" applyBorder="1" applyAlignment="1" applyProtection="1">
      <alignment horizontal="center" wrapText="1"/>
      <protection locked="0"/>
    </xf>
    <xf numFmtId="0" fontId="20" fillId="6" borderId="0" xfId="0" applyFont="1" applyFill="1" applyBorder="1" applyAlignment="1" applyProtection="1">
      <alignment horizontal="left" indent="2"/>
      <protection locked="0"/>
    </xf>
    <xf numFmtId="0" fontId="18" fillId="6" borderId="0" xfId="0" applyFont="1" applyFill="1" applyBorder="1" applyAlignment="1" applyProtection="1">
      <alignment horizontal="left" vertical="top" indent="2"/>
      <protection locked="0"/>
    </xf>
    <xf numFmtId="0" fontId="6" fillId="2" borderId="8" xfId="0" applyFont="1" applyFill="1" applyBorder="1" applyAlignment="1" applyProtection="1">
      <alignment horizontal="left" wrapText="1"/>
      <protection locked="0"/>
    </xf>
    <xf numFmtId="0" fontId="6" fillId="2" borderId="0" xfId="0" applyFont="1" applyFill="1" applyBorder="1" applyAlignment="1" applyProtection="1">
      <alignment horizontal="left" wrapText="1"/>
      <protection locked="0"/>
    </xf>
    <xf numFmtId="0" fontId="11" fillId="2" borderId="8" xfId="0" applyFont="1" applyFill="1" applyBorder="1" applyAlignment="1" applyProtection="1">
      <alignment horizontal="center" wrapText="1"/>
      <protection locked="0"/>
    </xf>
    <xf numFmtId="0" fontId="11" fillId="2" borderId="0" xfId="0" applyFont="1" applyFill="1" applyBorder="1" applyAlignment="1" applyProtection="1">
      <alignment horizontal="center" wrapText="1"/>
      <protection locked="0"/>
    </xf>
    <xf numFmtId="0" fontId="11" fillId="4" borderId="61" xfId="0" applyFont="1" applyFill="1" applyBorder="1" applyAlignment="1" applyProtection="1">
      <alignment horizontal="center" wrapText="1"/>
      <protection locked="0"/>
    </xf>
    <xf numFmtId="0" fontId="11" fillId="4" borderId="10" xfId="0" applyFont="1" applyFill="1" applyBorder="1" applyAlignment="1" applyProtection="1">
      <alignment horizontal="center" wrapText="1"/>
      <protection locked="0"/>
    </xf>
    <xf numFmtId="164" fontId="0" fillId="6" borderId="0" xfId="0" applyNumberFormat="1" applyFill="1" applyAlignment="1" applyProtection="1">
      <alignment horizontal="center"/>
      <protection locked="0"/>
    </xf>
    <xf numFmtId="0" fontId="0" fillId="6" borderId="0" xfId="0" applyFill="1" applyAlignment="1">
      <alignment horizontal="center"/>
    </xf>
    <xf numFmtId="0" fontId="6" fillId="2" borderId="8" xfId="0" applyFont="1" applyFill="1" applyBorder="1" applyAlignment="1" applyProtection="1">
      <alignment horizontal="center" vertical="center"/>
      <protection locked="0"/>
    </xf>
    <xf numFmtId="0" fontId="6" fillId="2" borderId="8" xfId="0" applyFont="1" applyFill="1" applyBorder="1" applyAlignment="1" applyProtection="1">
      <alignment horizontal="center"/>
      <protection locked="0"/>
    </xf>
    <xf numFmtId="0" fontId="20" fillId="6" borderId="0" xfId="0" applyNumberFormat="1" applyFont="1" applyFill="1" applyBorder="1" applyAlignment="1" applyProtection="1">
      <alignment horizontal="left" indent="2"/>
    </xf>
    <xf numFmtId="168" fontId="58" fillId="6" borderId="0" xfId="0" applyNumberFormat="1" applyFont="1" applyFill="1" applyBorder="1" applyAlignment="1">
      <alignment horizontal="center" vertical="center"/>
    </xf>
    <xf numFmtId="0" fontId="18" fillId="6" borderId="0" xfId="0" applyFont="1" applyFill="1" applyBorder="1" applyAlignment="1" applyProtection="1">
      <alignment horizontal="left" vertical="top" indent="2"/>
    </xf>
    <xf numFmtId="0" fontId="36" fillId="5" borderId="0" xfId="9" applyAlignment="1">
      <alignment horizontal="center" vertical="center"/>
    </xf>
  </cellXfs>
  <cellStyles count="16">
    <cellStyle name="_total" xfId="7" xr:uid="{614C1BFF-BE02-4BF3-80E3-65AC20381351}"/>
    <cellStyle name="adminGRN" xfId="13" xr:uid="{A76AC2EE-3E3B-4B65-B857-634901F78A24}"/>
    <cellStyle name="adminRED" xfId="14" xr:uid="{4B35584E-AB8D-4850-9B57-A6704C7A5557}"/>
    <cellStyle name="btnOFF" xfId="9" xr:uid="{778AE1B3-9309-48EE-857F-94346847153D}"/>
    <cellStyle name="btnON" xfId="10" xr:uid="{1696C25F-83A0-44A3-8B0A-A9E73A616168}"/>
    <cellStyle name="Comma" xfId="1" builtinId="3"/>
    <cellStyle name="Comma 2" xfId="5" xr:uid="{7F1575AF-F397-4741-8633-B7D233A1A978}"/>
    <cellStyle name="Currency" xfId="2" builtinId="4"/>
    <cellStyle name="Header" xfId="6" xr:uid="{2E3CF0A9-2E1F-4D53-8931-56BE1866EB28}"/>
    <cellStyle name="item_total" xfId="8" xr:uid="{E69EAFAE-69C1-4D0E-B37A-81C6F509EA7E}"/>
    <cellStyle name="Normal" xfId="0" builtinId="0"/>
    <cellStyle name="Normal 2" xfId="15" xr:uid="{2B2B0D9C-F1CB-4BA5-89B6-7D73F9023301}"/>
    <cellStyle name="Normal 3" xfId="4" xr:uid="{82D5CFD9-FBD6-4375-AD7B-2E36F5F9636E}"/>
    <cellStyle name="Percent" xfId="3" builtinId="5"/>
    <cellStyle name="syncCOMP" xfId="11" xr:uid="{DFA6DDDE-BEBA-4B63-8BBD-D4D029B5F4AC}"/>
    <cellStyle name="syncNEED" xfId="12" xr:uid="{BD628CA7-5012-429E-B517-40F315D3F887}"/>
  </cellStyles>
  <dxfs count="17">
    <dxf>
      <font>
        <b/>
        <i/>
        <color rgb="FFFF0000"/>
      </font>
    </dxf>
    <dxf>
      <font>
        <b/>
        <i/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</dxf>
    <dxf>
      <font>
        <b/>
        <i/>
        <color rgb="FFFF0000"/>
      </font>
    </dxf>
    <dxf>
      <font>
        <b/>
        <i/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6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colors>
    <mruColors>
      <color rgb="FF002C77"/>
      <color rgb="FF6699FF"/>
      <color rgb="FF00917D"/>
      <color rgb="FFC11111"/>
      <color rgb="FF3C9090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image" Target="../media/image20.png"/><Relationship Id="rId3" Type="http://schemas.openxmlformats.org/officeDocument/2006/relationships/image" Target="../media/image5.png"/><Relationship Id="rId7" Type="http://schemas.openxmlformats.org/officeDocument/2006/relationships/image" Target="../media/image3.png"/><Relationship Id="rId12" Type="http://schemas.openxmlformats.org/officeDocument/2006/relationships/image" Target="../media/image19.png"/><Relationship Id="rId2" Type="http://schemas.openxmlformats.org/officeDocument/2006/relationships/image" Target="../media/image2.png"/><Relationship Id="rId16" Type="http://schemas.openxmlformats.org/officeDocument/2006/relationships/image" Target="../media/image23.png"/><Relationship Id="rId1" Type="http://schemas.openxmlformats.org/officeDocument/2006/relationships/image" Target="../media/image6.png"/><Relationship Id="rId6" Type="http://schemas.openxmlformats.org/officeDocument/2006/relationships/image" Target="../media/image15.png"/><Relationship Id="rId11" Type="http://schemas.openxmlformats.org/officeDocument/2006/relationships/image" Target="../media/image18.png"/><Relationship Id="rId5" Type="http://schemas.openxmlformats.org/officeDocument/2006/relationships/image" Target="../media/image14.png"/><Relationship Id="rId15" Type="http://schemas.openxmlformats.org/officeDocument/2006/relationships/image" Target="../media/image22.png"/><Relationship Id="rId10" Type="http://schemas.openxmlformats.org/officeDocument/2006/relationships/image" Target="../media/image17.png"/><Relationship Id="rId4" Type="http://schemas.openxmlformats.org/officeDocument/2006/relationships/image" Target="../media/image13.png"/><Relationship Id="rId9" Type="http://schemas.openxmlformats.org/officeDocument/2006/relationships/image" Target="../media/image16.png"/><Relationship Id="rId14" Type="http://schemas.openxmlformats.org/officeDocument/2006/relationships/image" Target="../media/image2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13" Type="http://schemas.openxmlformats.org/officeDocument/2006/relationships/image" Target="../media/image22.png"/><Relationship Id="rId3" Type="http://schemas.openxmlformats.org/officeDocument/2006/relationships/image" Target="../media/image5.png"/><Relationship Id="rId7" Type="http://schemas.openxmlformats.org/officeDocument/2006/relationships/image" Target="../media/image24.png"/><Relationship Id="rId12" Type="http://schemas.openxmlformats.org/officeDocument/2006/relationships/image" Target="../media/image21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openxmlformats.org/officeDocument/2006/relationships/image" Target="../media/image4.png"/><Relationship Id="rId11" Type="http://schemas.openxmlformats.org/officeDocument/2006/relationships/image" Target="../media/image20.png"/><Relationship Id="rId5" Type="http://schemas.openxmlformats.org/officeDocument/2006/relationships/image" Target="../media/image3.png"/><Relationship Id="rId15" Type="http://schemas.openxmlformats.org/officeDocument/2006/relationships/image" Target="../media/image25.png"/><Relationship Id="rId10" Type="http://schemas.openxmlformats.org/officeDocument/2006/relationships/image" Target="../media/image19.png"/><Relationship Id="rId4" Type="http://schemas.openxmlformats.org/officeDocument/2006/relationships/image" Target="../media/image15.png"/><Relationship Id="rId9" Type="http://schemas.openxmlformats.org/officeDocument/2006/relationships/image" Target="../media/image18.png"/><Relationship Id="rId14" Type="http://schemas.openxmlformats.org/officeDocument/2006/relationships/image" Target="../media/image23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33.png"/><Relationship Id="rId13" Type="http://schemas.openxmlformats.org/officeDocument/2006/relationships/image" Target="../media/image4.png"/><Relationship Id="rId3" Type="http://schemas.openxmlformats.org/officeDocument/2006/relationships/image" Target="../media/image28.png"/><Relationship Id="rId7" Type="http://schemas.openxmlformats.org/officeDocument/2006/relationships/image" Target="../media/image32.png"/><Relationship Id="rId12" Type="http://schemas.openxmlformats.org/officeDocument/2006/relationships/image" Target="../media/image15.png"/><Relationship Id="rId2" Type="http://schemas.openxmlformats.org/officeDocument/2006/relationships/image" Target="../media/image27.png"/><Relationship Id="rId1" Type="http://schemas.openxmlformats.org/officeDocument/2006/relationships/image" Target="../media/image26.jpeg"/><Relationship Id="rId6" Type="http://schemas.openxmlformats.org/officeDocument/2006/relationships/image" Target="../media/image31.png"/><Relationship Id="rId11" Type="http://schemas.openxmlformats.org/officeDocument/2006/relationships/image" Target="../media/image36.png"/><Relationship Id="rId5" Type="http://schemas.openxmlformats.org/officeDocument/2006/relationships/image" Target="../media/image30.png"/><Relationship Id="rId10" Type="http://schemas.openxmlformats.org/officeDocument/2006/relationships/image" Target="../media/image35.png"/><Relationship Id="rId4" Type="http://schemas.openxmlformats.org/officeDocument/2006/relationships/image" Target="../media/image29.png"/><Relationship Id="rId9" Type="http://schemas.openxmlformats.org/officeDocument/2006/relationships/image" Target="../media/image34.png"/><Relationship Id="rId14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33.png"/><Relationship Id="rId13" Type="http://schemas.openxmlformats.org/officeDocument/2006/relationships/image" Target="../media/image4.png"/><Relationship Id="rId3" Type="http://schemas.openxmlformats.org/officeDocument/2006/relationships/image" Target="../media/image28.png"/><Relationship Id="rId7" Type="http://schemas.openxmlformats.org/officeDocument/2006/relationships/image" Target="../media/image32.png"/><Relationship Id="rId12" Type="http://schemas.openxmlformats.org/officeDocument/2006/relationships/image" Target="../media/image15.png"/><Relationship Id="rId2" Type="http://schemas.openxmlformats.org/officeDocument/2006/relationships/image" Target="../media/image37.png"/><Relationship Id="rId1" Type="http://schemas.openxmlformats.org/officeDocument/2006/relationships/image" Target="../media/image26.jpeg"/><Relationship Id="rId6" Type="http://schemas.openxmlformats.org/officeDocument/2006/relationships/image" Target="../media/image31.png"/><Relationship Id="rId11" Type="http://schemas.openxmlformats.org/officeDocument/2006/relationships/image" Target="../media/image36.png"/><Relationship Id="rId5" Type="http://schemas.openxmlformats.org/officeDocument/2006/relationships/image" Target="../media/image30.png"/><Relationship Id="rId10" Type="http://schemas.openxmlformats.org/officeDocument/2006/relationships/image" Target="../media/image35.png"/><Relationship Id="rId4" Type="http://schemas.openxmlformats.org/officeDocument/2006/relationships/image" Target="../media/image29.png"/><Relationship Id="rId9" Type="http://schemas.openxmlformats.org/officeDocument/2006/relationships/image" Target="../media/image38.png"/><Relationship Id="rId14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242047</xdr:colOff>
      <xdr:row>0</xdr:row>
      <xdr:rowOff>125506</xdr:rowOff>
    </xdr:from>
    <xdr:to>
      <xdr:col>3</xdr:col>
      <xdr:colOff>1102177</xdr:colOff>
      <xdr:row>1</xdr:row>
      <xdr:rowOff>593800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1824"/>
        <a:stretch/>
      </xdr:blipFill>
      <xdr:spPr>
        <a:xfrm>
          <a:off x="242047" y="125506"/>
          <a:ext cx="2706859" cy="7530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481990</xdr:colOff>
      <xdr:row>10</xdr:row>
      <xdr:rowOff>76352</xdr:rowOff>
    </xdr:from>
    <xdr:to>
      <xdr:col>10</xdr:col>
      <xdr:colOff>792886</xdr:colOff>
      <xdr:row>11</xdr:row>
      <xdr:rowOff>187000</xdr:rowOff>
    </xdr:to>
    <xdr:pic macro="[3]!lessMONTHdetailCLICK">
      <xdr:nvPicPr>
        <xdr:cNvPr id="9" name="\\lessMONTHdetail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8907" y="2605769"/>
          <a:ext cx="310896" cy="290564"/>
        </a:xfrm>
        <a:prstGeom prst="rect">
          <a:avLst/>
        </a:prstGeom>
      </xdr:spPr>
    </xdr:pic>
    <xdr:clientData/>
  </xdr:twoCellAnchor>
  <xdr:twoCellAnchor editAs="oneCell">
    <xdr:from>
      <xdr:col>0</xdr:col>
      <xdr:colOff>51853</xdr:colOff>
      <xdr:row>2</xdr:row>
      <xdr:rowOff>205740</xdr:rowOff>
    </xdr:from>
    <xdr:to>
      <xdr:col>1</xdr:col>
      <xdr:colOff>247603</xdr:colOff>
      <xdr:row>4</xdr:row>
      <xdr:rowOff>167879</xdr:rowOff>
    </xdr:to>
    <xdr:pic macro="[3]!plusCLICK">
      <xdr:nvPicPr>
        <xdr:cNvPr id="11" name="\\Plus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53" y="998220"/>
          <a:ext cx="397680" cy="420624"/>
        </a:xfrm>
        <a:prstGeom prst="rect">
          <a:avLst/>
        </a:prstGeom>
      </xdr:spPr>
    </xdr:pic>
    <xdr:clientData fPrintsWithSheet="0"/>
  </xdr:twoCellAnchor>
  <xdr:twoCellAnchor editAs="oneCell">
    <xdr:from>
      <xdr:col>0</xdr:col>
      <xdr:colOff>51853</xdr:colOff>
      <xdr:row>2</xdr:row>
      <xdr:rowOff>205740</xdr:rowOff>
    </xdr:from>
    <xdr:to>
      <xdr:col>1</xdr:col>
      <xdr:colOff>251180</xdr:colOff>
      <xdr:row>4</xdr:row>
      <xdr:rowOff>167879</xdr:rowOff>
    </xdr:to>
    <xdr:pic macro="[3]!minusCLICK">
      <xdr:nvPicPr>
        <xdr:cNvPr id="13" name="\\Minus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53" y="998220"/>
          <a:ext cx="412687" cy="420624"/>
        </a:xfrm>
        <a:prstGeom prst="rect">
          <a:avLst/>
        </a:prstGeom>
      </xdr:spPr>
    </xdr:pic>
    <xdr:clientData fPrintsWithSheet="0"/>
  </xdr:twoCellAnchor>
  <xdr:twoCellAnchor editAs="oneCell">
    <xdr:from>
      <xdr:col>15</xdr:col>
      <xdr:colOff>137584</xdr:colOff>
      <xdr:row>10</xdr:row>
      <xdr:rowOff>76352</xdr:rowOff>
    </xdr:from>
    <xdr:to>
      <xdr:col>15</xdr:col>
      <xdr:colOff>444670</xdr:colOff>
      <xdr:row>11</xdr:row>
      <xdr:rowOff>187000</xdr:rowOff>
    </xdr:to>
    <xdr:pic macro="[3]!lessRATEdetailCLICK">
      <xdr:nvPicPr>
        <xdr:cNvPr id="15" name="\\lessRATEdetail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1" y="2605769"/>
          <a:ext cx="307086" cy="290564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</xdr:colOff>
      <xdr:row>0</xdr:row>
      <xdr:rowOff>0</xdr:rowOff>
    </xdr:from>
    <xdr:to>
      <xdr:col>1</xdr:col>
      <xdr:colOff>1768600</xdr:colOff>
      <xdr:row>1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0"/>
          <a:ext cx="1947670" cy="617220"/>
        </a:xfrm>
        <a:prstGeom prst="rect">
          <a:avLst/>
        </a:prstGeom>
      </xdr:spPr>
    </xdr:pic>
    <xdr:clientData/>
  </xdr:twoCellAnchor>
  <xdr:twoCellAnchor editAs="oneCell">
    <xdr:from>
      <xdr:col>10</xdr:col>
      <xdr:colOff>481990</xdr:colOff>
      <xdr:row>10</xdr:row>
      <xdr:rowOff>76352</xdr:rowOff>
    </xdr:from>
    <xdr:to>
      <xdr:col>10</xdr:col>
      <xdr:colOff>792886</xdr:colOff>
      <xdr:row>11</xdr:row>
      <xdr:rowOff>190585</xdr:rowOff>
    </xdr:to>
    <xdr:pic macro="[3]!moreMONTHdetailCLICK">
      <xdr:nvPicPr>
        <xdr:cNvPr id="599" name="\\moreMONTHdetail">
          <a:extLst>
            <a:ext uri="{FF2B5EF4-FFF2-40B4-BE49-F238E27FC236}">
              <a16:creationId xmlns:a16="http://schemas.microsoft.com/office/drawing/2014/main" id="{EBCDDBAB-933A-470B-A2C7-9B307AFC9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8907" y="2605769"/>
          <a:ext cx="310896" cy="294149"/>
        </a:xfrm>
        <a:prstGeom prst="rect">
          <a:avLst/>
        </a:prstGeom>
      </xdr:spPr>
    </xdr:pic>
    <xdr:clientData/>
  </xdr:twoCellAnchor>
  <xdr:twoCellAnchor editAs="oneCell">
    <xdr:from>
      <xdr:col>15</xdr:col>
      <xdr:colOff>137584</xdr:colOff>
      <xdr:row>10</xdr:row>
      <xdr:rowOff>76352</xdr:rowOff>
    </xdr:from>
    <xdr:to>
      <xdr:col>15</xdr:col>
      <xdr:colOff>444670</xdr:colOff>
      <xdr:row>11</xdr:row>
      <xdr:rowOff>190585</xdr:rowOff>
    </xdr:to>
    <xdr:pic macro="[3]!moreRATEdetailCLICK">
      <xdr:nvPicPr>
        <xdr:cNvPr id="280" name="\\moreRATEdetail">
          <a:extLst>
            <a:ext uri="{FF2B5EF4-FFF2-40B4-BE49-F238E27FC236}">
              <a16:creationId xmlns:a16="http://schemas.microsoft.com/office/drawing/2014/main" id="{C57DEDD4-941C-4561-9A86-0EFCF9F99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1" y="2605769"/>
          <a:ext cx="307086" cy="294149"/>
        </a:xfrm>
        <a:prstGeom prst="rect">
          <a:avLst/>
        </a:prstGeom>
      </xdr:spPr>
    </xdr:pic>
    <xdr:clientData/>
  </xdr:twoCellAnchor>
  <xdr:twoCellAnchor editAs="oneCell">
    <xdr:from>
      <xdr:col>1</xdr:col>
      <xdr:colOff>1581149</xdr:colOff>
      <xdr:row>12</xdr:row>
      <xdr:rowOff>42864</xdr:rowOff>
    </xdr:from>
    <xdr:to>
      <xdr:col>2</xdr:col>
      <xdr:colOff>21015</xdr:colOff>
      <xdr:row>12</xdr:row>
      <xdr:rowOff>225744</xdr:rowOff>
    </xdr:to>
    <xdr:pic macro="[3]!precon_listMENU_CLICK">
      <xdr:nvPicPr>
        <xdr:cNvPr id="627" name="Picture 626">
          <a:extLst>
            <a:ext uri="{FF2B5EF4-FFF2-40B4-BE49-F238E27FC236}">
              <a16:creationId xmlns:a16="http://schemas.microsoft.com/office/drawing/2014/main" id="{5CAA25EC-592D-4B53-ACE2-79D4FE34E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2232" y="2995614"/>
          <a:ext cx="884616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1581149</xdr:colOff>
      <xdr:row>14</xdr:row>
      <xdr:rowOff>42865</xdr:rowOff>
    </xdr:from>
    <xdr:to>
      <xdr:col>2</xdr:col>
      <xdr:colOff>21014</xdr:colOff>
      <xdr:row>14</xdr:row>
      <xdr:rowOff>225745</xdr:rowOff>
    </xdr:to>
    <xdr:pic macro="[3]!con_listMENU_CLICK">
      <xdr:nvPicPr>
        <xdr:cNvPr id="342" name="Picture 341">
          <a:extLst>
            <a:ext uri="{FF2B5EF4-FFF2-40B4-BE49-F238E27FC236}">
              <a16:creationId xmlns:a16="http://schemas.microsoft.com/office/drawing/2014/main" id="{27B0DF60-EA3A-4147-915D-51AA839DF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2232" y="3482448"/>
          <a:ext cx="884615" cy="182880"/>
        </a:xfrm>
        <a:prstGeom prst="rect">
          <a:avLst/>
        </a:prstGeom>
      </xdr:spPr>
    </xdr:pic>
    <xdr:clientData/>
  </xdr:twoCellAnchor>
  <xdr:twoCellAnchor editAs="oneCell">
    <xdr:from>
      <xdr:col>10</xdr:col>
      <xdr:colOff>165946</xdr:colOff>
      <xdr:row>12</xdr:row>
      <xdr:rowOff>12012</xdr:rowOff>
    </xdr:from>
    <xdr:to>
      <xdr:col>10</xdr:col>
      <xdr:colOff>435027</xdr:colOff>
      <xdr:row>13</xdr:row>
      <xdr:rowOff>18678</xdr:rowOff>
    </xdr:to>
    <xdr:pic macro="[3]!MakeChart">
      <xdr:nvPicPr>
        <xdr:cNvPr id="22" name="Graphic 21" descr="Bar chart" hidden="1">
          <a:extLst>
            <a:ext uri="{FF2B5EF4-FFF2-40B4-BE49-F238E27FC236}">
              <a16:creationId xmlns:a16="http://schemas.microsoft.com/office/drawing/2014/main" id="{CF75474F-8C4F-458B-B4AD-F64DFC8A2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 rot="5400000">
          <a:off x="10598229" y="2990929"/>
          <a:ext cx="260666" cy="263366"/>
        </a:xfrm>
        <a:prstGeom prst="rect">
          <a:avLst/>
        </a:prstGeom>
      </xdr:spPr>
    </xdr:pic>
    <xdr:clientData/>
  </xdr:twoCellAnchor>
  <xdr:twoCellAnchor editAs="oneCell">
    <xdr:from>
      <xdr:col>1</xdr:col>
      <xdr:colOff>1790700</xdr:colOff>
      <xdr:row>0</xdr:row>
      <xdr:rowOff>68580</xdr:rowOff>
    </xdr:from>
    <xdr:to>
      <xdr:col>2</xdr:col>
      <xdr:colOff>1011727</xdr:colOff>
      <xdr:row>0</xdr:row>
      <xdr:rowOff>510541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C05293-3980-4E4A-B467-B11554382A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12307" t="19503" b="29970"/>
        <a:stretch/>
      </xdr:blipFill>
      <xdr:spPr>
        <a:xfrm>
          <a:off x="1996440" y="68580"/>
          <a:ext cx="1737532" cy="434341"/>
        </a:xfrm>
        <a:prstGeom prst="rect">
          <a:avLst/>
        </a:prstGeom>
      </xdr:spPr>
    </xdr:pic>
    <xdr:clientData/>
  </xdr:twoCellAnchor>
  <xdr:oneCellAnchor>
    <xdr:from>
      <xdr:col>1</xdr:col>
      <xdr:colOff>1581149</xdr:colOff>
      <xdr:row>35</xdr:row>
      <xdr:rowOff>44770</xdr:rowOff>
    </xdr:from>
    <xdr:ext cx="886967" cy="182880"/>
    <xdr:pic macro="[3]!phase_listMENU_CLICK">
      <xdr:nvPicPr>
        <xdr:cNvPr id="62" name="\phasestaff" hidden="1">
          <a:extLst>
            <a:ext uri="{FF2B5EF4-FFF2-40B4-BE49-F238E27FC236}">
              <a16:creationId xmlns:a16="http://schemas.microsoft.com/office/drawing/2014/main" id="{4271706F-65DF-4161-9F20-BC61D7CEA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2232" y="7347270"/>
          <a:ext cx="886967" cy="182880"/>
        </a:xfrm>
        <a:prstGeom prst="rect">
          <a:avLst/>
        </a:prstGeom>
      </xdr:spPr>
    </xdr:pic>
    <xdr:clientData/>
  </xdr:oneCellAnchor>
  <xdr:twoCellAnchor editAs="oneCell">
    <xdr:from>
      <xdr:col>0</xdr:col>
      <xdr:colOff>66675</xdr:colOff>
      <xdr:row>16</xdr:row>
      <xdr:rowOff>60959</xdr:rowOff>
    </xdr:from>
    <xdr:to>
      <xdr:col>1</xdr:col>
      <xdr:colOff>1047092</xdr:colOff>
      <xdr:row>19</xdr:row>
      <xdr:rowOff>99058</xdr:rowOff>
    </xdr:to>
    <xdr:pic macro="[3]!addPhase_Click">
      <xdr:nvPicPr>
        <xdr:cNvPr id="2070" name="Picture 2069">
          <a:extLst>
            <a:ext uri="{FF2B5EF4-FFF2-40B4-BE49-F238E27FC236}">
              <a16:creationId xmlns:a16="http://schemas.microsoft.com/office/drawing/2014/main" id="{98F64F81-902F-4C0F-B5C6-AFE4C9334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4432934"/>
          <a:ext cx="1180442" cy="4724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57150</xdr:rowOff>
    </xdr:from>
    <xdr:to>
      <xdr:col>2</xdr:col>
      <xdr:colOff>73026</xdr:colOff>
      <xdr:row>3</xdr:row>
      <xdr:rowOff>34694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668153-EC5C-4ABC-88BE-4086E9EFB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1" y="57150"/>
          <a:ext cx="1730375" cy="549044"/>
        </a:xfrm>
        <a:prstGeom prst="rect">
          <a:avLst/>
        </a:prstGeom>
      </xdr:spPr>
    </xdr:pic>
    <xdr:clientData/>
  </xdr:twoCellAnchor>
  <xdr:twoCellAnchor>
    <xdr:from>
      <xdr:col>2</xdr:col>
      <xdr:colOff>31751</xdr:colOff>
      <xdr:row>0</xdr:row>
      <xdr:rowOff>74084</xdr:rowOff>
    </xdr:from>
    <xdr:to>
      <xdr:col>7</xdr:col>
      <xdr:colOff>77661</xdr:colOff>
      <xdr:row>3</xdr:row>
      <xdr:rowOff>25804</xdr:rowOff>
    </xdr:to>
    <xdr:sp macro="" textlink="">
      <xdr:nvSpPr>
        <xdr:cNvPr id="3" name="TextBox 5">
          <a:extLst>
            <a:ext uri="{FF2B5EF4-FFF2-40B4-BE49-F238E27FC236}">
              <a16:creationId xmlns:a16="http://schemas.microsoft.com/office/drawing/2014/main" id="{9F79901C-DBA8-4DE4-A627-7A8EF8515A48}"/>
            </a:ext>
          </a:extLst>
        </xdr:cNvPr>
        <xdr:cNvSpPr txBox="1"/>
      </xdr:nvSpPr>
      <xdr:spPr>
        <a:xfrm>
          <a:off x="1727201" y="74084"/>
          <a:ext cx="2798635" cy="5232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2800">
              <a:solidFill>
                <a:schemeClr val="accent3">
                  <a:lumMod val="50000"/>
                </a:schemeClr>
              </a:solidFill>
              <a:latin typeface="Forza Book" pitchFamily="50" charset="0"/>
            </a:rPr>
            <a:t>labor gantt</a:t>
          </a:r>
          <a:endParaRPr lang="en-US" sz="2400">
            <a:solidFill>
              <a:schemeClr val="accent3">
                <a:lumMod val="50000"/>
              </a:schemeClr>
            </a:solidFill>
            <a:latin typeface="Forza Book" pitchFamily="50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110080</xdr:colOff>
      <xdr:row>3</xdr:row>
      <xdr:rowOff>72390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E4639B-D406-4889-896B-5244CE93E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0"/>
          <a:ext cx="2053180" cy="64389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0</xdr:row>
      <xdr:rowOff>68036</xdr:rowOff>
    </xdr:from>
    <xdr:to>
      <xdr:col>1</xdr:col>
      <xdr:colOff>72228</xdr:colOff>
      <xdr:row>2</xdr:row>
      <xdr:rowOff>3649</xdr:rowOff>
    </xdr:to>
    <xdr:pic macro="[4]!addITEM_Click">
      <xdr:nvPicPr>
        <xdr:cNvPr id="3" name="\addItem" hidden="1">
          <a:extLst>
            <a:ext uri="{FF2B5EF4-FFF2-40B4-BE49-F238E27FC236}">
              <a16:creationId xmlns:a16="http://schemas.microsoft.com/office/drawing/2014/main" id="{7529B646-F8BD-4987-BBE4-B8B832D24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68036"/>
          <a:ext cx="329403" cy="316613"/>
        </a:xfrm>
        <a:prstGeom prst="rect">
          <a:avLst/>
        </a:prstGeom>
      </xdr:spPr>
    </xdr:pic>
    <xdr:clientData/>
  </xdr:twoCellAnchor>
  <xdr:twoCellAnchor editAs="oneCell">
    <xdr:from>
      <xdr:col>23</xdr:col>
      <xdr:colOff>76200</xdr:colOff>
      <xdr:row>10</xdr:row>
      <xdr:rowOff>38100</xdr:rowOff>
    </xdr:from>
    <xdr:to>
      <xdr:col>23</xdr:col>
      <xdr:colOff>385192</xdr:colOff>
      <xdr:row>11</xdr:row>
      <xdr:rowOff>187072</xdr:rowOff>
    </xdr:to>
    <xdr:pic macro="[4]!addTemp_Click">
      <xdr:nvPicPr>
        <xdr:cNvPr id="4" name="\addtemp">
          <a:extLst>
            <a:ext uri="{FF2B5EF4-FFF2-40B4-BE49-F238E27FC236}">
              <a16:creationId xmlns:a16="http://schemas.microsoft.com/office/drawing/2014/main" id="{09A2CFC0-1F6F-4477-A7E2-67A8C2CB7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4325" y="1952625"/>
          <a:ext cx="308992" cy="339472"/>
        </a:xfrm>
        <a:prstGeom prst="rect">
          <a:avLst/>
        </a:prstGeom>
      </xdr:spPr>
    </xdr:pic>
    <xdr:clientData/>
  </xdr:twoCellAnchor>
  <xdr:twoCellAnchor>
    <xdr:from>
      <xdr:col>4</xdr:col>
      <xdr:colOff>99060</xdr:colOff>
      <xdr:row>0</xdr:row>
      <xdr:rowOff>73342</xdr:rowOff>
    </xdr:from>
    <xdr:to>
      <xdr:col>8</xdr:col>
      <xdr:colOff>38100</xdr:colOff>
      <xdr:row>3</xdr:row>
      <xdr:rowOff>26967</xdr:rowOff>
    </xdr:to>
    <xdr:sp macro="" textlink="">
      <xdr:nvSpPr>
        <xdr:cNvPr id="5" name="TextBox 3">
          <a:extLst>
            <a:ext uri="{FF2B5EF4-FFF2-40B4-BE49-F238E27FC236}">
              <a16:creationId xmlns:a16="http://schemas.microsoft.com/office/drawing/2014/main" id="{E2F00906-5A8B-4D4E-BDD5-92022C037150}"/>
            </a:ext>
          </a:extLst>
        </xdr:cNvPr>
        <xdr:cNvSpPr txBox="1"/>
      </xdr:nvSpPr>
      <xdr:spPr>
        <a:xfrm>
          <a:off x="2356485" y="73342"/>
          <a:ext cx="2720340" cy="52512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2800">
              <a:solidFill>
                <a:schemeClr val="accent3">
                  <a:lumMod val="50000"/>
                </a:schemeClr>
              </a:solidFill>
              <a:latin typeface="Forza Book" pitchFamily="50" charset="0"/>
            </a:rPr>
            <a:t>non-staff labor</a:t>
          </a:r>
          <a:endParaRPr lang="en-US" sz="2400">
            <a:solidFill>
              <a:schemeClr val="accent3">
                <a:lumMod val="50000"/>
              </a:schemeClr>
            </a:solidFill>
            <a:latin typeface="Forza Book" pitchFamily="50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374831</xdr:colOff>
      <xdr:row>8</xdr:row>
      <xdr:rowOff>17585</xdr:rowOff>
    </xdr:from>
    <xdr:ext cx="270525" cy="269631"/>
    <xdr:pic macro="[3]!more_click">
      <xdr:nvPicPr>
        <xdr:cNvPr id="2" name="\\more01" hidden="1">
          <a:extLst>
            <a:ext uri="{FF2B5EF4-FFF2-40B4-BE49-F238E27FC236}">
              <a16:creationId xmlns:a16="http://schemas.microsoft.com/office/drawing/2014/main" id="{73DF53C1-E129-4F9D-B2E5-7F3A084CC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73208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</xdr:row>
      <xdr:rowOff>15240</xdr:rowOff>
    </xdr:from>
    <xdr:ext cx="279661" cy="274320"/>
    <xdr:pic macro="[3]!less_click">
      <xdr:nvPicPr>
        <xdr:cNvPr id="3" name="\\less01">
          <a:extLst>
            <a:ext uri="{FF2B5EF4-FFF2-40B4-BE49-F238E27FC236}">
              <a16:creationId xmlns:a16="http://schemas.microsoft.com/office/drawing/2014/main" id="{2154908C-B008-41B0-84A7-424563D51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7297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20</xdr:row>
      <xdr:rowOff>17585</xdr:rowOff>
    </xdr:from>
    <xdr:ext cx="270525" cy="269631"/>
    <xdr:pic macro="[3]!more_click">
      <xdr:nvPicPr>
        <xdr:cNvPr id="4" name="\\more02" hidden="1">
          <a:extLst>
            <a:ext uri="{FF2B5EF4-FFF2-40B4-BE49-F238E27FC236}">
              <a16:creationId xmlns:a16="http://schemas.microsoft.com/office/drawing/2014/main" id="{B540DC7E-10AD-40DE-B2CA-F193A82A3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441432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20</xdr:row>
      <xdr:rowOff>15240</xdr:rowOff>
    </xdr:from>
    <xdr:ext cx="279661" cy="274320"/>
    <xdr:pic macro="[3]!less_click">
      <xdr:nvPicPr>
        <xdr:cNvPr id="5" name="\\less02">
          <a:extLst>
            <a:ext uri="{FF2B5EF4-FFF2-40B4-BE49-F238E27FC236}">
              <a16:creationId xmlns:a16="http://schemas.microsoft.com/office/drawing/2014/main" id="{E60C4156-BB0C-493D-AF14-B0665B3C3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441198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24</xdr:row>
      <xdr:rowOff>17584</xdr:rowOff>
    </xdr:from>
    <xdr:ext cx="270525" cy="269631"/>
    <xdr:pic macro="[3]!more_click">
      <xdr:nvPicPr>
        <xdr:cNvPr id="6" name="\\more03" hidden="1">
          <a:extLst>
            <a:ext uri="{FF2B5EF4-FFF2-40B4-BE49-F238E27FC236}">
              <a16:creationId xmlns:a16="http://schemas.microsoft.com/office/drawing/2014/main" id="{699039A0-9D07-4CB5-B479-C492DAB43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526776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24</xdr:row>
      <xdr:rowOff>15240</xdr:rowOff>
    </xdr:from>
    <xdr:ext cx="279661" cy="274320"/>
    <xdr:pic macro="[3]!less_click">
      <xdr:nvPicPr>
        <xdr:cNvPr id="7" name="\\less03">
          <a:extLst>
            <a:ext uri="{FF2B5EF4-FFF2-40B4-BE49-F238E27FC236}">
              <a16:creationId xmlns:a16="http://schemas.microsoft.com/office/drawing/2014/main" id="{C7D4787E-CF69-4F59-9368-FFCE648B9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526542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30</xdr:row>
      <xdr:rowOff>17584</xdr:rowOff>
    </xdr:from>
    <xdr:ext cx="270525" cy="269631"/>
    <xdr:pic macro="[3]!more_click">
      <xdr:nvPicPr>
        <xdr:cNvPr id="8" name="\\more04" hidden="1">
          <a:extLst>
            <a:ext uri="{FF2B5EF4-FFF2-40B4-BE49-F238E27FC236}">
              <a16:creationId xmlns:a16="http://schemas.microsoft.com/office/drawing/2014/main" id="{B9D8F991-B851-49CA-BE92-974BAC9F9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673080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30</xdr:row>
      <xdr:rowOff>15240</xdr:rowOff>
    </xdr:from>
    <xdr:ext cx="279661" cy="274320"/>
    <xdr:pic macro="[3]!less_click">
      <xdr:nvPicPr>
        <xdr:cNvPr id="9" name="\\less04">
          <a:extLst>
            <a:ext uri="{FF2B5EF4-FFF2-40B4-BE49-F238E27FC236}">
              <a16:creationId xmlns:a16="http://schemas.microsoft.com/office/drawing/2014/main" id="{47D0889B-7099-49DB-8F1B-5CBDFE0FC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672846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369919</xdr:colOff>
      <xdr:row>44</xdr:row>
      <xdr:rowOff>22496</xdr:rowOff>
    </xdr:from>
    <xdr:ext cx="270525" cy="259808"/>
    <xdr:pic macro="[3]!more_click">
      <xdr:nvPicPr>
        <xdr:cNvPr id="10" name="\\more05" hidden="1">
          <a:extLst>
            <a:ext uri="{FF2B5EF4-FFF2-40B4-BE49-F238E27FC236}">
              <a16:creationId xmlns:a16="http://schemas.microsoft.com/office/drawing/2014/main" id="{5C1026BC-4422-4BAF-9C11-68CEC63BF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7639" y="9661796"/>
          <a:ext cx="270525" cy="259808"/>
        </a:xfrm>
        <a:prstGeom prst="rect">
          <a:avLst/>
        </a:prstGeom>
      </xdr:spPr>
    </xdr:pic>
    <xdr:clientData/>
  </xdr:oneCellAnchor>
  <xdr:oneCellAnchor>
    <xdr:from>
      <xdr:col>9</xdr:col>
      <xdr:colOff>363128</xdr:colOff>
      <xdr:row>44</xdr:row>
      <xdr:rowOff>20151</xdr:rowOff>
    </xdr:from>
    <xdr:ext cx="279661" cy="264497"/>
    <xdr:pic macro="[3]!less_click">
      <xdr:nvPicPr>
        <xdr:cNvPr id="11" name="\\less05">
          <a:extLst>
            <a:ext uri="{FF2B5EF4-FFF2-40B4-BE49-F238E27FC236}">
              <a16:creationId xmlns:a16="http://schemas.microsoft.com/office/drawing/2014/main" id="{B44EDB0D-6F8B-4312-B305-DE55F8780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0848" y="9659451"/>
          <a:ext cx="279661" cy="264497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57</xdr:row>
      <xdr:rowOff>17584</xdr:rowOff>
    </xdr:from>
    <xdr:ext cx="270525" cy="269631"/>
    <xdr:pic macro="[3]!more_click">
      <xdr:nvPicPr>
        <xdr:cNvPr id="12" name="\\more06" hidden="1">
          <a:extLst>
            <a:ext uri="{FF2B5EF4-FFF2-40B4-BE49-F238E27FC236}">
              <a16:creationId xmlns:a16="http://schemas.microsoft.com/office/drawing/2014/main" id="{56189464-2213-4F14-B77E-F919D8F46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404600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57</xdr:row>
      <xdr:rowOff>15240</xdr:rowOff>
    </xdr:from>
    <xdr:ext cx="279661" cy="274320"/>
    <xdr:pic macro="[3]!less_click">
      <xdr:nvPicPr>
        <xdr:cNvPr id="13" name="\\less06">
          <a:extLst>
            <a:ext uri="{FF2B5EF4-FFF2-40B4-BE49-F238E27FC236}">
              <a16:creationId xmlns:a16="http://schemas.microsoft.com/office/drawing/2014/main" id="{70724648-80EE-4F80-829C-2650058E4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404366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70</xdr:row>
      <xdr:rowOff>17584</xdr:rowOff>
    </xdr:from>
    <xdr:ext cx="270525" cy="269631"/>
    <xdr:pic macro="[3]!more_click">
      <xdr:nvPicPr>
        <xdr:cNvPr id="14" name="\\more07" hidden="1">
          <a:extLst>
            <a:ext uri="{FF2B5EF4-FFF2-40B4-BE49-F238E27FC236}">
              <a16:creationId xmlns:a16="http://schemas.microsoft.com/office/drawing/2014/main" id="{7CBA3873-2648-4EE1-B419-3E4DAB6AD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81912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70</xdr:row>
      <xdr:rowOff>15240</xdr:rowOff>
    </xdr:from>
    <xdr:ext cx="279661" cy="274320"/>
    <xdr:pic macro="[3]!less_click">
      <xdr:nvPicPr>
        <xdr:cNvPr id="15" name="\\less07">
          <a:extLst>
            <a:ext uri="{FF2B5EF4-FFF2-40B4-BE49-F238E27FC236}">
              <a16:creationId xmlns:a16="http://schemas.microsoft.com/office/drawing/2014/main" id="{1A310ED6-273B-4FD4-AA42-677C4DF69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81889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73</xdr:row>
      <xdr:rowOff>17585</xdr:rowOff>
    </xdr:from>
    <xdr:ext cx="270525" cy="269631"/>
    <xdr:pic macro="[3]!more_click">
      <xdr:nvPicPr>
        <xdr:cNvPr id="16" name="\\more08" hidden="1">
          <a:extLst>
            <a:ext uri="{FF2B5EF4-FFF2-40B4-BE49-F238E27FC236}">
              <a16:creationId xmlns:a16="http://schemas.microsoft.com/office/drawing/2014/main" id="{B7E4586E-214A-4BB4-9B1B-F539909E2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892280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73</xdr:row>
      <xdr:rowOff>15241</xdr:rowOff>
    </xdr:from>
    <xdr:ext cx="279661" cy="274320"/>
    <xdr:pic macro="[3]!less_click">
      <xdr:nvPicPr>
        <xdr:cNvPr id="17" name="\\less08">
          <a:extLst>
            <a:ext uri="{FF2B5EF4-FFF2-40B4-BE49-F238E27FC236}">
              <a16:creationId xmlns:a16="http://schemas.microsoft.com/office/drawing/2014/main" id="{27608717-BB3D-4B3B-BDA5-B4B3A1316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8920461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76</xdr:row>
      <xdr:rowOff>17584</xdr:rowOff>
    </xdr:from>
    <xdr:ext cx="270525" cy="269631"/>
    <xdr:pic macro="[3]!more_click">
      <xdr:nvPicPr>
        <xdr:cNvPr id="18" name="\\more09" hidden="1">
          <a:extLst>
            <a:ext uri="{FF2B5EF4-FFF2-40B4-BE49-F238E27FC236}">
              <a16:creationId xmlns:a16="http://schemas.microsoft.com/office/drawing/2014/main" id="{85812006-B91B-4D46-B9D7-CE4B4A569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965432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76</xdr:row>
      <xdr:rowOff>15240</xdr:rowOff>
    </xdr:from>
    <xdr:ext cx="279661" cy="274320"/>
    <xdr:pic macro="[3]!less_click">
      <xdr:nvPicPr>
        <xdr:cNvPr id="19" name="\\less09">
          <a:extLst>
            <a:ext uri="{FF2B5EF4-FFF2-40B4-BE49-F238E27FC236}">
              <a16:creationId xmlns:a16="http://schemas.microsoft.com/office/drawing/2014/main" id="{B47B1425-614A-4792-A326-048A71227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965198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79</xdr:row>
      <xdr:rowOff>17584</xdr:rowOff>
    </xdr:from>
    <xdr:ext cx="270525" cy="269631"/>
    <xdr:pic macro="[3]!more_click">
      <xdr:nvPicPr>
        <xdr:cNvPr id="20" name="\\more10" hidden="1">
          <a:extLst>
            <a:ext uri="{FF2B5EF4-FFF2-40B4-BE49-F238E27FC236}">
              <a16:creationId xmlns:a16="http://schemas.microsoft.com/office/drawing/2014/main" id="{BBC139F2-12E5-48F9-9512-CCAA2093D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2038584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79</xdr:row>
      <xdr:rowOff>15240</xdr:rowOff>
    </xdr:from>
    <xdr:ext cx="279661" cy="274320"/>
    <xdr:pic macro="[3]!less_click">
      <xdr:nvPicPr>
        <xdr:cNvPr id="21" name="\\less10">
          <a:extLst>
            <a:ext uri="{FF2B5EF4-FFF2-40B4-BE49-F238E27FC236}">
              <a16:creationId xmlns:a16="http://schemas.microsoft.com/office/drawing/2014/main" id="{569AE872-9B81-4107-B727-1EDEB837B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2038350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83</xdr:row>
      <xdr:rowOff>17585</xdr:rowOff>
    </xdr:from>
    <xdr:ext cx="270525" cy="269631"/>
    <xdr:pic macro="[3]!more_click">
      <xdr:nvPicPr>
        <xdr:cNvPr id="22" name="\\more11" hidden="1">
          <a:extLst>
            <a:ext uri="{FF2B5EF4-FFF2-40B4-BE49-F238E27FC236}">
              <a16:creationId xmlns:a16="http://schemas.microsoft.com/office/drawing/2014/main" id="{6BC7C144-8CCE-49FF-A0F2-30804590F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2184888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83</xdr:row>
      <xdr:rowOff>15239</xdr:rowOff>
    </xdr:from>
    <xdr:ext cx="279661" cy="274320"/>
    <xdr:pic macro="[3]!less_click">
      <xdr:nvPicPr>
        <xdr:cNvPr id="23" name="\\less11">
          <a:extLst>
            <a:ext uri="{FF2B5EF4-FFF2-40B4-BE49-F238E27FC236}">
              <a16:creationId xmlns:a16="http://schemas.microsoft.com/office/drawing/2014/main" id="{71A82BC5-E7E3-4F96-9A1D-407416EE6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21846539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88</xdr:row>
      <xdr:rowOff>17586</xdr:rowOff>
    </xdr:from>
    <xdr:ext cx="270525" cy="269631"/>
    <xdr:pic macro="[3]!more_click">
      <xdr:nvPicPr>
        <xdr:cNvPr id="24" name="\\more12" hidden="1">
          <a:extLst>
            <a:ext uri="{FF2B5EF4-FFF2-40B4-BE49-F238E27FC236}">
              <a16:creationId xmlns:a16="http://schemas.microsoft.com/office/drawing/2014/main" id="{DA7D3569-E4EC-41C1-9F41-DD13E0D23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23068086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88</xdr:row>
      <xdr:rowOff>15239</xdr:rowOff>
    </xdr:from>
    <xdr:ext cx="279661" cy="274320"/>
    <xdr:pic macro="[3]!less_click">
      <xdr:nvPicPr>
        <xdr:cNvPr id="25" name="\\less12">
          <a:extLst>
            <a:ext uri="{FF2B5EF4-FFF2-40B4-BE49-F238E27FC236}">
              <a16:creationId xmlns:a16="http://schemas.microsoft.com/office/drawing/2014/main" id="{FB3E837D-750F-4466-95A6-7F6CC84B5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23065739"/>
          <a:ext cx="279661" cy="274320"/>
        </a:xfrm>
        <a:prstGeom prst="rect">
          <a:avLst/>
        </a:prstGeom>
      </xdr:spPr>
    </xdr:pic>
    <xdr:clientData/>
  </xdr:oneCellAnchor>
  <xdr:oneCellAnchor>
    <xdr:from>
      <xdr:col>4</xdr:col>
      <xdr:colOff>472888</xdr:colOff>
      <xdr:row>0</xdr:row>
      <xdr:rowOff>62753</xdr:rowOff>
    </xdr:from>
    <xdr:ext cx="1998321" cy="617780"/>
    <xdr:pic macro="[3]!toggleADMINmode">
      <xdr:nvPicPr>
        <xdr:cNvPr id="26" name="Picture 25">
          <a:extLst>
            <a:ext uri="{FF2B5EF4-FFF2-40B4-BE49-F238E27FC236}">
              <a16:creationId xmlns:a16="http://schemas.microsoft.com/office/drawing/2014/main" id="{FC5D1AEE-91D9-4A58-881F-27FBC6618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0268" y="62753"/>
          <a:ext cx="1998321" cy="617780"/>
        </a:xfrm>
        <a:prstGeom prst="rect">
          <a:avLst/>
        </a:prstGeom>
      </xdr:spPr>
    </xdr:pic>
    <xdr:clientData/>
  </xdr:oneCellAnchor>
  <xdr:oneCellAnchor>
    <xdr:from>
      <xdr:col>5</xdr:col>
      <xdr:colOff>1565703</xdr:colOff>
      <xdr:row>0</xdr:row>
      <xdr:rowOff>169080</xdr:rowOff>
    </xdr:from>
    <xdr:ext cx="3913430" cy="404566"/>
    <xdr:pic>
      <xdr:nvPicPr>
        <xdr:cNvPr id="27" name="Picture 26">
          <a:extLst>
            <a:ext uri="{FF2B5EF4-FFF2-40B4-BE49-F238E27FC236}">
              <a16:creationId xmlns:a16="http://schemas.microsoft.com/office/drawing/2014/main" id="{0FBC6320-180A-4F54-BCA9-FE8DC81138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12" t="22999" r="2904" b="30001"/>
        <a:stretch/>
      </xdr:blipFill>
      <xdr:spPr>
        <a:xfrm>
          <a:off x="4385103" y="169080"/>
          <a:ext cx="3913430" cy="404566"/>
        </a:xfrm>
        <a:prstGeom prst="rect">
          <a:avLst/>
        </a:prstGeom>
      </xdr:spPr>
    </xdr:pic>
    <xdr:clientData/>
  </xdr:oneCellAnchor>
  <xdr:twoCellAnchor editAs="oneCell">
    <xdr:from>
      <xdr:col>4</xdr:col>
      <xdr:colOff>419100</xdr:colOff>
      <xdr:row>22</xdr:row>
      <xdr:rowOff>75480</xdr:rowOff>
    </xdr:from>
    <xdr:to>
      <xdr:col>5</xdr:col>
      <xdr:colOff>550545</xdr:colOff>
      <xdr:row>22</xdr:row>
      <xdr:rowOff>230123</xdr:rowOff>
    </xdr:to>
    <xdr:pic macro="[3]!addtrailer_CLICK">
      <xdr:nvPicPr>
        <xdr:cNvPr id="28" name="Picture 27">
          <a:extLst>
            <a:ext uri="{FF2B5EF4-FFF2-40B4-BE49-F238E27FC236}">
              <a16:creationId xmlns:a16="http://schemas.microsoft.com/office/drawing/2014/main" id="{DAF8DBBE-27EB-4185-8EC6-D12BD543A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6480" y="4837980"/>
          <a:ext cx="1066801" cy="154643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325386</xdr:colOff>
      <xdr:row>1</xdr:row>
      <xdr:rowOff>326952</xdr:rowOff>
    </xdr:to>
    <xdr:pic macro="[3]!dummy">
      <xdr:nvPicPr>
        <xdr:cNvPr id="29" name="Picture 28">
          <a:extLst>
            <a:ext uri="{FF2B5EF4-FFF2-40B4-BE49-F238E27FC236}">
              <a16:creationId xmlns:a16="http://schemas.microsoft.com/office/drawing/2014/main" id="{02D73D0A-ABDF-4544-9389-46A67D6B1F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6401" cy="551742"/>
        </a:xfrm>
        <a:prstGeom prst="rect">
          <a:avLst/>
        </a:prstGeom>
      </xdr:spPr>
    </xdr:pic>
    <xdr:clientData/>
  </xdr:twoCellAnchor>
  <xdr:twoCellAnchor editAs="absolute">
    <xdr:from>
      <xdr:col>3</xdr:col>
      <xdr:colOff>35966</xdr:colOff>
      <xdr:row>0</xdr:row>
      <xdr:rowOff>35321</xdr:rowOff>
    </xdr:from>
    <xdr:to>
      <xdr:col>4</xdr:col>
      <xdr:colOff>244146</xdr:colOff>
      <xdr:row>1</xdr:row>
      <xdr:rowOff>244378</xdr:rowOff>
    </xdr:to>
    <xdr:pic macro="[3]!plusCLICK">
      <xdr:nvPicPr>
        <xdr:cNvPr id="30" name="\\Plus">
          <a:extLst>
            <a:ext uri="{FF2B5EF4-FFF2-40B4-BE49-F238E27FC236}">
              <a16:creationId xmlns:a16="http://schemas.microsoft.com/office/drawing/2014/main" id="{521E7866-B924-4B47-9C3B-AE7C64A46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66" y="35321"/>
          <a:ext cx="411575" cy="418607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21515</xdr:colOff>
      <xdr:row>0</xdr:row>
      <xdr:rowOff>34760</xdr:rowOff>
    </xdr:from>
    <xdr:to>
      <xdr:col>4</xdr:col>
      <xdr:colOff>249072</xdr:colOff>
      <xdr:row>1</xdr:row>
      <xdr:rowOff>244938</xdr:rowOff>
    </xdr:to>
    <xdr:pic macro="[3]!minusCLICK">
      <xdr:nvPicPr>
        <xdr:cNvPr id="31" name="\\Minus" hidden="1">
          <a:extLst>
            <a:ext uri="{FF2B5EF4-FFF2-40B4-BE49-F238E27FC236}">
              <a16:creationId xmlns:a16="http://schemas.microsoft.com/office/drawing/2014/main" id="{7E749B51-B4F5-48EF-93AA-01C55397D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35" y="34760"/>
          <a:ext cx="425237" cy="419728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227186</xdr:colOff>
      <xdr:row>10</xdr:row>
      <xdr:rowOff>6609</xdr:rowOff>
    </xdr:from>
    <xdr:to>
      <xdr:col>5</xdr:col>
      <xdr:colOff>94759</xdr:colOff>
      <xdr:row>10</xdr:row>
      <xdr:rowOff>223896</xdr:rowOff>
    </xdr:to>
    <xdr:pic macro="[3]!context_click">
      <xdr:nvPicPr>
        <xdr:cNvPr id="32" name="\m\carry" hidden="1">
          <a:extLst>
            <a:ext uri="{FF2B5EF4-FFF2-40B4-BE49-F238E27FC236}">
              <a16:creationId xmlns:a16="http://schemas.microsoft.com/office/drawing/2014/main" id="{1D55842B-75F5-4AF2-8EFA-74B107AD3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811" y="2244984"/>
          <a:ext cx="1192039" cy="224907"/>
        </a:xfrm>
        <a:prstGeom prst="rect">
          <a:avLst/>
        </a:prstGeom>
      </xdr:spPr>
    </xdr:pic>
    <xdr:clientData/>
  </xdr:twoCellAnchor>
  <xdr:oneCellAnchor>
    <xdr:from>
      <xdr:col>1</xdr:col>
      <xdr:colOff>50800</xdr:colOff>
      <xdr:row>10</xdr:row>
      <xdr:rowOff>0</xdr:rowOff>
    </xdr:from>
    <xdr:ext cx="244475" cy="251517"/>
    <xdr:pic macro="[3]!context_click">
      <xdr:nvPicPr>
        <xdr:cNvPr id="33" name="\m\burger" hidden="1">
          <a:extLst>
            <a:ext uri="{FF2B5EF4-FFF2-40B4-BE49-F238E27FC236}">
              <a16:creationId xmlns:a16="http://schemas.microsoft.com/office/drawing/2014/main" id="{FCCB3841-DA2B-41C8-835E-ABAEADB66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" y="2238375"/>
          <a:ext cx="244475" cy="251517"/>
        </a:xfrm>
        <a:prstGeom prst="rect">
          <a:avLst/>
        </a:prstGeom>
      </xdr:spPr>
    </xdr:pic>
    <xdr:clientData/>
  </xdr:oneCellAnchor>
  <xdr:twoCellAnchor editAs="absolute">
    <xdr:from>
      <xdr:col>0</xdr:col>
      <xdr:colOff>0</xdr:colOff>
      <xdr:row>0</xdr:row>
      <xdr:rowOff>0</xdr:rowOff>
    </xdr:from>
    <xdr:to>
      <xdr:col>4</xdr:col>
      <xdr:colOff>819785</xdr:colOff>
      <xdr:row>1</xdr:row>
      <xdr:rowOff>53340</xdr:rowOff>
    </xdr:to>
    <xdr:sp macro="" textlink="">
      <xdr:nvSpPr>
        <xdr:cNvPr id="34" name="\c\minus\" hidden="1">
          <a:extLst>
            <a:ext uri="{FF2B5EF4-FFF2-40B4-BE49-F238E27FC236}">
              <a16:creationId xmlns:a16="http://schemas.microsoft.com/office/drawing/2014/main" id="{804D57CE-6EB0-49F7-8B57-365DA40DFB3F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remove carry</a:t>
          </a:r>
        </a:p>
      </xdr:txBody>
    </xdr:sp>
    <xdr:clientData/>
  </xdr:twoCellAnchor>
  <xdr:twoCellAnchor editAs="oneCell">
    <xdr:from>
      <xdr:col>1</xdr:col>
      <xdr:colOff>50800</xdr:colOff>
      <xdr:row>10</xdr:row>
      <xdr:rowOff>0</xdr:rowOff>
    </xdr:from>
    <xdr:to>
      <xdr:col>4</xdr:col>
      <xdr:colOff>53975</xdr:colOff>
      <xdr:row>11</xdr:row>
      <xdr:rowOff>19223</xdr:rowOff>
    </xdr:to>
    <xdr:pic macro="[3]!context_click">
      <xdr:nvPicPr>
        <xdr:cNvPr id="35" name="\m\x" hidden="1">
          <a:extLst>
            <a:ext uri="{FF2B5EF4-FFF2-40B4-BE49-F238E27FC236}">
              <a16:creationId xmlns:a16="http://schemas.microsoft.com/office/drawing/2014/main" id="{410D2CF4-D8AE-421B-9191-E26518A61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" y="2238375"/>
          <a:ext cx="244475" cy="25353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819785</xdr:colOff>
      <xdr:row>1</xdr:row>
      <xdr:rowOff>53340</xdr:rowOff>
    </xdr:to>
    <xdr:sp macro="" textlink="">
      <xdr:nvSpPr>
        <xdr:cNvPr id="36" name="\c\prorata\" hidden="1">
          <a:extLst>
            <a:ext uri="{FF2B5EF4-FFF2-40B4-BE49-F238E27FC236}">
              <a16:creationId xmlns:a16="http://schemas.microsoft.com/office/drawing/2014/main" id="{32DA6F24-6291-4D3A-93B1-16109294054B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prorate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819785</xdr:colOff>
      <xdr:row>1</xdr:row>
      <xdr:rowOff>53340</xdr:rowOff>
    </xdr:to>
    <xdr:sp macro="" textlink="">
      <xdr:nvSpPr>
        <xdr:cNvPr id="37" name="\c\catch\" hidden="1">
          <a:extLst>
            <a:ext uri="{FF2B5EF4-FFF2-40B4-BE49-F238E27FC236}">
              <a16:creationId xmlns:a16="http://schemas.microsoft.com/office/drawing/2014/main" id="{E5B3C33D-6E99-4456-A064-A54FF89038C9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catch all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59788</xdr:colOff>
      <xdr:row>1</xdr:row>
      <xdr:rowOff>53340</xdr:rowOff>
    </xdr:to>
    <xdr:pic>
      <xdr:nvPicPr>
        <xdr:cNvPr id="38" name="\c\minus" hidden="1">
          <a:extLst>
            <a:ext uri="{FF2B5EF4-FFF2-40B4-BE49-F238E27FC236}">
              <a16:creationId xmlns:a16="http://schemas.microsoft.com/office/drawing/2014/main" id="{F4F7A9B2-CE8E-451B-8ABF-77CB0C3CE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59788</xdr:colOff>
      <xdr:row>1</xdr:row>
      <xdr:rowOff>53340</xdr:rowOff>
    </xdr:to>
    <xdr:pic>
      <xdr:nvPicPr>
        <xdr:cNvPr id="39" name="\c\catch" hidden="1">
          <a:extLst>
            <a:ext uri="{FF2B5EF4-FFF2-40B4-BE49-F238E27FC236}">
              <a16:creationId xmlns:a16="http://schemas.microsoft.com/office/drawing/2014/main" id="{93655EF0-B0BB-42EB-BF3B-6B2F529AE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59788</xdr:colOff>
      <xdr:row>1</xdr:row>
      <xdr:rowOff>53340</xdr:rowOff>
    </xdr:to>
    <xdr:pic>
      <xdr:nvPicPr>
        <xdr:cNvPr id="40" name="\c\prorata" hidden="1">
          <a:extLst>
            <a:ext uri="{FF2B5EF4-FFF2-40B4-BE49-F238E27FC236}">
              <a16:creationId xmlns:a16="http://schemas.microsoft.com/office/drawing/2014/main" id="{2DFB0B33-428C-4C2A-AF34-678297871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210918</xdr:colOff>
      <xdr:row>1</xdr:row>
      <xdr:rowOff>53340</xdr:rowOff>
    </xdr:to>
    <xdr:sp macro="[3]!context_click" textlink="">
      <xdr:nvSpPr>
        <xdr:cNvPr id="41" name="\c\minus_\" hidden="1">
          <a:extLst>
            <a:ext uri="{FF2B5EF4-FFF2-40B4-BE49-F238E27FC236}">
              <a16:creationId xmlns:a16="http://schemas.microsoft.com/office/drawing/2014/main" id="{A133747B-BCDF-49C8-B803-BB0E61F587DF}"/>
            </a:ext>
          </a:extLst>
        </xdr:cNvPr>
        <xdr:cNvSpPr>
          <a:spLocks/>
        </xdr:cNvSpPr>
      </xdr:nvSpPr>
      <xdr:spPr>
        <a:xfrm>
          <a:off x="0" y="0"/>
          <a:ext cx="1296768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210918</xdr:colOff>
      <xdr:row>1</xdr:row>
      <xdr:rowOff>53340</xdr:rowOff>
    </xdr:to>
    <xdr:sp macro="[3]!context_click" textlink="">
      <xdr:nvSpPr>
        <xdr:cNvPr id="42" name="\c\catch_\" hidden="1">
          <a:extLst>
            <a:ext uri="{FF2B5EF4-FFF2-40B4-BE49-F238E27FC236}">
              <a16:creationId xmlns:a16="http://schemas.microsoft.com/office/drawing/2014/main" id="{56D7BA1E-F685-4CAB-A965-4ED1CCB2FAA0}"/>
            </a:ext>
          </a:extLst>
        </xdr:cNvPr>
        <xdr:cNvSpPr>
          <a:spLocks/>
        </xdr:cNvSpPr>
      </xdr:nvSpPr>
      <xdr:spPr>
        <a:xfrm>
          <a:off x="0" y="0"/>
          <a:ext cx="1296768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210918</xdr:colOff>
      <xdr:row>1</xdr:row>
      <xdr:rowOff>53340</xdr:rowOff>
    </xdr:to>
    <xdr:sp macro="[3]!context_click" textlink="">
      <xdr:nvSpPr>
        <xdr:cNvPr id="43" name="\c\prorata_\" hidden="1">
          <a:extLst>
            <a:ext uri="{FF2B5EF4-FFF2-40B4-BE49-F238E27FC236}">
              <a16:creationId xmlns:a16="http://schemas.microsoft.com/office/drawing/2014/main" id="{CEEF1D1F-8007-412F-BD72-BF63BEAF11F4}"/>
            </a:ext>
          </a:extLst>
        </xdr:cNvPr>
        <xdr:cNvSpPr>
          <a:spLocks/>
        </xdr:cNvSpPr>
      </xdr:nvSpPr>
      <xdr:spPr>
        <a:xfrm>
          <a:off x="0" y="0"/>
          <a:ext cx="1296768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396856</xdr:colOff>
      <xdr:row>9</xdr:row>
      <xdr:rowOff>133542</xdr:rowOff>
    </xdr:to>
    <xdr:pic macro="[3]!dummy">
      <xdr:nvPicPr>
        <xdr:cNvPr id="44" name="\s\ready" hidden="1">
          <a:extLst>
            <a:ext uri="{FF2B5EF4-FFF2-40B4-BE49-F238E27FC236}">
              <a16:creationId xmlns:a16="http://schemas.microsoft.com/office/drawing/2014/main" id="{F9113B64-4379-4EB5-9DF1-A6CCA7197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1166" cy="5983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400519</xdr:colOff>
      <xdr:row>9</xdr:row>
      <xdr:rowOff>98211</xdr:rowOff>
    </xdr:to>
    <xdr:pic macro="[3]!context_click">
      <xdr:nvPicPr>
        <xdr:cNvPr id="45" name="\s\sync" hidden="1">
          <a:extLst>
            <a:ext uri="{FF2B5EF4-FFF2-40B4-BE49-F238E27FC236}">
              <a16:creationId xmlns:a16="http://schemas.microsoft.com/office/drawing/2014/main" id="{6CE45016-8063-4CCF-A084-66F2A0CF2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2924" cy="5801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374831</xdr:colOff>
      <xdr:row>8</xdr:row>
      <xdr:rowOff>17585</xdr:rowOff>
    </xdr:from>
    <xdr:ext cx="270525" cy="269631"/>
    <xdr:pic macro="[3]!more_click">
      <xdr:nvPicPr>
        <xdr:cNvPr id="2" name="\\more01" hidden="1">
          <a:extLst>
            <a:ext uri="{FF2B5EF4-FFF2-40B4-BE49-F238E27FC236}">
              <a16:creationId xmlns:a16="http://schemas.microsoft.com/office/drawing/2014/main" id="{7578B9F0-F247-48BE-A338-851770EAC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71303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</xdr:row>
      <xdr:rowOff>15240</xdr:rowOff>
    </xdr:from>
    <xdr:ext cx="279661" cy="274320"/>
    <xdr:pic macro="[3]!less_click">
      <xdr:nvPicPr>
        <xdr:cNvPr id="3" name="\\less01">
          <a:extLst>
            <a:ext uri="{FF2B5EF4-FFF2-40B4-BE49-F238E27FC236}">
              <a16:creationId xmlns:a16="http://schemas.microsoft.com/office/drawing/2014/main" id="{6BA8547E-74C0-4B64-BB55-1ECBB35FC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71069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12</xdr:row>
      <xdr:rowOff>17585</xdr:rowOff>
    </xdr:from>
    <xdr:ext cx="270525" cy="269631"/>
    <xdr:pic macro="[3]!more_click">
      <xdr:nvPicPr>
        <xdr:cNvPr id="4" name="\\more02" hidden="1">
          <a:extLst>
            <a:ext uri="{FF2B5EF4-FFF2-40B4-BE49-F238E27FC236}">
              <a16:creationId xmlns:a16="http://schemas.microsoft.com/office/drawing/2014/main" id="{5B8DDBB8-344F-4E85-BF81-9EFC3F1B6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436098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12</xdr:row>
      <xdr:rowOff>15240</xdr:rowOff>
    </xdr:from>
    <xdr:ext cx="279661" cy="274320"/>
    <xdr:pic macro="[3]!less_click">
      <xdr:nvPicPr>
        <xdr:cNvPr id="5" name="\\less02">
          <a:extLst>
            <a:ext uri="{FF2B5EF4-FFF2-40B4-BE49-F238E27FC236}">
              <a16:creationId xmlns:a16="http://schemas.microsoft.com/office/drawing/2014/main" id="{1E3620AE-6505-4F01-A643-78500D70E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43586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16</xdr:row>
      <xdr:rowOff>17584</xdr:rowOff>
    </xdr:from>
    <xdr:ext cx="270525" cy="269631"/>
    <xdr:pic macro="[3]!more_click">
      <xdr:nvPicPr>
        <xdr:cNvPr id="6" name="\\more03" hidden="1">
          <a:extLst>
            <a:ext uri="{FF2B5EF4-FFF2-40B4-BE49-F238E27FC236}">
              <a16:creationId xmlns:a16="http://schemas.microsoft.com/office/drawing/2014/main" id="{727B1445-7A38-415A-8E8D-FD8830722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7132759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16</xdr:row>
      <xdr:rowOff>15240</xdr:rowOff>
    </xdr:from>
    <xdr:ext cx="279661" cy="274320"/>
    <xdr:pic macro="[3]!less_click">
      <xdr:nvPicPr>
        <xdr:cNvPr id="7" name="\\less03">
          <a:extLst>
            <a:ext uri="{FF2B5EF4-FFF2-40B4-BE49-F238E27FC236}">
              <a16:creationId xmlns:a16="http://schemas.microsoft.com/office/drawing/2014/main" id="{E56BA9EC-74FB-4024-AABA-FD8421DCB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713041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22</xdr:row>
      <xdr:rowOff>17584</xdr:rowOff>
    </xdr:from>
    <xdr:ext cx="270525" cy="269631"/>
    <xdr:pic macro="[3]!more_click">
      <xdr:nvPicPr>
        <xdr:cNvPr id="8" name="\\more04" hidden="1">
          <a:extLst>
            <a:ext uri="{FF2B5EF4-FFF2-40B4-BE49-F238E27FC236}">
              <a16:creationId xmlns:a16="http://schemas.microsoft.com/office/drawing/2014/main" id="{6268228E-D071-4D6C-93B5-C1E4C024F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76375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22</xdr:row>
      <xdr:rowOff>15240</xdr:rowOff>
    </xdr:from>
    <xdr:ext cx="279661" cy="274320"/>
    <xdr:pic macro="[3]!less_click">
      <xdr:nvPicPr>
        <xdr:cNvPr id="9" name="\\less04">
          <a:extLst>
            <a:ext uri="{FF2B5EF4-FFF2-40B4-BE49-F238E27FC236}">
              <a16:creationId xmlns:a16="http://schemas.microsoft.com/office/drawing/2014/main" id="{3970ABC9-D34E-4A96-AFC3-FA23292D9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76352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369919</xdr:colOff>
      <xdr:row>27</xdr:row>
      <xdr:rowOff>22496</xdr:rowOff>
    </xdr:from>
    <xdr:ext cx="270525" cy="259808"/>
    <xdr:pic macro="[3]!more_click">
      <xdr:nvPicPr>
        <xdr:cNvPr id="10" name="\\more05" hidden="1">
          <a:extLst>
            <a:ext uri="{FF2B5EF4-FFF2-40B4-BE49-F238E27FC236}">
              <a16:creationId xmlns:a16="http://schemas.microsoft.com/office/drawing/2014/main" id="{37AA0FB6-91A7-4FEC-B876-50CBC7F70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0944" y="10528571"/>
          <a:ext cx="270525" cy="259808"/>
        </a:xfrm>
        <a:prstGeom prst="rect">
          <a:avLst/>
        </a:prstGeom>
      </xdr:spPr>
    </xdr:pic>
    <xdr:clientData/>
  </xdr:oneCellAnchor>
  <xdr:oneCellAnchor>
    <xdr:from>
      <xdr:col>9</xdr:col>
      <xdr:colOff>363128</xdr:colOff>
      <xdr:row>27</xdr:row>
      <xdr:rowOff>20151</xdr:rowOff>
    </xdr:from>
    <xdr:ext cx="279661" cy="264497"/>
    <xdr:pic macro="[3]!less_click">
      <xdr:nvPicPr>
        <xdr:cNvPr id="11" name="\\less05">
          <a:extLst>
            <a:ext uri="{FF2B5EF4-FFF2-40B4-BE49-F238E27FC236}">
              <a16:creationId xmlns:a16="http://schemas.microsoft.com/office/drawing/2014/main" id="{3FA61B14-758A-4AD7-B2C7-73BD809C6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4153" y="10526226"/>
          <a:ext cx="279661" cy="264497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40</xdr:row>
      <xdr:rowOff>17584</xdr:rowOff>
    </xdr:from>
    <xdr:ext cx="270525" cy="269631"/>
    <xdr:pic macro="[3]!more_click">
      <xdr:nvPicPr>
        <xdr:cNvPr id="12" name="\\more06" hidden="1">
          <a:extLst>
            <a:ext uri="{FF2B5EF4-FFF2-40B4-BE49-F238E27FC236}">
              <a16:creationId xmlns:a16="http://schemas.microsoft.com/office/drawing/2014/main" id="{AF65E54B-67DB-4D96-A088-AE849D5E5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48384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40</xdr:row>
      <xdr:rowOff>15240</xdr:rowOff>
    </xdr:from>
    <xdr:ext cx="279661" cy="274320"/>
    <xdr:pic macro="[3]!less_click">
      <xdr:nvPicPr>
        <xdr:cNvPr id="13" name="\\less06">
          <a:extLst>
            <a:ext uri="{FF2B5EF4-FFF2-40B4-BE49-F238E27FC236}">
              <a16:creationId xmlns:a16="http://schemas.microsoft.com/office/drawing/2014/main" id="{62E18B0A-40BC-46AA-A4B8-CF9799277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48361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57</xdr:row>
      <xdr:rowOff>17584</xdr:rowOff>
    </xdr:from>
    <xdr:ext cx="270525" cy="269631"/>
    <xdr:pic macro="[3]!more_click">
      <xdr:nvPicPr>
        <xdr:cNvPr id="14" name="\\more07" hidden="1">
          <a:extLst>
            <a:ext uri="{FF2B5EF4-FFF2-40B4-BE49-F238E27FC236}">
              <a16:creationId xmlns:a16="http://schemas.microsoft.com/office/drawing/2014/main" id="{390F351A-4387-4EA0-8803-2CC049219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89151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57</xdr:row>
      <xdr:rowOff>15240</xdr:rowOff>
    </xdr:from>
    <xdr:ext cx="279661" cy="274320"/>
    <xdr:pic macro="[3]!less_click">
      <xdr:nvPicPr>
        <xdr:cNvPr id="15" name="\\less07">
          <a:extLst>
            <a:ext uri="{FF2B5EF4-FFF2-40B4-BE49-F238E27FC236}">
              <a16:creationId xmlns:a16="http://schemas.microsoft.com/office/drawing/2014/main" id="{A293C6DE-6176-4A49-9FF6-93822A02D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89128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60</xdr:row>
      <xdr:rowOff>17585</xdr:rowOff>
    </xdr:from>
    <xdr:ext cx="270525" cy="269631"/>
    <xdr:pic macro="[3]!more_click">
      <xdr:nvPicPr>
        <xdr:cNvPr id="16" name="\\more08" hidden="1">
          <a:extLst>
            <a:ext uri="{FF2B5EF4-FFF2-40B4-BE49-F238E27FC236}">
              <a16:creationId xmlns:a16="http://schemas.microsoft.com/office/drawing/2014/main" id="{EC4FF523-360F-46EE-9A75-94833E3FC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965813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60</xdr:row>
      <xdr:rowOff>15241</xdr:rowOff>
    </xdr:from>
    <xdr:ext cx="279661" cy="274320"/>
    <xdr:pic macro="[3]!less_click">
      <xdr:nvPicPr>
        <xdr:cNvPr id="17" name="\\less08">
          <a:extLst>
            <a:ext uri="{FF2B5EF4-FFF2-40B4-BE49-F238E27FC236}">
              <a16:creationId xmlns:a16="http://schemas.microsoft.com/office/drawing/2014/main" id="{1C5A6D45-2801-41A3-AB3C-38AB9E10D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9655791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64</xdr:row>
      <xdr:rowOff>17584</xdr:rowOff>
    </xdr:from>
    <xdr:ext cx="270525" cy="269631"/>
    <xdr:pic macro="[3]!more_click">
      <xdr:nvPicPr>
        <xdr:cNvPr id="18" name="\\more09" hidden="1">
          <a:extLst>
            <a:ext uri="{FF2B5EF4-FFF2-40B4-BE49-F238E27FC236}">
              <a16:creationId xmlns:a16="http://schemas.microsoft.com/office/drawing/2014/main" id="{128B031E-1169-4952-9E0D-1FF5CFB43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204010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64</xdr:row>
      <xdr:rowOff>15240</xdr:rowOff>
    </xdr:from>
    <xdr:ext cx="279661" cy="274320"/>
    <xdr:pic macro="[3]!less_click">
      <xdr:nvPicPr>
        <xdr:cNvPr id="19" name="\\less09">
          <a:extLst>
            <a:ext uri="{FF2B5EF4-FFF2-40B4-BE49-F238E27FC236}">
              <a16:creationId xmlns:a16="http://schemas.microsoft.com/office/drawing/2014/main" id="{7B7AC2D3-CAB2-46D5-9CCE-4AE0EC37D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203987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75</xdr:row>
      <xdr:rowOff>17584</xdr:rowOff>
    </xdr:from>
    <xdr:ext cx="270525" cy="269631"/>
    <xdr:pic macro="[3]!more_click">
      <xdr:nvPicPr>
        <xdr:cNvPr id="20" name="\\more10" hidden="1">
          <a:extLst>
            <a:ext uri="{FF2B5EF4-FFF2-40B4-BE49-F238E27FC236}">
              <a16:creationId xmlns:a16="http://schemas.microsoft.com/office/drawing/2014/main" id="{C43518DC-2BC4-44F7-980A-8A83F8479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2114403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75</xdr:row>
      <xdr:rowOff>15240</xdr:rowOff>
    </xdr:from>
    <xdr:ext cx="279661" cy="274320"/>
    <xdr:pic macro="[3]!less_click">
      <xdr:nvPicPr>
        <xdr:cNvPr id="21" name="\\less10">
          <a:extLst>
            <a:ext uri="{FF2B5EF4-FFF2-40B4-BE49-F238E27FC236}">
              <a16:creationId xmlns:a16="http://schemas.microsoft.com/office/drawing/2014/main" id="{DC59BCAC-EBCD-4079-A04A-5AADBB315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2114169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102</xdr:row>
      <xdr:rowOff>17585</xdr:rowOff>
    </xdr:from>
    <xdr:ext cx="270525" cy="269631"/>
    <xdr:pic macro="[3]!more_click">
      <xdr:nvPicPr>
        <xdr:cNvPr id="22" name="\\more11" hidden="1">
          <a:extLst>
            <a:ext uri="{FF2B5EF4-FFF2-40B4-BE49-F238E27FC236}">
              <a16:creationId xmlns:a16="http://schemas.microsoft.com/office/drawing/2014/main" id="{A2448997-1E3B-4D0B-AB50-A24107A22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2260136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102</xdr:row>
      <xdr:rowOff>15239</xdr:rowOff>
    </xdr:from>
    <xdr:ext cx="279661" cy="274320"/>
    <xdr:pic macro="[3]!less_click">
      <xdr:nvPicPr>
        <xdr:cNvPr id="23" name="\\less11">
          <a:extLst>
            <a:ext uri="{FF2B5EF4-FFF2-40B4-BE49-F238E27FC236}">
              <a16:creationId xmlns:a16="http://schemas.microsoft.com/office/drawing/2014/main" id="{F4CB2CBB-F0BD-491B-B4D1-FAD24F13C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22599014"/>
          <a:ext cx="279661" cy="274320"/>
        </a:xfrm>
        <a:prstGeom prst="rect">
          <a:avLst/>
        </a:prstGeom>
      </xdr:spPr>
    </xdr:pic>
    <xdr:clientData/>
  </xdr:oneCellAnchor>
  <xdr:oneCellAnchor>
    <xdr:from>
      <xdr:col>4</xdr:col>
      <xdr:colOff>472888</xdr:colOff>
      <xdr:row>0</xdr:row>
      <xdr:rowOff>62753</xdr:rowOff>
    </xdr:from>
    <xdr:ext cx="1998321" cy="617780"/>
    <xdr:pic macro="[3]!toggleADMINmode">
      <xdr:nvPicPr>
        <xdr:cNvPr id="26" name="Picture 25">
          <a:extLst>
            <a:ext uri="{FF2B5EF4-FFF2-40B4-BE49-F238E27FC236}">
              <a16:creationId xmlns:a16="http://schemas.microsoft.com/office/drawing/2014/main" id="{38AD0EB3-8646-44C4-97A1-8F1F0979E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0738" y="62753"/>
          <a:ext cx="1998321" cy="617780"/>
        </a:xfrm>
        <a:prstGeom prst="rect">
          <a:avLst/>
        </a:prstGeom>
      </xdr:spPr>
    </xdr:pic>
    <xdr:clientData/>
  </xdr:oneCellAnchor>
  <xdr:twoCellAnchor editAs="absolute">
    <xdr:from>
      <xdr:col>0</xdr:col>
      <xdr:colOff>0</xdr:colOff>
      <xdr:row>0</xdr:row>
      <xdr:rowOff>0</xdr:rowOff>
    </xdr:from>
    <xdr:to>
      <xdr:col>4</xdr:col>
      <xdr:colOff>338721</xdr:colOff>
      <xdr:row>1</xdr:row>
      <xdr:rowOff>338382</xdr:rowOff>
    </xdr:to>
    <xdr:pic macro="[3]!dummy">
      <xdr:nvPicPr>
        <xdr:cNvPr id="29" name="Picture 28">
          <a:extLst>
            <a:ext uri="{FF2B5EF4-FFF2-40B4-BE49-F238E27FC236}">
              <a16:creationId xmlns:a16="http://schemas.microsoft.com/office/drawing/2014/main" id="{6CFBB06A-4E67-46EE-B111-0AE031C2E6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21601" cy="547932"/>
        </a:xfrm>
        <a:prstGeom prst="rect">
          <a:avLst/>
        </a:prstGeom>
      </xdr:spPr>
    </xdr:pic>
    <xdr:clientData/>
  </xdr:twoCellAnchor>
  <xdr:twoCellAnchor editAs="absolute">
    <xdr:from>
      <xdr:col>3</xdr:col>
      <xdr:colOff>35966</xdr:colOff>
      <xdr:row>0</xdr:row>
      <xdr:rowOff>35321</xdr:rowOff>
    </xdr:from>
    <xdr:to>
      <xdr:col>4</xdr:col>
      <xdr:colOff>263196</xdr:colOff>
      <xdr:row>1</xdr:row>
      <xdr:rowOff>263428</xdr:rowOff>
    </xdr:to>
    <xdr:pic macro="[3]!plusCLICK">
      <xdr:nvPicPr>
        <xdr:cNvPr id="30" name="\\Plus">
          <a:extLst>
            <a:ext uri="{FF2B5EF4-FFF2-40B4-BE49-F238E27FC236}">
              <a16:creationId xmlns:a16="http://schemas.microsoft.com/office/drawing/2014/main" id="{528B2906-3CE1-4094-B850-2556D3834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66" y="35321"/>
          <a:ext cx="396775" cy="414797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34850</xdr:colOff>
      <xdr:row>0</xdr:row>
      <xdr:rowOff>34760</xdr:rowOff>
    </xdr:from>
    <xdr:to>
      <xdr:col>4</xdr:col>
      <xdr:colOff>262407</xdr:colOff>
      <xdr:row>1</xdr:row>
      <xdr:rowOff>262083</xdr:rowOff>
    </xdr:to>
    <xdr:pic macro="[3]!minusCLICK">
      <xdr:nvPicPr>
        <xdr:cNvPr id="31" name="\\Minus" hidden="1">
          <a:extLst>
            <a:ext uri="{FF2B5EF4-FFF2-40B4-BE49-F238E27FC236}">
              <a16:creationId xmlns:a16="http://schemas.microsoft.com/office/drawing/2014/main" id="{72A13DDF-39DB-4C26-AB38-37E819620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35" y="34760"/>
          <a:ext cx="410437" cy="415918"/>
        </a:xfrm>
        <a:prstGeom prst="rect">
          <a:avLst/>
        </a:prstGeom>
      </xdr:spPr>
    </xdr:pic>
    <xdr:clientData fPrintsWithSheet="0"/>
  </xdr:twoCellAnchor>
  <xdr:twoCellAnchor editAs="oneCell">
    <xdr:from>
      <xdr:col>0</xdr:col>
      <xdr:colOff>0</xdr:colOff>
      <xdr:row>0</xdr:row>
      <xdr:rowOff>0</xdr:rowOff>
    </xdr:from>
    <xdr:to>
      <xdr:col>5</xdr:col>
      <xdr:colOff>109999</xdr:colOff>
      <xdr:row>0</xdr:row>
      <xdr:rowOff>187419</xdr:rowOff>
    </xdr:to>
    <xdr:pic macro="[3]!context_click">
      <xdr:nvPicPr>
        <xdr:cNvPr id="32" name="\m\carry" hidden="1">
          <a:extLst>
            <a:ext uri="{FF2B5EF4-FFF2-40B4-BE49-F238E27FC236}">
              <a16:creationId xmlns:a16="http://schemas.microsoft.com/office/drawing/2014/main" id="{60047FDF-AFAC-4EF3-B5C0-52F5785CB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84419" cy="170274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0</xdr:row>
      <xdr:rowOff>0</xdr:rowOff>
    </xdr:from>
    <xdr:ext cx="246380" cy="253481"/>
    <xdr:pic macro="[3]!context_click">
      <xdr:nvPicPr>
        <xdr:cNvPr id="33" name="\m\burger" hidden="1">
          <a:extLst>
            <a:ext uri="{FF2B5EF4-FFF2-40B4-BE49-F238E27FC236}">
              <a16:creationId xmlns:a16="http://schemas.microsoft.com/office/drawing/2014/main" id="{B59D4D3A-76CD-48DF-88E4-98585E9EF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80" cy="253481"/>
        </a:xfrm>
        <a:prstGeom prst="rect">
          <a:avLst/>
        </a:prstGeom>
      </xdr:spPr>
    </xdr:pic>
    <xdr:clientData/>
  </xdr:oneCellAnchor>
  <xdr:twoCellAnchor editAs="absolute">
    <xdr:from>
      <xdr:col>0</xdr:col>
      <xdr:colOff>0</xdr:colOff>
      <xdr:row>0</xdr:row>
      <xdr:rowOff>0</xdr:rowOff>
    </xdr:from>
    <xdr:to>
      <xdr:col>4</xdr:col>
      <xdr:colOff>835025</xdr:colOff>
      <xdr:row>1</xdr:row>
      <xdr:rowOff>72390</xdr:rowOff>
    </xdr:to>
    <xdr:sp macro="" textlink="">
      <xdr:nvSpPr>
        <xdr:cNvPr id="34" name="\c\minus\" hidden="1">
          <a:extLst>
            <a:ext uri="{FF2B5EF4-FFF2-40B4-BE49-F238E27FC236}">
              <a16:creationId xmlns:a16="http://schemas.microsoft.com/office/drawing/2014/main" id="{195A7950-342E-4E90-8BDB-4037C75283A9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remove carry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36830</xdr:colOff>
      <xdr:row>0</xdr:row>
      <xdr:rowOff>187619</xdr:rowOff>
    </xdr:to>
    <xdr:pic macro="[3]!context_click">
      <xdr:nvPicPr>
        <xdr:cNvPr id="35" name="\m\x" hidden="1">
          <a:extLst>
            <a:ext uri="{FF2B5EF4-FFF2-40B4-BE49-F238E27FC236}">
              <a16:creationId xmlns:a16="http://schemas.microsoft.com/office/drawing/2014/main" id="{DDDFAE53-2424-4F0E-9C2A-A1BC8B38B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6855" cy="187619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835025</xdr:colOff>
      <xdr:row>1</xdr:row>
      <xdr:rowOff>72390</xdr:rowOff>
    </xdr:to>
    <xdr:sp macro="" textlink="">
      <xdr:nvSpPr>
        <xdr:cNvPr id="36" name="\c\prorata\" hidden="1">
          <a:extLst>
            <a:ext uri="{FF2B5EF4-FFF2-40B4-BE49-F238E27FC236}">
              <a16:creationId xmlns:a16="http://schemas.microsoft.com/office/drawing/2014/main" id="{E944582D-C6A6-4CBC-814D-A1F2CA2F16E7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prorate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835025</xdr:colOff>
      <xdr:row>1</xdr:row>
      <xdr:rowOff>72390</xdr:rowOff>
    </xdr:to>
    <xdr:sp macro="" textlink="">
      <xdr:nvSpPr>
        <xdr:cNvPr id="37" name="\c\catch\" hidden="1">
          <a:extLst>
            <a:ext uri="{FF2B5EF4-FFF2-40B4-BE49-F238E27FC236}">
              <a16:creationId xmlns:a16="http://schemas.microsoft.com/office/drawing/2014/main" id="{A692F0C8-76AE-4914-AAB4-026E38F3D326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catch all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73123</xdr:colOff>
      <xdr:row>1</xdr:row>
      <xdr:rowOff>72390</xdr:rowOff>
    </xdr:to>
    <xdr:pic>
      <xdr:nvPicPr>
        <xdr:cNvPr id="38" name="\c\minus" hidden="1">
          <a:extLst>
            <a:ext uri="{FF2B5EF4-FFF2-40B4-BE49-F238E27FC236}">
              <a16:creationId xmlns:a16="http://schemas.microsoft.com/office/drawing/2014/main" id="{A6E6A6FE-7FC9-40B3-A3AC-F42652DB3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73123</xdr:colOff>
      <xdr:row>1</xdr:row>
      <xdr:rowOff>72390</xdr:rowOff>
    </xdr:to>
    <xdr:pic>
      <xdr:nvPicPr>
        <xdr:cNvPr id="39" name="\c\catch" hidden="1">
          <a:extLst>
            <a:ext uri="{FF2B5EF4-FFF2-40B4-BE49-F238E27FC236}">
              <a16:creationId xmlns:a16="http://schemas.microsoft.com/office/drawing/2014/main" id="{2A194AD7-CE44-437F-A752-14965758B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73123</xdr:colOff>
      <xdr:row>1</xdr:row>
      <xdr:rowOff>72390</xdr:rowOff>
    </xdr:to>
    <xdr:pic>
      <xdr:nvPicPr>
        <xdr:cNvPr id="40" name="\c\prorata" hidden="1">
          <a:extLst>
            <a:ext uri="{FF2B5EF4-FFF2-40B4-BE49-F238E27FC236}">
              <a16:creationId xmlns:a16="http://schemas.microsoft.com/office/drawing/2014/main" id="{FA27B299-18A3-464D-B9B8-31D44F20C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224253</xdr:colOff>
      <xdr:row>1</xdr:row>
      <xdr:rowOff>72390</xdr:rowOff>
    </xdr:to>
    <xdr:sp macro="[3]!context_click" textlink="">
      <xdr:nvSpPr>
        <xdr:cNvPr id="41" name="\c\minus_\" hidden="1">
          <a:extLst>
            <a:ext uri="{FF2B5EF4-FFF2-40B4-BE49-F238E27FC236}">
              <a16:creationId xmlns:a16="http://schemas.microsoft.com/office/drawing/2014/main" id="{96CE741D-8ED3-46BB-AE8C-ECBAD0AC879A}"/>
            </a:ext>
          </a:extLst>
        </xdr:cNvPr>
        <xdr:cNvSpPr>
          <a:spLocks/>
        </xdr:cNvSpPr>
      </xdr:nvSpPr>
      <xdr:spPr>
        <a:xfrm>
          <a:off x="0" y="0"/>
          <a:ext cx="1302483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224253</xdr:colOff>
      <xdr:row>1</xdr:row>
      <xdr:rowOff>72390</xdr:rowOff>
    </xdr:to>
    <xdr:sp macro="[3]!context_click" textlink="">
      <xdr:nvSpPr>
        <xdr:cNvPr id="42" name="\c\catch_\" hidden="1">
          <a:extLst>
            <a:ext uri="{FF2B5EF4-FFF2-40B4-BE49-F238E27FC236}">
              <a16:creationId xmlns:a16="http://schemas.microsoft.com/office/drawing/2014/main" id="{FCFBA10F-9E6A-45F3-B2D0-DCBBAC601A85}"/>
            </a:ext>
          </a:extLst>
        </xdr:cNvPr>
        <xdr:cNvSpPr>
          <a:spLocks/>
        </xdr:cNvSpPr>
      </xdr:nvSpPr>
      <xdr:spPr>
        <a:xfrm>
          <a:off x="0" y="0"/>
          <a:ext cx="1302483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224253</xdr:colOff>
      <xdr:row>1</xdr:row>
      <xdr:rowOff>72390</xdr:rowOff>
    </xdr:to>
    <xdr:sp macro="[3]!context_click" textlink="">
      <xdr:nvSpPr>
        <xdr:cNvPr id="43" name="\c\prorata_\" hidden="1">
          <a:extLst>
            <a:ext uri="{FF2B5EF4-FFF2-40B4-BE49-F238E27FC236}">
              <a16:creationId xmlns:a16="http://schemas.microsoft.com/office/drawing/2014/main" id="{8EB431AC-6D5F-41DA-A76C-1850BD4DE50F}"/>
            </a:ext>
          </a:extLst>
        </xdr:cNvPr>
        <xdr:cNvSpPr>
          <a:spLocks/>
        </xdr:cNvSpPr>
      </xdr:nvSpPr>
      <xdr:spPr>
        <a:xfrm>
          <a:off x="0" y="0"/>
          <a:ext cx="1302483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415906</xdr:colOff>
      <xdr:row>9</xdr:row>
      <xdr:rowOff>148782</xdr:rowOff>
    </xdr:to>
    <xdr:pic macro="[3]!dummy">
      <xdr:nvPicPr>
        <xdr:cNvPr id="44" name="\s\ready" hidden="1">
          <a:extLst>
            <a:ext uri="{FF2B5EF4-FFF2-40B4-BE49-F238E27FC236}">
              <a16:creationId xmlns:a16="http://schemas.microsoft.com/office/drawing/2014/main" id="{0275BF06-83B4-4F8F-8323-AE96CE0D6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1166" cy="5983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415759</xdr:colOff>
      <xdr:row>9</xdr:row>
      <xdr:rowOff>109641</xdr:rowOff>
    </xdr:to>
    <xdr:pic macro="[3]!context_click">
      <xdr:nvPicPr>
        <xdr:cNvPr id="45" name="\s\sync" hidden="1">
          <a:extLst>
            <a:ext uri="{FF2B5EF4-FFF2-40B4-BE49-F238E27FC236}">
              <a16:creationId xmlns:a16="http://schemas.microsoft.com/office/drawing/2014/main" id="{9B08E8A9-340B-4B07-B524-03C49A576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2924" cy="580176"/>
        </a:xfrm>
        <a:prstGeom prst="rect">
          <a:avLst/>
        </a:prstGeom>
      </xdr:spPr>
    </xdr:pic>
    <xdr:clientData/>
  </xdr:twoCellAnchor>
  <xdr:twoCellAnchor editAs="oneCell">
    <xdr:from>
      <xdr:col>5</xdr:col>
      <xdr:colOff>1565703</xdr:colOff>
      <xdr:row>0</xdr:row>
      <xdr:rowOff>169080</xdr:rowOff>
    </xdr:from>
    <xdr:to>
      <xdr:col>9</xdr:col>
      <xdr:colOff>575142</xdr:colOff>
      <xdr:row>2</xdr:row>
      <xdr:rowOff>33826</xdr:rowOff>
    </xdr:to>
    <xdr:pic macro="[3]!dummy">
      <xdr:nvPicPr>
        <xdr:cNvPr id="46" name="Picture 45">
          <a:extLst>
            <a:ext uri="{FF2B5EF4-FFF2-40B4-BE49-F238E27FC236}">
              <a16:creationId xmlns:a16="http://schemas.microsoft.com/office/drawing/2014/main" id="{BDAA9E6B-E234-4DD6-A9B0-E65A83B383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 l="4565" t="22161" b="30857"/>
        <a:stretch/>
      </xdr:blipFill>
      <xdr:spPr>
        <a:xfrm>
          <a:off x="4308903" y="169080"/>
          <a:ext cx="4467264" cy="403861"/>
        </a:xfrm>
        <a:prstGeom prst="rect">
          <a:avLst/>
        </a:prstGeom>
      </xdr:spPr>
    </xdr:pic>
    <xdr:clientData/>
  </xdr:twoCellAnchor>
  <xdr:oneCellAnchor>
    <xdr:from>
      <xdr:col>9</xdr:col>
      <xdr:colOff>390525</xdr:colOff>
      <xdr:row>113</xdr:row>
      <xdr:rowOff>17586</xdr:rowOff>
    </xdr:from>
    <xdr:ext cx="270525" cy="269631"/>
    <xdr:pic macro="[3]!more_click">
      <xdr:nvPicPr>
        <xdr:cNvPr id="49" name="\\more12" hidden="1">
          <a:extLst>
            <a:ext uri="{FF2B5EF4-FFF2-40B4-BE49-F238E27FC236}">
              <a16:creationId xmlns:a16="http://schemas.microsoft.com/office/drawing/2014/main" id="{D3DB1C47-3E62-4060-90F5-D5C1ABC89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0601111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113</xdr:row>
      <xdr:rowOff>15239</xdr:rowOff>
    </xdr:from>
    <xdr:ext cx="279661" cy="274320"/>
    <xdr:pic macro="[3]!less_click">
      <xdr:nvPicPr>
        <xdr:cNvPr id="50" name="\\less12">
          <a:extLst>
            <a:ext uri="{FF2B5EF4-FFF2-40B4-BE49-F238E27FC236}">
              <a16:creationId xmlns:a16="http://schemas.microsoft.com/office/drawing/2014/main" id="{98219D14-8D7F-4623-A06C-8DBE4E838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0598764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124</xdr:row>
      <xdr:rowOff>9525</xdr:rowOff>
    </xdr:from>
    <xdr:ext cx="270525" cy="269631"/>
    <xdr:pic macro="[3]!more_click">
      <xdr:nvPicPr>
        <xdr:cNvPr id="72" name="\\more14" hidden="1">
          <a:extLst>
            <a:ext uri="{FF2B5EF4-FFF2-40B4-BE49-F238E27FC236}">
              <a16:creationId xmlns:a16="http://schemas.microsoft.com/office/drawing/2014/main" id="{3307BA39-80D7-4BA1-8548-F56523BA2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25361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148</xdr:row>
      <xdr:rowOff>0</xdr:rowOff>
    </xdr:from>
    <xdr:ext cx="270525" cy="269631"/>
    <xdr:pic macro="[3]!more_click">
      <xdr:nvPicPr>
        <xdr:cNvPr id="75" name="\\more17" hidden="1">
          <a:extLst>
            <a:ext uri="{FF2B5EF4-FFF2-40B4-BE49-F238E27FC236}">
              <a16:creationId xmlns:a16="http://schemas.microsoft.com/office/drawing/2014/main" id="{A6E5FD46-7D81-4625-8931-F81C54C14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544127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155</xdr:row>
      <xdr:rowOff>0</xdr:rowOff>
    </xdr:from>
    <xdr:ext cx="270525" cy="269631"/>
    <xdr:pic macro="[3]!more_click">
      <xdr:nvPicPr>
        <xdr:cNvPr id="76" name="\\more18" hidden="1">
          <a:extLst>
            <a:ext uri="{FF2B5EF4-FFF2-40B4-BE49-F238E27FC236}">
              <a16:creationId xmlns:a16="http://schemas.microsoft.com/office/drawing/2014/main" id="{2231B319-8E9A-458B-B81F-9F52CBAFD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641282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190</xdr:row>
      <xdr:rowOff>0</xdr:rowOff>
    </xdr:from>
    <xdr:ext cx="270525" cy="269631"/>
    <xdr:pic macro="[3]!more_click">
      <xdr:nvPicPr>
        <xdr:cNvPr id="77" name="\\more19" hidden="1">
          <a:extLst>
            <a:ext uri="{FF2B5EF4-FFF2-40B4-BE49-F238E27FC236}">
              <a16:creationId xmlns:a16="http://schemas.microsoft.com/office/drawing/2014/main" id="{09716DA2-7A94-4116-822C-AA57A9974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738437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207</xdr:row>
      <xdr:rowOff>0</xdr:rowOff>
    </xdr:from>
    <xdr:ext cx="270525" cy="269631"/>
    <xdr:pic macro="[3]!more_click">
      <xdr:nvPicPr>
        <xdr:cNvPr id="78" name="\\more20" hidden="1">
          <a:extLst>
            <a:ext uri="{FF2B5EF4-FFF2-40B4-BE49-F238E27FC236}">
              <a16:creationId xmlns:a16="http://schemas.microsoft.com/office/drawing/2014/main" id="{CFEEC887-F17D-4AA3-B95D-4FFDB76FE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835592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216</xdr:row>
      <xdr:rowOff>0</xdr:rowOff>
    </xdr:from>
    <xdr:ext cx="270525" cy="269631"/>
    <xdr:pic macro="[3]!more_click">
      <xdr:nvPicPr>
        <xdr:cNvPr id="79" name="\\more21" hidden="1">
          <a:extLst>
            <a:ext uri="{FF2B5EF4-FFF2-40B4-BE49-F238E27FC236}">
              <a16:creationId xmlns:a16="http://schemas.microsoft.com/office/drawing/2014/main" id="{96613931-2FF8-4CA0-B0C0-EB92EF127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932747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124</xdr:row>
      <xdr:rowOff>0</xdr:rowOff>
    </xdr:from>
    <xdr:ext cx="279661" cy="274320"/>
    <xdr:pic macro="[3]!less_click">
      <xdr:nvPicPr>
        <xdr:cNvPr id="82" name="\\less14">
          <a:extLst>
            <a:ext uri="{FF2B5EF4-FFF2-40B4-BE49-F238E27FC236}">
              <a16:creationId xmlns:a16="http://schemas.microsoft.com/office/drawing/2014/main" id="{F419C13F-4458-4C42-95E5-E1E8F3642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252662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148</xdr:row>
      <xdr:rowOff>0</xdr:rowOff>
    </xdr:from>
    <xdr:ext cx="279661" cy="274320"/>
    <xdr:pic macro="[3]!less_click">
      <xdr:nvPicPr>
        <xdr:cNvPr id="85" name="\\less17">
          <a:extLst>
            <a:ext uri="{FF2B5EF4-FFF2-40B4-BE49-F238E27FC236}">
              <a16:creationId xmlns:a16="http://schemas.microsoft.com/office/drawing/2014/main" id="{97BFD976-0F1D-4F3C-8A0F-05E1ECB6F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544127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155</xdr:row>
      <xdr:rowOff>0</xdr:rowOff>
    </xdr:from>
    <xdr:ext cx="279661" cy="274320"/>
    <xdr:pic macro="[3]!less_click">
      <xdr:nvPicPr>
        <xdr:cNvPr id="86" name="\\less18">
          <a:extLst>
            <a:ext uri="{FF2B5EF4-FFF2-40B4-BE49-F238E27FC236}">
              <a16:creationId xmlns:a16="http://schemas.microsoft.com/office/drawing/2014/main" id="{BCA9B581-EAB8-4CCB-8369-72EBBC28B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641282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190</xdr:row>
      <xdr:rowOff>0</xdr:rowOff>
    </xdr:from>
    <xdr:ext cx="279661" cy="274320"/>
    <xdr:pic macro="[3]!less_click">
      <xdr:nvPicPr>
        <xdr:cNvPr id="87" name="\\less19">
          <a:extLst>
            <a:ext uri="{FF2B5EF4-FFF2-40B4-BE49-F238E27FC236}">
              <a16:creationId xmlns:a16="http://schemas.microsoft.com/office/drawing/2014/main" id="{441D97B0-FAF7-447A-B43F-4D987D33D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738437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207</xdr:row>
      <xdr:rowOff>0</xdr:rowOff>
    </xdr:from>
    <xdr:ext cx="279661" cy="274320"/>
    <xdr:pic macro="[3]!less_click">
      <xdr:nvPicPr>
        <xdr:cNvPr id="88" name="\\less20">
          <a:extLst>
            <a:ext uri="{FF2B5EF4-FFF2-40B4-BE49-F238E27FC236}">
              <a16:creationId xmlns:a16="http://schemas.microsoft.com/office/drawing/2014/main" id="{F78127E9-FD3D-4338-83BC-99C73CB1E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835592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216</xdr:row>
      <xdr:rowOff>0</xdr:rowOff>
    </xdr:from>
    <xdr:ext cx="279661" cy="274320"/>
    <xdr:pic macro="[3]!less_click">
      <xdr:nvPicPr>
        <xdr:cNvPr id="89" name="\\less21">
          <a:extLst>
            <a:ext uri="{FF2B5EF4-FFF2-40B4-BE49-F238E27FC236}">
              <a16:creationId xmlns:a16="http://schemas.microsoft.com/office/drawing/2014/main" id="{D181E831-A647-45EC-B95E-04838A8B7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932747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222</xdr:row>
      <xdr:rowOff>0</xdr:rowOff>
    </xdr:from>
    <xdr:ext cx="279661" cy="274320"/>
    <xdr:pic macro="[3]!less_click">
      <xdr:nvPicPr>
        <xdr:cNvPr id="66" name="\\less21" hidden="1">
          <a:extLst>
            <a:ext uri="{FF2B5EF4-FFF2-40B4-BE49-F238E27FC236}">
              <a16:creationId xmlns:a16="http://schemas.microsoft.com/office/drawing/2014/main" id="{38C7C674-F2EE-49D0-9113-69FEA6EAD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1091565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224</xdr:row>
      <xdr:rowOff>0</xdr:rowOff>
    </xdr:from>
    <xdr:ext cx="270525" cy="269631"/>
    <xdr:pic macro="[3]!more_click">
      <xdr:nvPicPr>
        <xdr:cNvPr id="67" name="\\more22" hidden="1">
          <a:extLst>
            <a:ext uri="{FF2B5EF4-FFF2-40B4-BE49-F238E27FC236}">
              <a16:creationId xmlns:a16="http://schemas.microsoft.com/office/drawing/2014/main" id="{8CB80D16-93DF-469F-96E6-3B6F413B4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5" y="109156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224</xdr:row>
      <xdr:rowOff>0</xdr:rowOff>
    </xdr:from>
    <xdr:ext cx="279661" cy="274320"/>
    <xdr:pic macro="[3]!less_click">
      <xdr:nvPicPr>
        <xdr:cNvPr id="68" name="\\less22">
          <a:extLst>
            <a:ext uri="{FF2B5EF4-FFF2-40B4-BE49-F238E27FC236}">
              <a16:creationId xmlns:a16="http://schemas.microsoft.com/office/drawing/2014/main" id="{B6C83441-211A-4AE3-A880-397AA0BEC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1091565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138</xdr:row>
      <xdr:rowOff>0</xdr:rowOff>
    </xdr:from>
    <xdr:ext cx="270525" cy="269631"/>
    <xdr:pic macro="[3]!more_click">
      <xdr:nvPicPr>
        <xdr:cNvPr id="60" name="\\more15" hidden="1">
          <a:extLst>
            <a:ext uri="{FF2B5EF4-FFF2-40B4-BE49-F238E27FC236}">
              <a16:creationId xmlns:a16="http://schemas.microsoft.com/office/drawing/2014/main" id="{38916B25-4348-4312-B7D6-49CB35E0B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1725" y="327660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138</xdr:row>
      <xdr:rowOff>0</xdr:rowOff>
    </xdr:from>
    <xdr:ext cx="279661" cy="274320"/>
    <xdr:pic macro="[3]!less_click">
      <xdr:nvPicPr>
        <xdr:cNvPr id="61" name="\\less15">
          <a:extLst>
            <a:ext uri="{FF2B5EF4-FFF2-40B4-BE49-F238E27FC236}">
              <a16:creationId xmlns:a16="http://schemas.microsoft.com/office/drawing/2014/main" id="{5FB3CF99-71C8-4F34-92E3-3EAFD422A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589" y="3276600"/>
          <a:ext cx="279661" cy="27432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11265</xdr:colOff>
      <xdr:row>3</xdr:row>
      <xdr:rowOff>165653</xdr:rowOff>
    </xdr:from>
    <xdr:to>
      <xdr:col>4</xdr:col>
      <xdr:colOff>1241895</xdr:colOff>
      <xdr:row>7</xdr:row>
      <xdr:rowOff>284081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9D2E3C-986C-4DEF-A7A6-753188901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5405" y="859073"/>
          <a:ext cx="1234440" cy="115284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12</xdr:col>
      <xdr:colOff>271182</xdr:colOff>
      <xdr:row>17</xdr:row>
      <xdr:rowOff>184337</xdr:rowOff>
    </xdr:to>
    <xdr:sp macro="[3]!dummy" textlink="">
      <xdr:nvSpPr>
        <xdr:cNvPr id="41" name="\c_line" hidden="1">
          <a:extLst>
            <a:ext uri="{FF2B5EF4-FFF2-40B4-BE49-F238E27FC236}">
              <a16:creationId xmlns:a16="http://schemas.microsoft.com/office/drawing/2014/main" id="{2AE79A52-E09E-4C9A-9661-09BF22E7F00D}"/>
            </a:ext>
          </a:extLst>
        </xdr:cNvPr>
        <xdr:cNvSpPr>
          <a:spLocks/>
        </xdr:cNvSpPr>
      </xdr:nvSpPr>
      <xdr:spPr>
        <a:xfrm>
          <a:off x="0" y="0"/>
          <a:ext cx="9067800" cy="3971925"/>
        </a:xfrm>
        <a:prstGeom prst="rect">
          <a:avLst/>
        </a:prstGeom>
        <a:solidFill>
          <a:srgbClr val="002C7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`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177390</xdr:colOff>
      <xdr:row>3</xdr:row>
      <xdr:rowOff>291757</xdr:rowOff>
    </xdr:to>
    <xdr:pic macro="[3]!context_click">
      <xdr:nvPicPr>
        <xdr:cNvPr id="3" name="\c_main" hidden="1">
          <a:extLst>
            <a:ext uri="{FF2B5EF4-FFF2-40B4-BE49-F238E27FC236}">
              <a16:creationId xmlns:a16="http://schemas.microsoft.com/office/drawing/2014/main" id="{8C14D782-F4F4-4148-8613-5E29ACA28B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2361" cy="291757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4" name="\c\H" hidden="1">
          <a:extLst>
            <a:ext uri="{FF2B5EF4-FFF2-40B4-BE49-F238E27FC236}">
              <a16:creationId xmlns:a16="http://schemas.microsoft.com/office/drawing/2014/main" id="{A0BB69F8-CA89-4867-AD05-42CA8CEF08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5" name="\c\a" hidden="1">
          <a:extLst>
            <a:ext uri="{FF2B5EF4-FFF2-40B4-BE49-F238E27FC236}">
              <a16:creationId xmlns:a16="http://schemas.microsoft.com/office/drawing/2014/main" id="{C72EDBD3-88BD-4463-9FE6-3C8D072E34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6" name="\c\plus" hidden="1">
          <a:extLst>
            <a:ext uri="{FF2B5EF4-FFF2-40B4-BE49-F238E27FC236}">
              <a16:creationId xmlns:a16="http://schemas.microsoft.com/office/drawing/2014/main" id="{8A2D9B44-824D-4866-8DA6-13A818BAB6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7" name="\c\updown" hidden="1">
          <a:extLst>
            <a:ext uri="{FF2B5EF4-FFF2-40B4-BE49-F238E27FC236}">
              <a16:creationId xmlns:a16="http://schemas.microsoft.com/office/drawing/2014/main" id="{20513CAE-E402-4CEA-8A22-D0C7FC56A8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8" name="\c\arrow" hidden="1">
          <a:extLst>
            <a:ext uri="{FF2B5EF4-FFF2-40B4-BE49-F238E27FC236}">
              <a16:creationId xmlns:a16="http://schemas.microsoft.com/office/drawing/2014/main" id="{5B5099D4-E2A3-4CFD-8ECE-055E573B4B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9" name="\c\minus" hidden="1">
          <a:extLst>
            <a:ext uri="{FF2B5EF4-FFF2-40B4-BE49-F238E27FC236}">
              <a16:creationId xmlns:a16="http://schemas.microsoft.com/office/drawing/2014/main" id="{2BA24CF1-1DBC-4823-92D7-1E6D25ABEE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0" name="\c\updown\" hidden="1">
          <a:extLst>
            <a:ext uri="{FF2B5EF4-FFF2-40B4-BE49-F238E27FC236}">
              <a16:creationId xmlns:a16="http://schemas.microsoft.com/office/drawing/2014/main" id="{9C1FC996-FB67-449A-A3B8-854679A96F4C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on page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1" name="\c\plus\" hidden="1">
          <a:extLst>
            <a:ext uri="{FF2B5EF4-FFF2-40B4-BE49-F238E27FC236}">
              <a16:creationId xmlns:a16="http://schemas.microsoft.com/office/drawing/2014/main" id="{37F0A478-A3F5-4336-AD5C-924542BFFA94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blank row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2" name="\c\minus\" hidden="1">
          <a:extLst>
            <a:ext uri="{FF2B5EF4-FFF2-40B4-BE49-F238E27FC236}">
              <a16:creationId xmlns:a16="http://schemas.microsoft.com/office/drawing/2014/main" id="{11A91904-35B5-4D09-AEFD-E5DD5D1C6264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C00000"/>
              </a:solidFill>
              <a:latin typeface="Futura Bk BT" panose="020B0502020204020303" pitchFamily="34" charset="0"/>
            </a:rPr>
            <a:t>delete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3" name="\c\a\" hidden="1">
          <a:extLst>
            <a:ext uri="{FF2B5EF4-FFF2-40B4-BE49-F238E27FC236}">
              <a16:creationId xmlns:a16="http://schemas.microsoft.com/office/drawing/2014/main" id="{66ECF52F-E02D-4BB2-A6C7-B78E7AA6D9CD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line item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4" name="\c\H\" hidden="1">
          <a:extLst>
            <a:ext uri="{FF2B5EF4-FFF2-40B4-BE49-F238E27FC236}">
              <a16:creationId xmlns:a16="http://schemas.microsoft.com/office/drawing/2014/main" id="{F46522AD-D1FB-43F0-A707-3FF6CBC7AD45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header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5" name="\c\arrow\" hidden="1">
          <a:extLst>
            <a:ext uri="{FF2B5EF4-FFF2-40B4-BE49-F238E27FC236}">
              <a16:creationId xmlns:a16="http://schemas.microsoft.com/office/drawing/2014/main" id="{B7ABFAD0-815C-498A-8BA1-98DB12C35821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to GRs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16" name="\c\H_\" hidden="1">
          <a:extLst>
            <a:ext uri="{FF2B5EF4-FFF2-40B4-BE49-F238E27FC236}">
              <a16:creationId xmlns:a16="http://schemas.microsoft.com/office/drawing/2014/main" id="{8EE3BE8D-FE70-451E-9705-8A004C9EC7E0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17" name="\c\a_\" hidden="1">
          <a:extLst>
            <a:ext uri="{FF2B5EF4-FFF2-40B4-BE49-F238E27FC236}">
              <a16:creationId xmlns:a16="http://schemas.microsoft.com/office/drawing/2014/main" id="{DFD81FF0-5183-4A81-9E1B-BBEC71EC8C3B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18" name="\c\plus_\" hidden="1">
          <a:extLst>
            <a:ext uri="{FF2B5EF4-FFF2-40B4-BE49-F238E27FC236}">
              <a16:creationId xmlns:a16="http://schemas.microsoft.com/office/drawing/2014/main" id="{17531937-CBBB-4C87-BB59-0F9AB7872495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19" name="\c\arrow_\" hidden="1">
          <a:extLst>
            <a:ext uri="{FF2B5EF4-FFF2-40B4-BE49-F238E27FC236}">
              <a16:creationId xmlns:a16="http://schemas.microsoft.com/office/drawing/2014/main" id="{F9F57730-587F-4BE9-ABAD-EE6E27986A70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20" name="\c\updown_\" hidden="1">
          <a:extLst>
            <a:ext uri="{FF2B5EF4-FFF2-40B4-BE49-F238E27FC236}">
              <a16:creationId xmlns:a16="http://schemas.microsoft.com/office/drawing/2014/main" id="{B3065A86-0136-48AE-B3A6-D8B8AC905747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21" name="\c\minus_\" hidden="1">
          <a:extLst>
            <a:ext uri="{FF2B5EF4-FFF2-40B4-BE49-F238E27FC236}">
              <a16:creationId xmlns:a16="http://schemas.microsoft.com/office/drawing/2014/main" id="{D1FC61B1-2476-4361-B57E-2FE55016F3EE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29208</xdr:colOff>
      <xdr:row>3</xdr:row>
      <xdr:rowOff>291757</xdr:rowOff>
    </xdr:to>
    <xdr:pic macro="[3]!context_click">
      <xdr:nvPicPr>
        <xdr:cNvPr id="22" name="\c_x" hidden="1">
          <a:extLst>
            <a:ext uri="{FF2B5EF4-FFF2-40B4-BE49-F238E27FC236}">
              <a16:creationId xmlns:a16="http://schemas.microsoft.com/office/drawing/2014/main" id="{54FBC899-3946-41B6-8729-90A39CF41C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4179" cy="2917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253344</xdr:colOff>
      <xdr:row>3</xdr:row>
      <xdr:rowOff>212352</xdr:rowOff>
    </xdr:to>
    <xdr:pic>
      <xdr:nvPicPr>
        <xdr:cNvPr id="23" name="\c\ok\" hidden="1">
          <a:extLst>
            <a:ext uri="{FF2B5EF4-FFF2-40B4-BE49-F238E27FC236}">
              <a16:creationId xmlns:a16="http://schemas.microsoft.com/office/drawing/2014/main" id="{6784621C-EF26-4F1F-90EB-EA2F8F0D4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3344" cy="2123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253349</xdr:colOff>
      <xdr:row>3</xdr:row>
      <xdr:rowOff>212352</xdr:rowOff>
    </xdr:to>
    <xdr:pic>
      <xdr:nvPicPr>
        <xdr:cNvPr id="24" name="\c\cancel\" hidden="1">
          <a:extLst>
            <a:ext uri="{FF2B5EF4-FFF2-40B4-BE49-F238E27FC236}">
              <a16:creationId xmlns:a16="http://schemas.microsoft.com/office/drawing/2014/main" id="{CAE2F40B-FC8D-468D-A2F4-F55839335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3349" cy="2123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212999</xdr:colOff>
      <xdr:row>5</xdr:row>
      <xdr:rowOff>17556</xdr:rowOff>
    </xdr:to>
    <xdr:pic macro="[3]!dummy">
      <xdr:nvPicPr>
        <xdr:cNvPr id="26" name="Picture 25">
          <a:extLst>
            <a:ext uri="{FF2B5EF4-FFF2-40B4-BE49-F238E27FC236}">
              <a16:creationId xmlns:a16="http://schemas.microsoft.com/office/drawing/2014/main" id="{F78376DE-FD62-4707-80AD-AA79EAE6EB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1780" cy="550397"/>
        </a:xfrm>
        <a:prstGeom prst="rect">
          <a:avLst/>
        </a:prstGeom>
      </xdr:spPr>
    </xdr:pic>
    <xdr:clientData/>
  </xdr:twoCellAnchor>
  <xdr:twoCellAnchor editAs="absolute">
    <xdr:from>
      <xdr:col>3</xdr:col>
      <xdr:colOff>34835</xdr:colOff>
      <xdr:row>3</xdr:row>
      <xdr:rowOff>22033</xdr:rowOff>
    </xdr:from>
    <xdr:to>
      <xdr:col>4</xdr:col>
      <xdr:colOff>135525</xdr:colOff>
      <xdr:row>4</xdr:row>
      <xdr:rowOff>168824</xdr:rowOff>
    </xdr:to>
    <xdr:pic macro="[3]!minusCLICK">
      <xdr:nvPicPr>
        <xdr:cNvPr id="27" name="\\Minus" hidden="1">
          <a:extLst>
            <a:ext uri="{FF2B5EF4-FFF2-40B4-BE49-F238E27FC236}">
              <a16:creationId xmlns:a16="http://schemas.microsoft.com/office/drawing/2014/main" id="{531D8BED-C836-4CCA-9A16-01FBB7BE99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16136" cy="436239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34835</xdr:colOff>
      <xdr:row>3</xdr:row>
      <xdr:rowOff>22033</xdr:rowOff>
    </xdr:from>
    <xdr:to>
      <xdr:col>4</xdr:col>
      <xdr:colOff>116535</xdr:colOff>
      <xdr:row>4</xdr:row>
      <xdr:rowOff>171513</xdr:rowOff>
    </xdr:to>
    <xdr:pic macro="[3]!plusCLICK">
      <xdr:nvPicPr>
        <xdr:cNvPr id="28" name="\\Plus">
          <a:extLst>
            <a:ext uri="{FF2B5EF4-FFF2-40B4-BE49-F238E27FC236}">
              <a16:creationId xmlns:a16="http://schemas.microsoft.com/office/drawing/2014/main" id="{7CF240A9-7B49-4E04-92B3-296113DC6A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06671" cy="435118"/>
        </a:xfrm>
        <a:prstGeom prst="rect">
          <a:avLst/>
        </a:prstGeom>
      </xdr:spPr>
    </xdr:pic>
    <xdr:clientData fPrintsWithSheet="0"/>
  </xdr:twoCellAnchor>
  <xdr:twoCellAnchor>
    <xdr:from>
      <xdr:col>1</xdr:col>
      <xdr:colOff>381000</xdr:colOff>
      <xdr:row>0</xdr:row>
      <xdr:rowOff>0</xdr:rowOff>
    </xdr:from>
    <xdr:to>
      <xdr:col>3</xdr:col>
      <xdr:colOff>15240</xdr:colOff>
      <xdr:row>1</xdr:row>
      <xdr:rowOff>0</xdr:rowOff>
    </xdr:to>
    <xdr:sp macro="[3]!restoreDETAIL" textlink="">
      <xdr:nvSpPr>
        <xdr:cNvPr id="29" name="\N\1" hidden="1">
          <a:extLst>
            <a:ext uri="{FF2B5EF4-FFF2-40B4-BE49-F238E27FC236}">
              <a16:creationId xmlns:a16="http://schemas.microsoft.com/office/drawing/2014/main" id="{E5657C3F-3885-40BD-B8A4-3A34627DD7E9}"/>
            </a:ext>
          </a:extLst>
        </xdr:cNvPr>
        <xdr:cNvSpPr/>
      </xdr:nvSpPr>
      <xdr:spPr>
        <a:xfrm>
          <a:off x="4953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Restore Defaults</a:t>
          </a:r>
        </a:p>
      </xdr:txBody>
    </xdr:sp>
    <xdr:clientData/>
  </xdr:twoCellAnchor>
  <xdr:twoCellAnchor>
    <xdr:from>
      <xdr:col>3</xdr:col>
      <xdr:colOff>15240</xdr:colOff>
      <xdr:row>0</xdr:row>
      <xdr:rowOff>0</xdr:rowOff>
    </xdr:from>
    <xdr:to>
      <xdr:col>4</xdr:col>
      <xdr:colOff>1508760</xdr:colOff>
      <xdr:row>1</xdr:row>
      <xdr:rowOff>0</xdr:rowOff>
    </xdr:to>
    <xdr:sp macro="[3]!N2_Click" textlink="">
      <xdr:nvSpPr>
        <xdr:cNvPr id="30" name="\N\2" hidden="1">
          <a:extLst>
            <a:ext uri="{FF2B5EF4-FFF2-40B4-BE49-F238E27FC236}">
              <a16:creationId xmlns:a16="http://schemas.microsoft.com/office/drawing/2014/main" id="{E3614CE5-5D00-4AE0-9D17-CF478FD0CC8C}"/>
            </a:ext>
          </a:extLst>
        </xdr:cNvPr>
        <xdr:cNvSpPr/>
      </xdr:nvSpPr>
      <xdr:spPr>
        <a:xfrm>
          <a:off x="23241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Toggle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</a:t>
          </a:r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Names</a:t>
          </a:r>
        </a:p>
      </xdr:txBody>
    </xdr:sp>
    <xdr:clientData/>
  </xdr:twoCellAnchor>
  <xdr:twoCellAnchor>
    <xdr:from>
      <xdr:col>4</xdr:col>
      <xdr:colOff>1508760</xdr:colOff>
      <xdr:row>0</xdr:row>
      <xdr:rowOff>0</xdr:rowOff>
    </xdr:from>
    <xdr:to>
      <xdr:col>5</xdr:col>
      <xdr:colOff>1051560</xdr:colOff>
      <xdr:row>1</xdr:row>
      <xdr:rowOff>0</xdr:rowOff>
    </xdr:to>
    <xdr:sp macro="" textlink="">
      <xdr:nvSpPr>
        <xdr:cNvPr id="31" name="\N\3" hidden="1">
          <a:extLst>
            <a:ext uri="{FF2B5EF4-FFF2-40B4-BE49-F238E27FC236}">
              <a16:creationId xmlns:a16="http://schemas.microsoft.com/office/drawing/2014/main" id="{31824A14-0D05-465F-8467-E445FD7934A4}"/>
            </a:ext>
          </a:extLst>
        </xdr:cNvPr>
        <xdr:cNvSpPr/>
      </xdr:nvSpPr>
      <xdr:spPr>
        <a:xfrm>
          <a:off x="41529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Three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5</xdr:col>
      <xdr:colOff>1051560</xdr:colOff>
      <xdr:row>0</xdr:row>
      <xdr:rowOff>0</xdr:rowOff>
    </xdr:from>
    <xdr:to>
      <xdr:col>8</xdr:col>
      <xdr:colOff>861060</xdr:colOff>
      <xdr:row>1</xdr:row>
      <xdr:rowOff>0</xdr:rowOff>
    </xdr:to>
    <xdr:sp macro="" textlink="">
      <xdr:nvSpPr>
        <xdr:cNvPr id="32" name="\N\4" hidden="1">
          <a:extLst>
            <a:ext uri="{FF2B5EF4-FFF2-40B4-BE49-F238E27FC236}">
              <a16:creationId xmlns:a16="http://schemas.microsoft.com/office/drawing/2014/main" id="{0FA3EA2B-7F86-4B04-B320-1DC576AE8AEB}"/>
            </a:ext>
          </a:extLst>
        </xdr:cNvPr>
        <xdr:cNvSpPr/>
      </xdr:nvSpPr>
      <xdr:spPr>
        <a:xfrm>
          <a:off x="59817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Four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11265</xdr:colOff>
      <xdr:row>3</xdr:row>
      <xdr:rowOff>165653</xdr:rowOff>
    </xdr:from>
    <xdr:to>
      <xdr:col>4</xdr:col>
      <xdr:colOff>1238085</xdr:colOff>
      <xdr:row>7</xdr:row>
      <xdr:rowOff>287891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2F2D92-C31B-41D0-B717-1938B4789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5074" y="708992"/>
          <a:ext cx="1234440" cy="1152184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154352</xdr:colOff>
      <xdr:row>3</xdr:row>
      <xdr:rowOff>283039</xdr:rowOff>
    </xdr:to>
    <xdr:pic macro="[3]!context_click">
      <xdr:nvPicPr>
        <xdr:cNvPr id="3" name="\c_main" hidden="1">
          <a:extLst>
            <a:ext uri="{FF2B5EF4-FFF2-40B4-BE49-F238E27FC236}">
              <a16:creationId xmlns:a16="http://schemas.microsoft.com/office/drawing/2014/main" id="{8202DF0B-343F-41AD-A2FE-9F608DDF3B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79323" cy="283039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4" name="\c\H" hidden="1">
          <a:extLst>
            <a:ext uri="{FF2B5EF4-FFF2-40B4-BE49-F238E27FC236}">
              <a16:creationId xmlns:a16="http://schemas.microsoft.com/office/drawing/2014/main" id="{F71B94AC-57AF-4152-9A1B-E99CBF0702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5" name="\c\a" hidden="1">
          <a:extLst>
            <a:ext uri="{FF2B5EF4-FFF2-40B4-BE49-F238E27FC236}">
              <a16:creationId xmlns:a16="http://schemas.microsoft.com/office/drawing/2014/main" id="{819D5431-A5ED-4DF2-8B35-CFFF485370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6" name="\c\plus" hidden="1">
          <a:extLst>
            <a:ext uri="{FF2B5EF4-FFF2-40B4-BE49-F238E27FC236}">
              <a16:creationId xmlns:a16="http://schemas.microsoft.com/office/drawing/2014/main" id="{E7A3154C-5750-4AD9-9FA2-88A8A74C80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7" name="\c\updown" hidden="1">
          <a:extLst>
            <a:ext uri="{FF2B5EF4-FFF2-40B4-BE49-F238E27FC236}">
              <a16:creationId xmlns:a16="http://schemas.microsoft.com/office/drawing/2014/main" id="{89E00215-5D78-4245-9F32-4DF9FCE748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8" name="\c\arrow" hidden="1">
          <a:extLst>
            <a:ext uri="{FF2B5EF4-FFF2-40B4-BE49-F238E27FC236}">
              <a16:creationId xmlns:a16="http://schemas.microsoft.com/office/drawing/2014/main" id="{92564553-B381-404D-88C3-3C311B8E69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9" name="\c\minus" hidden="1">
          <a:extLst>
            <a:ext uri="{FF2B5EF4-FFF2-40B4-BE49-F238E27FC236}">
              <a16:creationId xmlns:a16="http://schemas.microsoft.com/office/drawing/2014/main" id="{7E54B5A8-679C-437F-9131-977FD3E38E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0" name="\c\updown\" hidden="1">
          <a:extLst>
            <a:ext uri="{FF2B5EF4-FFF2-40B4-BE49-F238E27FC236}">
              <a16:creationId xmlns:a16="http://schemas.microsoft.com/office/drawing/2014/main" id="{E94CF962-D969-48DB-A170-AD42922F5E4D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on page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1" name="\c\plus\" hidden="1">
          <a:extLst>
            <a:ext uri="{FF2B5EF4-FFF2-40B4-BE49-F238E27FC236}">
              <a16:creationId xmlns:a16="http://schemas.microsoft.com/office/drawing/2014/main" id="{934FD3D0-205D-43A0-8FB8-A92B8BAD1D7A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blank row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2" name="\c\minus\" hidden="1">
          <a:extLst>
            <a:ext uri="{FF2B5EF4-FFF2-40B4-BE49-F238E27FC236}">
              <a16:creationId xmlns:a16="http://schemas.microsoft.com/office/drawing/2014/main" id="{4D680BEB-D5B6-4480-9B66-D91E72D4C1D5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C00000"/>
              </a:solidFill>
              <a:latin typeface="Futura Bk BT" panose="020B0502020204020303" pitchFamily="34" charset="0"/>
            </a:rPr>
            <a:t>delete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3" name="\c\a\" hidden="1">
          <a:extLst>
            <a:ext uri="{FF2B5EF4-FFF2-40B4-BE49-F238E27FC236}">
              <a16:creationId xmlns:a16="http://schemas.microsoft.com/office/drawing/2014/main" id="{27E17029-EAD5-43FF-8291-3D5F86F67B9B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line item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4" name="\c\H\" hidden="1">
          <a:extLst>
            <a:ext uri="{FF2B5EF4-FFF2-40B4-BE49-F238E27FC236}">
              <a16:creationId xmlns:a16="http://schemas.microsoft.com/office/drawing/2014/main" id="{D07F2E60-39EB-41B6-A879-44A837BADD2F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header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5" name="\c\arrow\" hidden="1">
          <a:extLst>
            <a:ext uri="{FF2B5EF4-FFF2-40B4-BE49-F238E27FC236}">
              <a16:creationId xmlns:a16="http://schemas.microsoft.com/office/drawing/2014/main" id="{751ACF40-F10F-4F48-A4E7-F835361B1308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to GCs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16" name="\c\H_\" hidden="1">
          <a:extLst>
            <a:ext uri="{FF2B5EF4-FFF2-40B4-BE49-F238E27FC236}">
              <a16:creationId xmlns:a16="http://schemas.microsoft.com/office/drawing/2014/main" id="{2050A2F8-19E0-412D-8315-2E8DA2D64D46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17" name="\c\a_\" hidden="1">
          <a:extLst>
            <a:ext uri="{FF2B5EF4-FFF2-40B4-BE49-F238E27FC236}">
              <a16:creationId xmlns:a16="http://schemas.microsoft.com/office/drawing/2014/main" id="{B265B8F9-D5C3-4AAB-9EE9-A9AD9E81AB32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18" name="\c\plus_\" hidden="1">
          <a:extLst>
            <a:ext uri="{FF2B5EF4-FFF2-40B4-BE49-F238E27FC236}">
              <a16:creationId xmlns:a16="http://schemas.microsoft.com/office/drawing/2014/main" id="{5267BB18-C827-458F-BE63-F173AEB106A6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19" name="\c\arrow_\" hidden="1">
          <a:extLst>
            <a:ext uri="{FF2B5EF4-FFF2-40B4-BE49-F238E27FC236}">
              <a16:creationId xmlns:a16="http://schemas.microsoft.com/office/drawing/2014/main" id="{5807CD4D-3639-4AD5-9478-CA2A23D51D59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20" name="\c\updown_\" hidden="1">
          <a:extLst>
            <a:ext uri="{FF2B5EF4-FFF2-40B4-BE49-F238E27FC236}">
              <a16:creationId xmlns:a16="http://schemas.microsoft.com/office/drawing/2014/main" id="{882A8166-B93F-4D4F-B9F2-5424A3C8C526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21" name="\c\minus_\" hidden="1">
          <a:extLst>
            <a:ext uri="{FF2B5EF4-FFF2-40B4-BE49-F238E27FC236}">
              <a16:creationId xmlns:a16="http://schemas.microsoft.com/office/drawing/2014/main" id="{F167BE10-621D-4C04-8EE1-EF2B80903234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287973</xdr:colOff>
      <xdr:row>3</xdr:row>
      <xdr:rowOff>283039</xdr:rowOff>
    </xdr:to>
    <xdr:pic macro="[3]!context_click">
      <xdr:nvPicPr>
        <xdr:cNvPr id="22" name="\c_x" hidden="1">
          <a:extLst>
            <a:ext uri="{FF2B5EF4-FFF2-40B4-BE49-F238E27FC236}">
              <a16:creationId xmlns:a16="http://schemas.microsoft.com/office/drawing/2014/main" id="{9DE0D157-C263-4F4C-B08A-8A1493374D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7973" cy="2830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286561</xdr:colOff>
      <xdr:row>3</xdr:row>
      <xdr:rowOff>245633</xdr:rowOff>
    </xdr:to>
    <xdr:pic>
      <xdr:nvPicPr>
        <xdr:cNvPr id="23" name="\c\ok\" hidden="1">
          <a:extLst>
            <a:ext uri="{FF2B5EF4-FFF2-40B4-BE49-F238E27FC236}">
              <a16:creationId xmlns:a16="http://schemas.microsoft.com/office/drawing/2014/main" id="{8FC7CECC-470C-4EB4-9F2C-8B4711783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6561" cy="2456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22680</xdr:colOff>
      <xdr:row>3</xdr:row>
      <xdr:rowOff>245633</xdr:rowOff>
    </xdr:to>
    <xdr:pic>
      <xdr:nvPicPr>
        <xdr:cNvPr id="24" name="\c\cancel\" hidden="1">
          <a:extLst>
            <a:ext uri="{FF2B5EF4-FFF2-40B4-BE49-F238E27FC236}">
              <a16:creationId xmlns:a16="http://schemas.microsoft.com/office/drawing/2014/main" id="{BE24994A-A726-4AAC-ADE9-CAB44AF66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7651" cy="24563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1520229</xdr:colOff>
      <xdr:row>10</xdr:row>
      <xdr:rowOff>0</xdr:rowOff>
    </xdr:to>
    <xdr:sp macro="[3]!dummy" textlink="">
      <xdr:nvSpPr>
        <xdr:cNvPr id="25" name="\c_line" hidden="1">
          <a:extLst>
            <a:ext uri="{FF2B5EF4-FFF2-40B4-BE49-F238E27FC236}">
              <a16:creationId xmlns:a16="http://schemas.microsoft.com/office/drawing/2014/main" id="{B39B47BC-CCD9-4987-952C-338F4DF23703}"/>
            </a:ext>
          </a:extLst>
        </xdr:cNvPr>
        <xdr:cNvSpPr>
          <a:spLocks/>
        </xdr:cNvSpPr>
      </xdr:nvSpPr>
      <xdr:spPr>
        <a:xfrm>
          <a:off x="0" y="0"/>
          <a:ext cx="9095405" cy="1860176"/>
        </a:xfrm>
        <a:prstGeom prst="rect">
          <a:avLst/>
        </a:prstGeom>
        <a:solidFill>
          <a:srgbClr val="002C7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`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209189</xdr:colOff>
      <xdr:row>5</xdr:row>
      <xdr:rowOff>21366</xdr:rowOff>
    </xdr:to>
    <xdr:pic macro="[3]!dummy">
      <xdr:nvPicPr>
        <xdr:cNvPr id="26" name="Picture 25">
          <a:extLst>
            <a:ext uri="{FF2B5EF4-FFF2-40B4-BE49-F238E27FC236}">
              <a16:creationId xmlns:a16="http://schemas.microsoft.com/office/drawing/2014/main" id="{E6EFF52A-40A7-42C3-99EE-E3C486A083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0123" cy="548078"/>
        </a:xfrm>
        <a:prstGeom prst="rect">
          <a:avLst/>
        </a:prstGeom>
      </xdr:spPr>
    </xdr:pic>
    <xdr:clientData/>
  </xdr:twoCellAnchor>
  <xdr:twoCellAnchor editAs="absolute">
    <xdr:from>
      <xdr:col>3</xdr:col>
      <xdr:colOff>34835</xdr:colOff>
      <xdr:row>3</xdr:row>
      <xdr:rowOff>18223</xdr:rowOff>
    </xdr:from>
    <xdr:to>
      <xdr:col>4</xdr:col>
      <xdr:colOff>131715</xdr:colOff>
      <xdr:row>4</xdr:row>
      <xdr:rowOff>168824</xdr:rowOff>
    </xdr:to>
    <xdr:pic macro="[3]!minusCLICK">
      <xdr:nvPicPr>
        <xdr:cNvPr id="27" name="\\Minus" hidden="1">
          <a:extLst>
            <a:ext uri="{FF2B5EF4-FFF2-40B4-BE49-F238E27FC236}">
              <a16:creationId xmlns:a16="http://schemas.microsoft.com/office/drawing/2014/main" id="{4FCC8B31-A663-43E3-B8DD-77159BDB59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14479" cy="436239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34835</xdr:colOff>
      <xdr:row>3</xdr:row>
      <xdr:rowOff>18223</xdr:rowOff>
    </xdr:from>
    <xdr:to>
      <xdr:col>4</xdr:col>
      <xdr:colOff>93675</xdr:colOff>
      <xdr:row>4</xdr:row>
      <xdr:rowOff>169608</xdr:rowOff>
    </xdr:to>
    <xdr:pic macro="[3]!plusCLICK">
      <xdr:nvPicPr>
        <xdr:cNvPr id="28" name="\\Plus">
          <a:extLst>
            <a:ext uri="{FF2B5EF4-FFF2-40B4-BE49-F238E27FC236}">
              <a16:creationId xmlns:a16="http://schemas.microsoft.com/office/drawing/2014/main" id="{84725228-A514-4EB2-918A-4F0B82F9E3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05014" cy="435118"/>
        </a:xfrm>
        <a:prstGeom prst="rect">
          <a:avLst/>
        </a:prstGeom>
      </xdr:spPr>
    </xdr:pic>
    <xdr:clientData fPrintsWithSheet="0"/>
  </xdr:twoCellAnchor>
  <xdr:twoCellAnchor>
    <xdr:from>
      <xdr:col>1</xdr:col>
      <xdr:colOff>381000</xdr:colOff>
      <xdr:row>0</xdr:row>
      <xdr:rowOff>0</xdr:rowOff>
    </xdr:from>
    <xdr:to>
      <xdr:col>3</xdr:col>
      <xdr:colOff>15240</xdr:colOff>
      <xdr:row>1</xdr:row>
      <xdr:rowOff>0</xdr:rowOff>
    </xdr:to>
    <xdr:sp macro="[3]!restoreDETAIL" textlink="">
      <xdr:nvSpPr>
        <xdr:cNvPr id="29" name="\N\1" hidden="1">
          <a:extLst>
            <a:ext uri="{FF2B5EF4-FFF2-40B4-BE49-F238E27FC236}">
              <a16:creationId xmlns:a16="http://schemas.microsoft.com/office/drawing/2014/main" id="{728EF648-25C8-4D79-A2DE-CA74AE3B4D1E}"/>
            </a:ext>
          </a:extLst>
        </xdr:cNvPr>
        <xdr:cNvSpPr/>
      </xdr:nvSpPr>
      <xdr:spPr>
        <a:xfrm>
          <a:off x="4953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Restore Defaults</a:t>
          </a:r>
        </a:p>
      </xdr:txBody>
    </xdr:sp>
    <xdr:clientData/>
  </xdr:twoCellAnchor>
  <xdr:twoCellAnchor>
    <xdr:from>
      <xdr:col>3</xdr:col>
      <xdr:colOff>15240</xdr:colOff>
      <xdr:row>0</xdr:row>
      <xdr:rowOff>0</xdr:rowOff>
    </xdr:from>
    <xdr:to>
      <xdr:col>4</xdr:col>
      <xdr:colOff>1508760</xdr:colOff>
      <xdr:row>1</xdr:row>
      <xdr:rowOff>0</xdr:rowOff>
    </xdr:to>
    <xdr:sp macro="" textlink="">
      <xdr:nvSpPr>
        <xdr:cNvPr id="30" name="\N\2" hidden="1">
          <a:extLst>
            <a:ext uri="{FF2B5EF4-FFF2-40B4-BE49-F238E27FC236}">
              <a16:creationId xmlns:a16="http://schemas.microsoft.com/office/drawing/2014/main" id="{B130C9C4-2523-4B32-A4FB-79A8139C65A5}"/>
            </a:ext>
          </a:extLst>
        </xdr:cNvPr>
        <xdr:cNvSpPr/>
      </xdr:nvSpPr>
      <xdr:spPr>
        <a:xfrm>
          <a:off x="23241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Two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4</xdr:col>
      <xdr:colOff>1508760</xdr:colOff>
      <xdr:row>0</xdr:row>
      <xdr:rowOff>0</xdr:rowOff>
    </xdr:from>
    <xdr:to>
      <xdr:col>5</xdr:col>
      <xdr:colOff>1051560</xdr:colOff>
      <xdr:row>1</xdr:row>
      <xdr:rowOff>0</xdr:rowOff>
    </xdr:to>
    <xdr:sp macro="" textlink="">
      <xdr:nvSpPr>
        <xdr:cNvPr id="31" name="\N\3" hidden="1">
          <a:extLst>
            <a:ext uri="{FF2B5EF4-FFF2-40B4-BE49-F238E27FC236}">
              <a16:creationId xmlns:a16="http://schemas.microsoft.com/office/drawing/2014/main" id="{D9FD0D0A-5F24-4B9E-885B-484B557027DD}"/>
            </a:ext>
          </a:extLst>
        </xdr:cNvPr>
        <xdr:cNvSpPr/>
      </xdr:nvSpPr>
      <xdr:spPr>
        <a:xfrm>
          <a:off x="41529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Three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5</xdr:col>
      <xdr:colOff>1051560</xdr:colOff>
      <xdr:row>0</xdr:row>
      <xdr:rowOff>0</xdr:rowOff>
    </xdr:from>
    <xdr:to>
      <xdr:col>8</xdr:col>
      <xdr:colOff>861060</xdr:colOff>
      <xdr:row>1</xdr:row>
      <xdr:rowOff>0</xdr:rowOff>
    </xdr:to>
    <xdr:sp macro="" textlink="">
      <xdr:nvSpPr>
        <xdr:cNvPr id="32" name="\N\4" hidden="1">
          <a:extLst>
            <a:ext uri="{FF2B5EF4-FFF2-40B4-BE49-F238E27FC236}">
              <a16:creationId xmlns:a16="http://schemas.microsoft.com/office/drawing/2014/main" id="{4DDFA65B-A411-4BE1-BFC1-A285B4891096}"/>
            </a:ext>
          </a:extLst>
        </xdr:cNvPr>
        <xdr:cNvSpPr/>
      </xdr:nvSpPr>
      <xdr:spPr>
        <a:xfrm>
          <a:off x="59817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Four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390525</xdr:colOff>
      <xdr:row>4</xdr:row>
      <xdr:rowOff>0</xdr:rowOff>
    </xdr:from>
    <xdr:ext cx="270525" cy="269631"/>
    <xdr:pic macro="more_click">
      <xdr:nvPicPr>
        <xdr:cNvPr id="4" name="\\more16" hidden="1">
          <a:extLst>
            <a:ext uri="{FF2B5EF4-FFF2-40B4-BE49-F238E27FC236}">
              <a16:creationId xmlns:a16="http://schemas.microsoft.com/office/drawing/2014/main" id="{7D99ACE1-D791-4FC3-8EA2-B73929B4C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5" y="84391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4</xdr:row>
      <xdr:rowOff>0</xdr:rowOff>
    </xdr:from>
    <xdr:ext cx="279661" cy="274320"/>
    <xdr:pic macro="less_click">
      <xdr:nvPicPr>
        <xdr:cNvPr id="5" name="\\less16">
          <a:extLst>
            <a:ext uri="{FF2B5EF4-FFF2-40B4-BE49-F238E27FC236}">
              <a16:creationId xmlns:a16="http://schemas.microsoft.com/office/drawing/2014/main" id="{1B4D38E1-5480-483A-9798-BB9536F8E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843915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15</xdr:row>
      <xdr:rowOff>0</xdr:rowOff>
    </xdr:from>
    <xdr:ext cx="270525" cy="269631"/>
    <xdr:pic macro="more_click">
      <xdr:nvPicPr>
        <xdr:cNvPr id="6" name="\\more15" hidden="1">
          <a:extLst>
            <a:ext uri="{FF2B5EF4-FFF2-40B4-BE49-F238E27FC236}">
              <a16:creationId xmlns:a16="http://schemas.microsoft.com/office/drawing/2014/main" id="{395A1A28-F134-4B40-97AF-7BDB7F438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5" y="79438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15</xdr:row>
      <xdr:rowOff>0</xdr:rowOff>
    </xdr:from>
    <xdr:ext cx="279661" cy="274320"/>
    <xdr:pic macro="less_click">
      <xdr:nvPicPr>
        <xdr:cNvPr id="7" name="\\less15">
          <a:extLst>
            <a:ext uri="{FF2B5EF4-FFF2-40B4-BE49-F238E27FC236}">
              <a16:creationId xmlns:a16="http://schemas.microsoft.com/office/drawing/2014/main" id="{699B4D79-8090-4DB5-9D7E-EBF16AAF0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7943850"/>
          <a:ext cx="279661" cy="27432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66675</xdr:colOff>
      <xdr:row>48</xdr:row>
      <xdr:rowOff>152400</xdr:rowOff>
    </xdr:to>
    <xdr:sp macro="[5]!onopen" textlink="">
      <xdr:nvSpPr>
        <xdr:cNvPr id="2" name="Rectangle 1">
          <a:extLst>
            <a:ext uri="{FF2B5EF4-FFF2-40B4-BE49-F238E27FC236}">
              <a16:creationId xmlns:a16="http://schemas.microsoft.com/office/drawing/2014/main" id="{9228F376-2695-4498-B765-D1975C99DA8F}"/>
            </a:ext>
          </a:extLst>
        </xdr:cNvPr>
        <xdr:cNvSpPr/>
      </xdr:nvSpPr>
      <xdr:spPr>
        <a:xfrm>
          <a:off x="0" y="0"/>
          <a:ext cx="21764625" cy="9867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2371725</xdr:colOff>
      <xdr:row>0</xdr:row>
      <xdr:rowOff>552450</xdr:rowOff>
    </xdr:from>
    <xdr:to>
      <xdr:col>2</xdr:col>
      <xdr:colOff>6076950</xdr:colOff>
      <xdr:row>3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395FE1-C4D5-46D6-BCEC-28A1122E4F65}"/>
            </a:ext>
          </a:extLst>
        </xdr:cNvPr>
        <xdr:cNvSpPr txBox="1"/>
      </xdr:nvSpPr>
      <xdr:spPr>
        <a:xfrm>
          <a:off x="6334125" y="552450"/>
          <a:ext cx="3705225" cy="76200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>
              <a:solidFill>
                <a:schemeClr val="bg1"/>
              </a:solidFill>
            </a:rPr>
            <a:t>Click Anywhere</a:t>
          </a:r>
          <a:r>
            <a:rPr lang="en-US" sz="1800" b="1" baseline="0">
              <a:solidFill>
                <a:schemeClr val="bg1"/>
              </a:solidFill>
            </a:rPr>
            <a:t> For Startup</a:t>
          </a:r>
          <a:endParaRPr lang="en-US" sz="1800" b="1">
            <a:solidFill>
              <a:schemeClr val="bg1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SMART\GCs%20&amp;%20GRs\Backup\Copy%20of%20GCGR_Cod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SMART\GCs%20&amp;%20GRs\Addin%20Files\GCGR_CodeNEWPENDING_blank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fk-azure-fs1\estimating\Deployment\XLSM%20Files\GCGR_CodeNEWPENDING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eployment\XLSM%20Files\GCGR_CodeNEWPENDING_Ratetbl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fk-azure-fs1\estimating\Deployment\XLSM%20Files\GCGR_CodeTESTING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"/>
      <sheetName val="Labor Gantt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</sheetNames>
    <sheetDataSet>
      <sheetData sheetId="0">
        <row r="4">
          <cell r="O4" t="str">
            <v>PTO Reimbursable</v>
          </cell>
          <cell r="P4">
            <v>2080</v>
          </cell>
        </row>
        <row r="5">
          <cell r="O5" t="str">
            <v>4wks PTO Non-Reimbursable</v>
          </cell>
          <cell r="P5">
            <v>1760</v>
          </cell>
        </row>
        <row r="6">
          <cell r="O6" t="str">
            <v>3wks PTO Non-Reimbursable</v>
          </cell>
          <cell r="P6">
            <v>1840</v>
          </cell>
        </row>
        <row r="7">
          <cell r="P7">
            <v>2080</v>
          </cell>
        </row>
        <row r="22">
          <cell r="D22" t="str">
            <v>Mixed-Use</v>
          </cell>
          <cell r="F22" t="str">
            <v>Boston</v>
          </cell>
        </row>
        <row r="23">
          <cell r="D23" t="str">
            <v>Parking</v>
          </cell>
          <cell r="F23" t="str">
            <v>New York</v>
          </cell>
        </row>
        <row r="24">
          <cell r="D24" t="str">
            <v>Office</v>
          </cell>
          <cell r="F24" t="str">
            <v>Miami</v>
          </cell>
        </row>
        <row r="25">
          <cell r="D25" t="str">
            <v>Retail</v>
          </cell>
          <cell r="F25" t="str">
            <v>West Palm Beach</v>
          </cell>
        </row>
        <row r="26">
          <cell r="D26" t="str">
            <v>Hospitality &amp; Entertainment</v>
          </cell>
          <cell r="F26" t="str">
            <v>Estero</v>
          </cell>
        </row>
        <row r="27">
          <cell r="D27" t="str">
            <v>Residential</v>
          </cell>
          <cell r="F27" t="str">
            <v>Tampa</v>
          </cell>
        </row>
        <row r="28">
          <cell r="D28" t="str">
            <v>Elder Care</v>
          </cell>
          <cell r="F28" t="str">
            <v>Dallas</v>
          </cell>
        </row>
        <row r="29">
          <cell r="D29" t="str">
            <v>Health Care</v>
          </cell>
          <cell r="F29" t="str">
            <v>San Diego</v>
          </cell>
        </row>
        <row r="30">
          <cell r="D30" t="str">
            <v>Laboratory</v>
          </cell>
          <cell r="F30" t="str">
            <v>Los Angeles</v>
          </cell>
        </row>
        <row r="31">
          <cell r="D31" t="str">
            <v>Education</v>
          </cell>
          <cell r="F31" t="str">
            <v>San Francisco</v>
          </cell>
        </row>
        <row r="32">
          <cell r="D32" t="str">
            <v>Community / Cultural</v>
          </cell>
        </row>
        <row r="33">
          <cell r="D33" t="str">
            <v>Sports / Recreation</v>
          </cell>
        </row>
        <row r="34">
          <cell r="D34" t="str">
            <v>Food Service</v>
          </cell>
        </row>
        <row r="35">
          <cell r="D35" t="str">
            <v>Manufacturing / Warehouse</v>
          </cell>
        </row>
        <row r="36">
          <cell r="D36" t="str">
            <v>Site / Infrastructure</v>
          </cell>
        </row>
        <row r="37">
          <cell r="D37" t="str">
            <v>Energy / Communications</v>
          </cell>
        </row>
        <row r="38">
          <cell r="D38" t="str">
            <v>Transportation</v>
          </cell>
        </row>
        <row r="39">
          <cell r="D39" t="str">
            <v>Government</v>
          </cell>
        </row>
      </sheetData>
      <sheetData sheetId="1">
        <row r="12">
          <cell r="BB12">
            <v>2</v>
          </cell>
        </row>
        <row r="13">
          <cell r="B13" t="str">
            <v>Precon</v>
          </cell>
          <cell r="J13" t="str">
            <v>graph staffing</v>
          </cell>
          <cell r="AV13" t="str">
            <v>prelabor</v>
          </cell>
          <cell r="AW13">
            <v>801659.78021978005</v>
          </cell>
        </row>
        <row r="21">
          <cell r="AK21">
            <v>0</v>
          </cell>
        </row>
        <row r="38">
          <cell r="AK38">
            <v>0</v>
          </cell>
        </row>
      </sheetData>
      <sheetData sheetId="2"/>
      <sheetData sheetId="3"/>
      <sheetData sheetId="4"/>
      <sheetData sheetId="5"/>
      <sheetData sheetId="6">
        <row r="135">
          <cell r="L135">
            <v>0</v>
          </cell>
        </row>
      </sheetData>
      <sheetData sheetId="7">
        <row r="194">
          <cell r="L194">
            <v>0</v>
          </cell>
        </row>
      </sheetData>
      <sheetData sheetId="8"/>
      <sheetData sheetId="9"/>
      <sheetData sheetId="10">
        <row r="2">
          <cell r="T2" t="str">
            <v xml:space="preserve">(60 x 12) Single-wide trailer </v>
          </cell>
          <cell r="U2" t="str">
            <v xml:space="preserve">(64 x 24) Double-wide trailer </v>
          </cell>
          <cell r="V2" t="str">
            <v xml:space="preserve">(64 x 36) Triple-wide trailer </v>
          </cell>
        </row>
        <row r="3">
          <cell r="J3">
            <v>0</v>
          </cell>
          <cell r="K3">
            <v>2000</v>
          </cell>
          <cell r="M3">
            <v>0</v>
          </cell>
          <cell r="N3">
            <v>0</v>
          </cell>
          <cell r="P3">
            <v>0</v>
          </cell>
          <cell r="Q3">
            <v>0</v>
          </cell>
          <cell r="S3" t="str">
            <v>Rent</v>
          </cell>
          <cell r="T3">
            <v>400</v>
          </cell>
          <cell r="U3">
            <v>1125</v>
          </cell>
          <cell r="V3">
            <v>2450</v>
          </cell>
        </row>
        <row r="4">
          <cell r="J4">
            <v>5</v>
          </cell>
          <cell r="K4">
            <v>7500</v>
          </cell>
          <cell r="M4">
            <v>3000000</v>
          </cell>
          <cell r="N4">
            <v>10000</v>
          </cell>
          <cell r="P4">
            <v>3000000</v>
          </cell>
          <cell r="Q4">
            <v>10000</v>
          </cell>
          <cell r="S4" t="str">
            <v>Delivery</v>
          </cell>
          <cell r="T4">
            <v>7700</v>
          </cell>
          <cell r="U4">
            <v>21500</v>
          </cell>
          <cell r="V4">
            <v>28500</v>
          </cell>
        </row>
        <row r="5">
          <cell r="J5">
            <v>10</v>
          </cell>
          <cell r="K5">
            <v>12500</v>
          </cell>
          <cell r="M5">
            <v>10000000</v>
          </cell>
          <cell r="N5">
            <v>40000</v>
          </cell>
          <cell r="P5">
            <v>10000000</v>
          </cell>
          <cell r="Q5">
            <v>50000</v>
          </cell>
          <cell r="S5" t="str">
            <v>Pick-up</v>
          </cell>
          <cell r="T5">
            <v>5000</v>
          </cell>
          <cell r="U5">
            <v>16500</v>
          </cell>
          <cell r="V5">
            <v>21000</v>
          </cell>
        </row>
        <row r="6">
          <cell r="M6">
            <v>50000000</v>
          </cell>
          <cell r="N6">
            <v>100000</v>
          </cell>
          <cell r="P6">
            <v>50000000</v>
          </cell>
          <cell r="Q6">
            <v>220000</v>
          </cell>
          <cell r="S6" t="str">
            <v>Aluminum Steps</v>
          </cell>
          <cell r="T6">
            <v>50</v>
          </cell>
          <cell r="U6">
            <v>50</v>
          </cell>
          <cell r="V6">
            <v>50</v>
          </cell>
        </row>
        <row r="7">
          <cell r="M7">
            <v>150000000</v>
          </cell>
          <cell r="N7">
            <v>200000</v>
          </cell>
          <cell r="P7">
            <v>250000000</v>
          </cell>
          <cell r="Q7">
            <v>380000</v>
          </cell>
          <cell r="S7" t="str">
            <v>Security System</v>
          </cell>
          <cell r="T7">
            <v>50</v>
          </cell>
          <cell r="U7">
            <v>50</v>
          </cell>
          <cell r="V7">
            <v>50</v>
          </cell>
        </row>
        <row r="8">
          <cell r="M8">
            <v>300000000</v>
          </cell>
          <cell r="N8">
            <v>400000</v>
          </cell>
          <cell r="P8">
            <v>450000000</v>
          </cell>
          <cell r="Q8">
            <v>550000</v>
          </cell>
          <cell r="S8" t="str">
            <v>Utility Connections</v>
          </cell>
          <cell r="T8">
            <v>2000</v>
          </cell>
          <cell r="U8">
            <v>2000</v>
          </cell>
          <cell r="V8">
            <v>2000</v>
          </cell>
        </row>
        <row r="9">
          <cell r="S9" t="str">
            <v>Utility Consumption</v>
          </cell>
          <cell r="T9">
            <v>100</v>
          </cell>
          <cell r="U9">
            <v>200</v>
          </cell>
          <cell r="V9">
            <v>300</v>
          </cell>
        </row>
        <row r="10">
          <cell r="J10">
            <v>0</v>
          </cell>
          <cell r="K10">
            <v>800</v>
          </cell>
        </row>
        <row r="11">
          <cell r="J11">
            <v>5</v>
          </cell>
          <cell r="K11">
            <v>1600</v>
          </cell>
        </row>
        <row r="12">
          <cell r="J12">
            <v>15</v>
          </cell>
          <cell r="K12">
            <v>2000</v>
          </cell>
        </row>
        <row r="17">
          <cell r="J17">
            <v>0</v>
          </cell>
          <cell r="K17">
            <v>0</v>
          </cell>
          <cell r="M17">
            <v>0</v>
          </cell>
          <cell r="N17">
            <v>550</v>
          </cell>
          <cell r="O17">
            <v>1000</v>
          </cell>
        </row>
        <row r="18">
          <cell r="J18">
            <v>5000000</v>
          </cell>
          <cell r="K18">
            <v>250</v>
          </cell>
          <cell r="M18">
            <v>10000000</v>
          </cell>
          <cell r="N18">
            <v>750</v>
          </cell>
          <cell r="O18">
            <v>1500</v>
          </cell>
        </row>
        <row r="19">
          <cell r="J19">
            <v>25000000</v>
          </cell>
          <cell r="K19">
            <v>400</v>
          </cell>
          <cell r="M19">
            <v>100000000</v>
          </cell>
          <cell r="N19">
            <v>1250</v>
          </cell>
          <cell r="O19">
            <v>2500</v>
          </cell>
        </row>
        <row r="20">
          <cell r="J20">
            <v>100000000</v>
          </cell>
          <cell r="K20">
            <v>600</v>
          </cell>
        </row>
      </sheetData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OLD"/>
      <sheetName val="Labor Gantt"/>
      <sheetName val="Non-Staff Labor"/>
      <sheetName val="Rate Tables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</sheetNames>
    <sheetDataSet>
      <sheetData sheetId="0">
        <row r="4">
          <cell r="O4" t="str">
            <v>PTO Reimbursable</v>
          </cell>
          <cell r="P4">
            <v>2080</v>
          </cell>
        </row>
        <row r="5">
          <cell r="O5" t="str">
            <v>4wks PTO Non-Reimbursable</v>
          </cell>
          <cell r="P5">
            <v>1760</v>
          </cell>
        </row>
        <row r="6">
          <cell r="O6" t="str">
            <v>3wks PTO Non-Reimbursable</v>
          </cell>
          <cell r="P6">
            <v>1840</v>
          </cell>
        </row>
        <row r="7">
          <cell r="P7">
            <v>2080</v>
          </cell>
        </row>
        <row r="22">
          <cell r="D22" t="str">
            <v>Mixed-Use</v>
          </cell>
          <cell r="F22" t="str">
            <v>Boston</v>
          </cell>
        </row>
        <row r="23">
          <cell r="D23" t="str">
            <v>Parking</v>
          </cell>
          <cell r="F23" t="str">
            <v>New York</v>
          </cell>
        </row>
        <row r="24">
          <cell r="D24" t="str">
            <v>Office</v>
          </cell>
          <cell r="F24" t="str">
            <v>Miami</v>
          </cell>
        </row>
        <row r="25">
          <cell r="D25" t="str">
            <v>Retail</v>
          </cell>
          <cell r="F25" t="str">
            <v>West Palm Beach</v>
          </cell>
        </row>
        <row r="26">
          <cell r="D26" t="str">
            <v>Hospitality &amp; Entertainment</v>
          </cell>
          <cell r="F26" t="str">
            <v>Estero</v>
          </cell>
        </row>
        <row r="27">
          <cell r="D27" t="str">
            <v>Residential</v>
          </cell>
          <cell r="F27" t="str">
            <v>Tampa</v>
          </cell>
        </row>
        <row r="28">
          <cell r="D28" t="str">
            <v>Elder Care</v>
          </cell>
          <cell r="F28" t="str">
            <v>Dallas</v>
          </cell>
        </row>
        <row r="29">
          <cell r="D29" t="str">
            <v>Health Care</v>
          </cell>
          <cell r="F29" t="str">
            <v>San Diego</v>
          </cell>
        </row>
        <row r="30">
          <cell r="D30" t="str">
            <v>Laboratory</v>
          </cell>
          <cell r="F30" t="str">
            <v>Los Angeles</v>
          </cell>
        </row>
        <row r="31">
          <cell r="D31" t="str">
            <v>Education</v>
          </cell>
          <cell r="F31" t="str">
            <v>San Francisco</v>
          </cell>
        </row>
        <row r="32">
          <cell r="D32" t="str">
            <v>Community / Cultural</v>
          </cell>
        </row>
        <row r="33">
          <cell r="D33" t="str">
            <v>Sports / Recreation</v>
          </cell>
        </row>
        <row r="34">
          <cell r="D34" t="str">
            <v>Food Service</v>
          </cell>
        </row>
        <row r="35">
          <cell r="D35" t="str">
            <v>Manufacturing / Warehouse</v>
          </cell>
        </row>
        <row r="36">
          <cell r="D36" t="str">
            <v>Site / Infrastructure</v>
          </cell>
        </row>
        <row r="37">
          <cell r="D37" t="str">
            <v>Energy / Communications</v>
          </cell>
        </row>
        <row r="38">
          <cell r="D38" t="str">
            <v>Transportation</v>
          </cell>
        </row>
        <row r="39">
          <cell r="D39" t="str">
            <v>Government</v>
          </cell>
        </row>
      </sheetData>
      <sheetData sheetId="1">
        <row r="13">
          <cell r="B13" t="str">
            <v>Precon</v>
          </cell>
          <cell r="J13" t="str">
            <v>graph staffing</v>
          </cell>
        </row>
        <row r="14">
          <cell r="R14">
            <v>0</v>
          </cell>
        </row>
        <row r="15">
          <cell r="B15" t="str">
            <v>Construction</v>
          </cell>
        </row>
        <row r="16">
          <cell r="R16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102">
          <cell r="L102">
            <v>0</v>
          </cell>
        </row>
      </sheetData>
      <sheetData sheetId="9">
        <row r="194">
          <cell r="L194">
            <v>0</v>
          </cell>
        </row>
      </sheetData>
      <sheetData sheetId="10"/>
      <sheetData sheetId="11"/>
      <sheetData sheetId="12">
        <row r="3">
          <cell r="P3">
            <v>0</v>
          </cell>
          <cell r="Q3">
            <v>0</v>
          </cell>
        </row>
        <row r="4">
          <cell r="P4">
            <v>3000000</v>
          </cell>
          <cell r="Q4">
            <v>10000</v>
          </cell>
        </row>
        <row r="5">
          <cell r="P5">
            <v>10000000</v>
          </cell>
          <cell r="Q5">
            <v>50000</v>
          </cell>
        </row>
        <row r="6">
          <cell r="P6">
            <v>50000000</v>
          </cell>
          <cell r="Q6">
            <v>220000</v>
          </cell>
        </row>
        <row r="7">
          <cell r="P7">
            <v>250000000</v>
          </cell>
          <cell r="Q7">
            <v>380000</v>
          </cell>
        </row>
        <row r="8">
          <cell r="P8">
            <v>450000000</v>
          </cell>
          <cell r="Q8">
            <v>550000</v>
          </cell>
        </row>
      </sheetData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OLD"/>
      <sheetName val="Labor Gantt"/>
      <sheetName val="Non-Staff Labor"/>
      <sheetName val="Rate Tables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  <sheetName val="GCGR_CodeNEWPENDING"/>
    </sheetNames>
    <definedNames>
      <definedName name="addPhase_Click"/>
      <definedName name="addtrailer_CLICK"/>
      <definedName name="con_listMENU_CLICK"/>
      <definedName name="context_click"/>
      <definedName name="dummy"/>
      <definedName name="less_click"/>
      <definedName name="lessMONTHdetailCLICK"/>
      <definedName name="lessRATEdetailCLICK"/>
      <definedName name="MakeChart"/>
      <definedName name="minusCLICK"/>
      <definedName name="more_click"/>
      <definedName name="moreMONTHdetailCLICK"/>
      <definedName name="moreRATEdetailCLICK"/>
      <definedName name="N2_Click"/>
      <definedName name="phase_listMENU_CLICK"/>
      <definedName name="plusCLICK"/>
      <definedName name="precon_listMENU_CLICK"/>
      <definedName name="restoreDETAIL"/>
      <definedName name="toggleADMINmode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OLD"/>
      <sheetName val="Labor Gantt"/>
      <sheetName val="Non-Staff Labor"/>
      <sheetName val="Rate Tables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  <sheetName val="GCGR_CodeNEWPENDING_Ratetbl"/>
    </sheetNames>
    <definedNames>
      <definedName name="addITEM_Click"/>
      <definedName name="addTemp_Click"/>
    </definedNames>
    <sheetDataSet>
      <sheetData sheetId="0">
        <row r="4">
          <cell r="O4" t="str">
            <v>PTO Reimbursable</v>
          </cell>
        </row>
      </sheetData>
      <sheetData sheetId="1">
        <row r="13">
          <cell r="B13" t="str">
            <v>Precon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104">
          <cell r="L104">
            <v>0</v>
          </cell>
        </row>
      </sheetData>
      <sheetData sheetId="9">
        <row r="194">
          <cell r="L194">
            <v>0</v>
          </cell>
        </row>
      </sheetData>
      <sheetData sheetId="10"/>
      <sheetData sheetId="11"/>
      <sheetData sheetId="12">
        <row r="3">
          <cell r="P3">
            <v>0</v>
          </cell>
        </row>
      </sheetData>
      <sheetData sheetId="13"/>
      <sheetData sheetId="14"/>
      <sheetData sheetId="1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"/>
      <sheetName val="LaborOLD"/>
      <sheetName val="Labor Gantt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  <sheetName val="GCGR_CodeTESTING2"/>
    </sheetNames>
    <definedNames>
      <definedName name="onope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E8EF5-2980-4CE0-A836-CE1107DDC9F2}">
  <sheetPr codeName="Sheet3"/>
  <dimension ref="A1:P39"/>
  <sheetViews>
    <sheetView showZeros="0" tabSelected="1" workbookViewId="0">
      <selection activeCell="D4" sqref="D4:E4"/>
    </sheetView>
  </sheetViews>
  <sheetFormatPr defaultColWidth="0" defaultRowHeight="14.25" zeroHeight="1" x14ac:dyDescent="0.2"/>
  <cols>
    <col min="1" max="1" width="3.7109375" style="17" customWidth="1"/>
    <col min="2" max="2" width="3.5703125" style="17" customWidth="1"/>
    <col min="3" max="3" width="19.7109375" style="17" bestFit="1" customWidth="1"/>
    <col min="4" max="4" width="19.28515625" style="17" bestFit="1" customWidth="1"/>
    <col min="5" max="5" width="42.28515625" style="17" customWidth="1"/>
    <col min="6" max="6" width="3.42578125" style="17" customWidth="1"/>
    <col min="7" max="7" width="26.28515625" style="17" bestFit="1" customWidth="1"/>
    <col min="8" max="8" width="13.42578125" style="17" bestFit="1" customWidth="1"/>
    <col min="9" max="9" width="6.28515625" style="17" customWidth="1"/>
    <col min="10" max="10" width="25.140625" style="17" bestFit="1" customWidth="1"/>
    <col min="11" max="11" width="14.85546875" style="17" bestFit="1" customWidth="1"/>
    <col min="12" max="12" width="5.42578125" style="17" bestFit="1" customWidth="1"/>
    <col min="13" max="14" width="3.7109375" style="17" customWidth="1"/>
    <col min="15" max="15" width="32.85546875" style="17" hidden="1" customWidth="1"/>
    <col min="16" max="16" width="7" style="17" hidden="1" customWidth="1"/>
    <col min="17" max="16384" width="9.140625" style="17" hidden="1"/>
  </cols>
  <sheetData>
    <row r="1" spans="1:16" ht="21.75" customHeight="1" x14ac:dyDescent="0.2">
      <c r="A1" s="310"/>
      <c r="B1" s="310"/>
      <c r="C1" s="310"/>
      <c r="D1" s="310"/>
      <c r="E1" s="310"/>
      <c r="F1" s="310"/>
      <c r="G1" s="310"/>
      <c r="H1" s="310"/>
      <c r="I1" s="310"/>
      <c r="J1" s="310"/>
      <c r="K1" s="310"/>
      <c r="L1" s="310"/>
      <c r="M1" s="310"/>
      <c r="N1" s="310"/>
    </row>
    <row r="2" spans="1:16" ht="48" customHeight="1" thickBot="1" x14ac:dyDescent="0.25">
      <c r="A2" s="310"/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0"/>
    </row>
    <row r="3" spans="1:16" ht="15" thickTop="1" x14ac:dyDescent="0.2">
      <c r="A3" s="310"/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0"/>
    </row>
    <row r="4" spans="1:16" x14ac:dyDescent="0.2">
      <c r="A4" s="310"/>
      <c r="B4" s="313"/>
      <c r="C4" s="314" t="s">
        <v>214</v>
      </c>
      <c r="D4" s="685"/>
      <c r="E4" s="686"/>
      <c r="F4" s="315"/>
      <c r="G4" s="314" t="s">
        <v>207</v>
      </c>
      <c r="H4" s="10"/>
      <c r="I4" s="315"/>
      <c r="J4" s="314" t="s">
        <v>209</v>
      </c>
      <c r="K4" s="10"/>
      <c r="L4" s="316"/>
      <c r="M4" s="317"/>
      <c r="N4" s="310"/>
      <c r="O4" s="17" t="s">
        <v>228</v>
      </c>
      <c r="P4" s="17">
        <v>2080</v>
      </c>
    </row>
    <row r="5" spans="1:16" x14ac:dyDescent="0.2">
      <c r="A5" s="310"/>
      <c r="B5" s="313"/>
      <c r="C5" s="314" t="s">
        <v>215</v>
      </c>
      <c r="D5" s="685"/>
      <c r="E5" s="686"/>
      <c r="F5" s="315"/>
      <c r="G5" s="314" t="s">
        <v>208</v>
      </c>
      <c r="H5" s="10"/>
      <c r="I5" s="315"/>
      <c r="J5" s="314" t="s">
        <v>210</v>
      </c>
      <c r="K5" s="10"/>
      <c r="L5" s="316"/>
      <c r="M5" s="317"/>
      <c r="N5" s="310"/>
      <c r="O5" s="17" t="s">
        <v>229</v>
      </c>
      <c r="P5" s="17">
        <v>1760</v>
      </c>
    </row>
    <row r="6" spans="1:16" x14ac:dyDescent="0.2">
      <c r="A6" s="310"/>
      <c r="B6" s="315"/>
      <c r="C6" s="314" t="s">
        <v>217</v>
      </c>
      <c r="D6" s="685" t="s">
        <v>274</v>
      </c>
      <c r="E6" s="686"/>
      <c r="F6" s="315"/>
      <c r="G6" s="314" t="s">
        <v>9</v>
      </c>
      <c r="H6" s="514" t="e">
        <f ca="1">IF(cDateDiff("M",\pstart,\pend)&gt;0,cDateDiff("M",\pstart,\pend),0)</f>
        <v>#NAME?</v>
      </c>
      <c r="I6" s="315"/>
      <c r="J6" s="687" t="s">
        <v>9</v>
      </c>
      <c r="K6" s="514" t="e">
        <f ca="1">IF(cDateDiff("M",\cstart,\cend)&gt;0,cDateDiff("M",\cstart,\cend),0)</f>
        <v>#NAME?</v>
      </c>
      <c r="L6" s="318"/>
      <c r="M6" s="317"/>
      <c r="N6" s="310"/>
      <c r="O6" s="17" t="s">
        <v>230</v>
      </c>
      <c r="P6" s="17">
        <v>1840</v>
      </c>
    </row>
    <row r="7" spans="1:16" x14ac:dyDescent="0.2">
      <c r="A7" s="310"/>
      <c r="B7" s="313"/>
      <c r="C7" s="314" t="s">
        <v>218</v>
      </c>
      <c r="D7" s="683" t="s">
        <v>282</v>
      </c>
      <c r="E7" s="684"/>
      <c r="F7" s="315"/>
      <c r="G7" s="315"/>
      <c r="H7" s="515" t="e">
        <f ca="1">IF(cDateDiff("WW",\pstart,\pend)&gt;0,cDateDiff("WW",\pstart,\pend),0)</f>
        <v>#NAME?</v>
      </c>
      <c r="I7" s="318"/>
      <c r="J7" s="687"/>
      <c r="K7" s="515" t="e">
        <f ca="1">IF(cDateDiff("WW",\cstart,\cend)&gt;0,cDateDiff("WW",\cstart,\cend),0)</f>
        <v>#NAME?</v>
      </c>
      <c r="L7" s="318"/>
      <c r="M7" s="317"/>
      <c r="N7" s="310"/>
      <c r="O7" s="17" t="s">
        <v>260</v>
      </c>
      <c r="P7" s="17">
        <f>VLOOKUP(\vaca,\table_VACA,2,)</f>
        <v>2080</v>
      </c>
    </row>
    <row r="8" spans="1:16" x14ac:dyDescent="0.2">
      <c r="A8" s="310"/>
      <c r="B8" s="313"/>
      <c r="C8" s="315"/>
      <c r="D8" s="315"/>
      <c r="E8" s="315"/>
      <c r="F8" s="315"/>
      <c r="G8" s="315"/>
      <c r="H8" s="315"/>
      <c r="I8" s="315"/>
      <c r="J8" s="315"/>
      <c r="K8" s="315"/>
      <c r="L8" s="315"/>
      <c r="M8" s="315"/>
      <c r="N8" s="310"/>
    </row>
    <row r="9" spans="1:16" x14ac:dyDescent="0.2">
      <c r="A9" s="310"/>
      <c r="B9" s="313"/>
      <c r="C9" s="314" t="s">
        <v>220</v>
      </c>
      <c r="D9" s="11"/>
      <c r="E9" s="315"/>
      <c r="F9" s="315"/>
      <c r="G9" s="314" t="s">
        <v>493</v>
      </c>
      <c r="H9" s="14">
        <v>0.62</v>
      </c>
      <c r="I9" s="315"/>
      <c r="J9" s="314" t="s">
        <v>211</v>
      </c>
      <c r="K9" s="15"/>
      <c r="L9" s="319" t="s">
        <v>53</v>
      </c>
      <c r="M9" s="315"/>
      <c r="N9" s="310"/>
    </row>
    <row r="10" spans="1:16" x14ac:dyDescent="0.2">
      <c r="A10" s="310"/>
      <c r="B10" s="313"/>
      <c r="C10" s="314" t="s">
        <v>221</v>
      </c>
      <c r="D10" s="11"/>
      <c r="E10" s="315"/>
      <c r="F10" s="315"/>
      <c r="G10" s="314" t="s">
        <v>219</v>
      </c>
      <c r="H10" s="14">
        <v>0.62</v>
      </c>
      <c r="I10" s="315"/>
      <c r="J10" s="314" t="s">
        <v>212</v>
      </c>
      <c r="K10" s="15"/>
      <c r="L10" s="319" t="s">
        <v>206</v>
      </c>
      <c r="M10" s="315"/>
      <c r="N10" s="310"/>
    </row>
    <row r="11" spans="1:16" x14ac:dyDescent="0.2">
      <c r="A11" s="310"/>
      <c r="B11" s="313"/>
      <c r="C11" s="314" t="s">
        <v>216</v>
      </c>
      <c r="D11" s="12">
        <f ca="1">NOW()</f>
        <v>43325.689186226853</v>
      </c>
      <c r="E11" s="315"/>
      <c r="F11" s="313"/>
      <c r="G11" s="314" t="s">
        <v>222</v>
      </c>
      <c r="H11" s="14">
        <v>0.04</v>
      </c>
      <c r="I11" s="313"/>
      <c r="J11" s="315"/>
      <c r="K11" s="315"/>
      <c r="L11" s="315"/>
      <c r="M11" s="315"/>
      <c r="N11" s="310"/>
    </row>
    <row r="12" spans="1:16" x14ac:dyDescent="0.2">
      <c r="A12" s="310"/>
      <c r="B12" s="313"/>
      <c r="C12" s="313"/>
      <c r="D12" s="313"/>
      <c r="E12" s="315"/>
      <c r="F12" s="315"/>
      <c r="G12" s="314" t="s">
        <v>223</v>
      </c>
      <c r="H12" s="14">
        <v>0.04</v>
      </c>
      <c r="I12" s="315"/>
      <c r="J12" s="320" t="s">
        <v>375</v>
      </c>
      <c r="K12" s="315"/>
      <c r="L12" s="315"/>
      <c r="M12" s="315"/>
      <c r="N12" s="310"/>
    </row>
    <row r="13" spans="1:16" x14ac:dyDescent="0.2">
      <c r="A13" s="310"/>
      <c r="B13" s="313"/>
      <c r="C13" s="314" t="s">
        <v>213</v>
      </c>
      <c r="D13" s="13"/>
      <c r="E13" s="315"/>
      <c r="F13" s="315"/>
      <c r="G13" s="315"/>
      <c r="H13" s="315"/>
      <c r="I13" s="315"/>
      <c r="J13" s="314" t="s">
        <v>488</v>
      </c>
      <c r="K13" s="289">
        <f ca="1">\prelabor</f>
        <v>0</v>
      </c>
      <c r="L13" s="315"/>
      <c r="M13" s="315"/>
      <c r="N13" s="310"/>
    </row>
    <row r="14" spans="1:16" x14ac:dyDescent="0.2">
      <c r="A14" s="310"/>
      <c r="B14" s="313"/>
      <c r="C14" s="315"/>
      <c r="D14" s="315"/>
      <c r="E14" s="315"/>
      <c r="F14" s="315"/>
      <c r="G14" s="314" t="s">
        <v>225</v>
      </c>
      <c r="H14" s="16">
        <v>92</v>
      </c>
      <c r="I14" s="315"/>
      <c r="J14" s="314" t="s">
        <v>19</v>
      </c>
      <c r="K14" s="289">
        <f ca="1">\conlabor</f>
        <v>0</v>
      </c>
      <c r="L14" s="315"/>
      <c r="M14" s="315"/>
      <c r="N14" s="310"/>
    </row>
    <row r="15" spans="1:16" x14ac:dyDescent="0.2">
      <c r="A15" s="310"/>
      <c r="B15" s="313"/>
      <c r="C15" s="315"/>
      <c r="D15" s="315"/>
      <c r="E15" s="315"/>
      <c r="F15" s="315"/>
      <c r="G15" s="314" t="s">
        <v>224</v>
      </c>
      <c r="H15" s="16">
        <v>58</v>
      </c>
      <c r="I15" s="315"/>
      <c r="J15" s="314" t="s">
        <v>386</v>
      </c>
      <c r="K15" s="289" t="e">
        <f ca="1">\gctotal</f>
        <v>#NAME?</v>
      </c>
      <c r="L15" s="315"/>
      <c r="M15" s="315"/>
      <c r="N15" s="310"/>
    </row>
    <row r="16" spans="1:16" x14ac:dyDescent="0.2">
      <c r="A16" s="310"/>
      <c r="B16" s="313"/>
      <c r="C16" s="314" t="s">
        <v>227</v>
      </c>
      <c r="D16" s="685" t="s">
        <v>228</v>
      </c>
      <c r="E16" s="686"/>
      <c r="F16" s="315"/>
      <c r="G16" s="314" t="s">
        <v>226</v>
      </c>
      <c r="H16" s="16">
        <v>115</v>
      </c>
      <c r="I16" s="315"/>
      <c r="J16" s="314" t="s">
        <v>376</v>
      </c>
      <c r="K16" s="289" t="e">
        <f ca="1">\grtotal</f>
        <v>#NAME?</v>
      </c>
      <c r="L16" s="315"/>
      <c r="M16" s="315"/>
      <c r="N16" s="310"/>
    </row>
    <row r="17" spans="1:14" x14ac:dyDescent="0.2">
      <c r="A17" s="310"/>
      <c r="B17" s="313"/>
      <c r="C17" s="315"/>
      <c r="D17" s="315"/>
      <c r="E17" s="315"/>
      <c r="F17" s="315"/>
      <c r="G17" s="315"/>
      <c r="H17" s="315"/>
      <c r="I17" s="315"/>
      <c r="J17" s="315"/>
      <c r="K17" s="315"/>
      <c r="L17" s="315"/>
      <c r="M17" s="315"/>
      <c r="N17" s="310"/>
    </row>
    <row r="18" spans="1:14" x14ac:dyDescent="0.2">
      <c r="A18" s="310"/>
      <c r="B18" s="313"/>
      <c r="C18" s="315"/>
      <c r="D18" s="315"/>
      <c r="E18" s="315"/>
      <c r="F18" s="315"/>
      <c r="G18" s="315"/>
      <c r="H18" s="315"/>
      <c r="I18" s="315"/>
      <c r="J18" s="315"/>
      <c r="K18" s="315"/>
      <c r="L18" s="315"/>
      <c r="M18" s="315"/>
      <c r="N18" s="310"/>
    </row>
    <row r="19" spans="1:14" x14ac:dyDescent="0.2">
      <c r="A19" s="310"/>
      <c r="B19" s="310"/>
      <c r="C19" s="310"/>
      <c r="D19" s="310"/>
      <c r="E19" s="310"/>
      <c r="F19" s="310"/>
      <c r="G19" s="310"/>
      <c r="H19" s="310"/>
      <c r="I19" s="310"/>
      <c r="J19" s="310"/>
      <c r="K19" s="310"/>
      <c r="L19" s="310"/>
      <c r="M19" s="310"/>
      <c r="N19" s="310"/>
    </row>
    <row r="20" spans="1:14" hidden="1" x14ac:dyDescent="0.2"/>
    <row r="21" spans="1:14" hidden="1" x14ac:dyDescent="0.2">
      <c r="D21" s="17" t="s">
        <v>271</v>
      </c>
      <c r="F21" s="17" t="s">
        <v>272</v>
      </c>
    </row>
    <row r="22" spans="1:14" hidden="1" x14ac:dyDescent="0.2">
      <c r="D22" s="17" t="s">
        <v>273</v>
      </c>
      <c r="F22" s="17" t="s">
        <v>274</v>
      </c>
    </row>
    <row r="23" spans="1:14" hidden="1" x14ac:dyDescent="0.2">
      <c r="D23" s="17" t="s">
        <v>275</v>
      </c>
      <c r="F23" s="17" t="s">
        <v>276</v>
      </c>
    </row>
    <row r="24" spans="1:14" hidden="1" x14ac:dyDescent="0.2">
      <c r="D24" s="17" t="s">
        <v>277</v>
      </c>
      <c r="F24" s="17" t="s">
        <v>278</v>
      </c>
    </row>
    <row r="25" spans="1:14" hidden="1" x14ac:dyDescent="0.2">
      <c r="D25" s="17" t="s">
        <v>279</v>
      </c>
      <c r="F25" s="17" t="s">
        <v>268</v>
      </c>
    </row>
    <row r="26" spans="1:14" hidden="1" x14ac:dyDescent="0.2">
      <c r="D26" s="17" t="s">
        <v>280</v>
      </c>
      <c r="F26" s="17" t="s">
        <v>281</v>
      </c>
    </row>
    <row r="27" spans="1:14" hidden="1" x14ac:dyDescent="0.2">
      <c r="D27" s="17" t="s">
        <v>282</v>
      </c>
      <c r="F27" s="17" t="s">
        <v>283</v>
      </c>
    </row>
    <row r="28" spans="1:14" hidden="1" x14ac:dyDescent="0.2">
      <c r="D28" s="17" t="s">
        <v>284</v>
      </c>
      <c r="F28" s="17" t="s">
        <v>285</v>
      </c>
    </row>
    <row r="29" spans="1:14" hidden="1" x14ac:dyDescent="0.2">
      <c r="D29" s="17" t="s">
        <v>286</v>
      </c>
      <c r="F29" s="17" t="s">
        <v>287</v>
      </c>
    </row>
    <row r="30" spans="1:14" hidden="1" x14ac:dyDescent="0.2">
      <c r="D30" s="17" t="s">
        <v>288</v>
      </c>
      <c r="F30" s="17" t="s">
        <v>289</v>
      </c>
    </row>
    <row r="31" spans="1:14" hidden="1" x14ac:dyDescent="0.2">
      <c r="D31" s="17" t="s">
        <v>290</v>
      </c>
      <c r="F31" s="17" t="s">
        <v>291</v>
      </c>
    </row>
    <row r="32" spans="1:14" hidden="1" x14ac:dyDescent="0.2">
      <c r="D32" s="17" t="s">
        <v>292</v>
      </c>
    </row>
    <row r="33" spans="4:4" hidden="1" x14ac:dyDescent="0.2">
      <c r="D33" s="17" t="s">
        <v>293</v>
      </c>
    </row>
    <row r="34" spans="4:4" hidden="1" x14ac:dyDescent="0.2">
      <c r="D34" s="17" t="s">
        <v>294</v>
      </c>
    </row>
    <row r="35" spans="4:4" hidden="1" x14ac:dyDescent="0.2">
      <c r="D35" s="17" t="s">
        <v>295</v>
      </c>
    </row>
    <row r="36" spans="4:4" hidden="1" x14ac:dyDescent="0.2">
      <c r="D36" s="17" t="s">
        <v>296</v>
      </c>
    </row>
    <row r="37" spans="4:4" hidden="1" x14ac:dyDescent="0.2">
      <c r="D37" s="17" t="s">
        <v>297</v>
      </c>
    </row>
    <row r="38" spans="4:4" hidden="1" x14ac:dyDescent="0.2">
      <c r="D38" s="17" t="s">
        <v>298</v>
      </c>
    </row>
    <row r="39" spans="4:4" hidden="1" x14ac:dyDescent="0.2">
      <c r="D39" s="17" t="s">
        <v>299</v>
      </c>
    </row>
  </sheetData>
  <sheetProtection formatCells="0" formatColumns="0" formatRows="0" insertColumns="0" insertRows="0" insertHyperlinks="0" deleteColumns="0" deleteRows="0" sort="0" autoFilter="0" pivotTables="0"/>
  <dataConsolidate/>
  <mergeCells count="6">
    <mergeCell ref="D7:E7"/>
    <mergeCell ref="D6:E6"/>
    <mergeCell ref="D16:E16"/>
    <mergeCell ref="J6:J7"/>
    <mergeCell ref="D4:E4"/>
    <mergeCell ref="D5:E5"/>
  </mergeCells>
  <conditionalFormatting sqref="H6">
    <cfRule type="expression" dxfId="16" priority="5">
      <formula>$H$6&gt;500</formula>
    </cfRule>
  </conditionalFormatting>
  <conditionalFormatting sqref="K6">
    <cfRule type="expression" dxfId="15" priority="4">
      <formula>$K$6&gt;500</formula>
    </cfRule>
  </conditionalFormatting>
  <conditionalFormatting sqref="H7">
    <cfRule type="expression" dxfId="14" priority="3">
      <formula>$H$6&gt;500</formula>
    </cfRule>
  </conditionalFormatting>
  <conditionalFormatting sqref="K7">
    <cfRule type="expression" dxfId="13" priority="2">
      <formula>$K$6&gt;500</formula>
    </cfRule>
  </conditionalFormatting>
  <conditionalFormatting sqref="D13">
    <cfRule type="expression" dxfId="12" priority="1">
      <formula>OR($K$4 = 0,$K$5=0)</formula>
    </cfRule>
  </conditionalFormatting>
  <dataValidations count="3">
    <dataValidation type="list" allowBlank="1" showInputMessage="1" showErrorMessage="1" sqref="D16:E16" xr:uid="{9452FDD5-E9EE-400C-A55B-E710A0F926B9}">
      <formula1>$O$4:$O$6</formula1>
    </dataValidation>
    <dataValidation type="list" allowBlank="1" showInputMessage="1" showErrorMessage="1" sqref="D6:E6" xr:uid="{67015D39-D94A-4887-980B-82C526C3F253}">
      <formula1>regions</formula1>
    </dataValidation>
    <dataValidation type="list" allowBlank="1" showInputMessage="1" showErrorMessage="1" sqref="D7:E7" xr:uid="{AC9A3CC1-AF89-49BB-ABC1-8C9FB195E568}">
      <formula1>sectors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3129-0C35-4C29-B2A0-FFC991FE5B09}">
  <sheetPr codeName="Sheet11"/>
  <dimension ref="A1:C1"/>
  <sheetViews>
    <sheetView workbookViewId="0">
      <selection activeCell="B2" sqref="B2"/>
    </sheetView>
  </sheetViews>
  <sheetFormatPr defaultRowHeight="15" x14ac:dyDescent="0.25"/>
  <sheetData>
    <row r="1" spans="1:3" x14ac:dyDescent="0.25">
      <c r="A1">
        <v>1</v>
      </c>
      <c r="B1">
        <v>1</v>
      </c>
      <c r="C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BD64-7F00-4B72-B322-7A0A788FAED0}">
  <sheetPr codeName="Sheet1">
    <pageSetUpPr autoPageBreaks="0"/>
  </sheetPr>
  <dimension ref="A1:AQ81"/>
  <sheetViews>
    <sheetView showZeros="0" zoomScale="90" zoomScaleNormal="90" workbookViewId="0">
      <pane xSplit="12" topLeftCell="P1" activePane="topRight" state="frozen"/>
      <selection activeCell="D4" sqref="D4:E4"/>
      <selection pane="topRight" activeCell="D4" sqref="D4:E4"/>
    </sheetView>
  </sheetViews>
  <sheetFormatPr defaultColWidth="9.140625" defaultRowHeight="14.25" zeroHeight="1" x14ac:dyDescent="0.2"/>
  <cols>
    <col min="1" max="1" width="3" style="17" customWidth="1"/>
    <col min="2" max="2" width="36.7109375" style="17" customWidth="1"/>
    <col min="3" max="3" width="28" style="17" customWidth="1"/>
    <col min="4" max="4" width="16.28515625" style="17" bestFit="1" customWidth="1"/>
    <col min="5" max="5" width="12.85546875" style="17" customWidth="1"/>
    <col min="6" max="6" width="5.85546875" style="17" customWidth="1"/>
    <col min="7" max="8" width="11.42578125" style="17" customWidth="1"/>
    <col min="9" max="9" width="15.42578125" style="17" customWidth="1"/>
    <col min="10" max="10" width="16" style="17" customWidth="1"/>
    <col min="11" max="11" width="13.140625" style="17" customWidth="1"/>
    <col min="12" max="12" width="2" style="17" customWidth="1"/>
    <col min="13" max="13" width="2" style="17" hidden="1" customWidth="1"/>
    <col min="14" max="14" width="8.5703125" style="17" hidden="1" customWidth="1"/>
    <col min="15" max="15" width="1.7109375" style="322" hidden="1" customWidth="1"/>
    <col min="16" max="16" width="13.28515625" style="17" customWidth="1"/>
    <col min="17" max="17" width="15.7109375" style="17" customWidth="1"/>
    <col min="18" max="18" width="12.140625" style="17" customWidth="1"/>
    <col min="19" max="19" width="8" style="17" hidden="1" customWidth="1"/>
    <col min="20" max="20" width="12.85546875" style="17" hidden="1" customWidth="1"/>
    <col min="21" max="22" width="11.5703125" style="17" hidden="1" customWidth="1"/>
    <col min="23" max="23" width="11.140625" style="17" hidden="1" customWidth="1"/>
    <col min="24" max="24" width="12.28515625" style="17" hidden="1" customWidth="1"/>
    <col min="25" max="25" width="12.7109375" style="17" hidden="1" customWidth="1"/>
    <col min="26" max="26" width="12.5703125" style="17" hidden="1" customWidth="1"/>
    <col min="27" max="27" width="14.7109375" style="17" hidden="1" customWidth="1"/>
    <col min="28" max="28" width="17.140625" style="17" hidden="1" customWidth="1"/>
    <col min="29" max="29" width="2.28515625" style="17" hidden="1" customWidth="1"/>
    <col min="30" max="30" width="14.42578125" style="17" hidden="1" customWidth="1"/>
    <col min="31" max="32" width="9.140625" style="50" customWidth="1"/>
    <col min="33" max="33" width="9.140625" style="17" hidden="1" customWidth="1"/>
    <col min="34" max="34" width="11.42578125" style="17" hidden="1" customWidth="1"/>
    <col min="35" max="36" width="9.140625" style="17" hidden="1" customWidth="1"/>
    <col min="37" max="37" width="9.85546875" style="17" hidden="1" customWidth="1"/>
    <col min="38" max="39" width="8.5703125" style="17" hidden="1" customWidth="1"/>
    <col min="40" max="40" width="9.85546875" style="50" hidden="1" customWidth="1"/>
    <col min="41" max="42" width="9.140625" style="50" hidden="1" customWidth="1"/>
    <col min="43" max="43" width="13" style="50" customWidth="1"/>
    <col min="44" max="58" width="9.140625" style="50"/>
    <col min="59" max="105" width="13" style="50" customWidth="1"/>
    <col min="106" max="16384" width="9.140625" style="50"/>
  </cols>
  <sheetData>
    <row r="1" spans="1:43" s="311" customFormat="1" ht="48.6" customHeight="1" x14ac:dyDescent="0.2">
      <c r="AG1" s="322"/>
      <c r="AH1" s="322"/>
      <c r="AI1" s="322"/>
      <c r="AJ1" s="517">
        <f ca="1">MAX(OFFSET(J13,1,0):OFFSET(J14,-1,0),OFFSET(J15,1,0):OFFSET(J16,-1,0))</f>
        <v>0</v>
      </c>
      <c r="AK1" s="517">
        <f ca="1">MIN(OFFSET(I13,1,0):OFFSET(I14,-1,0),OFFSET(I15,1,0):OFFSET(I16,-1,0))</f>
        <v>0</v>
      </c>
      <c r="AL1" s="323"/>
      <c r="AM1" s="321"/>
    </row>
    <row r="2" spans="1:43" s="311" customFormat="1" ht="27" customHeight="1" x14ac:dyDescent="0.25">
      <c r="B2" s="692" t="str">
        <f>IF(Settings!D4&lt;&gt;0,Settings!D4,"")</f>
        <v/>
      </c>
      <c r="C2" s="692"/>
      <c r="D2" s="324"/>
      <c r="G2" s="325"/>
      <c r="AB2" s="326"/>
      <c r="AG2" s="322"/>
      <c r="AH2" s="322"/>
      <c r="AI2" s="322"/>
      <c r="AJ2" s="322"/>
      <c r="AK2" s="322"/>
      <c r="AQ2" s="321"/>
    </row>
    <row r="3" spans="1:43" s="311" customFormat="1" ht="22.9" customHeight="1" thickBot="1" x14ac:dyDescent="0.25">
      <c r="B3" s="693" t="str">
        <f>IF(Settings!D5&lt;&gt;0,Settings!D5,"")</f>
        <v/>
      </c>
      <c r="C3" s="693"/>
      <c r="D3" s="327"/>
      <c r="E3" s="328">
        <f ca="1">Settings!\date</f>
        <v>43325.689186226853</v>
      </c>
      <c r="Q3" s="326"/>
      <c r="AD3" s="326"/>
      <c r="AG3" s="322"/>
      <c r="AH3" s="322"/>
      <c r="AI3" s="322"/>
      <c r="AJ3" s="322"/>
      <c r="AK3" s="322"/>
    </row>
    <row r="4" spans="1:43" s="311" customFormat="1" ht="12" customHeight="1" x14ac:dyDescent="0.2">
      <c r="B4" s="329"/>
      <c r="C4" s="330"/>
      <c r="D4" s="331"/>
      <c r="E4" s="331"/>
      <c r="F4" s="331"/>
      <c r="G4" s="331"/>
      <c r="H4" s="331"/>
      <c r="I4" s="331"/>
      <c r="J4" s="331"/>
      <c r="K4" s="331"/>
      <c r="L4" s="332"/>
      <c r="M4" s="333"/>
      <c r="AG4" s="322"/>
      <c r="AH4" s="322"/>
      <c r="AI4" s="322"/>
      <c r="AJ4" s="322"/>
      <c r="AK4" s="322"/>
    </row>
    <row r="5" spans="1:43" s="334" customFormat="1" ht="16.899999999999999" customHeight="1" x14ac:dyDescent="0.25">
      <c r="B5" s="335" t="str">
        <f>Settings!G4</f>
        <v>PreCon Start</v>
      </c>
      <c r="C5" s="269"/>
      <c r="D5" s="336" t="str">
        <f>Settings!G6</f>
        <v>Duration</v>
      </c>
      <c r="E5" s="539" t="e">
        <f ca="1">Settings!H6</f>
        <v>#NAME?</v>
      </c>
      <c r="F5" s="337"/>
      <c r="G5" s="336" t="s">
        <v>242</v>
      </c>
      <c r="H5" s="540">
        <f>Settings!H14</f>
        <v>92</v>
      </c>
      <c r="I5" s="338"/>
      <c r="J5" s="336" t="s">
        <v>493</v>
      </c>
      <c r="K5" s="541">
        <f>Settings!H9</f>
        <v>0.62</v>
      </c>
      <c r="L5" s="339"/>
      <c r="M5" s="340"/>
      <c r="AG5" s="341"/>
      <c r="AH5" s="341"/>
      <c r="AI5" s="341"/>
      <c r="AJ5" s="341"/>
      <c r="AK5" s="341"/>
    </row>
    <row r="6" spans="1:43" s="334" customFormat="1" ht="16.899999999999999" customHeight="1" x14ac:dyDescent="0.2">
      <c r="B6" s="335" t="str">
        <f>Settings!G5</f>
        <v>PreCon Finish</v>
      </c>
      <c r="C6" s="269">
        <f>Settings!\pend</f>
        <v>0</v>
      </c>
      <c r="D6" s="342"/>
      <c r="E6" s="542" t="e">
        <f ca="1">Settings!H7</f>
        <v>#NAME?</v>
      </c>
      <c r="F6" s="337"/>
      <c r="G6" s="336" t="s">
        <v>243</v>
      </c>
      <c r="H6" s="540">
        <f>Settings!H15</f>
        <v>58</v>
      </c>
      <c r="I6" s="338"/>
      <c r="J6" s="336" t="s">
        <v>219</v>
      </c>
      <c r="K6" s="541">
        <f>Settings!H10</f>
        <v>0.62</v>
      </c>
      <c r="L6" s="339"/>
      <c r="M6" s="340"/>
      <c r="O6" s="343"/>
      <c r="AB6" s="326"/>
      <c r="AG6" s="341"/>
      <c r="AH6" s="341"/>
      <c r="AI6" s="341"/>
      <c r="AJ6" s="341"/>
      <c r="AK6" s="341"/>
    </row>
    <row r="7" spans="1:43" s="334" customFormat="1" ht="16.899999999999999" customHeight="1" x14ac:dyDescent="0.25">
      <c r="B7" s="335" t="str">
        <f>Settings!J4</f>
        <v>Contruction Start</v>
      </c>
      <c r="C7" s="269">
        <f>Settings!\cstart</f>
        <v>0</v>
      </c>
      <c r="D7" s="336" t="str">
        <f>Settings!J6</f>
        <v>Duration</v>
      </c>
      <c r="E7" s="539" t="e">
        <f ca="1">Settings!K6</f>
        <v>#NAME?</v>
      </c>
      <c r="F7" s="337"/>
      <c r="G7" s="336" t="s">
        <v>244</v>
      </c>
      <c r="H7" s="540">
        <f>Settings!H16</f>
        <v>115</v>
      </c>
      <c r="I7" s="338"/>
      <c r="J7" s="336" t="s">
        <v>222</v>
      </c>
      <c r="K7" s="541">
        <f>Settings!H11</f>
        <v>0.04</v>
      </c>
      <c r="L7" s="344"/>
      <c r="M7" s="345"/>
      <c r="O7" s="343"/>
      <c r="AB7" s="346"/>
      <c r="AG7" s="341"/>
      <c r="AH7" s="341"/>
      <c r="AI7" s="341"/>
      <c r="AJ7" s="341"/>
      <c r="AK7" s="341"/>
    </row>
    <row r="8" spans="1:43" s="334" customFormat="1" ht="16.899999999999999" customHeight="1" x14ac:dyDescent="0.25">
      <c r="B8" s="335" t="str">
        <f>Settings!J5</f>
        <v>Construction Finish</v>
      </c>
      <c r="C8" s="269"/>
      <c r="D8" s="342"/>
      <c r="E8" s="542" t="e">
        <f ca="1">Settings!K7</f>
        <v>#NAME?</v>
      </c>
      <c r="F8" s="337"/>
      <c r="G8" s="338"/>
      <c r="H8" s="338"/>
      <c r="I8" s="338"/>
      <c r="J8" s="336" t="s">
        <v>223</v>
      </c>
      <c r="K8" s="541">
        <f>Settings!H12</f>
        <v>0.04</v>
      </c>
      <c r="L8" s="344"/>
      <c r="M8" s="345"/>
      <c r="O8" s="343"/>
      <c r="AB8" s="346"/>
      <c r="AG8" s="341"/>
      <c r="AH8" s="341"/>
      <c r="AI8" s="341"/>
      <c r="AJ8" s="341"/>
      <c r="AK8" s="341"/>
    </row>
    <row r="9" spans="1:43" s="311" customFormat="1" ht="12" customHeight="1" thickBot="1" x14ac:dyDescent="0.25">
      <c r="B9" s="492"/>
      <c r="C9" s="347"/>
      <c r="D9" s="347"/>
      <c r="E9" s="347"/>
      <c r="F9" s="347"/>
      <c r="G9" s="347"/>
      <c r="H9" s="347"/>
      <c r="I9" s="347"/>
      <c r="J9" s="347"/>
      <c r="K9" s="347"/>
      <c r="L9" s="348"/>
      <c r="M9" s="333"/>
      <c r="AG9" s="322"/>
      <c r="AH9" s="322"/>
      <c r="AI9" s="322"/>
      <c r="AJ9" s="322"/>
      <c r="AK9" s="322"/>
    </row>
    <row r="10" spans="1:43" s="311" customFormat="1" ht="11.45" customHeight="1" thickBot="1" x14ac:dyDescent="0.25">
      <c r="I10" s="349"/>
      <c r="J10" s="349"/>
      <c r="K10" s="349"/>
      <c r="L10" s="349"/>
      <c r="M10" s="349"/>
      <c r="N10" s="349"/>
      <c r="O10" s="349"/>
      <c r="R10" s="349"/>
      <c r="AG10" s="350"/>
      <c r="AH10" s="350"/>
      <c r="AI10" s="350"/>
      <c r="AJ10" s="350"/>
      <c r="AK10" s="350"/>
      <c r="AL10" s="349"/>
      <c r="AM10" s="349"/>
      <c r="AP10" s="311">
        <f ca="1">OFFSET(AL12,0,1)-1</f>
        <v>1</v>
      </c>
    </row>
    <row r="11" spans="1:43" ht="14.45" customHeight="1" x14ac:dyDescent="0.2">
      <c r="A11" s="50"/>
      <c r="B11" s="351"/>
      <c r="C11" s="352"/>
      <c r="D11" s="352"/>
      <c r="E11" s="694" t="s">
        <v>245</v>
      </c>
      <c r="F11" s="352"/>
      <c r="G11" s="694" t="s">
        <v>8</v>
      </c>
      <c r="H11" s="352"/>
      <c r="I11" s="694" t="s">
        <v>233</v>
      </c>
      <c r="J11" s="694" t="s">
        <v>246</v>
      </c>
      <c r="K11" s="353"/>
      <c r="L11" s="354"/>
      <c r="M11" s="355"/>
      <c r="N11" s="357">
        <f t="shared" ref="N11" si="0">EDATE(\cstart,N12-1)</f>
        <v>0</v>
      </c>
      <c r="O11" s="359"/>
      <c r="P11" s="360"/>
      <c r="Q11" s="696" t="s">
        <v>2</v>
      </c>
      <c r="R11" s="690" t="s">
        <v>368</v>
      </c>
      <c r="S11" s="698" t="s">
        <v>369</v>
      </c>
      <c r="T11" s="688" t="s">
        <v>1</v>
      </c>
      <c r="U11" s="688" t="s">
        <v>234</v>
      </c>
      <c r="V11" s="688" t="s">
        <v>235</v>
      </c>
      <c r="W11" s="688" t="s">
        <v>239</v>
      </c>
      <c r="X11" s="688" t="s">
        <v>237</v>
      </c>
      <c r="Y11" s="688" t="s">
        <v>238</v>
      </c>
      <c r="Z11" s="688" t="s">
        <v>241</v>
      </c>
      <c r="AA11" s="688" t="s">
        <v>240</v>
      </c>
      <c r="AB11" s="688" t="s">
        <v>236</v>
      </c>
      <c r="AC11" s="361"/>
      <c r="AD11" s="362"/>
      <c r="AL11" s="356" t="e">
        <f>EDATE(\pend,AL12)</f>
        <v>#NUM!</v>
      </c>
      <c r="AM11" s="358">
        <f>EDATE(\cstart,AM12-1)</f>
        <v>31</v>
      </c>
    </row>
    <row r="12" spans="1:43" s="363" customFormat="1" ht="19.899999999999999" customHeight="1" x14ac:dyDescent="0.2">
      <c r="B12" s="364" t="s">
        <v>4</v>
      </c>
      <c r="C12" s="365" t="s">
        <v>5</v>
      </c>
      <c r="D12" s="365" t="s">
        <v>0</v>
      </c>
      <c r="E12" s="695"/>
      <c r="F12" s="365"/>
      <c r="G12" s="695"/>
      <c r="H12" s="365" t="s">
        <v>9</v>
      </c>
      <c r="I12" s="695"/>
      <c r="J12" s="695"/>
      <c r="K12" s="366" t="s">
        <v>232</v>
      </c>
      <c r="L12" s="367"/>
      <c r="M12" s="368">
        <v>-2</v>
      </c>
      <c r="N12" s="370">
        <v>1</v>
      </c>
      <c r="O12" s="372"/>
      <c r="P12" s="373" t="s">
        <v>3</v>
      </c>
      <c r="Q12" s="697"/>
      <c r="R12" s="691"/>
      <c r="S12" s="699"/>
      <c r="T12" s="689"/>
      <c r="U12" s="689"/>
      <c r="V12" s="689"/>
      <c r="W12" s="689"/>
      <c r="X12" s="689"/>
      <c r="Y12" s="689"/>
      <c r="Z12" s="689"/>
      <c r="AA12" s="689"/>
      <c r="AB12" s="689"/>
      <c r="AC12" s="374"/>
      <c r="AD12" s="375" t="s">
        <v>2</v>
      </c>
      <c r="AG12" s="376" t="s">
        <v>307</v>
      </c>
      <c r="AH12" s="376">
        <f>COUNTA(G15:G17)</f>
        <v>0</v>
      </c>
      <c r="AI12" s="376"/>
      <c r="AJ12" s="376"/>
      <c r="AK12" s="376"/>
      <c r="AL12" s="369">
        <v>-1</v>
      </c>
      <c r="AM12" s="371">
        <v>2</v>
      </c>
    </row>
    <row r="13" spans="1:43" ht="19.899999999999999" customHeight="1" x14ac:dyDescent="0.2">
      <c r="A13" s="50"/>
      <c r="B13" s="299" t="s">
        <v>231</v>
      </c>
      <c r="C13" s="300"/>
      <c r="D13" s="300"/>
      <c r="E13" s="300"/>
      <c r="F13" s="300"/>
      <c r="G13" s="377"/>
      <c r="H13" s="300"/>
      <c r="I13" s="300"/>
      <c r="J13" s="595" t="s">
        <v>300</v>
      </c>
      <c r="K13" s="378"/>
      <c r="L13" s="354"/>
      <c r="M13" s="355"/>
      <c r="N13" s="299"/>
      <c r="O13" s="359"/>
      <c r="P13" s="299"/>
      <c r="Q13" s="300"/>
      <c r="R13" s="378"/>
      <c r="S13" s="300"/>
      <c r="T13" s="300"/>
      <c r="U13" s="300"/>
      <c r="V13" s="300"/>
      <c r="W13" s="300"/>
      <c r="X13" s="300"/>
      <c r="Y13" s="300"/>
      <c r="Z13" s="300"/>
      <c r="AA13" s="300"/>
      <c r="AB13" s="300"/>
      <c r="AC13" s="300"/>
      <c r="AD13" s="379"/>
      <c r="AG13" s="17" t="s">
        <v>486</v>
      </c>
      <c r="AH13" s="17">
        <f ca="1">SUM(Q13:Q15)</f>
        <v>0</v>
      </c>
      <c r="AL13" s="300"/>
      <c r="AM13" s="300"/>
    </row>
    <row r="14" spans="1:43" ht="19.899999999999999" customHeight="1" x14ac:dyDescent="0.2">
      <c r="A14" s="50"/>
      <c r="B14" s="306"/>
      <c r="C14" s="300"/>
      <c r="D14" s="300"/>
      <c r="E14" s="300"/>
      <c r="F14" s="300"/>
      <c r="G14" s="300"/>
      <c r="H14" s="300"/>
      <c r="I14" s="300"/>
      <c r="J14" s="461" t="s">
        <v>494</v>
      </c>
      <c r="K14" s="475"/>
      <c r="L14" s="307"/>
      <c r="M14" s="197">
        <f>$K14</f>
        <v>0</v>
      </c>
      <c r="N14" s="438"/>
      <c r="O14" s="504"/>
      <c r="P14" s="446"/>
      <c r="Q14" s="447">
        <f ca="1">SUMIF(Q13:OFFSET(Q14,-1,0),"&gt;0")</f>
        <v>0</v>
      </c>
      <c r="R14" s="448">
        <f ca="1">SUMIF(R13:OFFSET(R14,-1,0),"&gt;0")</f>
        <v>0</v>
      </c>
      <c r="S14" s="449"/>
      <c r="T14" s="450">
        <f ca="1">SUMIF(T13:OFFSET(T14,-1,0),"&gt;0")</f>
        <v>0</v>
      </c>
      <c r="U14" s="449" t="str">
        <f ca="1">IFERROR(AVERAGEA(U13:OFFSET(U14,-1,0)),"")</f>
        <v/>
      </c>
      <c r="V14" s="451" t="str">
        <f ca="1">IFERROR(AVERAGEA(V13:OFFSET(V14,-1,0)),"")</f>
        <v/>
      </c>
      <c r="W14" s="449" t="str">
        <f ca="1">IFERROR(AVERAGEA(W13:OFFSET(W14,-1,0)),"")</f>
        <v/>
      </c>
      <c r="X14" s="452">
        <f ca="1">SUMIF(X13:OFFSET(X14,-1,0),"&gt;0")</f>
        <v>0</v>
      </c>
      <c r="Y14" s="452">
        <f ca="1">SUMIF(Y13:OFFSET(Y14,-1,0),"&gt;0")</f>
        <v>0</v>
      </c>
      <c r="Z14" s="452">
        <f ca="1">SUMIF(Z13:OFFSET(Z14,-1,0),"&gt;0")</f>
        <v>0</v>
      </c>
      <c r="AA14" s="452">
        <f ca="1">SUMIF(AA13:OFFSET(AA14,-1,0),"&gt;0")</f>
        <v>0</v>
      </c>
      <c r="AB14" s="452">
        <f ca="1">SUMIF(AB13:OFFSET(AB14,-1,0),"&gt;0")</f>
        <v>0</v>
      </c>
      <c r="AC14" s="451"/>
      <c r="AD14" s="453">
        <f ca="1">SUMIF(AD13:OFFSET(AD14,-1,0),"&gt;0")</f>
        <v>0</v>
      </c>
      <c r="AL14" s="439"/>
      <c r="AM14" s="439"/>
    </row>
    <row r="15" spans="1:43" ht="19.899999999999999" customHeight="1" x14ac:dyDescent="0.2">
      <c r="A15" s="50"/>
      <c r="B15" s="299" t="s">
        <v>19</v>
      </c>
      <c r="C15" s="300"/>
      <c r="D15" s="300"/>
      <c r="E15" s="300"/>
      <c r="F15" s="300"/>
      <c r="G15" s="300"/>
      <c r="H15" s="300"/>
      <c r="I15" s="300"/>
      <c r="J15" s="300"/>
      <c r="K15" s="381"/>
      <c r="L15" s="354">
        <v>0</v>
      </c>
      <c r="M15" s="355">
        <v>0</v>
      </c>
      <c r="N15" s="437"/>
      <c r="O15" s="359"/>
      <c r="P15" s="299"/>
      <c r="Q15" s="300"/>
      <c r="R15" s="382"/>
      <c r="S15" s="383"/>
      <c r="T15" s="383"/>
      <c r="U15" s="300"/>
      <c r="V15" s="300"/>
      <c r="W15" s="300"/>
      <c r="X15" s="300"/>
      <c r="Y15" s="300"/>
      <c r="Z15" s="300"/>
      <c r="AA15" s="300"/>
      <c r="AB15" s="300"/>
      <c r="AC15" s="300"/>
      <c r="AD15" s="379"/>
      <c r="AG15" s="17" t="s">
        <v>487</v>
      </c>
      <c r="AH15" s="17">
        <f ca="1">SUM(Q15:Q17)</f>
        <v>0</v>
      </c>
      <c r="AL15" s="308"/>
      <c r="AM15" s="309"/>
    </row>
    <row r="16" spans="1:43" ht="19.899999999999999" customHeight="1" x14ac:dyDescent="0.2">
      <c r="A16" s="50"/>
      <c r="B16" s="306"/>
      <c r="C16" s="300"/>
      <c r="D16" s="300"/>
      <c r="E16" s="300"/>
      <c r="F16" s="300"/>
      <c r="G16" s="300"/>
      <c r="H16" s="300"/>
      <c r="I16" s="300"/>
      <c r="J16" s="461" t="s">
        <v>494</v>
      </c>
      <c r="K16" s="475"/>
      <c r="L16" s="307"/>
      <c r="M16" s="197">
        <f>$K16</f>
        <v>0</v>
      </c>
      <c r="N16" s="438"/>
      <c r="O16" s="504"/>
      <c r="P16" s="454"/>
      <c r="Q16" s="455">
        <f ca="1">SUMIF(Q15:OFFSET(Q16,-1,0),"&gt;0")</f>
        <v>0</v>
      </c>
      <c r="R16" s="456">
        <f ca="1">SUMIF(R15:OFFSET(R16,-1,0),"&gt;0")</f>
        <v>0</v>
      </c>
      <c r="S16" s="457"/>
      <c r="T16" s="458">
        <f ca="1">SUMIF(T15:OFFSET(T16,-1,0),"&gt;0")</f>
        <v>0</v>
      </c>
      <c r="U16" s="457" t="str">
        <f ca="1">IFERROR(AVERAGEA(U15:OFFSET(U16,-1,0)),"")</f>
        <v/>
      </c>
      <c r="V16" s="459" t="str">
        <f ca="1">IFERROR(AVERAGEA(V15:OFFSET(V16,-1,0)),"")</f>
        <v/>
      </c>
      <c r="W16" s="457" t="str">
        <f ca="1">IFERROR(AVERAGEA(W15:OFFSET(W16,-1,0)),"")</f>
        <v/>
      </c>
      <c r="X16" s="460">
        <f ca="1">SUMIF(X15:OFFSET(X16,-1,0),"&gt;0")</f>
        <v>0</v>
      </c>
      <c r="Y16" s="460">
        <f ca="1">SUMIF(Y15:OFFSET(Y16,-1,0),"&gt;0")</f>
        <v>0</v>
      </c>
      <c r="Z16" s="460">
        <f ca="1">SUMIF(Z15:OFFSET(Z16,-1,0),"&gt;0")</f>
        <v>0</v>
      </c>
      <c r="AA16" s="460">
        <f ca="1">SUMIF(AA15:OFFSET(AA16,-1,0),"&gt;0")</f>
        <v>0</v>
      </c>
      <c r="AB16" s="460">
        <f ca="1">SUMIF(AB15:OFFSET(AB16,-1,0),"&gt;0")</f>
        <v>0</v>
      </c>
      <c r="AC16" s="462"/>
      <c r="AD16" s="463">
        <f ca="1">SUMIF(AD15:OFFSET(AD16,-1,0),"&gt;0")</f>
        <v>0</v>
      </c>
      <c r="AL16" s="439"/>
      <c r="AM16" s="439"/>
    </row>
    <row r="17" spans="1:39" ht="6.6" customHeight="1" thickBot="1" x14ac:dyDescent="0.25">
      <c r="A17" s="50"/>
      <c r="B17" s="385"/>
      <c r="C17" s="386"/>
      <c r="D17" s="386"/>
      <c r="E17" s="386"/>
      <c r="F17" s="386"/>
      <c r="G17" s="387"/>
      <c r="H17" s="388"/>
      <c r="I17" s="389"/>
      <c r="J17" s="389"/>
      <c r="K17" s="390"/>
      <c r="L17" s="391"/>
      <c r="M17" s="197"/>
      <c r="N17" s="393"/>
      <c r="O17" s="380"/>
      <c r="P17" s="395"/>
      <c r="Q17" s="396"/>
      <c r="R17" s="397"/>
      <c r="S17" s="398"/>
      <c r="T17" s="398"/>
      <c r="U17" s="399"/>
      <c r="V17" s="399"/>
      <c r="W17" s="399"/>
      <c r="X17" s="399"/>
      <c r="Y17" s="399"/>
      <c r="Z17" s="399"/>
      <c r="AA17" s="399"/>
      <c r="AB17" s="399"/>
      <c r="AC17" s="399"/>
      <c r="AD17" s="400"/>
      <c r="AL17" s="392"/>
      <c r="AM17" s="394"/>
    </row>
    <row r="18" spans="1:39" x14ac:dyDescent="0.2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391"/>
      <c r="L18" s="391"/>
      <c r="M18" s="391"/>
      <c r="N18" s="50"/>
      <c r="O18" s="311"/>
      <c r="P18" s="50"/>
      <c r="Q18" s="50"/>
      <c r="R18" s="50"/>
      <c r="S18" s="401"/>
      <c r="T18" s="401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L18" s="50"/>
      <c r="AM18" s="50"/>
    </row>
    <row r="19" spans="1:39" x14ac:dyDescent="0.2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391"/>
      <c r="L19" s="391"/>
      <c r="M19" s="391"/>
      <c r="N19" s="50"/>
      <c r="O19" s="311"/>
      <c r="P19" s="50"/>
      <c r="Q19" s="50"/>
      <c r="R19" s="50"/>
      <c r="S19" s="401"/>
      <c r="T19" s="401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L19" s="50"/>
      <c r="AM19" s="50"/>
    </row>
    <row r="20" spans="1:39" x14ac:dyDescent="0.2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391"/>
      <c r="L20" s="391"/>
      <c r="M20" s="391"/>
      <c r="N20" s="50"/>
      <c r="O20" s="311"/>
      <c r="P20" s="50"/>
      <c r="Q20" s="50"/>
      <c r="R20" s="50"/>
      <c r="S20" s="401"/>
      <c r="T20" s="401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L20" s="50"/>
      <c r="AM20" s="50"/>
    </row>
    <row r="21" spans="1:39" x14ac:dyDescent="0.2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391"/>
      <c r="L21" s="391"/>
      <c r="M21" s="391"/>
      <c r="N21" s="50"/>
      <c r="O21" s="311"/>
      <c r="P21" s="50"/>
      <c r="Q21" s="50"/>
      <c r="R21" s="50"/>
      <c r="S21" s="401"/>
      <c r="T21" s="401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L21" s="50"/>
      <c r="AM21" s="50"/>
    </row>
    <row r="22" spans="1:39" x14ac:dyDescent="0.2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391"/>
      <c r="L22" s="391"/>
      <c r="M22" s="391"/>
      <c r="N22" s="50"/>
      <c r="O22" s="311"/>
      <c r="P22" s="50"/>
      <c r="Q22" s="50"/>
      <c r="R22" s="50"/>
      <c r="S22" s="401"/>
      <c r="T22" s="401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L22" s="50"/>
      <c r="AM22" s="50"/>
    </row>
    <row r="23" spans="1:39" x14ac:dyDescent="0.2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391"/>
      <c r="L23" s="391"/>
      <c r="M23" s="391"/>
      <c r="N23" s="50"/>
      <c r="O23" s="311"/>
      <c r="P23" s="50"/>
      <c r="Q23" s="50"/>
      <c r="R23" s="50"/>
      <c r="S23" s="401"/>
      <c r="T23" s="401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L23" s="50"/>
      <c r="AM23" s="50"/>
    </row>
    <row r="24" spans="1:39" x14ac:dyDescent="0.2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391"/>
      <c r="L24" s="391"/>
      <c r="M24" s="391"/>
      <c r="N24" s="50"/>
      <c r="O24" s="311"/>
      <c r="P24" s="50"/>
      <c r="Q24" s="50"/>
      <c r="R24" s="50"/>
      <c r="S24" s="401"/>
      <c r="T24" s="401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L24" s="50"/>
      <c r="AM24" s="50"/>
    </row>
    <row r="25" spans="1:39" hidden="1" x14ac:dyDescent="0.2">
      <c r="A25" s="50"/>
      <c r="J25" s="50"/>
      <c r="K25" s="391"/>
      <c r="L25" s="391"/>
      <c r="M25" s="391"/>
      <c r="N25" s="50"/>
      <c r="O25" s="311"/>
      <c r="P25" s="50"/>
      <c r="Q25" s="50"/>
      <c r="R25" s="50"/>
      <c r="S25" s="401"/>
      <c r="T25" s="401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L25" s="50"/>
      <c r="AM25" s="50"/>
    </row>
    <row r="26" spans="1:39" ht="16.149999999999999" hidden="1" customHeight="1" x14ac:dyDescent="0.2">
      <c r="A26" s="50"/>
      <c r="B26" s="139"/>
      <c r="C26" s="140"/>
      <c r="D26" s="141"/>
      <c r="E26" s="141"/>
      <c r="F26" s="384"/>
      <c r="G26" s="543" t="e">
        <f ca="1">\pdur*-1</f>
        <v>#NAME?</v>
      </c>
      <c r="H26" s="544" t="e">
        <f ca="1">\pdur</f>
        <v>#NAME?</v>
      </c>
      <c r="I26" s="545">
        <f>\pstart</f>
        <v>0</v>
      </c>
      <c r="J26" s="545">
        <f>\pend</f>
        <v>0</v>
      </c>
      <c r="K26" s="546"/>
      <c r="L26" s="307"/>
      <c r="M26" s="197"/>
      <c r="N26" s="193"/>
      <c r="O26" s="380"/>
      <c r="P26" s="464" t="e">
        <f ca="1">AB26/\VACAhrs</f>
        <v>#NAME?</v>
      </c>
      <c r="Q26" s="465" t="e">
        <f ca="1">SUM(X26:AA26)</f>
        <v>#NAME?</v>
      </c>
      <c r="R26" s="466">
        <f>T26*K26</f>
        <v>0</v>
      </c>
      <c r="S26" s="467"/>
      <c r="T26" s="468">
        <f>(J26-I26)/7</f>
        <v>0</v>
      </c>
      <c r="U26" s="469">
        <f>\IT</f>
        <v>92</v>
      </c>
      <c r="V26" s="470">
        <f>\iphone</f>
        <v>58</v>
      </c>
      <c r="W26" s="469">
        <f>\gas</f>
        <v>115</v>
      </c>
      <c r="X26" s="471">
        <f>U26*$R26</f>
        <v>0</v>
      </c>
      <c r="Y26" s="471">
        <f>V26*$R26</f>
        <v>0</v>
      </c>
      <c r="Z26" s="471">
        <f>W26*$R26</f>
        <v>0</v>
      </c>
      <c r="AA26" s="471" t="e">
        <f ca="1">((D26+E26)/52*(1+\conLIT))*calcRaise(I26,J26,\preRaise)</f>
        <v>#NAME?</v>
      </c>
      <c r="AB26" s="472" t="e">
        <f ca="1">(((SUM(U26:W26)*(T26&gt;0))+(((D26+E26)/52)*(1+\conLIT)*calcRaise(I26,J26,\preRaise,FALSE)))/(IF(T26&gt;0,T26,1)))*52</f>
        <v>#NAME?</v>
      </c>
      <c r="AC26" s="473"/>
      <c r="AD26" s="474" t="e">
        <f ca="1">SUM(X26:AA26)</f>
        <v>#NAME?</v>
      </c>
      <c r="AL26" s="192"/>
      <c r="AM26" s="192"/>
    </row>
    <row r="27" spans="1:39" hidden="1" x14ac:dyDescent="0.2">
      <c r="A27" s="50"/>
      <c r="L27" s="50"/>
      <c r="M27" s="50"/>
      <c r="O27" s="311"/>
      <c r="Q27" s="402"/>
      <c r="U27" s="402"/>
      <c r="V27" s="402"/>
      <c r="W27" s="402"/>
      <c r="X27" s="402"/>
      <c r="Y27" s="402"/>
      <c r="Z27" s="402"/>
      <c r="AA27" s="402"/>
      <c r="AB27" s="402"/>
      <c r="AC27" s="402"/>
      <c r="AD27" s="402"/>
    </row>
    <row r="28" spans="1:39" ht="16.149999999999999" hidden="1" customHeight="1" x14ac:dyDescent="0.2">
      <c r="A28" s="485"/>
      <c r="B28" s="139"/>
      <c r="C28" s="140"/>
      <c r="D28" s="141"/>
      <c r="E28" s="141"/>
      <c r="F28" s="384"/>
      <c r="G28" s="543">
        <v>1</v>
      </c>
      <c r="H28" s="544" t="e">
        <f ca="1">\duration</f>
        <v>#NAME?</v>
      </c>
      <c r="I28" s="545">
        <f>\cstart</f>
        <v>0</v>
      </c>
      <c r="J28" s="545">
        <f>\cend</f>
        <v>0</v>
      </c>
      <c r="K28" s="546"/>
      <c r="L28" s="307"/>
      <c r="M28" s="197"/>
      <c r="N28" s="193"/>
      <c r="O28" s="380"/>
      <c r="P28" s="464" t="e">
        <f ca="1">AB28/\VACAhrs</f>
        <v>#NAME?</v>
      </c>
      <c r="Q28" s="465" t="e">
        <f ca="1">SUM(X28:AA28)</f>
        <v>#NAME?</v>
      </c>
      <c r="R28" s="466">
        <f>T28*K28</f>
        <v>0</v>
      </c>
      <c r="S28" s="467"/>
      <c r="T28" s="468">
        <f>(J28-I28)/7</f>
        <v>0</v>
      </c>
      <c r="U28" s="469">
        <f>\IT</f>
        <v>92</v>
      </c>
      <c r="V28" s="470">
        <f>\iphone</f>
        <v>58</v>
      </c>
      <c r="W28" s="469">
        <f>\gas</f>
        <v>115</v>
      </c>
      <c r="X28" s="471">
        <f>U28*$R28</f>
        <v>0</v>
      </c>
      <c r="Y28" s="471">
        <f>V28*$R28</f>
        <v>0</v>
      </c>
      <c r="Z28" s="471">
        <f>W28*$R28</f>
        <v>0</v>
      </c>
      <c r="AA28" s="471" t="e">
        <f ca="1">((D28+E28)/52*(1+\conLIT))*calcRaise(I28,J28,\conRaise)</f>
        <v>#NAME?</v>
      </c>
      <c r="AB28" s="472" t="e">
        <f ca="1">(((SUM(U28:W28)*(T28&gt;0))+(((D28+E28)/52)*(1+\conLIT)*calcRaise(I28,J28,\conRaise,FALSE)))/(IF(T28&gt;0,T28,1)))*52</f>
        <v>#NAME?</v>
      </c>
      <c r="AC28" s="473"/>
      <c r="AD28" s="474" t="e">
        <f ca="1">SUM(X28:AA28)</f>
        <v>#NAME?</v>
      </c>
      <c r="AL28" s="192"/>
      <c r="AM28" s="192"/>
    </row>
    <row r="29" spans="1:39" hidden="1" x14ac:dyDescent="0.2">
      <c r="A29" s="50"/>
      <c r="L29" s="50"/>
      <c r="M29" s="50"/>
      <c r="O29" s="311"/>
    </row>
    <row r="30" spans="1:39" ht="16.149999999999999" hidden="1" customHeight="1" x14ac:dyDescent="0.2">
      <c r="A30" s="50"/>
      <c r="B30" s="139"/>
      <c r="C30" s="140"/>
      <c r="D30" s="141"/>
      <c r="E30" s="141"/>
      <c r="F30" s="384"/>
      <c r="G30" s="543"/>
      <c r="H30" s="544"/>
      <c r="I30" s="545"/>
      <c r="J30" s="545"/>
      <c r="K30" s="546"/>
      <c r="L30" s="307"/>
      <c r="M30" s="197"/>
      <c r="N30" s="193"/>
      <c r="O30" s="380"/>
      <c r="P30" s="464" t="e">
        <f ca="1">AB30/\VACAhrs</f>
        <v>#NAME?</v>
      </c>
      <c r="Q30" s="465" t="e">
        <f ca="1">SUM(X30:AA30)</f>
        <v>#NAME?</v>
      </c>
      <c r="R30" s="466">
        <f>T30*K30</f>
        <v>0</v>
      </c>
      <c r="S30" s="467"/>
      <c r="T30" s="468">
        <f>(J30-I30)/7</f>
        <v>0</v>
      </c>
      <c r="U30" s="469">
        <f>\IT</f>
        <v>92</v>
      </c>
      <c r="V30" s="470">
        <f>\iphone</f>
        <v>58</v>
      </c>
      <c r="W30" s="469">
        <f>\gas</f>
        <v>115</v>
      </c>
      <c r="X30" s="471">
        <f>U30*$R30</f>
        <v>0</v>
      </c>
      <c r="Y30" s="471">
        <f>V30*$R30</f>
        <v>0</v>
      </c>
      <c r="Z30" s="471">
        <f>W30*$R30</f>
        <v>0</v>
      </c>
      <c r="AA30" s="471" t="e">
        <f ca="1">((D30+E30)/52*(1+\conLIT))*calcRaise(I30,J30,\conRaise)</f>
        <v>#NAME?</v>
      </c>
      <c r="AB30" s="472" t="e">
        <f ca="1">(((SUM(U30:W30)*(T30&gt;0))+(((D30+E30)/52)*(1+\conLIT)*calcRaise(I30,J30,\conRaise,FALSE)))/(IF(T30&gt;0,T30,1)))*52</f>
        <v>#NAME?</v>
      </c>
      <c r="AC30" s="473"/>
      <c r="AD30" s="474" t="e">
        <f ca="1">SUM(X30:AA30)</f>
        <v>#NAME?</v>
      </c>
      <c r="AL30" s="192"/>
      <c r="AM30" s="192"/>
    </row>
    <row r="31" spans="1:39" hidden="1" x14ac:dyDescent="0.2">
      <c r="A31" s="50"/>
      <c r="O31" s="311"/>
    </row>
    <row r="32" spans="1:39" ht="16.149999999999999" hidden="1" customHeight="1" x14ac:dyDescent="0.2">
      <c r="A32" s="50"/>
      <c r="B32" s="139"/>
      <c r="C32" s="140"/>
      <c r="D32" s="141"/>
      <c r="E32" s="141"/>
      <c r="F32" s="384"/>
      <c r="G32" s="543" t="e">
        <f ca="1">\pdur*-1</f>
        <v>#NAME?</v>
      </c>
      <c r="H32" s="544" t="e">
        <f ca="1">\pdur</f>
        <v>#NAME?</v>
      </c>
      <c r="I32" s="545">
        <f>\pstart</f>
        <v>0</v>
      </c>
      <c r="J32" s="545">
        <f>\pend</f>
        <v>0</v>
      </c>
      <c r="K32" s="546"/>
      <c r="L32" s="307"/>
      <c r="M32" s="197"/>
      <c r="N32" s="193"/>
      <c r="O32" s="380"/>
      <c r="P32" s="464" t="e">
        <f ca="1">AB32/\VACAhrs</f>
        <v>#NAME?</v>
      </c>
      <c r="Q32" s="465" t="e">
        <f ca="1">SUM(X32:AA32)</f>
        <v>#NAME?</v>
      </c>
      <c r="R32" s="466">
        <f>T32*K32</f>
        <v>0</v>
      </c>
      <c r="S32" s="467"/>
      <c r="T32" s="468">
        <f>(J32-I32)/7</f>
        <v>0</v>
      </c>
      <c r="U32" s="469">
        <f>\IT</f>
        <v>92</v>
      </c>
      <c r="V32" s="470">
        <f>\iphone</f>
        <v>58</v>
      </c>
      <c r="W32" s="469">
        <f>\gas</f>
        <v>115</v>
      </c>
      <c r="X32" s="471">
        <f>U32*$R32</f>
        <v>0</v>
      </c>
      <c r="Y32" s="471">
        <f>V32*$R32</f>
        <v>0</v>
      </c>
      <c r="Z32" s="471">
        <f>W32*$R32</f>
        <v>0</v>
      </c>
      <c r="AA32" s="471" t="e">
        <f ca="1">((D32+E32)/52*(1+\preLIT))*calcRaise(I32,J32,\preRaise)</f>
        <v>#NAME?</v>
      </c>
      <c r="AB32" s="472" t="e">
        <f ca="1">(((SUM(U32:W32)*(T32&gt;0))+(((D32+E32)/52)*(1+\preLIT)*calcRaise(I32,J32,\preRaise,FALSE)))/(IF(T32&gt;0,T32,1)))*52</f>
        <v>#NAME?</v>
      </c>
      <c r="AC32" s="473"/>
      <c r="AD32" s="474" t="e">
        <f ca="1">SUM(X32:AA32)</f>
        <v>#NAME?</v>
      </c>
      <c r="AL32" s="192"/>
      <c r="AM32" s="192"/>
    </row>
    <row r="33" spans="1:39" hidden="1" x14ac:dyDescent="0.2">
      <c r="A33" s="50"/>
    </row>
    <row r="34" spans="1:39" hidden="1" x14ac:dyDescent="0.2">
      <c r="A34" s="50"/>
    </row>
    <row r="35" spans="1:39" hidden="1" x14ac:dyDescent="0.2">
      <c r="A35" s="50"/>
    </row>
    <row r="36" spans="1:39" ht="19.899999999999999" hidden="1" customHeight="1" x14ac:dyDescent="0.2">
      <c r="A36" s="485" t="s">
        <v>928</v>
      </c>
      <c r="B36" s="502" t="s">
        <v>495</v>
      </c>
      <c r="C36" s="486"/>
      <c r="D36" s="486"/>
      <c r="E36" s="486"/>
      <c r="F36" s="486"/>
      <c r="G36" s="486"/>
      <c r="H36" s="486"/>
      <c r="I36" s="503" t="s">
        <v>930</v>
      </c>
      <c r="J36" s="503" t="s">
        <v>929</v>
      </c>
      <c r="K36" s="487"/>
      <c r="L36" s="354">
        <v>0</v>
      </c>
      <c r="M36" s="355">
        <v>0</v>
      </c>
      <c r="N36" s="488"/>
      <c r="O36" s="359"/>
      <c r="P36" s="488"/>
      <c r="Q36" s="486"/>
      <c r="R36" s="489"/>
      <c r="S36" s="490"/>
      <c r="T36" s="490"/>
      <c r="U36" s="486"/>
      <c r="V36" s="486"/>
      <c r="W36" s="486"/>
      <c r="X36" s="486"/>
      <c r="Y36" s="486"/>
      <c r="Z36" s="486"/>
      <c r="AA36" s="486"/>
      <c r="AB36" s="486"/>
      <c r="AC36" s="486"/>
      <c r="AD36" s="491"/>
      <c r="AL36" s="486"/>
      <c r="AM36" s="486"/>
    </row>
    <row r="37" spans="1:39" ht="19.899999999999999" hidden="1" customHeight="1" x14ac:dyDescent="0.2">
      <c r="A37" s="50"/>
      <c r="B37" s="443"/>
      <c r="C37" s="439"/>
      <c r="D37" s="439"/>
      <c r="E37" s="439"/>
      <c r="F37" s="439"/>
      <c r="G37" s="439"/>
      <c r="H37" s="439"/>
      <c r="I37" s="439"/>
      <c r="J37" s="444" t="s">
        <v>494</v>
      </c>
      <c r="K37" s="445" t="str">
        <f ca="1">IFERROR(AVERAGEA(K36:OFFSET(K37,-1,0)),"")</f>
        <v/>
      </c>
      <c r="L37" s="307"/>
      <c r="M37" s="197" t="str">
        <f ca="1">$K37</f>
        <v/>
      </c>
      <c r="N37" s="438"/>
      <c r="O37" s="380"/>
      <c r="P37" s="440" t="str">
        <f ca="1">IFERROR(AVERAGEA(P36:OFFSET(P37,-1,0)),"")</f>
        <v/>
      </c>
      <c r="Q37" s="441">
        <f ca="1">SUMIF(Q36:OFFSET(Q37,-1,0),"&gt;0")</f>
        <v>0</v>
      </c>
      <c r="R37" s="442">
        <f ca="1">SUMIF(R36:OFFSET(R37,-1,0),"&gt;0")</f>
        <v>0</v>
      </c>
      <c r="S37" s="301"/>
      <c r="T37" s="303">
        <f ca="1">SUMIF(T36:OFFSET(T37,-1,0),"&gt;0")</f>
        <v>0</v>
      </c>
      <c r="U37" s="301" t="str">
        <f ca="1">IFERROR(AVERAGEA(U36:OFFSET(U37,-1,0)),"")</f>
        <v/>
      </c>
      <c r="V37" s="302" t="str">
        <f ca="1">IFERROR(AVERAGEA(V36:OFFSET(V37,-1,0)),"")</f>
        <v/>
      </c>
      <c r="W37" s="301" t="str">
        <f ca="1">IFERROR(AVERAGEA(W36:OFFSET(W37,-1,0)),"")</f>
        <v/>
      </c>
      <c r="X37" s="304">
        <f ca="1">SUMIF(X36:OFFSET(X37,-1,0),"&gt;0")</f>
        <v>0</v>
      </c>
      <c r="Y37" s="304">
        <f ca="1">SUMIF(Y36:OFFSET(Y37,-1,0),"&gt;0")</f>
        <v>0</v>
      </c>
      <c r="Z37" s="304">
        <f ca="1">SUMIF(Z36:OFFSET(Z37,-1,0),"&gt;0")</f>
        <v>0</v>
      </c>
      <c r="AA37" s="304">
        <f ca="1">SUMIF(AA36:OFFSET(AA37,-1,0),"&gt;0")</f>
        <v>0</v>
      </c>
      <c r="AB37" s="304">
        <f ca="1">SUMIF(AB36:OFFSET(AB37,-1,0),"&gt;0")</f>
        <v>0</v>
      </c>
      <c r="AC37" s="302">
        <f ca="1">COUNTA(AC36:OFFSET(AC37,-1,0))</f>
        <v>0</v>
      </c>
      <c r="AD37" s="305">
        <f ca="1">SUMIF(AD36:OFFSET(AD37,-1,0),"&gt;0")</f>
        <v>0</v>
      </c>
      <c r="AL37" s="439"/>
      <c r="AM37" s="439"/>
    </row>
    <row r="38" spans="1:39" hidden="1" x14ac:dyDescent="0.2">
      <c r="A38" s="50"/>
    </row>
    <row r="39" spans="1:39" hidden="1" x14ac:dyDescent="0.2">
      <c r="A39" s="50"/>
    </row>
    <row r="40" spans="1:39" s="334" customFormat="1" ht="16.899999999999999" hidden="1" customHeight="1" x14ac:dyDescent="0.25">
      <c r="B40" s="335" t="s">
        <v>931</v>
      </c>
      <c r="C40" s="269"/>
      <c r="D40" s="336">
        <f>Settings!J48</f>
        <v>0</v>
      </c>
      <c r="E40" s="539"/>
      <c r="F40" s="337"/>
      <c r="G40" s="338"/>
      <c r="H40" s="338"/>
      <c r="I40" s="338"/>
      <c r="J40" s="336"/>
      <c r="K40" s="547"/>
      <c r="L40" s="344"/>
      <c r="M40" s="345"/>
      <c r="O40" s="343"/>
      <c r="AB40" s="346"/>
      <c r="AG40" s="341"/>
      <c r="AH40" s="341"/>
      <c r="AI40" s="341"/>
      <c r="AJ40" s="341"/>
      <c r="AK40" s="341"/>
    </row>
    <row r="41" spans="1:39" s="334" customFormat="1" ht="16.899999999999999" hidden="1" customHeight="1" x14ac:dyDescent="0.25">
      <c r="B41" s="335" t="s">
        <v>932</v>
      </c>
      <c r="C41" s="269"/>
      <c r="D41" s="342"/>
      <c r="E41" s="542"/>
      <c r="F41" s="337"/>
      <c r="G41" s="338"/>
      <c r="H41" s="338"/>
      <c r="I41" s="338"/>
      <c r="J41" s="336"/>
      <c r="K41" s="547"/>
      <c r="L41" s="344"/>
      <c r="M41" s="345"/>
      <c r="O41" s="343"/>
      <c r="AB41" s="346"/>
      <c r="AG41" s="341"/>
      <c r="AH41" s="341"/>
      <c r="AI41" s="341"/>
      <c r="AJ41" s="341"/>
      <c r="AK41" s="341"/>
    </row>
    <row r="42" spans="1:39" x14ac:dyDescent="0.2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311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G42" s="50"/>
      <c r="AH42" s="50"/>
      <c r="AI42" s="50"/>
      <c r="AJ42" s="50"/>
      <c r="AK42" s="50"/>
      <c r="AL42" s="50"/>
      <c r="AM42" s="50"/>
    </row>
    <row r="43" spans="1:39" x14ac:dyDescent="0.2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311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G43" s="50"/>
      <c r="AH43" s="50"/>
      <c r="AI43" s="50"/>
      <c r="AJ43" s="50"/>
      <c r="AK43" s="50"/>
      <c r="AL43" s="50"/>
      <c r="AM43" s="50"/>
    </row>
    <row r="44" spans="1:39" x14ac:dyDescent="0.2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311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G44" s="50"/>
      <c r="AH44" s="50"/>
      <c r="AI44" s="50"/>
      <c r="AJ44" s="50"/>
      <c r="AK44" s="50"/>
      <c r="AL44" s="50"/>
      <c r="AM44" s="50"/>
    </row>
    <row r="45" spans="1:39" x14ac:dyDescent="0.2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311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G45" s="50"/>
      <c r="AH45" s="50"/>
      <c r="AI45" s="50"/>
      <c r="AJ45" s="50"/>
      <c r="AK45" s="50"/>
      <c r="AL45" s="50"/>
      <c r="AM45" s="50"/>
    </row>
    <row r="46" spans="1:39" x14ac:dyDescent="0.2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311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G46" s="50"/>
      <c r="AH46" s="50"/>
      <c r="AI46" s="50"/>
      <c r="AJ46" s="50"/>
      <c r="AK46" s="50"/>
      <c r="AL46" s="50"/>
      <c r="AM46" s="50"/>
    </row>
    <row r="47" spans="1:39" x14ac:dyDescent="0.2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311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G47" s="50"/>
      <c r="AH47" s="50"/>
      <c r="AI47" s="50"/>
      <c r="AJ47" s="50"/>
      <c r="AK47" s="50"/>
      <c r="AL47" s="50"/>
      <c r="AM47" s="50"/>
    </row>
    <row r="48" spans="1:39" x14ac:dyDescent="0.2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311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G48" s="50"/>
      <c r="AH48" s="50"/>
      <c r="AI48" s="50"/>
      <c r="AJ48" s="50"/>
      <c r="AK48" s="50"/>
      <c r="AL48" s="50"/>
      <c r="AM48" s="50"/>
    </row>
    <row r="49" spans="1:39" x14ac:dyDescent="0.2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311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G49" s="50"/>
      <c r="AH49" s="50"/>
      <c r="AI49" s="50"/>
      <c r="AJ49" s="50"/>
      <c r="AK49" s="50"/>
      <c r="AL49" s="50"/>
      <c r="AM49" s="50"/>
    </row>
    <row r="50" spans="1:39" x14ac:dyDescent="0.2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311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G50" s="50"/>
      <c r="AH50" s="50"/>
      <c r="AI50" s="50"/>
      <c r="AJ50" s="50"/>
      <c r="AK50" s="50"/>
      <c r="AL50" s="50"/>
      <c r="AM50" s="50"/>
    </row>
    <row r="51" spans="1:39" x14ac:dyDescent="0.2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311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G51" s="50"/>
      <c r="AH51" s="50"/>
      <c r="AI51" s="50"/>
      <c r="AJ51" s="50"/>
      <c r="AK51" s="50"/>
      <c r="AL51" s="50"/>
      <c r="AM51" s="50"/>
    </row>
    <row r="52" spans="1:39" x14ac:dyDescent="0.2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311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G52" s="50"/>
      <c r="AH52" s="50"/>
      <c r="AI52" s="50"/>
      <c r="AJ52" s="50"/>
      <c r="AK52" s="50"/>
      <c r="AL52" s="50"/>
      <c r="AM52" s="50"/>
    </row>
    <row r="53" spans="1:39" x14ac:dyDescent="0.2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311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G53" s="50"/>
      <c r="AH53" s="50"/>
      <c r="AI53" s="50"/>
      <c r="AJ53" s="50"/>
      <c r="AK53" s="50"/>
      <c r="AL53" s="50"/>
      <c r="AM53" s="50"/>
    </row>
    <row r="54" spans="1:39" x14ac:dyDescent="0.2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311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G54" s="50"/>
      <c r="AH54" s="50"/>
      <c r="AI54" s="50"/>
      <c r="AJ54" s="50"/>
      <c r="AK54" s="50"/>
      <c r="AL54" s="50"/>
      <c r="AM54" s="50"/>
    </row>
    <row r="55" spans="1:39" x14ac:dyDescent="0.2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311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G55" s="50"/>
      <c r="AH55" s="50"/>
      <c r="AI55" s="50"/>
      <c r="AJ55" s="50"/>
      <c r="AK55" s="50"/>
      <c r="AL55" s="50"/>
      <c r="AM55" s="50"/>
    </row>
    <row r="56" spans="1:39" x14ac:dyDescent="0.2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311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G56" s="50"/>
      <c r="AH56" s="50"/>
      <c r="AI56" s="50"/>
      <c r="AJ56" s="50"/>
      <c r="AK56" s="50"/>
      <c r="AL56" s="50"/>
      <c r="AM56" s="50"/>
    </row>
    <row r="57" spans="1:39" x14ac:dyDescent="0.2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311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G57" s="50"/>
      <c r="AH57" s="50"/>
      <c r="AI57" s="50"/>
      <c r="AJ57" s="50"/>
      <c r="AK57" s="50"/>
      <c r="AL57" s="50"/>
      <c r="AM57" s="50"/>
    </row>
    <row r="58" spans="1:39" x14ac:dyDescent="0.2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311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G58" s="50"/>
      <c r="AH58" s="50"/>
      <c r="AI58" s="50"/>
      <c r="AJ58" s="50"/>
      <c r="AK58" s="50"/>
      <c r="AL58" s="50"/>
      <c r="AM58" s="50"/>
    </row>
    <row r="59" spans="1:39" x14ac:dyDescent="0.2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311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G59" s="50"/>
      <c r="AH59" s="50"/>
      <c r="AI59" s="50"/>
      <c r="AJ59" s="50"/>
      <c r="AK59" s="50"/>
      <c r="AL59" s="50"/>
      <c r="AM59" s="50"/>
    </row>
    <row r="60" spans="1:39" x14ac:dyDescent="0.2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311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G60" s="50"/>
      <c r="AH60" s="50"/>
      <c r="AI60" s="50"/>
      <c r="AJ60" s="50"/>
      <c r="AK60" s="50"/>
      <c r="AL60" s="50"/>
      <c r="AM60" s="50"/>
    </row>
    <row r="61" spans="1:39" x14ac:dyDescent="0.2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311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G61" s="50"/>
      <c r="AH61" s="50"/>
      <c r="AI61" s="50"/>
      <c r="AJ61" s="50"/>
      <c r="AK61" s="50"/>
      <c r="AL61" s="50"/>
      <c r="AM61" s="50"/>
    </row>
    <row r="62" spans="1:39" x14ac:dyDescent="0.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311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G62" s="50"/>
      <c r="AH62" s="50"/>
      <c r="AI62" s="50"/>
      <c r="AJ62" s="50"/>
      <c r="AK62" s="50"/>
      <c r="AL62" s="50"/>
      <c r="AM62" s="50"/>
    </row>
    <row r="63" spans="1:39" x14ac:dyDescent="0.2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311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G63" s="50"/>
      <c r="AH63" s="50"/>
      <c r="AI63" s="50"/>
      <c r="AJ63" s="50"/>
      <c r="AK63" s="50"/>
      <c r="AL63" s="50"/>
      <c r="AM63" s="50"/>
    </row>
    <row r="64" spans="1:39" x14ac:dyDescent="0.2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311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G64" s="50"/>
      <c r="AH64" s="50"/>
      <c r="AI64" s="50"/>
      <c r="AJ64" s="50"/>
      <c r="AK64" s="50"/>
      <c r="AL64" s="50"/>
      <c r="AM64" s="50"/>
    </row>
    <row r="65" spans="1:39" x14ac:dyDescent="0.2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311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G65" s="50"/>
      <c r="AH65" s="50"/>
      <c r="AI65" s="50"/>
      <c r="AJ65" s="50"/>
      <c r="AK65" s="50"/>
      <c r="AL65" s="50"/>
      <c r="AM65" s="50"/>
    </row>
    <row r="66" spans="1:39" x14ac:dyDescent="0.2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311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G66" s="50"/>
      <c r="AH66" s="50"/>
      <c r="AI66" s="50"/>
      <c r="AJ66" s="50"/>
      <c r="AK66" s="50"/>
      <c r="AL66" s="50"/>
      <c r="AM66" s="50"/>
    </row>
    <row r="67" spans="1:39" x14ac:dyDescent="0.2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311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G67" s="50"/>
      <c r="AH67" s="50"/>
      <c r="AI67" s="50"/>
      <c r="AJ67" s="50"/>
      <c r="AK67" s="50"/>
      <c r="AL67" s="50"/>
      <c r="AM67" s="50"/>
    </row>
    <row r="68" spans="1:39" x14ac:dyDescent="0.2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311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G68" s="50"/>
      <c r="AH68" s="50"/>
      <c r="AI68" s="50"/>
      <c r="AJ68" s="50"/>
      <c r="AK68" s="50"/>
      <c r="AL68" s="50"/>
      <c r="AM68" s="50"/>
    </row>
    <row r="69" spans="1:39" x14ac:dyDescent="0.2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311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G69" s="50"/>
      <c r="AH69" s="50"/>
      <c r="AI69" s="50"/>
      <c r="AJ69" s="50"/>
      <c r="AK69" s="50"/>
      <c r="AL69" s="50"/>
      <c r="AM69" s="50"/>
    </row>
    <row r="70" spans="1:39" x14ac:dyDescent="0.2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311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G70" s="50"/>
      <c r="AH70" s="50"/>
      <c r="AI70" s="50"/>
      <c r="AJ70" s="50"/>
      <c r="AK70" s="50"/>
      <c r="AL70" s="50"/>
      <c r="AM70" s="50"/>
    </row>
    <row r="71" spans="1:39" x14ac:dyDescent="0.2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311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G71" s="50"/>
      <c r="AH71" s="50"/>
      <c r="AI71" s="50"/>
      <c r="AJ71" s="50"/>
      <c r="AK71" s="50"/>
      <c r="AL71" s="50"/>
      <c r="AM71" s="50"/>
    </row>
    <row r="72" spans="1:39" x14ac:dyDescent="0.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311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G72" s="50"/>
      <c r="AH72" s="50"/>
      <c r="AI72" s="50"/>
      <c r="AJ72" s="50"/>
      <c r="AK72" s="50"/>
      <c r="AL72" s="50"/>
      <c r="AM72" s="50"/>
    </row>
    <row r="73" spans="1:39" x14ac:dyDescent="0.2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311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G73" s="50"/>
      <c r="AH73" s="50"/>
      <c r="AI73" s="50"/>
      <c r="AJ73" s="50"/>
      <c r="AK73" s="50"/>
      <c r="AL73" s="50"/>
      <c r="AM73" s="50"/>
    </row>
    <row r="74" spans="1:39" x14ac:dyDescent="0.2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311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G74" s="50"/>
      <c r="AH74" s="50"/>
      <c r="AI74" s="50"/>
      <c r="AJ74" s="50"/>
      <c r="AK74" s="50"/>
      <c r="AL74" s="50"/>
      <c r="AM74" s="50"/>
    </row>
    <row r="75" spans="1:39" x14ac:dyDescent="0.2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311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G75" s="50"/>
      <c r="AH75" s="50"/>
      <c r="AI75" s="50"/>
      <c r="AJ75" s="50"/>
      <c r="AK75" s="50"/>
      <c r="AL75" s="50"/>
      <c r="AM75" s="50"/>
    </row>
    <row r="76" spans="1:39" x14ac:dyDescent="0.2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311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G76" s="50"/>
      <c r="AH76" s="50"/>
      <c r="AI76" s="50"/>
      <c r="AJ76" s="50"/>
      <c r="AK76" s="50"/>
      <c r="AL76" s="50"/>
      <c r="AM76" s="50"/>
    </row>
    <row r="77" spans="1:39" x14ac:dyDescent="0.2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311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G77" s="50"/>
      <c r="AH77" s="50"/>
      <c r="AI77" s="50"/>
      <c r="AJ77" s="50"/>
      <c r="AK77" s="50"/>
      <c r="AL77" s="50"/>
      <c r="AM77" s="50"/>
    </row>
    <row r="78" spans="1:39" x14ac:dyDescent="0.2"/>
    <row r="79" spans="1:39" x14ac:dyDescent="0.2"/>
    <row r="80" spans="1:39" x14ac:dyDescent="0.2"/>
    <row r="81" x14ac:dyDescent="0.2"/>
  </sheetData>
  <sheetProtection formatCells="0" formatColumns="0" formatRows="0" insertColumns="0" insertRows="0" insertHyperlinks="0" deleteColumns="0" deleteRows="0" sort="0" autoFilter="0" pivotTables="0"/>
  <dataConsolidate/>
  <mergeCells count="18">
    <mergeCell ref="B2:C2"/>
    <mergeCell ref="B3:C3"/>
    <mergeCell ref="U11:U12"/>
    <mergeCell ref="V11:V12"/>
    <mergeCell ref="E11:E12"/>
    <mergeCell ref="G11:G12"/>
    <mergeCell ref="I11:I12"/>
    <mergeCell ref="J11:J12"/>
    <mergeCell ref="Q11:Q12"/>
    <mergeCell ref="T11:T12"/>
    <mergeCell ref="S11:S12"/>
    <mergeCell ref="Y11:Y12"/>
    <mergeCell ref="X11:X12"/>
    <mergeCell ref="AA11:AA12"/>
    <mergeCell ref="AB11:AB12"/>
    <mergeCell ref="R11:R12"/>
    <mergeCell ref="Z11:Z12"/>
    <mergeCell ref="W11:W12"/>
  </mergeCells>
  <conditionalFormatting sqref="E5">
    <cfRule type="expression" dxfId="11" priority="4">
      <formula>$E$5&gt;500</formula>
    </cfRule>
  </conditionalFormatting>
  <conditionalFormatting sqref="E7">
    <cfRule type="expression" dxfId="10" priority="3">
      <formula>$E$7&gt;500</formula>
    </cfRule>
  </conditionalFormatting>
  <conditionalFormatting sqref="E6">
    <cfRule type="expression" dxfId="9" priority="2">
      <formula>$E$5&gt;500</formula>
    </cfRule>
  </conditionalFormatting>
  <conditionalFormatting sqref="E8">
    <cfRule type="expression" dxfId="8" priority="1">
      <formula>$E$7&gt;500</formula>
    </cfRule>
  </conditionalFormatting>
  <pageMargins left="0.7" right="0.7" top="0.75" bottom="0.75" header="0.3" footer="0.3"/>
  <pageSetup paperSize="256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FBD4-B9CD-4B71-AEC3-792ED0BABEE4}">
  <sheetPr codeName="Sheet5"/>
  <dimension ref="A1:CR193"/>
  <sheetViews>
    <sheetView zoomScale="90" zoomScaleNormal="90" workbookViewId="0">
      <selection activeCell="A30" sqref="A30:XFD32"/>
    </sheetView>
  </sheetViews>
  <sheetFormatPr defaultColWidth="4.7109375" defaultRowHeight="15" customHeight="1" zeroHeight="1" x14ac:dyDescent="0.25"/>
  <cols>
    <col min="1" max="1" width="4.28515625" style="185" customWidth="1"/>
    <col min="2" max="2" width="21.140625" style="185" bestFit="1" customWidth="1"/>
    <col min="3" max="3" width="1.140625" style="185" customWidth="1"/>
    <col min="4" max="4" width="10.7109375" style="185" bestFit="1" customWidth="1"/>
    <col min="5" max="5" width="9.140625" style="185" customWidth="1"/>
    <col min="6" max="6" width="12.28515625" style="185" customWidth="1"/>
    <col min="7" max="7" width="6.7109375" style="185" customWidth="1"/>
    <col min="8" max="8" width="4.28515625" style="185" customWidth="1"/>
    <col min="9" max="93" width="3.7109375" style="185" customWidth="1"/>
    <col min="94" max="95" width="4.7109375" style="609" customWidth="1"/>
    <col min="96" max="96" width="3.7109375" style="185" hidden="1" customWidth="1"/>
    <col min="97" max="16384" width="4.7109375" style="609"/>
  </cols>
  <sheetData>
    <row r="1" spans="1:96" x14ac:dyDescent="0.25">
      <c r="I1" s="700"/>
      <c r="J1" s="700"/>
      <c r="K1" s="700"/>
      <c r="L1" s="700"/>
      <c r="M1" s="700"/>
      <c r="N1" s="700"/>
      <c r="O1" s="700"/>
      <c r="P1" s="700"/>
      <c r="Q1" s="700"/>
      <c r="R1" s="700"/>
      <c r="S1" s="700"/>
      <c r="T1" s="700"/>
      <c r="U1" s="700"/>
      <c r="V1" s="700"/>
      <c r="W1" s="700"/>
      <c r="X1" s="700"/>
      <c r="Y1" s="608"/>
      <c r="Z1" s="608"/>
      <c r="AA1" s="608"/>
      <c r="AB1" s="608"/>
      <c r="AC1" s="608"/>
      <c r="AD1" s="608"/>
      <c r="AE1" s="608"/>
      <c r="AF1" s="608"/>
      <c r="AG1" s="608"/>
      <c r="AH1" s="608"/>
      <c r="AI1" s="608"/>
      <c r="AJ1" s="608"/>
      <c r="AK1" s="608"/>
      <c r="AL1" s="608"/>
      <c r="AM1" s="608"/>
      <c r="AN1" s="608"/>
      <c r="AO1" s="608"/>
      <c r="AP1" s="608"/>
      <c r="AQ1" s="608"/>
      <c r="AR1" s="608"/>
      <c r="AS1" s="608"/>
      <c r="AT1" s="608"/>
      <c r="AU1" s="608"/>
      <c r="AV1" s="608"/>
      <c r="AW1" s="608"/>
      <c r="AX1" s="608"/>
      <c r="AY1" s="608"/>
      <c r="AZ1" s="608"/>
      <c r="BA1" s="608"/>
      <c r="BB1" s="608"/>
      <c r="BC1" s="608"/>
      <c r="BD1" s="608"/>
      <c r="BE1" s="608"/>
      <c r="BF1" s="608"/>
      <c r="BG1" s="608"/>
    </row>
    <row r="2" spans="1:96" x14ac:dyDescent="0.25"/>
    <row r="3" spans="1:96" x14ac:dyDescent="0.25"/>
    <row r="4" spans="1:96" x14ac:dyDescent="0.25"/>
    <row r="5" spans="1:96" x14ac:dyDescent="0.25"/>
    <row r="6" spans="1:96" ht="15.75" thickBot="1" x14ac:dyDescent="0.3">
      <c r="I6" s="610"/>
      <c r="AE6" s="611"/>
    </row>
    <row r="7" spans="1:96" ht="15.75" thickBot="1" x14ac:dyDescent="0.3">
      <c r="B7" s="612"/>
      <c r="C7" s="613"/>
      <c r="D7" s="614" t="s">
        <v>972</v>
      </c>
      <c r="E7" s="615" t="s">
        <v>9</v>
      </c>
      <c r="F7" s="615" t="s">
        <v>1002</v>
      </c>
      <c r="G7" s="616" t="s">
        <v>1003</v>
      </c>
      <c r="H7" s="617"/>
      <c r="I7" s="614">
        <f t="shared" ref="I7:BT7" si="0">H7+1</f>
        <v>1</v>
      </c>
      <c r="J7" s="615">
        <f t="shared" si="0"/>
        <v>2</v>
      </c>
      <c r="K7" s="615">
        <f t="shared" si="0"/>
        <v>3</v>
      </c>
      <c r="L7" s="615">
        <f t="shared" si="0"/>
        <v>4</v>
      </c>
      <c r="M7" s="615">
        <f t="shared" si="0"/>
        <v>5</v>
      </c>
      <c r="N7" s="615">
        <f t="shared" si="0"/>
        <v>6</v>
      </c>
      <c r="O7" s="615">
        <f t="shared" si="0"/>
        <v>7</v>
      </c>
      <c r="P7" s="615">
        <f t="shared" si="0"/>
        <v>8</v>
      </c>
      <c r="Q7" s="615">
        <f t="shared" si="0"/>
        <v>9</v>
      </c>
      <c r="R7" s="615">
        <f t="shared" si="0"/>
        <v>10</v>
      </c>
      <c r="S7" s="615">
        <f t="shared" si="0"/>
        <v>11</v>
      </c>
      <c r="T7" s="615">
        <f t="shared" si="0"/>
        <v>12</v>
      </c>
      <c r="U7" s="615">
        <f t="shared" si="0"/>
        <v>13</v>
      </c>
      <c r="V7" s="615">
        <f t="shared" si="0"/>
        <v>14</v>
      </c>
      <c r="W7" s="615">
        <f t="shared" si="0"/>
        <v>15</v>
      </c>
      <c r="X7" s="615">
        <f t="shared" si="0"/>
        <v>16</v>
      </c>
      <c r="Y7" s="615">
        <f t="shared" si="0"/>
        <v>17</v>
      </c>
      <c r="Z7" s="615">
        <f t="shared" si="0"/>
        <v>18</v>
      </c>
      <c r="AA7" s="615">
        <f t="shared" si="0"/>
        <v>19</v>
      </c>
      <c r="AB7" s="615">
        <f t="shared" si="0"/>
        <v>20</v>
      </c>
      <c r="AC7" s="615">
        <f t="shared" si="0"/>
        <v>21</v>
      </c>
      <c r="AD7" s="615">
        <f t="shared" si="0"/>
        <v>22</v>
      </c>
      <c r="AE7" s="615">
        <f t="shared" si="0"/>
        <v>23</v>
      </c>
      <c r="AF7" s="615">
        <f t="shared" si="0"/>
        <v>24</v>
      </c>
      <c r="AG7" s="615">
        <f t="shared" si="0"/>
        <v>25</v>
      </c>
      <c r="AH7" s="615">
        <f t="shared" si="0"/>
        <v>26</v>
      </c>
      <c r="AI7" s="615">
        <f t="shared" si="0"/>
        <v>27</v>
      </c>
      <c r="AJ7" s="615">
        <f t="shared" si="0"/>
        <v>28</v>
      </c>
      <c r="AK7" s="615">
        <f t="shared" si="0"/>
        <v>29</v>
      </c>
      <c r="AL7" s="615">
        <f t="shared" si="0"/>
        <v>30</v>
      </c>
      <c r="AM7" s="615">
        <f t="shared" si="0"/>
        <v>31</v>
      </c>
      <c r="AN7" s="615">
        <f t="shared" si="0"/>
        <v>32</v>
      </c>
      <c r="AO7" s="615">
        <f t="shared" si="0"/>
        <v>33</v>
      </c>
      <c r="AP7" s="615">
        <f t="shared" si="0"/>
        <v>34</v>
      </c>
      <c r="AQ7" s="615">
        <f t="shared" si="0"/>
        <v>35</v>
      </c>
      <c r="AR7" s="615">
        <f t="shared" si="0"/>
        <v>36</v>
      </c>
      <c r="AS7" s="615">
        <f t="shared" si="0"/>
        <v>37</v>
      </c>
      <c r="AT7" s="615">
        <f t="shared" si="0"/>
        <v>38</v>
      </c>
      <c r="AU7" s="615">
        <f t="shared" si="0"/>
        <v>39</v>
      </c>
      <c r="AV7" s="615">
        <f t="shared" si="0"/>
        <v>40</v>
      </c>
      <c r="AW7" s="615">
        <f t="shared" si="0"/>
        <v>41</v>
      </c>
      <c r="AX7" s="615">
        <f t="shared" si="0"/>
        <v>42</v>
      </c>
      <c r="AY7" s="615">
        <f t="shared" si="0"/>
        <v>43</v>
      </c>
      <c r="AZ7" s="615">
        <f t="shared" si="0"/>
        <v>44</v>
      </c>
      <c r="BA7" s="615">
        <f t="shared" si="0"/>
        <v>45</v>
      </c>
      <c r="BB7" s="615">
        <f t="shared" si="0"/>
        <v>46</v>
      </c>
      <c r="BC7" s="615">
        <f t="shared" si="0"/>
        <v>47</v>
      </c>
      <c r="BD7" s="615">
        <f t="shared" si="0"/>
        <v>48</v>
      </c>
      <c r="BE7" s="615">
        <f t="shared" si="0"/>
        <v>49</v>
      </c>
      <c r="BF7" s="615">
        <f t="shared" si="0"/>
        <v>50</v>
      </c>
      <c r="BG7" s="615">
        <f t="shared" si="0"/>
        <v>51</v>
      </c>
      <c r="BH7" s="615">
        <f t="shared" si="0"/>
        <v>52</v>
      </c>
      <c r="BI7" s="615">
        <f t="shared" si="0"/>
        <v>53</v>
      </c>
      <c r="BJ7" s="615">
        <f t="shared" si="0"/>
        <v>54</v>
      </c>
      <c r="BK7" s="615">
        <f t="shared" si="0"/>
        <v>55</v>
      </c>
      <c r="BL7" s="615">
        <f t="shared" si="0"/>
        <v>56</v>
      </c>
      <c r="BM7" s="615">
        <f t="shared" si="0"/>
        <v>57</v>
      </c>
      <c r="BN7" s="615">
        <f t="shared" si="0"/>
        <v>58</v>
      </c>
      <c r="BO7" s="615">
        <f t="shared" si="0"/>
        <v>59</v>
      </c>
      <c r="BP7" s="615">
        <f t="shared" si="0"/>
        <v>60</v>
      </c>
      <c r="BQ7" s="615">
        <f t="shared" si="0"/>
        <v>61</v>
      </c>
      <c r="BR7" s="615">
        <f t="shared" si="0"/>
        <v>62</v>
      </c>
      <c r="BS7" s="615">
        <f t="shared" si="0"/>
        <v>63</v>
      </c>
      <c r="BT7" s="615">
        <f t="shared" si="0"/>
        <v>64</v>
      </c>
      <c r="BU7" s="615">
        <f t="shared" ref="BU7:CN7" si="1">BT7+1</f>
        <v>65</v>
      </c>
      <c r="BV7" s="615">
        <f t="shared" si="1"/>
        <v>66</v>
      </c>
      <c r="BW7" s="615">
        <f t="shared" si="1"/>
        <v>67</v>
      </c>
      <c r="BX7" s="615">
        <f t="shared" si="1"/>
        <v>68</v>
      </c>
      <c r="BY7" s="615">
        <f t="shared" si="1"/>
        <v>69</v>
      </c>
      <c r="BZ7" s="615">
        <f t="shared" si="1"/>
        <v>70</v>
      </c>
      <c r="CA7" s="615">
        <f t="shared" si="1"/>
        <v>71</v>
      </c>
      <c r="CB7" s="615">
        <f t="shared" si="1"/>
        <v>72</v>
      </c>
      <c r="CC7" s="615">
        <f t="shared" si="1"/>
        <v>73</v>
      </c>
      <c r="CD7" s="615">
        <f t="shared" si="1"/>
        <v>74</v>
      </c>
      <c r="CE7" s="615">
        <f t="shared" si="1"/>
        <v>75</v>
      </c>
      <c r="CF7" s="615">
        <f t="shared" si="1"/>
        <v>76</v>
      </c>
      <c r="CG7" s="615">
        <f t="shared" si="1"/>
        <v>77</v>
      </c>
      <c r="CH7" s="615">
        <f t="shared" si="1"/>
        <v>78</v>
      </c>
      <c r="CI7" s="615">
        <f t="shared" si="1"/>
        <v>79</v>
      </c>
      <c r="CJ7" s="615">
        <f t="shared" si="1"/>
        <v>80</v>
      </c>
      <c r="CK7" s="615">
        <f t="shared" si="1"/>
        <v>81</v>
      </c>
      <c r="CL7" s="615">
        <f t="shared" si="1"/>
        <v>82</v>
      </c>
      <c r="CM7" s="615">
        <f t="shared" si="1"/>
        <v>83</v>
      </c>
      <c r="CN7" s="615">
        <f t="shared" si="1"/>
        <v>84</v>
      </c>
      <c r="CO7" s="615">
        <f>CN7+1</f>
        <v>85</v>
      </c>
      <c r="CP7" s="623"/>
      <c r="CR7" s="615">
        <f>CQ7+1</f>
        <v>1</v>
      </c>
    </row>
    <row r="8" spans="1:96" ht="15.75" thickBot="1" x14ac:dyDescent="0.3">
      <c r="B8" s="628" t="s">
        <v>1004</v>
      </c>
      <c r="C8" s="629"/>
      <c r="D8" s="630"/>
      <c r="E8" s="630"/>
      <c r="F8" s="630"/>
      <c r="G8" s="631"/>
      <c r="H8" s="632"/>
      <c r="I8" s="633"/>
      <c r="J8" s="634"/>
      <c r="K8" s="634"/>
      <c r="L8" s="634"/>
      <c r="M8" s="634"/>
      <c r="N8" s="634"/>
      <c r="O8" s="634"/>
      <c r="P8" s="634"/>
      <c r="Q8" s="634"/>
      <c r="R8" s="634"/>
      <c r="S8" s="634"/>
      <c r="T8" s="634"/>
      <c r="U8" s="634"/>
      <c r="V8" s="634"/>
      <c r="W8" s="634"/>
      <c r="X8" s="634"/>
      <c r="Y8" s="634"/>
      <c r="Z8" s="634"/>
      <c r="AA8" s="634"/>
      <c r="AB8" s="634"/>
      <c r="AC8" s="634"/>
      <c r="AD8" s="634"/>
      <c r="AE8" s="635"/>
      <c r="AF8" s="634"/>
      <c r="AG8" s="634"/>
      <c r="AH8" s="634"/>
      <c r="AI8" s="634"/>
      <c r="AJ8" s="634"/>
      <c r="AK8" s="634"/>
      <c r="AL8" s="634"/>
      <c r="AM8" s="634"/>
      <c r="AN8" s="634"/>
      <c r="AO8" s="634"/>
      <c r="AP8" s="634"/>
      <c r="AQ8" s="634"/>
      <c r="AR8" s="634"/>
      <c r="AS8" s="634"/>
      <c r="AT8" s="634"/>
      <c r="AU8" s="634"/>
      <c r="AV8" s="634"/>
      <c r="AW8" s="634"/>
      <c r="AX8" s="634"/>
      <c r="AY8" s="634"/>
      <c r="AZ8" s="634"/>
      <c r="BA8" s="634"/>
      <c r="BB8" s="634"/>
      <c r="BC8" s="634"/>
      <c r="BD8" s="634"/>
      <c r="BE8" s="634"/>
      <c r="BF8" s="634"/>
      <c r="BG8" s="634"/>
      <c r="BH8" s="634"/>
      <c r="BI8" s="634"/>
      <c r="BJ8" s="634"/>
      <c r="BK8" s="634"/>
      <c r="BL8" s="634"/>
      <c r="BM8" s="634"/>
      <c r="BN8" s="634"/>
      <c r="BO8" s="634"/>
      <c r="BP8" s="634"/>
      <c r="BQ8" s="634"/>
      <c r="BR8" s="634"/>
      <c r="BS8" s="634"/>
      <c r="BT8" s="634"/>
      <c r="BU8" s="634"/>
      <c r="BV8" s="634"/>
      <c r="BW8" s="634"/>
      <c r="BX8" s="634"/>
      <c r="BY8" s="634"/>
      <c r="BZ8" s="634"/>
      <c r="CA8" s="634"/>
      <c r="CB8" s="634"/>
      <c r="CC8" s="634"/>
      <c r="CD8" s="634"/>
      <c r="CE8" s="634"/>
      <c r="CF8" s="634"/>
      <c r="CG8" s="634"/>
      <c r="CH8" s="634"/>
      <c r="CI8" s="634"/>
      <c r="CJ8" s="634"/>
      <c r="CK8" s="634"/>
      <c r="CL8" s="634"/>
      <c r="CM8" s="634"/>
      <c r="CN8" s="634"/>
      <c r="CO8" s="634"/>
      <c r="CP8" s="623"/>
      <c r="CR8" s="634"/>
    </row>
    <row r="9" spans="1:96" ht="4.5" customHeight="1" thickBot="1" x14ac:dyDescent="0.3">
      <c r="A9" s="609"/>
      <c r="B9" s="606"/>
      <c r="C9" s="606"/>
      <c r="D9" s="636"/>
      <c r="E9" s="636"/>
      <c r="F9" s="636"/>
      <c r="G9" s="637"/>
      <c r="H9" s="638"/>
      <c r="I9" s="633"/>
      <c r="J9" s="639"/>
      <c r="K9" s="639"/>
      <c r="L9" s="639"/>
      <c r="M9" s="639"/>
      <c r="N9" s="639"/>
      <c r="O9" s="639"/>
      <c r="P9" s="639"/>
      <c r="Q9" s="639"/>
      <c r="R9" s="639"/>
      <c r="S9" s="639"/>
      <c r="T9" s="639"/>
      <c r="U9" s="639"/>
      <c r="V9" s="639"/>
      <c r="W9" s="639"/>
      <c r="X9" s="639"/>
      <c r="Y9" s="639"/>
      <c r="Z9" s="639"/>
      <c r="AA9" s="639"/>
      <c r="AB9" s="639"/>
      <c r="AC9" s="639"/>
      <c r="AD9" s="639"/>
      <c r="AE9" s="640"/>
      <c r="AF9" s="639"/>
      <c r="AG9" s="639"/>
      <c r="AH9" s="639"/>
      <c r="AI9" s="639"/>
      <c r="AJ9" s="639"/>
      <c r="AK9" s="639"/>
      <c r="AL9" s="639"/>
      <c r="AM9" s="639"/>
      <c r="AN9" s="639"/>
      <c r="AO9" s="639"/>
      <c r="AP9" s="639"/>
      <c r="AQ9" s="639"/>
      <c r="AR9" s="639"/>
      <c r="AS9" s="639"/>
      <c r="AT9" s="639"/>
      <c r="AU9" s="639"/>
      <c r="AV9" s="639"/>
      <c r="AW9" s="639"/>
      <c r="AX9" s="639"/>
      <c r="AY9" s="639"/>
      <c r="AZ9" s="639"/>
      <c r="BA9" s="639"/>
      <c r="BB9" s="639"/>
      <c r="BC9" s="639"/>
      <c r="BD9" s="639"/>
      <c r="BE9" s="639"/>
      <c r="BF9" s="639"/>
      <c r="BG9" s="639"/>
      <c r="BH9" s="639"/>
      <c r="BI9" s="639"/>
      <c r="BJ9" s="639"/>
      <c r="BK9" s="639"/>
      <c r="BL9" s="639"/>
      <c r="BM9" s="639"/>
      <c r="BN9" s="639"/>
      <c r="BO9" s="639"/>
      <c r="BP9" s="639"/>
      <c r="BQ9" s="639"/>
      <c r="BR9" s="639"/>
      <c r="BS9" s="639"/>
      <c r="BT9" s="639"/>
      <c r="BU9" s="639"/>
      <c r="BV9" s="639"/>
      <c r="BW9" s="639"/>
      <c r="BX9" s="639"/>
      <c r="BY9" s="639"/>
      <c r="BZ9" s="639"/>
      <c r="CA9" s="639"/>
      <c r="CB9" s="639"/>
      <c r="CC9" s="639"/>
      <c r="CD9" s="639"/>
      <c r="CE9" s="639"/>
      <c r="CF9" s="639"/>
      <c r="CG9" s="639"/>
      <c r="CH9" s="639"/>
      <c r="CI9" s="639"/>
      <c r="CJ9" s="639"/>
      <c r="CK9" s="639"/>
      <c r="CL9" s="639"/>
      <c r="CM9" s="639"/>
      <c r="CN9" s="639"/>
      <c r="CO9" s="639"/>
      <c r="CP9" s="623"/>
      <c r="CR9" s="634"/>
    </row>
    <row r="10" spans="1:96" ht="15.75" thickBot="1" x14ac:dyDescent="0.3">
      <c r="A10" s="609"/>
      <c r="B10" s="622"/>
      <c r="D10" s="641" t="s">
        <v>972</v>
      </c>
      <c r="E10" s="642" t="s">
        <v>9</v>
      </c>
      <c r="F10" s="643" t="s">
        <v>1005</v>
      </c>
      <c r="G10" s="644"/>
      <c r="H10" s="638"/>
      <c r="I10" s="645"/>
      <c r="J10" s="639"/>
      <c r="K10" s="639"/>
      <c r="L10" s="639"/>
      <c r="M10" s="639"/>
      <c r="N10" s="639"/>
      <c r="O10" s="639"/>
      <c r="P10" s="639"/>
      <c r="Q10" s="639"/>
      <c r="R10" s="639"/>
      <c r="S10" s="639"/>
      <c r="T10" s="639"/>
      <c r="U10" s="639"/>
      <c r="V10" s="639"/>
      <c r="W10" s="639"/>
      <c r="X10" s="639"/>
      <c r="Y10" s="639"/>
      <c r="Z10" s="639"/>
      <c r="AA10" s="639"/>
      <c r="AB10" s="639"/>
      <c r="AC10" s="639"/>
      <c r="AD10" s="639"/>
      <c r="AE10" s="640"/>
      <c r="AF10" s="639"/>
      <c r="AG10" s="639"/>
      <c r="AH10" s="639"/>
      <c r="AI10" s="639"/>
      <c r="AJ10" s="639"/>
      <c r="AK10" s="639"/>
      <c r="AL10" s="639"/>
      <c r="AM10" s="639"/>
      <c r="AN10" s="639"/>
      <c r="AO10" s="639"/>
      <c r="AP10" s="639"/>
      <c r="AQ10" s="639"/>
      <c r="AR10" s="639"/>
      <c r="AS10" s="639"/>
      <c r="AT10" s="639"/>
      <c r="AU10" s="639"/>
      <c r="AV10" s="639"/>
      <c r="AW10" s="639"/>
      <c r="AX10" s="639"/>
      <c r="AY10" s="639"/>
      <c r="AZ10" s="639"/>
      <c r="BA10" s="639"/>
      <c r="BB10" s="639"/>
      <c r="BC10" s="639"/>
      <c r="BD10" s="639"/>
      <c r="BE10" s="639"/>
      <c r="BF10" s="639"/>
      <c r="BG10" s="639"/>
      <c r="BH10" s="639"/>
      <c r="BI10" s="639"/>
      <c r="BJ10" s="639"/>
      <c r="BK10" s="639"/>
      <c r="BL10" s="639"/>
      <c r="BM10" s="639"/>
      <c r="BN10" s="639"/>
      <c r="BO10" s="639"/>
      <c r="BP10" s="639"/>
      <c r="BQ10" s="639"/>
      <c r="BR10" s="639"/>
      <c r="BS10" s="639"/>
      <c r="BT10" s="639"/>
      <c r="BU10" s="639"/>
      <c r="BV10" s="639"/>
      <c r="BW10" s="639"/>
      <c r="BX10" s="639"/>
      <c r="BY10" s="639"/>
      <c r="BZ10" s="639"/>
      <c r="CA10" s="639"/>
      <c r="CB10" s="639"/>
      <c r="CC10" s="639"/>
      <c r="CD10" s="639"/>
      <c r="CE10" s="639"/>
      <c r="CF10" s="639"/>
      <c r="CG10" s="639"/>
      <c r="CH10" s="639"/>
      <c r="CI10" s="639"/>
      <c r="CJ10" s="639"/>
      <c r="CK10" s="639"/>
      <c r="CL10" s="639"/>
      <c r="CM10" s="639"/>
      <c r="CN10" s="639"/>
      <c r="CO10" s="639"/>
      <c r="CP10" s="623"/>
      <c r="CR10" s="634"/>
    </row>
    <row r="11" spans="1:96" ht="15.75" thickBot="1" x14ac:dyDescent="0.3">
      <c r="B11" s="646" t="str">
        <f>'Staff Detail'!B15</f>
        <v>Construction</v>
      </c>
      <c r="C11" s="647"/>
      <c r="D11" s="648">
        <f>IFERROR(IF(DATEDIF('Staff Detail'!\cstart,'Staff Detail'!I15,"D")/7 = 0,1,DATEDIF('Staff Detail'!\cstart,'Staff Detail'!I15,"D")/7),1)</f>
        <v>1</v>
      </c>
      <c r="E11" s="649">
        <f>IFERROR(DATEDIF('Staff Detail'!I15,'Staff Detail'!J15,"D")/7,0)</f>
        <v>0</v>
      </c>
      <c r="F11" s="650">
        <f>'Staff Detail'!K15</f>
        <v>0</v>
      </c>
      <c r="G11" s="651"/>
      <c r="H11" s="652"/>
      <c r="I11" s="607"/>
      <c r="J11" s="607"/>
      <c r="K11" s="607"/>
      <c r="L11" s="607"/>
      <c r="M11" s="607"/>
      <c r="N11" s="607"/>
      <c r="O11" s="607"/>
      <c r="P11" s="607"/>
      <c r="Q11" s="607"/>
      <c r="R11" s="607"/>
      <c r="S11" s="607"/>
      <c r="T11" s="607"/>
      <c r="U11" s="607"/>
      <c r="V11" s="607"/>
      <c r="W11" s="607"/>
      <c r="X11" s="607"/>
      <c r="Y11" s="607"/>
      <c r="Z11" s="607"/>
      <c r="AA11" s="607"/>
      <c r="AB11" s="607"/>
      <c r="AC11" s="607"/>
      <c r="AD11" s="607"/>
      <c r="AE11" s="607"/>
      <c r="AF11" s="607"/>
      <c r="AG11" s="607"/>
      <c r="AH11" s="607"/>
      <c r="AI11" s="607"/>
      <c r="AJ11" s="607"/>
      <c r="AK11" s="607"/>
      <c r="AL11" s="607"/>
      <c r="AM11" s="607"/>
      <c r="AN11" s="607"/>
      <c r="AO11" s="607"/>
      <c r="AP11" s="607"/>
      <c r="AQ11" s="607"/>
      <c r="AR11" s="607"/>
      <c r="AS11" s="607"/>
      <c r="AT11" s="607"/>
      <c r="AU11" s="607"/>
      <c r="AV11" s="607"/>
      <c r="AW11" s="607"/>
      <c r="AX11" s="607"/>
      <c r="AY11" s="607"/>
      <c r="AZ11" s="607"/>
      <c r="BA11" s="607"/>
      <c r="BB11" s="607"/>
      <c r="BC11" s="607"/>
      <c r="BD11" s="607"/>
      <c r="BE11" s="607"/>
      <c r="BF11" s="607"/>
      <c r="BG11" s="607"/>
      <c r="BH11" s="607"/>
      <c r="BI11" s="607"/>
      <c r="BJ11" s="607"/>
      <c r="BK11" s="607"/>
      <c r="BL11" s="607"/>
      <c r="BM11" s="607"/>
      <c r="BN11" s="607"/>
      <c r="BO11" s="607"/>
      <c r="BP11" s="607"/>
      <c r="BQ11" s="607"/>
      <c r="BR11" s="607"/>
      <c r="BS11" s="607"/>
      <c r="BT11" s="607"/>
      <c r="BU11" s="607"/>
      <c r="BV11" s="607"/>
      <c r="BW11" s="607"/>
      <c r="BX11" s="607"/>
      <c r="BY11" s="607"/>
      <c r="BZ11" s="607"/>
      <c r="CA11" s="607"/>
      <c r="CB11" s="607"/>
      <c r="CC11" s="607"/>
      <c r="CD11" s="607"/>
      <c r="CE11" s="607"/>
      <c r="CF11" s="607"/>
      <c r="CG11" s="607"/>
      <c r="CH11" s="607"/>
      <c r="CI11" s="607"/>
      <c r="CJ11" s="607"/>
      <c r="CK11" s="607"/>
      <c r="CL11" s="607"/>
      <c r="CM11" s="607"/>
      <c r="CN11" s="607"/>
      <c r="CO11" s="607"/>
      <c r="CP11" s="623"/>
      <c r="CR11" s="681"/>
    </row>
    <row r="12" spans="1:96" x14ac:dyDescent="0.25">
      <c r="B12" s="606"/>
      <c r="C12" s="606"/>
      <c r="D12" s="606"/>
      <c r="E12" s="606"/>
      <c r="F12" s="606"/>
      <c r="G12" s="609"/>
      <c r="I12" s="647"/>
      <c r="J12" s="606"/>
      <c r="K12" s="606"/>
      <c r="L12" s="606"/>
      <c r="M12" s="606"/>
      <c r="N12" s="606"/>
      <c r="O12" s="606"/>
      <c r="P12" s="606"/>
      <c r="Q12" s="606"/>
      <c r="R12" s="606"/>
      <c r="S12" s="606"/>
      <c r="T12" s="606"/>
      <c r="U12" s="606"/>
      <c r="V12" s="606"/>
      <c r="W12" s="606"/>
      <c r="X12" s="606"/>
      <c r="Y12" s="606"/>
      <c r="Z12" s="606"/>
      <c r="AA12" s="606"/>
      <c r="AB12" s="606"/>
      <c r="AC12" s="606"/>
      <c r="AD12" s="606"/>
      <c r="AE12" s="606"/>
      <c r="AF12" s="606"/>
      <c r="AG12" s="606"/>
      <c r="AH12" s="606"/>
      <c r="AI12" s="606"/>
      <c r="AJ12" s="606"/>
      <c r="AK12" s="606"/>
      <c r="AL12" s="606"/>
      <c r="AM12" s="606"/>
      <c r="AN12" s="606"/>
      <c r="AO12" s="606"/>
      <c r="AP12" s="606"/>
      <c r="AQ12" s="606"/>
      <c r="AR12" s="606"/>
      <c r="AS12" s="606"/>
      <c r="AT12" s="606"/>
      <c r="AU12" s="606"/>
      <c r="AV12" s="606"/>
      <c r="AW12" s="606"/>
      <c r="AX12" s="606"/>
      <c r="AY12" s="606"/>
      <c r="AZ12" s="606"/>
      <c r="BA12" s="606"/>
      <c r="BB12" s="606"/>
      <c r="BC12" s="606"/>
      <c r="BD12" s="606"/>
      <c r="BE12" s="606"/>
      <c r="BF12" s="606"/>
      <c r="BG12" s="606"/>
      <c r="BH12" s="606"/>
      <c r="BI12" s="606"/>
      <c r="BJ12" s="606"/>
      <c r="BK12" s="606"/>
      <c r="BL12" s="606"/>
      <c r="BM12" s="606"/>
      <c r="BN12" s="606"/>
      <c r="BO12" s="606"/>
      <c r="BP12" s="606"/>
      <c r="BQ12" s="606"/>
      <c r="BR12" s="606"/>
      <c r="BS12" s="606"/>
      <c r="BT12" s="606"/>
      <c r="BU12" s="606"/>
      <c r="BV12" s="606"/>
      <c r="BW12" s="606"/>
      <c r="BX12" s="606"/>
      <c r="BY12" s="606"/>
      <c r="BZ12" s="606"/>
      <c r="CA12" s="606"/>
      <c r="CB12" s="606"/>
      <c r="CC12" s="606"/>
      <c r="CD12" s="606"/>
      <c r="CE12" s="606"/>
      <c r="CF12" s="606"/>
      <c r="CG12" s="606"/>
      <c r="CH12" s="606"/>
      <c r="CI12" s="606"/>
      <c r="CJ12" s="606"/>
      <c r="CK12" s="606"/>
      <c r="CL12" s="606"/>
      <c r="CM12" s="606"/>
      <c r="CN12" s="606"/>
      <c r="CO12" s="606"/>
      <c r="CR12" s="606"/>
    </row>
    <row r="13" spans="1:96" x14ac:dyDescent="0.25"/>
    <row r="14" spans="1:96" x14ac:dyDescent="0.25"/>
    <row r="15" spans="1:96" x14ac:dyDescent="0.25"/>
    <row r="16" spans="1:96" x14ac:dyDescent="0.25">
      <c r="D16" s="658"/>
    </row>
    <row r="17" spans="1:96" x14ac:dyDescent="0.25">
      <c r="D17" s="659"/>
    </row>
    <row r="18" spans="1:96" x14ac:dyDescent="0.25"/>
    <row r="19" spans="1:96" x14ac:dyDescent="0.25"/>
    <row r="20" spans="1:96" x14ac:dyDescent="0.25"/>
    <row r="21" spans="1:96" x14ac:dyDescent="0.25"/>
    <row r="22" spans="1:96" x14ac:dyDescent="0.25"/>
    <row r="23" spans="1:96" x14ac:dyDescent="0.25"/>
    <row r="24" spans="1:96" x14ac:dyDescent="0.25"/>
    <row r="25" spans="1:96" x14ac:dyDescent="0.25"/>
    <row r="26" spans="1:96" x14ac:dyDescent="0.25"/>
    <row r="27" spans="1:96" x14ac:dyDescent="0.25"/>
    <row r="28" spans="1:96" x14ac:dyDescent="0.25"/>
    <row r="29" spans="1:96" x14ac:dyDescent="0.25"/>
    <row r="30" spans="1:96" hidden="1" x14ac:dyDescent="0.25">
      <c r="A30" s="653"/>
      <c r="B30" s="654"/>
      <c r="C30" s="655"/>
      <c r="D30" s="656"/>
      <c r="E30" s="657"/>
      <c r="F30" s="660"/>
      <c r="G30" s="665"/>
      <c r="H30" s="653"/>
      <c r="I30" s="622"/>
      <c r="J30" s="622"/>
      <c r="K30" s="622"/>
      <c r="L30" s="622"/>
      <c r="M30" s="622"/>
      <c r="N30" s="622"/>
      <c r="O30" s="622"/>
      <c r="P30" s="622"/>
      <c r="Q30" s="622"/>
      <c r="R30" s="622"/>
      <c r="S30" s="622"/>
      <c r="T30" s="622"/>
      <c r="U30" s="622"/>
      <c r="V30" s="622"/>
      <c r="W30" s="622"/>
      <c r="X30" s="622"/>
      <c r="Y30" s="622"/>
      <c r="Z30" s="622"/>
      <c r="AA30" s="622"/>
      <c r="AB30" s="622"/>
      <c r="AC30" s="622"/>
      <c r="AD30" s="622"/>
      <c r="AE30" s="622"/>
      <c r="AF30" s="622"/>
      <c r="AG30" s="622"/>
      <c r="AH30" s="622"/>
      <c r="AI30" s="622"/>
      <c r="AJ30" s="622"/>
      <c r="AK30" s="622"/>
      <c r="AL30" s="622"/>
      <c r="AM30" s="622"/>
      <c r="AN30" s="622"/>
      <c r="AO30" s="622"/>
      <c r="AP30" s="622"/>
      <c r="AQ30" s="622"/>
      <c r="AR30" s="622"/>
      <c r="AS30" s="622"/>
      <c r="AT30" s="622"/>
      <c r="AU30" s="622"/>
      <c r="AV30" s="622"/>
      <c r="AW30" s="622"/>
      <c r="AX30" s="622"/>
      <c r="AY30" s="622"/>
      <c r="AZ30" s="622"/>
      <c r="BA30" s="622"/>
      <c r="BB30" s="622"/>
      <c r="BC30" s="622"/>
      <c r="BD30" s="622"/>
      <c r="BE30" s="622"/>
      <c r="BF30" s="622"/>
      <c r="BG30" s="622"/>
      <c r="BH30" s="622"/>
      <c r="BI30" s="622"/>
      <c r="BJ30" s="622"/>
      <c r="BK30" s="622"/>
      <c r="BL30" s="622"/>
      <c r="BM30" s="622"/>
      <c r="BN30" s="622"/>
      <c r="BO30" s="622"/>
      <c r="BP30" s="622"/>
      <c r="BQ30" s="622"/>
      <c r="BR30" s="622"/>
      <c r="BS30" s="622"/>
      <c r="BT30" s="622"/>
      <c r="BU30" s="622"/>
      <c r="BV30" s="622"/>
      <c r="BW30" s="622"/>
      <c r="BX30" s="622"/>
      <c r="BY30" s="622"/>
      <c r="BZ30" s="622"/>
      <c r="CA30" s="622"/>
      <c r="CB30" s="622"/>
      <c r="CC30" s="622"/>
      <c r="CD30" s="622"/>
      <c r="CE30" s="622"/>
      <c r="CF30" s="622"/>
      <c r="CG30" s="622"/>
      <c r="CH30" s="622"/>
      <c r="CI30" s="622"/>
      <c r="CJ30" s="622"/>
      <c r="CK30" s="622"/>
      <c r="CL30" s="622"/>
      <c r="CM30" s="622"/>
      <c r="CN30" s="622"/>
      <c r="CO30" s="622"/>
      <c r="CP30" s="623"/>
      <c r="CR30" s="622"/>
    </row>
    <row r="31" spans="1:96" hidden="1" x14ac:dyDescent="0.25">
      <c r="A31" s="618"/>
      <c r="B31" s="619"/>
      <c r="C31" s="620"/>
      <c r="D31" s="661"/>
      <c r="E31" s="662"/>
      <c r="F31" s="667"/>
      <c r="G31" s="666"/>
      <c r="H31" s="664"/>
      <c r="I31" s="622"/>
      <c r="J31" s="622"/>
      <c r="K31" s="622"/>
      <c r="L31" s="622"/>
      <c r="M31" s="622"/>
      <c r="N31" s="622"/>
      <c r="O31" s="622"/>
      <c r="P31" s="622"/>
      <c r="Q31" s="622"/>
      <c r="R31" s="622"/>
      <c r="S31" s="622"/>
      <c r="T31" s="622"/>
      <c r="U31" s="622"/>
      <c r="V31" s="622"/>
      <c r="W31" s="622"/>
      <c r="X31" s="622"/>
      <c r="Y31" s="622"/>
      <c r="Z31" s="622"/>
      <c r="AA31" s="622"/>
      <c r="AB31" s="622"/>
      <c r="AC31" s="622"/>
      <c r="AD31" s="622"/>
      <c r="AE31" s="622"/>
      <c r="AF31" s="622"/>
      <c r="AG31" s="622"/>
      <c r="AH31" s="622"/>
      <c r="AI31" s="622"/>
      <c r="AJ31" s="622"/>
      <c r="AK31" s="622"/>
      <c r="AL31" s="622"/>
      <c r="AM31" s="622"/>
      <c r="AN31" s="622"/>
      <c r="AO31" s="622"/>
      <c r="AP31" s="622"/>
      <c r="AQ31" s="622"/>
      <c r="AR31" s="622"/>
      <c r="AS31" s="622"/>
      <c r="AT31" s="622"/>
      <c r="AU31" s="622"/>
      <c r="AV31" s="622"/>
      <c r="AW31" s="622"/>
      <c r="AX31" s="622"/>
      <c r="AY31" s="622"/>
      <c r="AZ31" s="622"/>
      <c r="BA31" s="622"/>
      <c r="BB31" s="622"/>
      <c r="BC31" s="622"/>
      <c r="BD31" s="622"/>
      <c r="BE31" s="622"/>
      <c r="BF31" s="622"/>
      <c r="BG31" s="622"/>
      <c r="BH31" s="622"/>
      <c r="BI31" s="622"/>
      <c r="BJ31" s="622"/>
      <c r="BK31" s="622"/>
      <c r="BL31" s="622"/>
      <c r="BM31" s="622"/>
      <c r="BN31" s="622"/>
      <c r="BO31" s="622"/>
      <c r="BP31" s="622"/>
      <c r="BQ31" s="622"/>
      <c r="BR31" s="622"/>
      <c r="BS31" s="622"/>
      <c r="BT31" s="622"/>
      <c r="BU31" s="622"/>
      <c r="BV31" s="622"/>
      <c r="BW31" s="622"/>
      <c r="BX31" s="622"/>
      <c r="BY31" s="622"/>
      <c r="BZ31" s="622"/>
      <c r="CA31" s="622"/>
      <c r="CB31" s="622"/>
      <c r="CC31" s="622"/>
      <c r="CD31" s="622"/>
      <c r="CE31" s="622"/>
      <c r="CF31" s="622"/>
      <c r="CG31" s="622"/>
      <c r="CH31" s="622"/>
      <c r="CI31" s="622"/>
      <c r="CJ31" s="622"/>
      <c r="CK31" s="622"/>
      <c r="CL31" s="622"/>
      <c r="CM31" s="622"/>
      <c r="CN31" s="622"/>
      <c r="CO31" s="622"/>
      <c r="CP31" s="623"/>
      <c r="CR31" s="622"/>
    </row>
    <row r="32" spans="1:96" hidden="1" x14ac:dyDescent="0.25">
      <c r="A32" s="618" t="s">
        <v>928</v>
      </c>
      <c r="B32" s="619"/>
      <c r="C32" s="620"/>
      <c r="D32" s="624"/>
      <c r="E32" s="625"/>
      <c r="F32" s="626"/>
      <c r="G32" s="627"/>
      <c r="H32" s="621"/>
      <c r="I32" s="622"/>
      <c r="J32" s="622"/>
      <c r="K32" s="622"/>
      <c r="L32" s="622"/>
      <c r="M32" s="622"/>
      <c r="N32" s="622"/>
      <c r="O32" s="622"/>
      <c r="P32" s="622"/>
      <c r="Q32" s="622"/>
      <c r="R32" s="622"/>
      <c r="S32" s="622"/>
      <c r="T32" s="622"/>
      <c r="U32" s="622"/>
      <c r="V32" s="622"/>
      <c r="W32" s="622"/>
      <c r="X32" s="622"/>
      <c r="Y32" s="622"/>
      <c r="Z32" s="622"/>
      <c r="AA32" s="622"/>
      <c r="AB32" s="622"/>
      <c r="AC32" s="622"/>
      <c r="AD32" s="622"/>
      <c r="AE32" s="622"/>
      <c r="AF32" s="622"/>
      <c r="AG32" s="622"/>
      <c r="AH32" s="622"/>
      <c r="AI32" s="622"/>
      <c r="AJ32" s="622"/>
      <c r="AK32" s="622"/>
      <c r="AL32" s="622"/>
      <c r="AM32" s="622"/>
      <c r="AN32" s="622"/>
      <c r="AO32" s="622"/>
      <c r="AP32" s="622"/>
      <c r="AQ32" s="622"/>
      <c r="AR32" s="622"/>
      <c r="AS32" s="622"/>
      <c r="AT32" s="622"/>
      <c r="AU32" s="622"/>
      <c r="AV32" s="622"/>
      <c r="AW32" s="622"/>
      <c r="AX32" s="622"/>
      <c r="AY32" s="622"/>
      <c r="AZ32" s="622"/>
      <c r="BA32" s="622"/>
      <c r="BB32" s="622"/>
      <c r="BC32" s="622"/>
      <c r="BD32" s="622"/>
      <c r="BE32" s="622"/>
      <c r="BF32" s="622"/>
      <c r="BG32" s="622"/>
      <c r="BH32" s="622"/>
      <c r="BI32" s="622"/>
      <c r="BJ32" s="622"/>
      <c r="BK32" s="622"/>
      <c r="BL32" s="622"/>
      <c r="BM32" s="622"/>
      <c r="BN32" s="622"/>
      <c r="BO32" s="622"/>
      <c r="BP32" s="622"/>
      <c r="BQ32" s="622"/>
      <c r="BR32" s="622"/>
      <c r="BS32" s="622"/>
      <c r="BT32" s="622"/>
      <c r="BU32" s="622"/>
      <c r="BV32" s="622"/>
      <c r="BW32" s="622"/>
      <c r="BX32" s="622"/>
      <c r="BY32" s="622"/>
      <c r="BZ32" s="622"/>
      <c r="CA32" s="622"/>
      <c r="CB32" s="622"/>
      <c r="CC32" s="622"/>
      <c r="CD32" s="622"/>
      <c r="CE32" s="622"/>
      <c r="CF32" s="622"/>
      <c r="CG32" s="622"/>
      <c r="CH32" s="622"/>
      <c r="CI32" s="622"/>
      <c r="CJ32" s="622"/>
      <c r="CK32" s="622"/>
      <c r="CL32" s="622"/>
      <c r="CM32" s="622"/>
      <c r="CN32" s="622"/>
      <c r="CO32" s="622"/>
      <c r="CP32" s="623"/>
      <c r="CR32" s="622"/>
    </row>
    <row r="33" spans="94:95" x14ac:dyDescent="0.25"/>
    <row r="34" spans="94:95" x14ac:dyDescent="0.25"/>
    <row r="35" spans="94:95" x14ac:dyDescent="0.25"/>
    <row r="36" spans="94:95" x14ac:dyDescent="0.25"/>
    <row r="37" spans="94:95" x14ac:dyDescent="0.25"/>
    <row r="38" spans="94:95" x14ac:dyDescent="0.25"/>
    <row r="39" spans="94:95" x14ac:dyDescent="0.25"/>
    <row r="40" spans="94:95" x14ac:dyDescent="0.25"/>
    <row r="41" spans="94:95" x14ac:dyDescent="0.25"/>
    <row r="42" spans="94:95" x14ac:dyDescent="0.25"/>
    <row r="43" spans="94:95" x14ac:dyDescent="0.25"/>
    <row r="44" spans="94:95" x14ac:dyDescent="0.25"/>
    <row r="45" spans="94:95" x14ac:dyDescent="0.25"/>
    <row r="46" spans="94:95" x14ac:dyDescent="0.25"/>
    <row r="47" spans="94:95" x14ac:dyDescent="0.25"/>
    <row r="48" spans="94:95" s="185" customFormat="1" x14ac:dyDescent="0.25">
      <c r="CP48" s="609"/>
      <c r="CQ48" s="609"/>
    </row>
    <row r="49" spans="94:95" s="185" customFormat="1" x14ac:dyDescent="0.25">
      <c r="CP49" s="609"/>
      <c r="CQ49" s="609"/>
    </row>
    <row r="50" spans="94:95" s="185" customFormat="1" x14ac:dyDescent="0.25">
      <c r="CP50" s="609"/>
      <c r="CQ50" s="609"/>
    </row>
    <row r="51" spans="94:95" s="185" customFormat="1" x14ac:dyDescent="0.25">
      <c r="CP51" s="609"/>
      <c r="CQ51" s="609"/>
    </row>
    <row r="52" spans="94:95" s="185" customFormat="1" x14ac:dyDescent="0.25">
      <c r="CP52" s="609"/>
      <c r="CQ52" s="609"/>
    </row>
    <row r="53" spans="94:95" s="185" customFormat="1" x14ac:dyDescent="0.25">
      <c r="CP53" s="609"/>
      <c r="CQ53" s="609"/>
    </row>
    <row r="54" spans="94:95" s="185" customFormat="1" x14ac:dyDescent="0.25">
      <c r="CP54" s="609"/>
      <c r="CQ54" s="609"/>
    </row>
    <row r="55" spans="94:95" s="185" customFormat="1" x14ac:dyDescent="0.25">
      <c r="CP55" s="609"/>
      <c r="CQ55" s="609"/>
    </row>
    <row r="56" spans="94:95" s="185" customFormat="1" x14ac:dyDescent="0.25">
      <c r="CP56" s="609"/>
      <c r="CQ56" s="609"/>
    </row>
    <row r="57" spans="94:95" s="185" customFormat="1" x14ac:dyDescent="0.25">
      <c r="CP57" s="609"/>
      <c r="CQ57" s="609"/>
    </row>
    <row r="58" spans="94:95" s="185" customFormat="1" x14ac:dyDescent="0.25">
      <c r="CP58" s="609"/>
      <c r="CQ58" s="609"/>
    </row>
    <row r="59" spans="94:95" s="185" customFormat="1" x14ac:dyDescent="0.25">
      <c r="CP59" s="609"/>
      <c r="CQ59" s="609"/>
    </row>
    <row r="60" spans="94:95" s="185" customFormat="1" x14ac:dyDescent="0.25">
      <c r="CP60" s="609"/>
      <c r="CQ60" s="609"/>
    </row>
    <row r="61" spans="94:95" s="185" customFormat="1" x14ac:dyDescent="0.25">
      <c r="CP61" s="609"/>
      <c r="CQ61" s="609"/>
    </row>
    <row r="62" spans="94:95" s="185" customFormat="1" x14ac:dyDescent="0.25">
      <c r="CP62" s="609"/>
      <c r="CQ62" s="609"/>
    </row>
    <row r="63" spans="94:95" s="185" customFormat="1" x14ac:dyDescent="0.25">
      <c r="CP63" s="609"/>
      <c r="CQ63" s="609"/>
    </row>
    <row r="64" spans="94:95" s="185" customFormat="1" x14ac:dyDescent="0.25">
      <c r="CP64" s="609"/>
      <c r="CQ64" s="609"/>
    </row>
    <row r="65" spans="94:95" s="185" customFormat="1" x14ac:dyDescent="0.25">
      <c r="CP65" s="609"/>
      <c r="CQ65" s="609"/>
    </row>
    <row r="66" spans="94:95" s="185" customFormat="1" x14ac:dyDescent="0.25">
      <c r="CP66" s="609"/>
      <c r="CQ66" s="609"/>
    </row>
    <row r="67" spans="94:95" s="185" customFormat="1" x14ac:dyDescent="0.25">
      <c r="CP67" s="609"/>
      <c r="CQ67" s="609"/>
    </row>
    <row r="68" spans="94:95" s="185" customFormat="1" x14ac:dyDescent="0.25">
      <c r="CP68" s="609"/>
      <c r="CQ68" s="609"/>
    </row>
    <row r="69" spans="94:95" s="185" customFormat="1" x14ac:dyDescent="0.25">
      <c r="CP69" s="609"/>
      <c r="CQ69" s="609"/>
    </row>
    <row r="70" spans="94:95" s="185" customFormat="1" x14ac:dyDescent="0.25">
      <c r="CP70" s="609"/>
      <c r="CQ70" s="609"/>
    </row>
    <row r="71" spans="94:95" s="185" customFormat="1" x14ac:dyDescent="0.25">
      <c r="CP71" s="609"/>
      <c r="CQ71" s="609"/>
    </row>
    <row r="72" spans="94:95" s="185" customFormat="1" x14ac:dyDescent="0.25">
      <c r="CP72" s="609"/>
      <c r="CQ72" s="609"/>
    </row>
    <row r="73" spans="94:95" s="185" customFormat="1" x14ac:dyDescent="0.25">
      <c r="CP73" s="609"/>
      <c r="CQ73" s="609"/>
    </row>
    <row r="74" spans="94:95" s="185" customFormat="1" x14ac:dyDescent="0.25">
      <c r="CP74" s="609"/>
      <c r="CQ74" s="609"/>
    </row>
    <row r="75" spans="94:95" s="185" customFormat="1" x14ac:dyDescent="0.25">
      <c r="CP75" s="609"/>
      <c r="CQ75" s="609"/>
    </row>
    <row r="76" spans="94:95" s="185" customFormat="1" x14ac:dyDescent="0.25">
      <c r="CP76" s="609"/>
      <c r="CQ76" s="609"/>
    </row>
    <row r="77" spans="94:95" s="185" customFormat="1" x14ac:dyDescent="0.25">
      <c r="CP77" s="609"/>
      <c r="CQ77" s="609"/>
    </row>
    <row r="78" spans="94:95" s="185" customFormat="1" x14ac:dyDescent="0.25">
      <c r="CP78" s="609"/>
      <c r="CQ78" s="609"/>
    </row>
    <row r="79" spans="94:95" s="185" customFormat="1" x14ac:dyDescent="0.25">
      <c r="CP79" s="609"/>
      <c r="CQ79" s="609"/>
    </row>
    <row r="80" spans="94:95" s="185" customFormat="1" x14ac:dyDescent="0.25">
      <c r="CP80" s="609"/>
      <c r="CQ80" s="609"/>
    </row>
    <row r="81" spans="94:95" s="185" customFormat="1" x14ac:dyDescent="0.25">
      <c r="CP81" s="609"/>
      <c r="CQ81" s="609"/>
    </row>
    <row r="82" spans="94:95" s="185" customFormat="1" x14ac:dyDescent="0.25">
      <c r="CP82" s="609"/>
      <c r="CQ82" s="609"/>
    </row>
    <row r="83" spans="94:95" s="185" customFormat="1" x14ac:dyDescent="0.25">
      <c r="CP83" s="609"/>
      <c r="CQ83" s="609"/>
    </row>
    <row r="84" spans="94:95" s="185" customFormat="1" x14ac:dyDescent="0.25">
      <c r="CP84" s="609"/>
      <c r="CQ84" s="609"/>
    </row>
    <row r="85" spans="94:95" s="185" customFormat="1" x14ac:dyDescent="0.25">
      <c r="CP85" s="609"/>
      <c r="CQ85" s="609"/>
    </row>
    <row r="86" spans="94:95" s="185" customFormat="1" x14ac:dyDescent="0.25">
      <c r="CP86" s="609"/>
      <c r="CQ86" s="609"/>
    </row>
    <row r="87" spans="94:95" s="185" customFormat="1" x14ac:dyDescent="0.25">
      <c r="CP87" s="609"/>
      <c r="CQ87" s="609"/>
    </row>
    <row r="88" spans="94:95" s="185" customFormat="1" x14ac:dyDescent="0.25">
      <c r="CP88" s="609"/>
      <c r="CQ88" s="609"/>
    </row>
    <row r="89" spans="94:95" s="185" customFormat="1" x14ac:dyDescent="0.25">
      <c r="CP89" s="609"/>
      <c r="CQ89" s="609"/>
    </row>
    <row r="90" spans="94:95" s="185" customFormat="1" x14ac:dyDescent="0.25">
      <c r="CP90" s="609"/>
      <c r="CQ90" s="609"/>
    </row>
    <row r="91" spans="94:95" s="185" customFormat="1" x14ac:dyDescent="0.25">
      <c r="CP91" s="609"/>
      <c r="CQ91" s="609"/>
    </row>
    <row r="92" spans="94:95" s="185" customFormat="1" x14ac:dyDescent="0.25">
      <c r="CP92" s="609"/>
      <c r="CQ92" s="609"/>
    </row>
    <row r="93" spans="94:95" s="185" customFormat="1" x14ac:dyDescent="0.25">
      <c r="CP93" s="609"/>
      <c r="CQ93" s="609"/>
    </row>
    <row r="94" spans="94:95" s="185" customFormat="1" x14ac:dyDescent="0.25">
      <c r="CP94" s="609"/>
      <c r="CQ94" s="609"/>
    </row>
    <row r="95" spans="94:95" s="185" customFormat="1" x14ac:dyDescent="0.25">
      <c r="CP95" s="609"/>
      <c r="CQ95" s="609"/>
    </row>
    <row r="96" spans="94:95" s="185" customFormat="1" x14ac:dyDescent="0.25">
      <c r="CP96" s="609"/>
      <c r="CQ96" s="609"/>
    </row>
    <row r="97" spans="94:95" s="185" customFormat="1" x14ac:dyDescent="0.25">
      <c r="CP97" s="609"/>
      <c r="CQ97" s="609"/>
    </row>
    <row r="98" spans="94:95" s="185" customFormat="1" x14ac:dyDescent="0.25">
      <c r="CP98" s="609"/>
      <c r="CQ98" s="609"/>
    </row>
    <row r="99" spans="94:95" s="185" customFormat="1" x14ac:dyDescent="0.25">
      <c r="CP99" s="609"/>
      <c r="CQ99" s="609"/>
    </row>
    <row r="100" spans="94:95" s="185" customFormat="1" x14ac:dyDescent="0.25">
      <c r="CP100" s="609"/>
      <c r="CQ100" s="609"/>
    </row>
    <row r="101" spans="94:95" s="185" customFormat="1" x14ac:dyDescent="0.25">
      <c r="CP101" s="609"/>
      <c r="CQ101" s="609"/>
    </row>
    <row r="102" spans="94:95" s="185" customFormat="1" x14ac:dyDescent="0.25">
      <c r="CP102" s="609"/>
      <c r="CQ102" s="609"/>
    </row>
    <row r="103" spans="94:95" s="185" customFormat="1" x14ac:dyDescent="0.25">
      <c r="CP103" s="609"/>
      <c r="CQ103" s="609"/>
    </row>
    <row r="104" spans="94:95" s="185" customFormat="1" x14ac:dyDescent="0.25">
      <c r="CP104" s="609"/>
      <c r="CQ104" s="609"/>
    </row>
    <row r="105" spans="94:95" s="185" customFormat="1" x14ac:dyDescent="0.25">
      <c r="CP105" s="609"/>
      <c r="CQ105" s="609"/>
    </row>
    <row r="106" spans="94:95" s="185" customFormat="1" x14ac:dyDescent="0.25">
      <c r="CP106" s="609"/>
      <c r="CQ106" s="609"/>
    </row>
    <row r="107" spans="94:95" s="185" customFormat="1" x14ac:dyDescent="0.25">
      <c r="CP107" s="609"/>
      <c r="CQ107" s="609"/>
    </row>
    <row r="108" spans="94:95" s="185" customFormat="1" x14ac:dyDescent="0.25">
      <c r="CP108" s="609"/>
      <c r="CQ108" s="609"/>
    </row>
    <row r="109" spans="94:95" s="185" customFormat="1" x14ac:dyDescent="0.25">
      <c r="CP109" s="609"/>
      <c r="CQ109" s="609"/>
    </row>
    <row r="110" spans="94:95" s="185" customFormat="1" x14ac:dyDescent="0.25">
      <c r="CP110" s="609"/>
      <c r="CQ110" s="609"/>
    </row>
    <row r="111" spans="94:95" s="185" customFormat="1" x14ac:dyDescent="0.25">
      <c r="CP111" s="609"/>
      <c r="CQ111" s="609"/>
    </row>
    <row r="112" spans="94:95" s="185" customFormat="1" x14ac:dyDescent="0.25">
      <c r="CP112" s="609"/>
      <c r="CQ112" s="609"/>
    </row>
    <row r="113" spans="94:95" s="185" customFormat="1" x14ac:dyDescent="0.25">
      <c r="CP113" s="609"/>
      <c r="CQ113" s="609"/>
    </row>
    <row r="114" spans="94:95" s="185" customFormat="1" x14ac:dyDescent="0.25">
      <c r="CP114" s="609"/>
      <c r="CQ114" s="609"/>
    </row>
    <row r="115" spans="94:95" s="185" customFormat="1" x14ac:dyDescent="0.25">
      <c r="CP115" s="609"/>
      <c r="CQ115" s="609"/>
    </row>
    <row r="116" spans="94:95" s="185" customFormat="1" x14ac:dyDescent="0.25">
      <c r="CP116" s="609"/>
      <c r="CQ116" s="609"/>
    </row>
    <row r="117" spans="94:95" s="185" customFormat="1" x14ac:dyDescent="0.25">
      <c r="CP117" s="609"/>
      <c r="CQ117" s="609"/>
    </row>
    <row r="118" spans="94:95" s="185" customFormat="1" x14ac:dyDescent="0.25">
      <c r="CP118" s="609"/>
      <c r="CQ118" s="609"/>
    </row>
    <row r="119" spans="94:95" s="185" customFormat="1" x14ac:dyDescent="0.25">
      <c r="CP119" s="609"/>
      <c r="CQ119" s="609"/>
    </row>
    <row r="120" spans="94:95" s="185" customFormat="1" x14ac:dyDescent="0.25">
      <c r="CP120" s="609"/>
      <c r="CQ120" s="609"/>
    </row>
    <row r="121" spans="94:95" s="185" customFormat="1" x14ac:dyDescent="0.25">
      <c r="CP121" s="609"/>
      <c r="CQ121" s="609"/>
    </row>
    <row r="122" spans="94:95" s="185" customFormat="1" x14ac:dyDescent="0.25">
      <c r="CP122" s="609"/>
      <c r="CQ122" s="609"/>
    </row>
    <row r="123" spans="94:95" s="185" customFormat="1" x14ac:dyDescent="0.25">
      <c r="CP123" s="609"/>
      <c r="CQ123" s="609"/>
    </row>
    <row r="124" spans="94:95" s="185" customFormat="1" x14ac:dyDescent="0.25">
      <c r="CP124" s="609"/>
      <c r="CQ124" s="609"/>
    </row>
    <row r="125" spans="94:95" s="185" customFormat="1" x14ac:dyDescent="0.25">
      <c r="CP125" s="609"/>
      <c r="CQ125" s="609"/>
    </row>
    <row r="126" spans="94:95" s="185" customFormat="1" x14ac:dyDescent="0.25">
      <c r="CP126" s="609"/>
      <c r="CQ126" s="609"/>
    </row>
    <row r="127" spans="94:95" s="185" customFormat="1" x14ac:dyDescent="0.25">
      <c r="CP127" s="609"/>
      <c r="CQ127" s="609"/>
    </row>
    <row r="128" spans="94:95" s="185" customFormat="1" x14ac:dyDescent="0.25">
      <c r="CP128" s="609"/>
      <c r="CQ128" s="609"/>
    </row>
    <row r="129" spans="94:95" s="185" customFormat="1" x14ac:dyDescent="0.25">
      <c r="CP129" s="609"/>
      <c r="CQ129" s="609"/>
    </row>
    <row r="130" spans="94:95" s="185" customFormat="1" x14ac:dyDescent="0.25">
      <c r="CP130" s="609"/>
      <c r="CQ130" s="609"/>
    </row>
    <row r="131" spans="94:95" s="185" customFormat="1" x14ac:dyDescent="0.25">
      <c r="CP131" s="609"/>
      <c r="CQ131" s="609"/>
    </row>
    <row r="132" spans="94:95" s="185" customFormat="1" x14ac:dyDescent="0.25">
      <c r="CP132" s="609"/>
      <c r="CQ132" s="609"/>
    </row>
    <row r="133" spans="94:95" s="185" customFormat="1" x14ac:dyDescent="0.25">
      <c r="CP133" s="609"/>
      <c r="CQ133" s="609"/>
    </row>
    <row r="134" spans="94:95" s="185" customFormat="1" x14ac:dyDescent="0.25">
      <c r="CP134" s="609"/>
      <c r="CQ134" s="609"/>
    </row>
    <row r="135" spans="94:95" s="185" customFormat="1" x14ac:dyDescent="0.25">
      <c r="CP135" s="609"/>
      <c r="CQ135" s="609"/>
    </row>
    <row r="136" spans="94:95" s="185" customFormat="1" x14ac:dyDescent="0.25">
      <c r="CP136" s="609"/>
      <c r="CQ136" s="609"/>
    </row>
    <row r="137" spans="94:95" s="185" customFormat="1" x14ac:dyDescent="0.25">
      <c r="CP137" s="609"/>
      <c r="CQ137" s="609"/>
    </row>
    <row r="138" spans="94:95" s="185" customFormat="1" x14ac:dyDescent="0.25">
      <c r="CP138" s="609"/>
      <c r="CQ138" s="609"/>
    </row>
    <row r="139" spans="94:95" s="185" customFormat="1" x14ac:dyDescent="0.25">
      <c r="CP139" s="609"/>
      <c r="CQ139" s="609"/>
    </row>
    <row r="140" spans="94:95" s="185" customFormat="1" x14ac:dyDescent="0.25">
      <c r="CP140" s="609"/>
      <c r="CQ140" s="609"/>
    </row>
    <row r="141" spans="94:95" s="185" customFormat="1" x14ac:dyDescent="0.25">
      <c r="CP141" s="609"/>
      <c r="CQ141" s="609"/>
    </row>
    <row r="142" spans="94:95" s="185" customFormat="1" x14ac:dyDescent="0.25">
      <c r="CP142" s="609"/>
      <c r="CQ142" s="609"/>
    </row>
    <row r="143" spans="94:95" s="185" customFormat="1" x14ac:dyDescent="0.25">
      <c r="CP143" s="609"/>
      <c r="CQ143" s="609"/>
    </row>
    <row r="144" spans="94:95" s="185" customFormat="1" x14ac:dyDescent="0.25">
      <c r="CP144" s="609"/>
      <c r="CQ144" s="609"/>
    </row>
    <row r="145" spans="94:95" s="185" customFormat="1" x14ac:dyDescent="0.25">
      <c r="CP145" s="609"/>
      <c r="CQ145" s="609"/>
    </row>
    <row r="146" spans="94:95" s="185" customFormat="1" x14ac:dyDescent="0.25">
      <c r="CP146" s="609"/>
      <c r="CQ146" s="609"/>
    </row>
    <row r="147" spans="94:95" s="185" customFormat="1" x14ac:dyDescent="0.25">
      <c r="CP147" s="609"/>
      <c r="CQ147" s="609"/>
    </row>
    <row r="148" spans="94:95" s="185" customFormat="1" x14ac:dyDescent="0.25">
      <c r="CP148" s="609"/>
      <c r="CQ148" s="609"/>
    </row>
    <row r="149" spans="94:95" s="185" customFormat="1" x14ac:dyDescent="0.25">
      <c r="CP149" s="609"/>
      <c r="CQ149" s="609"/>
    </row>
    <row r="150" spans="94:95" s="185" customFormat="1" x14ac:dyDescent="0.25">
      <c r="CP150" s="609"/>
      <c r="CQ150" s="609"/>
    </row>
    <row r="151" spans="94:95" s="185" customFormat="1" x14ac:dyDescent="0.25">
      <c r="CP151" s="609"/>
      <c r="CQ151" s="609"/>
    </row>
    <row r="152" spans="94:95" s="185" customFormat="1" x14ac:dyDescent="0.25">
      <c r="CP152" s="609"/>
      <c r="CQ152" s="609"/>
    </row>
    <row r="153" spans="94:95" s="185" customFormat="1" x14ac:dyDescent="0.25">
      <c r="CP153" s="609"/>
      <c r="CQ153" s="609"/>
    </row>
    <row r="154" spans="94:95" s="185" customFormat="1" x14ac:dyDescent="0.25">
      <c r="CP154" s="609"/>
      <c r="CQ154" s="609"/>
    </row>
    <row r="155" spans="94:95" s="185" customFormat="1" x14ac:dyDescent="0.25">
      <c r="CP155" s="609"/>
      <c r="CQ155" s="609"/>
    </row>
    <row r="156" spans="94:95" s="185" customFormat="1" x14ac:dyDescent="0.25">
      <c r="CP156" s="609"/>
      <c r="CQ156" s="609"/>
    </row>
    <row r="157" spans="94:95" s="185" customFormat="1" x14ac:dyDescent="0.25">
      <c r="CP157" s="609"/>
      <c r="CQ157" s="609"/>
    </row>
    <row r="158" spans="94:95" s="185" customFormat="1" x14ac:dyDescent="0.25">
      <c r="CP158" s="609"/>
      <c r="CQ158" s="609"/>
    </row>
    <row r="159" spans="94:95" s="185" customFormat="1" x14ac:dyDescent="0.25">
      <c r="CP159" s="609"/>
      <c r="CQ159" s="609"/>
    </row>
    <row r="160" spans="94:95" s="185" customFormat="1" x14ac:dyDescent="0.25">
      <c r="CP160" s="609"/>
      <c r="CQ160" s="609"/>
    </row>
    <row r="161" spans="94:95" s="185" customFormat="1" x14ac:dyDescent="0.25">
      <c r="CP161" s="609"/>
      <c r="CQ161" s="609"/>
    </row>
    <row r="162" spans="94:95" s="185" customFormat="1" x14ac:dyDescent="0.25">
      <c r="CP162" s="609"/>
      <c r="CQ162" s="609"/>
    </row>
    <row r="163" spans="94:95" s="185" customFormat="1" x14ac:dyDescent="0.25">
      <c r="CP163" s="609"/>
      <c r="CQ163" s="609"/>
    </row>
    <row r="164" spans="94:95" s="185" customFormat="1" x14ac:dyDescent="0.25">
      <c r="CP164" s="609"/>
      <c r="CQ164" s="609"/>
    </row>
    <row r="165" spans="94:95" s="185" customFormat="1" x14ac:dyDescent="0.25">
      <c r="CP165" s="609"/>
      <c r="CQ165" s="609"/>
    </row>
    <row r="166" spans="94:95" s="185" customFormat="1" x14ac:dyDescent="0.25">
      <c r="CP166" s="609"/>
      <c r="CQ166" s="609"/>
    </row>
    <row r="167" spans="94:95" s="185" customFormat="1" x14ac:dyDescent="0.25">
      <c r="CP167" s="609"/>
      <c r="CQ167" s="609"/>
    </row>
    <row r="168" spans="94:95" s="185" customFormat="1" x14ac:dyDescent="0.25">
      <c r="CP168" s="609"/>
      <c r="CQ168" s="609"/>
    </row>
    <row r="169" spans="94:95" s="185" customFormat="1" x14ac:dyDescent="0.25">
      <c r="CP169" s="609"/>
      <c r="CQ169" s="609"/>
    </row>
    <row r="170" spans="94:95" s="185" customFormat="1" x14ac:dyDescent="0.25">
      <c r="CP170" s="609"/>
      <c r="CQ170" s="609"/>
    </row>
    <row r="171" spans="94:95" s="185" customFormat="1" x14ac:dyDescent="0.25">
      <c r="CP171" s="609"/>
      <c r="CQ171" s="609"/>
    </row>
    <row r="172" spans="94:95" s="185" customFormat="1" x14ac:dyDescent="0.25">
      <c r="CP172" s="609"/>
      <c r="CQ172" s="609"/>
    </row>
    <row r="173" spans="94:95" s="185" customFormat="1" x14ac:dyDescent="0.25">
      <c r="CP173" s="609"/>
      <c r="CQ173" s="609"/>
    </row>
    <row r="174" spans="94:95" s="185" customFormat="1" x14ac:dyDescent="0.25">
      <c r="CP174" s="609"/>
      <c r="CQ174" s="609"/>
    </row>
    <row r="175" spans="94:95" s="185" customFormat="1" x14ac:dyDescent="0.25">
      <c r="CP175" s="609"/>
      <c r="CQ175" s="609"/>
    </row>
    <row r="176" spans="94:95" s="185" customFormat="1" x14ac:dyDescent="0.25">
      <c r="CP176" s="609"/>
      <c r="CQ176" s="609"/>
    </row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</sheetData>
  <sheetProtection formatCells="0" formatColumns="0" formatRows="0" insertColumns="0" insertRows="0" insertHyperlinks="0" deleteColumns="0" deleteRows="0" sort="0" autoFilter="0" pivotTables="0"/>
  <dataConsolidate/>
  <mergeCells count="4">
    <mergeCell ref="I1:L1"/>
    <mergeCell ref="M1:P1"/>
    <mergeCell ref="Q1:T1"/>
    <mergeCell ref="U1:X1"/>
  </mergeCells>
  <dataValidations count="1">
    <dataValidation type="list" allowBlank="1" showInputMessage="1" showErrorMessage="1" sqref="F32 F8" xr:uid="{A24BB8BD-8A92-4F64-AC95-ED4EB1D39CC4}">
      <formula1>\gid</formula1>
    </dataValidation>
  </dataValidation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12AD7-8EC3-4C9B-A597-2DD5A3E3EA43}">
  <sheetPr codeName="Sheet9"/>
  <dimension ref="A1:AM19"/>
  <sheetViews>
    <sheetView zoomScaleNormal="100" workbookViewId="0">
      <selection activeCell="F25" sqref="F25"/>
    </sheetView>
  </sheetViews>
  <sheetFormatPr defaultColWidth="9.140625" defaultRowHeight="15" x14ac:dyDescent="0.25"/>
  <cols>
    <col min="1" max="1" width="4.7109375" style="674" customWidth="1"/>
    <col min="2" max="2" width="9.7109375" style="9" customWidth="1"/>
    <col min="3" max="3" width="9.140625" style="9" customWidth="1"/>
    <col min="4" max="4" width="10.28515625" style="9" customWidth="1"/>
    <col min="5" max="5" width="9.5703125" style="9" bestFit="1" customWidth="1"/>
    <col min="6" max="6" width="11" style="9" customWidth="1"/>
    <col min="7" max="7" width="8" style="9" customWidth="1"/>
    <col min="8" max="8" width="13.140625" style="9" customWidth="1"/>
    <col min="9" max="9" width="11.42578125" style="9" bestFit="1" customWidth="1"/>
    <col min="10" max="10" width="7.42578125" style="9" customWidth="1"/>
    <col min="11" max="11" width="12.5703125" style="9" customWidth="1"/>
    <col min="12" max="12" width="11.42578125" style="9" bestFit="1" customWidth="1"/>
    <col min="13" max="13" width="8.5703125" style="9" customWidth="1"/>
    <col min="14" max="14" width="12" style="9" customWidth="1"/>
    <col min="15" max="15" width="11.42578125" style="9" bestFit="1" customWidth="1"/>
    <col min="16" max="16" width="7" style="9" customWidth="1"/>
    <col min="17" max="17" width="12.28515625" style="9" customWidth="1"/>
    <col min="18" max="18" width="11.42578125" style="9" bestFit="1" customWidth="1"/>
    <col min="19" max="19" width="7.42578125" style="9" customWidth="1"/>
    <col min="20" max="20" width="12.28515625" style="9" customWidth="1"/>
    <col min="21" max="21" width="11.42578125" style="9" customWidth="1"/>
    <col min="22" max="22" width="7.140625" style="9" customWidth="1"/>
    <col min="23" max="23" width="12.7109375" style="9" customWidth="1"/>
    <col min="24" max="34" width="9.140625" style="9"/>
    <col min="35" max="35" width="9" style="9" customWidth="1"/>
    <col min="36" max="36" width="11.42578125" style="9" customWidth="1"/>
    <col min="37" max="37" width="7.85546875" style="9" customWidth="1"/>
    <col min="38" max="38" width="7.28515625" style="9" customWidth="1"/>
    <col min="39" max="40" width="9.140625" style="9" customWidth="1"/>
    <col min="41" max="16384" width="9.140625" style="9"/>
  </cols>
  <sheetData>
    <row r="1" spans="1:39" x14ac:dyDescent="0.25">
      <c r="U1" s="701"/>
      <c r="V1" s="701"/>
      <c r="W1" s="701"/>
      <c r="AJ1" s="701"/>
      <c r="AK1" s="701"/>
      <c r="AL1" s="701"/>
      <c r="AM1" s="701"/>
    </row>
    <row r="6" spans="1:39" x14ac:dyDescent="0.25">
      <c r="H6" s="672"/>
      <c r="I6" s="57"/>
      <c r="J6" s="57"/>
    </row>
    <row r="10" spans="1:39" ht="15.75" thickBot="1" x14ac:dyDescent="0.3">
      <c r="L10" s="185"/>
    </row>
    <row r="11" spans="1:39" x14ac:dyDescent="0.25">
      <c r="C11" s="57"/>
      <c r="D11" s="264"/>
      <c r="E11" s="265"/>
      <c r="F11" s="702" t="s">
        <v>1009</v>
      </c>
      <c r="G11" s="702"/>
      <c r="H11" s="702"/>
      <c r="I11" s="703" t="s">
        <v>470</v>
      </c>
      <c r="J11" s="703"/>
      <c r="K11" s="703"/>
      <c r="L11" s="703" t="s">
        <v>364</v>
      </c>
      <c r="M11" s="703"/>
      <c r="N11" s="703"/>
      <c r="O11" s="703" t="s">
        <v>1010</v>
      </c>
      <c r="P11" s="703"/>
      <c r="Q11" s="703"/>
      <c r="R11" s="703" t="s">
        <v>1011</v>
      </c>
      <c r="S11" s="703"/>
      <c r="T11" s="703"/>
      <c r="U11" s="703" t="s">
        <v>79</v>
      </c>
      <c r="V11" s="703"/>
      <c r="W11" s="703"/>
      <c r="X11" s="56"/>
      <c r="AJ11" s="703" t="s">
        <v>373</v>
      </c>
      <c r="AK11" s="703"/>
      <c r="AL11" s="703"/>
      <c r="AM11" s="703"/>
    </row>
    <row r="12" spans="1:39" ht="15.75" thickBot="1" x14ac:dyDescent="0.3">
      <c r="C12" s="57"/>
      <c r="D12" s="532" t="s">
        <v>374</v>
      </c>
      <c r="E12" s="58" t="s">
        <v>361</v>
      </c>
      <c r="F12" s="55" t="s">
        <v>363</v>
      </c>
      <c r="G12" s="55" t="s">
        <v>973</v>
      </c>
      <c r="H12" s="55" t="s">
        <v>247</v>
      </c>
      <c r="I12" s="54" t="s">
        <v>363</v>
      </c>
      <c r="J12" s="55" t="s">
        <v>973</v>
      </c>
      <c r="K12" s="54" t="s">
        <v>247</v>
      </c>
      <c r="L12" s="54" t="s">
        <v>363</v>
      </c>
      <c r="M12" s="55" t="s">
        <v>973</v>
      </c>
      <c r="N12" s="54" t="s">
        <v>247</v>
      </c>
      <c r="O12" s="54" t="s">
        <v>363</v>
      </c>
      <c r="P12" s="55" t="s">
        <v>973</v>
      </c>
      <c r="Q12" s="54" t="s">
        <v>247</v>
      </c>
      <c r="R12" s="54" t="s">
        <v>363</v>
      </c>
      <c r="S12" s="55" t="s">
        <v>973</v>
      </c>
      <c r="T12" s="266" t="s">
        <v>247</v>
      </c>
      <c r="U12" s="54" t="s">
        <v>363</v>
      </c>
      <c r="V12" s="55" t="s">
        <v>973</v>
      </c>
      <c r="W12" s="54" t="s">
        <v>247</v>
      </c>
      <c r="X12" s="56"/>
      <c r="AJ12" s="54" t="s">
        <v>363</v>
      </c>
      <c r="AK12" s="54" t="s">
        <v>3</v>
      </c>
      <c r="AL12" s="55" t="s">
        <v>973</v>
      </c>
      <c r="AM12" s="54" t="s">
        <v>247</v>
      </c>
    </row>
    <row r="13" spans="1:39" x14ac:dyDescent="0.25">
      <c r="C13" s="682"/>
      <c r="D13" s="262" t="s">
        <v>407</v>
      </c>
      <c r="E13" s="59"/>
      <c r="F13" s="176"/>
      <c r="G13" s="178"/>
      <c r="H13" s="179">
        <f ca="1">SUMIF(H12:OFFSET(H13,-1,0),"&gt;=0")</f>
        <v>0</v>
      </c>
      <c r="I13" s="675"/>
      <c r="J13" s="178"/>
      <c r="K13" s="179">
        <f ca="1">SUMIF(K12:OFFSET(K13,-1,0),"&gt;=0")</f>
        <v>0</v>
      </c>
      <c r="L13" s="177"/>
      <c r="M13" s="178"/>
      <c r="N13" s="179">
        <f ca="1">SUMIF(N12:OFFSET(N13,-1,0),"&gt;=0")</f>
        <v>0</v>
      </c>
      <c r="O13" s="177"/>
      <c r="P13" s="178"/>
      <c r="Q13" s="179">
        <f ca="1">SUMIF(Q12:OFFSET(Q13,-1,0),"&gt;=0")</f>
        <v>0</v>
      </c>
      <c r="R13" s="177"/>
      <c r="S13" s="178"/>
      <c r="T13" s="179">
        <f ca="1">SUMIF(T12:OFFSET(T13,-1,0),"&gt;=0")</f>
        <v>0</v>
      </c>
      <c r="U13" s="177"/>
      <c r="V13" s="178"/>
      <c r="W13" s="179">
        <f ca="1">SUMIF(W12:OFFSET(W13,-1,0),"&gt;=0")</f>
        <v>0</v>
      </c>
      <c r="X13" s="56"/>
      <c r="AJ13" s="177"/>
      <c r="AK13" s="177"/>
      <c r="AL13" s="178"/>
      <c r="AM13" s="179">
        <f ca="1">SUMIF(AM12:OFFSET(AM13,-1,0),"&gt;=0")</f>
        <v>0</v>
      </c>
    </row>
    <row r="14" spans="1:39" s="248" customFormat="1" x14ac:dyDescent="0.25">
      <c r="A14" s="676"/>
      <c r="C14" s="261"/>
      <c r="D14" s="263" t="s">
        <v>985</v>
      </c>
      <c r="E14" s="175"/>
      <c r="F14" s="175"/>
      <c r="G14" s="533"/>
      <c r="H14" s="679">
        <f t="array" aca="1" ref="H14" ca="1">IFERROR(SUM((IF((OFFSET(F12,1,0):OFFSET(F13,-1,0)&lt;=1)*(OFFSET(F12,1,0):OFFSET(F13,-1,0)&gt;0),OFFSET(F12,1,0):OFFSET(F13,-1,0),IF(OFFSET(F12,1,0):OFFSET(F13,-1,0)&gt;1,1,0)))*40*IFERROR(INDEX('Rate Tables'!$B$12:$D$15,MATCH(OFFSET($E12,1,0):OFFSET($E13,-1,0),'Rate Tables'!$B$12:$B$15,-1),2),INDEX('Rate Tables'!$B$12:$D$15,1,2)) +(OFFSET(G12,1,0):OFFSET(G13,-1,0))*40*IFERROR(INDEX('Rate Tables'!$B$12:$D$15,MATCH(OFFSET($E12,1,0):OFFSET($E13,-1,0),'Rate Tables'!$B$12:$B$15,-1),3),INDEX('Rate Tables'!$B$12:$D$15,1,3)) ),0)</f>
        <v>0</v>
      </c>
      <c r="I14" s="534"/>
      <c r="J14" s="668"/>
      <c r="K14" s="679">
        <f t="array" aca="1" ref="K14" ca="1">IFERROR(SUM((IF((OFFSET(I12,1,0):OFFSET(I13,-1,0)&lt;=1)*(OFFSET(I12,1,0):OFFSET(I13,-1,0)&gt;0),OFFSET(I12,1,0):OFFSET(I13,-1,0),IF(OFFSET(I12,1,0):OFFSET(I13,-1,0)&gt;1,1,0)))*40*IFERROR(INDEX('Rate Tables'!$B$26:$D$29,MATCH(OFFSET($E12,1,0):OFFSET($E13,-1,0),'Rate Tables'!$B$26:$B$29,-1),2),INDEX('Rate Tables'!$B$26:$D$29,1,2)) +(OFFSET(J12,1,0):OFFSET(J13,-1,0))*40*IFERROR(INDEX('Rate Tables'!$B$26:$D$29,MATCH(OFFSET($E12,1,0):OFFSET($E13,-1,0),'Rate Tables'!$B$26:$B$29,-1),3),INDEX('Rate Tables'!$B$26:$D$29,1,3)) ),0)</f>
        <v>0</v>
      </c>
      <c r="L14" s="534"/>
      <c r="M14" s="668"/>
      <c r="N14" s="533"/>
      <c r="O14" s="534"/>
      <c r="P14" s="668"/>
      <c r="Q14" s="533"/>
      <c r="R14" s="534"/>
      <c r="S14" s="668"/>
      <c r="T14" s="533"/>
      <c r="U14" s="534"/>
      <c r="V14" s="668"/>
      <c r="W14" s="533"/>
      <c r="X14" s="267"/>
      <c r="AJ14" s="534"/>
      <c r="AK14" s="534"/>
      <c r="AL14" s="668"/>
      <c r="AM14" s="533"/>
    </row>
    <row r="15" spans="1:39" ht="22.5" customHeight="1" thickBot="1" x14ac:dyDescent="0.35">
      <c r="C15" s="57"/>
      <c r="D15" s="591" t="s">
        <v>986</v>
      </c>
      <c r="E15" s="134"/>
      <c r="F15" s="60"/>
      <c r="G15" s="537"/>
      <c r="H15" s="133">
        <f ca="1">SUM(H13:H14)</f>
        <v>0</v>
      </c>
      <c r="I15" s="60"/>
      <c r="J15" s="537"/>
      <c r="K15" s="133">
        <f ca="1">SUM(K13:K14)</f>
        <v>0</v>
      </c>
      <c r="L15" s="60"/>
      <c r="M15" s="537"/>
      <c r="N15" s="133">
        <f ca="1">SUM(N13:N14)</f>
        <v>0</v>
      </c>
      <c r="O15" s="60"/>
      <c r="P15" s="537"/>
      <c r="Q15" s="133">
        <f ca="1">SUM(Q13:Q14)</f>
        <v>0</v>
      </c>
      <c r="R15" s="60"/>
      <c r="S15" s="537"/>
      <c r="T15" s="133">
        <f ca="1">SUM(T13:T14)</f>
        <v>0</v>
      </c>
      <c r="U15" s="60"/>
      <c r="V15" s="537"/>
      <c r="W15" s="133">
        <f ca="1">SUM(W13:W14)</f>
        <v>0</v>
      </c>
      <c r="X15" s="56"/>
      <c r="AJ15" s="60"/>
      <c r="AK15" s="60"/>
      <c r="AL15" s="537"/>
      <c r="AM15" s="133">
        <f ca="1">SUM(AM13:AM14)</f>
        <v>0</v>
      </c>
    </row>
    <row r="16" spans="1:39" x14ac:dyDescent="0.25">
      <c r="D16" s="268"/>
      <c r="E16" s="268"/>
      <c r="F16" s="268"/>
      <c r="G16" s="268"/>
      <c r="H16" s="268"/>
      <c r="I16" s="268"/>
      <c r="J16" s="268"/>
      <c r="K16" s="268"/>
      <c r="L16" s="268"/>
      <c r="M16" s="268"/>
      <c r="N16" s="268"/>
      <c r="O16" s="268"/>
      <c r="P16" s="268"/>
      <c r="Q16" s="268"/>
      <c r="R16" s="268"/>
      <c r="S16" s="268"/>
      <c r="T16" s="268"/>
      <c r="U16" s="268"/>
      <c r="V16" s="268"/>
      <c r="W16" s="268"/>
      <c r="AJ16" s="268"/>
      <c r="AK16" s="268"/>
      <c r="AL16" s="268"/>
      <c r="AM16" s="268"/>
    </row>
    <row r="17" spans="1:39" x14ac:dyDescent="0.25"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</row>
    <row r="19" spans="1:39" ht="15.75" hidden="1" thickBot="1" x14ac:dyDescent="0.3">
      <c r="A19" s="680"/>
      <c r="C19" s="669"/>
      <c r="D19" s="180">
        <f ca="1">IFERROR(OFFSET(D19,-1,0)+1,1)</f>
        <v>1</v>
      </c>
      <c r="E19" s="181">
        <f ca="1">IFERROR(OFFSET(E19,-1,0)+7,Settings!\cstart)</f>
        <v>7</v>
      </c>
      <c r="F19" s="182"/>
      <c r="G19" s="673"/>
      <c r="H19" s="678">
        <f ca="1">IFERROR(INDEX('Rate Tables'!$B$5:$D$8,MATCH($E19,'Rate Tables'!$B$5:$B$8,-1),2),INDEX('Rate Tables'!$B$5:$D$8,1,2))*40*F19+((40*G19)*IFERROR(INDEX('Rate Tables'!$B$5:$D$8,MATCH($E19,'Rate Tables'!$B$5:$B$8,-1),3),INDEX('Rate Tables'!$B$5:$D$8,1,3)))</f>
        <v>0</v>
      </c>
      <c r="I19" s="183"/>
      <c r="J19" s="673"/>
      <c r="K19" s="678">
        <f ca="1">IFERROR(INDEX('Rate Tables'!$B$19:$D$22,MATCH($E19,'Rate Tables'!$B$19:$B$22,-1),2),INDEX('Rate Tables'!$B$19:$D$22,1,2))*40*I19+((40*J19)*IFERROR(INDEX('Rate Tables'!$B$19:$D$22,MATCH($E19,'Rate Tables'!$B$19:$B$22,-1),3),INDEX('Rate Tables'!$B$19:$D$22,1,3)))</f>
        <v>0</v>
      </c>
      <c r="L19" s="183"/>
      <c r="M19" s="673"/>
      <c r="N19" s="678">
        <f>INDEX('Rate Tables'!$B$33:$D$33,1,2)*40*L19+((40*M19)*INDEX('Rate Tables'!$B$33:$D$33,1,3))</f>
        <v>0</v>
      </c>
      <c r="O19" s="183"/>
      <c r="P19" s="673"/>
      <c r="Q19" s="678">
        <f ca="1">IFERROR(INDEX('Rate Tables'!$B$37:$D$40,MATCH($E19,'Rate Tables'!$B$37:$B$40,-1),2),INDEX('Rate Tables'!$B$37:$D$40,1,2))*40*O19+((40*P19)*IFERROR(INDEX('Rate Tables'!$B$37:$D$40,MATCH($E19,'Rate Tables'!$B$37:$B$40,-1),3),INDEX('Rate Tables'!$B$37:$D$40,1,3)))</f>
        <v>0</v>
      </c>
      <c r="R19" s="183"/>
      <c r="S19" s="673"/>
      <c r="T19" s="678">
        <f ca="1">IFERROR(INDEX('Rate Tables'!$B$44:$D$47,MATCH($E19,'Rate Tables'!$B$44:$B$47,-1),2),INDEX('Rate Tables'!$B$44:$D$47,1,2))*40*R19+((40*S19)*IFERROR(INDEX('Rate Tables'!$B$44:$D$47,MATCH($E19,'Rate Tables'!$B$44:$B$47,-1),3),INDEX('Rate Tables'!$B$44:$D$47,1,3)))</f>
        <v>0</v>
      </c>
      <c r="U19" s="183"/>
      <c r="V19" s="673"/>
      <c r="W19" s="678">
        <f>INDEX('Rate Tables'!$B$51:$D$51,1,2)*40*U19+((40*V19)*INDEX('Rate Tables'!$B$51:$D$51,1,3))</f>
        <v>0</v>
      </c>
      <c r="X19" s="56"/>
      <c r="AJ19" s="183"/>
      <c r="AK19" s="677"/>
      <c r="AL19" s="673"/>
      <c r="AM19" s="184">
        <f>(AJ19*AK19*40)+(AL19*40*1.27*AK19)</f>
        <v>0</v>
      </c>
    </row>
  </sheetData>
  <sheetProtection formatCells="0" formatColumns="0" formatRows="0" insertColumns="0" insertRows="0" insertHyperlinks="0" deleteColumns="0" deleteRows="0" sort="0" autoFilter="0" pivotTables="0"/>
  <mergeCells count="9">
    <mergeCell ref="U1:W1"/>
    <mergeCell ref="AJ1:AM1"/>
    <mergeCell ref="F11:H11"/>
    <mergeCell ref="I11:K11"/>
    <mergeCell ref="L11:N11"/>
    <mergeCell ref="O11:Q11"/>
    <mergeCell ref="R11:T11"/>
    <mergeCell ref="U11:W11"/>
    <mergeCell ref="AJ11:AM11"/>
  </mergeCells>
  <dataValidations disablePrompts="1" count="1">
    <dataValidation type="list" allowBlank="1" showInputMessage="1" showErrorMessage="1" sqref="J6" xr:uid="{64B4D3E0-A4D6-4F43-9DFF-2CDC0069C3AC}">
      <formula1>\workweeks</formula1>
    </dataValidation>
  </dataValidation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2B0C-DA54-4CAA-B658-BD043332B91F}">
  <sheetPr codeName="Sheet10"/>
  <dimension ref="B2:Y51"/>
  <sheetViews>
    <sheetView workbookViewId="0">
      <selection activeCell="D4" sqref="D4:E4"/>
    </sheetView>
  </sheetViews>
  <sheetFormatPr defaultColWidth="9.140625" defaultRowHeight="15" x14ac:dyDescent="0.25"/>
  <cols>
    <col min="1" max="1" width="5.5703125" customWidth="1"/>
    <col min="2" max="2" width="9.7109375" bestFit="1" customWidth="1"/>
    <col min="3" max="3" width="9.7109375" customWidth="1"/>
    <col min="4" max="4" width="11" customWidth="1"/>
    <col min="5" max="5" width="4.85546875" customWidth="1"/>
    <col min="6" max="6" width="9.140625" customWidth="1"/>
    <col min="7" max="7" width="7.42578125" customWidth="1"/>
    <col min="8" max="25" width="9.140625" customWidth="1"/>
  </cols>
  <sheetData>
    <row r="2" spans="2:25" x14ac:dyDescent="0.25">
      <c r="B2" s="671"/>
    </row>
    <row r="4" spans="2:25" x14ac:dyDescent="0.25">
      <c r="B4" t="str">
        <f>INDEX(Code!\t_schedule,MATCH(Settings!\reg,Code!\headertable,0),1)</f>
        <v>Clean-Up Labor</v>
      </c>
      <c r="C4" s="404"/>
      <c r="D4" s="404"/>
      <c r="E4" s="404"/>
      <c r="F4" s="419" t="s">
        <v>274</v>
      </c>
      <c r="G4" s="419">
        <v>1.27</v>
      </c>
      <c r="H4" s="419" t="s">
        <v>276</v>
      </c>
      <c r="I4" s="419"/>
      <c r="J4" s="419" t="s">
        <v>278</v>
      </c>
      <c r="K4" s="419"/>
      <c r="L4" s="419" t="s">
        <v>268</v>
      </c>
      <c r="M4" s="419"/>
      <c r="N4" s="419" t="s">
        <v>281</v>
      </c>
      <c r="O4" s="419"/>
      <c r="P4" s="419" t="s">
        <v>283</v>
      </c>
      <c r="Q4" s="419"/>
      <c r="R4" s="419" t="s">
        <v>285</v>
      </c>
      <c r="S4" s="419"/>
      <c r="T4" s="419" t="s">
        <v>287</v>
      </c>
      <c r="U4" s="419"/>
      <c r="V4" s="419" t="s">
        <v>289</v>
      </c>
      <c r="W4" s="419"/>
      <c r="X4" s="419" t="s">
        <v>291</v>
      </c>
      <c r="Y4" s="419"/>
    </row>
    <row r="5" spans="2:25" x14ac:dyDescent="0.25">
      <c r="B5" s="670">
        <v>43617</v>
      </c>
      <c r="C5" s="413">
        <f>INDEX(\t_laborer,4,MATCH(Settings!\reg,\laborer,0))</f>
        <v>103.02</v>
      </c>
      <c r="D5" s="413">
        <f>INDEX(\t_laborer,4,MATCH(Settings!\reg,\laborer,0)+1)</f>
        <v>130.83539999999999</v>
      </c>
      <c r="E5" s="404"/>
      <c r="F5" s="404">
        <v>97.75</v>
      </c>
      <c r="G5" s="404">
        <f>G$4*F5</f>
        <v>124.1425</v>
      </c>
      <c r="H5" s="404">
        <v>99.25</v>
      </c>
      <c r="I5" s="404">
        <f>I$4*H5</f>
        <v>0</v>
      </c>
      <c r="J5" s="404">
        <v>99.25</v>
      </c>
      <c r="K5" s="404">
        <f>K$4*J5</f>
        <v>0</v>
      </c>
      <c r="L5" s="404">
        <v>99.25</v>
      </c>
      <c r="M5" s="404">
        <f>M$4*L5</f>
        <v>0</v>
      </c>
      <c r="N5" s="404">
        <v>99.25</v>
      </c>
      <c r="O5" s="404">
        <f>O$4*N5</f>
        <v>0</v>
      </c>
      <c r="P5" s="404">
        <v>99.25</v>
      </c>
      <c r="Q5" s="404">
        <f>Q$4*P5</f>
        <v>0</v>
      </c>
      <c r="R5" s="404">
        <v>99.25</v>
      </c>
      <c r="S5" s="404">
        <f>S$4*R5</f>
        <v>0</v>
      </c>
      <c r="T5" s="404">
        <v>99.25</v>
      </c>
      <c r="U5" s="404">
        <f>U$4*T5</f>
        <v>0</v>
      </c>
      <c r="V5" s="404">
        <v>99.25</v>
      </c>
      <c r="W5" s="404">
        <f>W$4*V5</f>
        <v>0</v>
      </c>
      <c r="X5" s="404">
        <v>99.25</v>
      </c>
      <c r="Y5" s="404">
        <f>Y$4*X5</f>
        <v>0</v>
      </c>
    </row>
    <row r="6" spans="2:25" x14ac:dyDescent="0.25">
      <c r="B6" s="670">
        <v>43435</v>
      </c>
      <c r="C6" s="413">
        <f>INDEX(\t_laborer,3,MATCH(Settings!\reg,\laborer,0))</f>
        <v>101</v>
      </c>
      <c r="D6" s="413">
        <f>INDEX(\t_laborer,3,MATCH(Settings!\reg,\laborer,0)+1)</f>
        <v>128.27000000000001</v>
      </c>
      <c r="E6" s="413"/>
      <c r="F6" s="404">
        <v>99.25</v>
      </c>
      <c r="G6" s="404">
        <f>G$4*F6</f>
        <v>126.0475</v>
      </c>
      <c r="H6" s="404">
        <v>99.25</v>
      </c>
      <c r="I6" s="404">
        <f>I$4*H6</f>
        <v>0</v>
      </c>
      <c r="J6" s="404">
        <v>99.25</v>
      </c>
      <c r="K6" s="404">
        <f>K$4*J6</f>
        <v>0</v>
      </c>
      <c r="L6" s="404">
        <v>99.25</v>
      </c>
      <c r="M6" s="404">
        <f>M$4*L6</f>
        <v>0</v>
      </c>
      <c r="N6" s="404">
        <v>99.25</v>
      </c>
      <c r="O6" s="404">
        <f>O$4*N6</f>
        <v>0</v>
      </c>
      <c r="P6" s="404">
        <v>99.25</v>
      </c>
      <c r="Q6" s="404">
        <f>Q$4*P6</f>
        <v>0</v>
      </c>
      <c r="R6" s="404">
        <v>99.25</v>
      </c>
      <c r="S6" s="404">
        <f>S$4*R6</f>
        <v>0</v>
      </c>
      <c r="T6" s="404">
        <v>99.25</v>
      </c>
      <c r="U6" s="404">
        <f>U$4*T6</f>
        <v>0</v>
      </c>
      <c r="V6" s="404">
        <v>99.25</v>
      </c>
      <c r="W6" s="404">
        <f>W$4*V6</f>
        <v>0</v>
      </c>
      <c r="X6" s="404">
        <v>99.25</v>
      </c>
      <c r="Y6" s="404">
        <f>Y$4*X6</f>
        <v>0</v>
      </c>
    </row>
    <row r="7" spans="2:25" x14ac:dyDescent="0.25">
      <c r="B7" s="670">
        <v>43252</v>
      </c>
      <c r="C7" s="413">
        <f>INDEX(\t_laborer,2,MATCH(Settings!\reg,\laborer,0))</f>
        <v>99.25</v>
      </c>
      <c r="D7" s="413">
        <f>INDEX(\t_laborer,2,MATCH(Settings!\reg,\laborer,0)+1)</f>
        <v>126.0475</v>
      </c>
      <c r="E7" s="413"/>
      <c r="F7" s="404">
        <v>101</v>
      </c>
      <c r="G7" s="404">
        <f t="shared" ref="G7:I8" si="0">G$4*F7</f>
        <v>128.27000000000001</v>
      </c>
      <c r="H7" s="404">
        <v>101</v>
      </c>
      <c r="I7" s="404">
        <f t="shared" si="0"/>
        <v>0</v>
      </c>
      <c r="J7" s="404">
        <v>101</v>
      </c>
      <c r="K7" s="404">
        <f t="shared" ref="K7:K8" si="1">K$4*J7</f>
        <v>0</v>
      </c>
      <c r="L7" s="404">
        <v>101</v>
      </c>
      <c r="M7" s="404">
        <f t="shared" ref="M7:M8" si="2">M$4*L7</f>
        <v>0</v>
      </c>
      <c r="N7" s="404">
        <v>101</v>
      </c>
      <c r="O7" s="404">
        <f t="shared" ref="O7:O8" si="3">O$4*N7</f>
        <v>0</v>
      </c>
      <c r="P7" s="404">
        <v>101</v>
      </c>
      <c r="Q7" s="404">
        <f t="shared" ref="Q7:Q8" si="4">Q$4*P7</f>
        <v>0</v>
      </c>
      <c r="R7" s="404">
        <v>101</v>
      </c>
      <c r="S7" s="404">
        <f t="shared" ref="S7:S8" si="5">S$4*R7</f>
        <v>0</v>
      </c>
      <c r="T7" s="404">
        <v>101</v>
      </c>
      <c r="U7" s="404">
        <f t="shared" ref="U7:U8" si="6">U$4*T7</f>
        <v>0</v>
      </c>
      <c r="V7" s="404">
        <v>101</v>
      </c>
      <c r="W7" s="404">
        <f t="shared" ref="W7:W8" si="7">W$4*V7</f>
        <v>0</v>
      </c>
      <c r="X7" s="404">
        <v>101</v>
      </c>
      <c r="Y7" s="404">
        <f t="shared" ref="Y7:Y8" si="8">Y$4*X7</f>
        <v>0</v>
      </c>
    </row>
    <row r="8" spans="2:25" x14ac:dyDescent="0.25">
      <c r="B8" s="670">
        <v>43070</v>
      </c>
      <c r="C8" s="413">
        <f>INDEX(\t_laborer,1,MATCH(Settings!\reg,\laborer,0))</f>
        <v>97.75</v>
      </c>
      <c r="D8" s="413">
        <f>INDEX(\t_laborer,1,MATCH(Settings!\reg,\laborer,0)+1)</f>
        <v>124.1425</v>
      </c>
      <c r="E8" s="413"/>
      <c r="F8" s="404">
        <f>F7*1.02</f>
        <v>103.02</v>
      </c>
      <c r="G8" s="404">
        <f t="shared" si="0"/>
        <v>130.83539999999999</v>
      </c>
      <c r="H8" s="404">
        <f t="shared" ref="H8:X8" si="9">H7*1.02</f>
        <v>103.02</v>
      </c>
      <c r="I8" s="404">
        <f t="shared" si="0"/>
        <v>0</v>
      </c>
      <c r="J8" s="404">
        <f t="shared" si="9"/>
        <v>103.02</v>
      </c>
      <c r="K8" s="404">
        <f t="shared" si="1"/>
        <v>0</v>
      </c>
      <c r="L8" s="404">
        <f t="shared" si="9"/>
        <v>103.02</v>
      </c>
      <c r="M8" s="404">
        <f t="shared" si="2"/>
        <v>0</v>
      </c>
      <c r="N8" s="404">
        <f t="shared" si="9"/>
        <v>103.02</v>
      </c>
      <c r="O8" s="404">
        <f t="shared" si="3"/>
        <v>0</v>
      </c>
      <c r="P8" s="404">
        <f t="shared" si="9"/>
        <v>103.02</v>
      </c>
      <c r="Q8" s="404">
        <f t="shared" si="4"/>
        <v>0</v>
      </c>
      <c r="R8" s="404">
        <f t="shared" si="9"/>
        <v>103.02</v>
      </c>
      <c r="S8" s="404">
        <f t="shared" si="5"/>
        <v>0</v>
      </c>
      <c r="T8" s="404">
        <f t="shared" si="9"/>
        <v>103.02</v>
      </c>
      <c r="U8" s="404">
        <f t="shared" si="6"/>
        <v>0</v>
      </c>
      <c r="V8" s="404">
        <f t="shared" si="9"/>
        <v>103.02</v>
      </c>
      <c r="W8" s="404">
        <f t="shared" si="7"/>
        <v>0</v>
      </c>
      <c r="X8" s="404">
        <f t="shared" si="9"/>
        <v>103.02</v>
      </c>
      <c r="Y8" s="404">
        <f t="shared" si="8"/>
        <v>0</v>
      </c>
    </row>
    <row r="11" spans="2:25" x14ac:dyDescent="0.25">
      <c r="B11" t="s">
        <v>1012</v>
      </c>
      <c r="C11" s="404"/>
      <c r="D11" s="404"/>
      <c r="E11" s="404"/>
      <c r="F11" s="419" t="s">
        <v>274</v>
      </c>
      <c r="G11" s="419">
        <v>1.27</v>
      </c>
      <c r="H11" s="419" t="s">
        <v>276</v>
      </c>
      <c r="I11" s="419"/>
      <c r="J11" s="419" t="s">
        <v>278</v>
      </c>
      <c r="K11" s="419"/>
      <c r="L11" s="419" t="s">
        <v>268</v>
      </c>
      <c r="M11" s="419"/>
      <c r="N11" s="419" t="s">
        <v>281</v>
      </c>
      <c r="O11" s="419"/>
      <c r="P11" s="419" t="s">
        <v>283</v>
      </c>
      <c r="Q11" s="419"/>
      <c r="R11" s="419" t="s">
        <v>285</v>
      </c>
      <c r="S11" s="419"/>
      <c r="T11" s="419" t="s">
        <v>287</v>
      </c>
      <c r="U11" s="419"/>
      <c r="V11" s="419" t="s">
        <v>289</v>
      </c>
      <c r="W11" s="419"/>
      <c r="X11" s="419" t="s">
        <v>291</v>
      </c>
      <c r="Y11" s="419"/>
    </row>
    <row r="12" spans="2:25" x14ac:dyDescent="0.25">
      <c r="B12" s="670">
        <v>43617</v>
      </c>
      <c r="C12" s="413">
        <f>INDEX(\t_laborforeman,4,MATCH(Settings!\reg,\laborforeman,0))</f>
        <v>109.14</v>
      </c>
      <c r="D12" s="413">
        <f>INDEX(\t_laborforeman,4,MATCH(Settings!\reg,\laborforeman,0)+1)</f>
        <v>138.6078</v>
      </c>
      <c r="E12" s="404"/>
      <c r="F12" s="404">
        <v>103.75</v>
      </c>
      <c r="G12" s="404">
        <f>G$11*F12</f>
        <v>131.76249999999999</v>
      </c>
      <c r="H12" s="404">
        <v>105.5</v>
      </c>
      <c r="I12" s="404">
        <f>I$11*H12</f>
        <v>0</v>
      </c>
      <c r="J12" s="404">
        <v>105.5</v>
      </c>
      <c r="K12" s="404">
        <f>K$11*J12</f>
        <v>0</v>
      </c>
      <c r="L12" s="404">
        <v>105.5</v>
      </c>
      <c r="M12" s="404">
        <f>M$11*L12</f>
        <v>0</v>
      </c>
      <c r="N12" s="404">
        <v>105.5</v>
      </c>
      <c r="O12" s="404">
        <f>O$11*N12</f>
        <v>0</v>
      </c>
      <c r="P12" s="404">
        <v>105.5</v>
      </c>
      <c r="Q12" s="404">
        <f>Q$11*P12</f>
        <v>0</v>
      </c>
      <c r="R12" s="404">
        <v>105.5</v>
      </c>
      <c r="S12" s="404">
        <f>S$11*R12</f>
        <v>0</v>
      </c>
      <c r="T12" s="404">
        <v>105.5</v>
      </c>
      <c r="U12" s="404">
        <f>U$11*T12</f>
        <v>0</v>
      </c>
      <c r="V12" s="404">
        <v>105.5</v>
      </c>
      <c r="W12" s="404">
        <f>W$11*V12</f>
        <v>0</v>
      </c>
      <c r="X12" s="404">
        <v>105.5</v>
      </c>
      <c r="Y12" s="404">
        <f>Y$11*X12</f>
        <v>0</v>
      </c>
    </row>
    <row r="13" spans="2:25" x14ac:dyDescent="0.25">
      <c r="B13" s="670">
        <v>43435</v>
      </c>
      <c r="C13" s="413">
        <f>INDEX(\t_laborforeman,3,MATCH(Settings!\reg,\laborforeman,0))</f>
        <v>107</v>
      </c>
      <c r="D13" s="413">
        <f>INDEX(\t_laborforeman,3,MATCH(Settings!\reg,\laborforeman,0)+1)</f>
        <v>135.89000000000001</v>
      </c>
      <c r="E13" s="670"/>
      <c r="F13" s="404">
        <v>105.5</v>
      </c>
      <c r="G13" s="404">
        <f>G$11*F13</f>
        <v>133.98500000000001</v>
      </c>
      <c r="H13" s="404">
        <v>105.5</v>
      </c>
      <c r="I13" s="404">
        <f>I$11*H13</f>
        <v>0</v>
      </c>
      <c r="J13" s="404">
        <v>105.5</v>
      </c>
      <c r="K13" s="404">
        <f>K$11*J13</f>
        <v>0</v>
      </c>
      <c r="L13" s="404">
        <v>105.5</v>
      </c>
      <c r="M13" s="404">
        <f>M$11*L13</f>
        <v>0</v>
      </c>
      <c r="N13" s="404">
        <v>105.5</v>
      </c>
      <c r="O13" s="404">
        <f>O$11*N13</f>
        <v>0</v>
      </c>
      <c r="P13" s="404">
        <v>105.5</v>
      </c>
      <c r="Q13" s="404">
        <f>Q$11*P13</f>
        <v>0</v>
      </c>
      <c r="R13" s="404">
        <v>105.5</v>
      </c>
      <c r="S13" s="404">
        <f>S$11*R13</f>
        <v>0</v>
      </c>
      <c r="T13" s="404">
        <v>105.5</v>
      </c>
      <c r="U13" s="404">
        <f>U$11*T13</f>
        <v>0</v>
      </c>
      <c r="V13" s="404">
        <v>105.5</v>
      </c>
      <c r="W13" s="404">
        <f>W$11*V13</f>
        <v>0</v>
      </c>
      <c r="X13" s="404">
        <v>105.5</v>
      </c>
      <c r="Y13" s="404">
        <f>Y$11*X13</f>
        <v>0</v>
      </c>
    </row>
    <row r="14" spans="2:25" x14ac:dyDescent="0.25">
      <c r="B14" s="670">
        <v>43252</v>
      </c>
      <c r="C14" s="413">
        <f>INDEX(\t_laborforeman,2,MATCH(Settings!\reg,\laborforeman,0))</f>
        <v>105.5</v>
      </c>
      <c r="D14" s="413">
        <f>INDEX(\t_laborforeman,2,MATCH(Settings!\reg,\laborforeman,0)+1)</f>
        <v>133.98500000000001</v>
      </c>
      <c r="E14" s="670"/>
      <c r="F14" s="404">
        <v>107</v>
      </c>
      <c r="G14" s="404">
        <f t="shared" ref="G14:I15" si="10">G$11*F14</f>
        <v>135.89000000000001</v>
      </c>
      <c r="H14" s="404">
        <v>107</v>
      </c>
      <c r="I14" s="404">
        <f t="shared" si="10"/>
        <v>0</v>
      </c>
      <c r="J14" s="404">
        <v>107</v>
      </c>
      <c r="K14" s="404">
        <f t="shared" ref="K14:K15" si="11">K$11*J14</f>
        <v>0</v>
      </c>
      <c r="L14" s="404">
        <v>107</v>
      </c>
      <c r="M14" s="404">
        <f t="shared" ref="M14:M15" si="12">M$11*L14</f>
        <v>0</v>
      </c>
      <c r="N14" s="404">
        <v>107</v>
      </c>
      <c r="O14" s="404">
        <f t="shared" ref="O14:O15" si="13">O$11*N14</f>
        <v>0</v>
      </c>
      <c r="P14" s="404">
        <v>107</v>
      </c>
      <c r="Q14" s="404">
        <f t="shared" ref="Q14:Q15" si="14">Q$11*P14</f>
        <v>0</v>
      </c>
      <c r="R14" s="404">
        <v>107</v>
      </c>
      <c r="S14" s="404">
        <f t="shared" ref="S14:S15" si="15">S$11*R14</f>
        <v>0</v>
      </c>
      <c r="T14" s="404">
        <v>107</v>
      </c>
      <c r="U14" s="404">
        <f t="shared" ref="U14:U15" si="16">U$11*T14</f>
        <v>0</v>
      </c>
      <c r="V14" s="404">
        <v>107</v>
      </c>
      <c r="W14" s="404">
        <f t="shared" ref="W14:W15" si="17">W$11*V14</f>
        <v>0</v>
      </c>
      <c r="X14" s="404">
        <v>107</v>
      </c>
      <c r="Y14" s="404">
        <f t="shared" ref="Y14:Y15" si="18">Y$11*X14</f>
        <v>0</v>
      </c>
    </row>
    <row r="15" spans="2:25" x14ac:dyDescent="0.25">
      <c r="B15" s="670">
        <v>43070</v>
      </c>
      <c r="C15" s="413">
        <f>INDEX(\t_laborforeman,1,MATCH(Settings!\reg,\laborforeman,0))</f>
        <v>103.75</v>
      </c>
      <c r="D15" s="413">
        <f>INDEX(\t_laborforeman,1,MATCH(Settings!\reg,\laborforeman,0)+1)</f>
        <v>131.76249999999999</v>
      </c>
      <c r="E15" s="670"/>
      <c r="F15" s="404">
        <f>F14*1.02</f>
        <v>109.14</v>
      </c>
      <c r="G15" s="404">
        <f t="shared" si="10"/>
        <v>138.6078</v>
      </c>
      <c r="H15" s="404">
        <f t="shared" ref="H15:X15" si="19">H14*1.02</f>
        <v>109.14</v>
      </c>
      <c r="I15" s="404">
        <f t="shared" si="10"/>
        <v>0</v>
      </c>
      <c r="J15" s="404">
        <f t="shared" si="19"/>
        <v>109.14</v>
      </c>
      <c r="K15" s="404">
        <f t="shared" si="11"/>
        <v>0</v>
      </c>
      <c r="L15" s="404">
        <f t="shared" si="19"/>
        <v>109.14</v>
      </c>
      <c r="M15" s="404">
        <f t="shared" si="12"/>
        <v>0</v>
      </c>
      <c r="N15" s="404">
        <f t="shared" si="19"/>
        <v>109.14</v>
      </c>
      <c r="O15" s="404">
        <f t="shared" si="13"/>
        <v>0</v>
      </c>
      <c r="P15" s="404">
        <f t="shared" si="19"/>
        <v>109.14</v>
      </c>
      <c r="Q15" s="404">
        <f t="shared" si="14"/>
        <v>0</v>
      </c>
      <c r="R15" s="404">
        <f t="shared" si="19"/>
        <v>109.14</v>
      </c>
      <c r="S15" s="404">
        <f t="shared" si="15"/>
        <v>0</v>
      </c>
      <c r="T15" s="404">
        <f t="shared" si="19"/>
        <v>109.14</v>
      </c>
      <c r="U15" s="404">
        <f t="shared" si="16"/>
        <v>0</v>
      </c>
      <c r="V15" s="404">
        <f t="shared" si="19"/>
        <v>109.14</v>
      </c>
      <c r="W15" s="404">
        <f t="shared" si="17"/>
        <v>0</v>
      </c>
      <c r="X15" s="404">
        <f t="shared" si="19"/>
        <v>109.14</v>
      </c>
      <c r="Y15" s="404">
        <f t="shared" si="18"/>
        <v>0</v>
      </c>
    </row>
    <row r="18" spans="2:25" x14ac:dyDescent="0.25">
      <c r="B18" t="str">
        <f>INDEX(Code!\t_schedule,MATCH(Settings!\reg,Code!\headertable,0),2)</f>
        <v>Safety &amp; Carpentry</v>
      </c>
      <c r="C18" s="404"/>
      <c r="D18" s="404"/>
      <c r="E18" s="404"/>
      <c r="F18" s="419" t="s">
        <v>274</v>
      </c>
      <c r="G18" s="419">
        <v>1.27</v>
      </c>
      <c r="H18" s="419" t="s">
        <v>276</v>
      </c>
      <c r="I18" s="419"/>
      <c r="J18" s="419" t="s">
        <v>278</v>
      </c>
      <c r="K18" s="419"/>
      <c r="L18" s="419" t="s">
        <v>268</v>
      </c>
      <c r="M18" s="419"/>
      <c r="N18" s="419" t="s">
        <v>281</v>
      </c>
      <c r="O18" s="419"/>
      <c r="P18" s="419" t="s">
        <v>283</v>
      </c>
      <c r="Q18" s="419"/>
      <c r="R18" s="419" t="s">
        <v>285</v>
      </c>
      <c r="S18" s="419"/>
      <c r="T18" s="419" t="s">
        <v>287</v>
      </c>
      <c r="U18" s="419"/>
      <c r="V18" s="419" t="s">
        <v>289</v>
      </c>
      <c r="W18" s="419"/>
      <c r="X18" s="419" t="s">
        <v>291</v>
      </c>
      <c r="Y18" s="419"/>
    </row>
    <row r="19" spans="2:25" x14ac:dyDescent="0.25">
      <c r="B19" s="670">
        <v>43525</v>
      </c>
      <c r="C19" s="413">
        <f>INDEX(\t_carpenter,4,MATCH(Settings!\reg,\carpenter,0))</f>
        <v>125.46000000000001</v>
      </c>
      <c r="D19" s="413">
        <f>INDEX(\t_carpenter,4,MATCH(Settings!\reg,\carpenter,0)+1)</f>
        <v>159.33420000000001</v>
      </c>
      <c r="E19" s="404"/>
      <c r="F19" s="404">
        <v>118</v>
      </c>
      <c r="G19" s="404">
        <f>G$18*F19</f>
        <v>149.86000000000001</v>
      </c>
      <c r="H19" s="404">
        <v>120.5</v>
      </c>
      <c r="I19" s="404">
        <f>I$18*H19</f>
        <v>0</v>
      </c>
      <c r="J19" s="404">
        <v>120.5</v>
      </c>
      <c r="K19" s="404">
        <f>K$18*J19</f>
        <v>0</v>
      </c>
      <c r="L19" s="404">
        <v>120.5</v>
      </c>
      <c r="M19" s="404">
        <f>M$18*L19</f>
        <v>0</v>
      </c>
      <c r="N19" s="404">
        <v>120.5</v>
      </c>
      <c r="O19" s="404">
        <f>O$18*N19</f>
        <v>0</v>
      </c>
      <c r="P19" s="404">
        <v>120.5</v>
      </c>
      <c r="Q19" s="404">
        <f>Q$18*P19</f>
        <v>0</v>
      </c>
      <c r="R19" s="404">
        <v>120.5</v>
      </c>
      <c r="S19" s="404">
        <f>S$18*R19</f>
        <v>0</v>
      </c>
      <c r="T19" s="404">
        <v>120.5</v>
      </c>
      <c r="U19" s="404">
        <f>U$18*T19</f>
        <v>0</v>
      </c>
      <c r="V19" s="404">
        <v>120.5</v>
      </c>
      <c r="W19" s="404">
        <f>W$18*V19</f>
        <v>0</v>
      </c>
      <c r="X19" s="404">
        <v>120.5</v>
      </c>
      <c r="Y19" s="404">
        <f>Y$18*X19</f>
        <v>0</v>
      </c>
    </row>
    <row r="20" spans="2:25" x14ac:dyDescent="0.25">
      <c r="B20" s="670">
        <v>43344</v>
      </c>
      <c r="C20" s="413">
        <f>INDEX(\t_carpenter,3,MATCH(Settings!\reg,\carpenter,0))</f>
        <v>123</v>
      </c>
      <c r="D20" s="413">
        <f>INDEX(\t_carpenter,3,MATCH(Settings!\reg,\carpenter,0)+1)</f>
        <v>156.21</v>
      </c>
      <c r="E20" s="670"/>
      <c r="F20" s="404">
        <v>120.5</v>
      </c>
      <c r="G20" s="404">
        <f>G$18*F20</f>
        <v>153.035</v>
      </c>
      <c r="H20" s="404">
        <v>120.5</v>
      </c>
      <c r="I20" s="404">
        <f>I$18*H20</f>
        <v>0</v>
      </c>
      <c r="J20" s="404">
        <v>120.5</v>
      </c>
      <c r="K20" s="404">
        <f>K$18*J20</f>
        <v>0</v>
      </c>
      <c r="L20" s="404">
        <v>120.5</v>
      </c>
      <c r="M20" s="404">
        <f>M$18*L20</f>
        <v>0</v>
      </c>
      <c r="N20" s="404">
        <v>120.5</v>
      </c>
      <c r="O20" s="404">
        <f>O$18*N20</f>
        <v>0</v>
      </c>
      <c r="P20" s="404">
        <v>120.5</v>
      </c>
      <c r="Q20" s="404">
        <f>Q$18*P20</f>
        <v>0</v>
      </c>
      <c r="R20" s="404">
        <v>120.5</v>
      </c>
      <c r="S20" s="404">
        <f>S$18*R20</f>
        <v>0</v>
      </c>
      <c r="T20" s="404">
        <v>120.5</v>
      </c>
      <c r="U20" s="404">
        <f>U$18*T20</f>
        <v>0</v>
      </c>
      <c r="V20" s="404">
        <v>120.5</v>
      </c>
      <c r="W20" s="404">
        <f>W$18*V20</f>
        <v>0</v>
      </c>
      <c r="X20" s="404">
        <v>120.5</v>
      </c>
      <c r="Y20" s="404">
        <f>Y$18*X20</f>
        <v>0</v>
      </c>
    </row>
    <row r="21" spans="2:25" x14ac:dyDescent="0.25">
      <c r="B21" s="670">
        <v>43160</v>
      </c>
      <c r="C21" s="413">
        <f>INDEX(\t_carpenter,2,MATCH(Settings!\reg,\carpenter,0))</f>
        <v>120.5</v>
      </c>
      <c r="D21" s="413">
        <f>INDEX(\t_carpenter,2,MATCH(Settings!\reg,\carpenter,0)+1)</f>
        <v>153.035</v>
      </c>
      <c r="E21" s="670"/>
      <c r="F21" s="404">
        <v>123</v>
      </c>
      <c r="G21" s="404">
        <f t="shared" ref="G21:I22" si="20">G$18*F21</f>
        <v>156.21</v>
      </c>
      <c r="H21" s="404">
        <v>123</v>
      </c>
      <c r="I21" s="404">
        <f t="shared" si="20"/>
        <v>0</v>
      </c>
      <c r="J21" s="404">
        <v>123</v>
      </c>
      <c r="K21" s="404">
        <f t="shared" ref="K21:K22" si="21">K$18*J21</f>
        <v>0</v>
      </c>
      <c r="L21" s="404">
        <v>123</v>
      </c>
      <c r="M21" s="404">
        <f t="shared" ref="M21:M22" si="22">M$18*L21</f>
        <v>0</v>
      </c>
      <c r="N21" s="404">
        <v>123</v>
      </c>
      <c r="O21" s="404">
        <f t="shared" ref="O21:O22" si="23">O$18*N21</f>
        <v>0</v>
      </c>
      <c r="P21" s="404">
        <v>123</v>
      </c>
      <c r="Q21" s="404">
        <f t="shared" ref="Q21:Q22" si="24">Q$18*P21</f>
        <v>0</v>
      </c>
      <c r="R21" s="404">
        <v>123</v>
      </c>
      <c r="S21" s="404">
        <f t="shared" ref="S21:S22" si="25">S$18*R21</f>
        <v>0</v>
      </c>
      <c r="T21" s="404">
        <v>123</v>
      </c>
      <c r="U21" s="404">
        <f t="shared" ref="U21:U22" si="26">U$18*T21</f>
        <v>0</v>
      </c>
      <c r="V21" s="404">
        <v>123</v>
      </c>
      <c r="W21" s="404">
        <f t="shared" ref="W21:W22" si="27">W$18*V21</f>
        <v>0</v>
      </c>
      <c r="X21" s="404">
        <v>123</v>
      </c>
      <c r="Y21" s="404">
        <f t="shared" ref="Y21:Y22" si="28">Y$18*X21</f>
        <v>0</v>
      </c>
    </row>
    <row r="22" spans="2:25" x14ac:dyDescent="0.25">
      <c r="B22" s="670">
        <v>42979</v>
      </c>
      <c r="C22" s="413">
        <f>INDEX(\t_carpenter,1,MATCH(Settings!\reg,\carpenter,0))</f>
        <v>118</v>
      </c>
      <c r="D22" s="413">
        <f>INDEX(\t_carpenter,1,MATCH(Settings!\reg,\carpenter,0)+1)</f>
        <v>149.86000000000001</v>
      </c>
      <c r="E22" s="670"/>
      <c r="F22" s="404">
        <f>F21*1.02</f>
        <v>125.46000000000001</v>
      </c>
      <c r="G22" s="404">
        <f t="shared" si="20"/>
        <v>159.33420000000001</v>
      </c>
      <c r="H22" s="404">
        <f t="shared" ref="H22:X22" si="29">H21*1.02</f>
        <v>125.46000000000001</v>
      </c>
      <c r="I22" s="404">
        <f t="shared" si="20"/>
        <v>0</v>
      </c>
      <c r="J22" s="404">
        <f t="shared" si="29"/>
        <v>125.46000000000001</v>
      </c>
      <c r="K22" s="404">
        <f t="shared" si="21"/>
        <v>0</v>
      </c>
      <c r="L22" s="404">
        <f t="shared" si="29"/>
        <v>125.46000000000001</v>
      </c>
      <c r="M22" s="404">
        <f t="shared" si="22"/>
        <v>0</v>
      </c>
      <c r="N22" s="404">
        <f t="shared" si="29"/>
        <v>125.46000000000001</v>
      </c>
      <c r="O22" s="404">
        <f t="shared" si="23"/>
        <v>0</v>
      </c>
      <c r="P22" s="404">
        <f t="shared" si="29"/>
        <v>125.46000000000001</v>
      </c>
      <c r="Q22" s="404">
        <f t="shared" si="24"/>
        <v>0</v>
      </c>
      <c r="R22" s="404">
        <f t="shared" si="29"/>
        <v>125.46000000000001</v>
      </c>
      <c r="S22" s="404">
        <f t="shared" si="25"/>
        <v>0</v>
      </c>
      <c r="T22" s="404">
        <f t="shared" si="29"/>
        <v>125.46000000000001</v>
      </c>
      <c r="U22" s="404">
        <f t="shared" si="26"/>
        <v>0</v>
      </c>
      <c r="V22" s="404">
        <f t="shared" si="29"/>
        <v>125.46000000000001</v>
      </c>
      <c r="W22" s="404">
        <f t="shared" si="27"/>
        <v>0</v>
      </c>
      <c r="X22" s="404">
        <f t="shared" si="29"/>
        <v>125.46000000000001</v>
      </c>
      <c r="Y22" s="404">
        <f t="shared" si="28"/>
        <v>0</v>
      </c>
    </row>
    <row r="25" spans="2:25" x14ac:dyDescent="0.25">
      <c r="B25" t="s">
        <v>1013</v>
      </c>
      <c r="C25" s="404"/>
      <c r="D25" s="404"/>
      <c r="E25" s="404"/>
      <c r="F25" s="419" t="s">
        <v>274</v>
      </c>
      <c r="G25" s="419">
        <v>1.27</v>
      </c>
      <c r="H25" s="419" t="s">
        <v>276</v>
      </c>
      <c r="I25" s="419"/>
      <c r="J25" s="419" t="s">
        <v>278</v>
      </c>
      <c r="K25" s="419"/>
      <c r="L25" s="419" t="s">
        <v>268</v>
      </c>
      <c r="M25" s="419"/>
      <c r="N25" s="419" t="s">
        <v>281</v>
      </c>
      <c r="O25" s="419"/>
      <c r="P25" s="419" t="s">
        <v>283</v>
      </c>
      <c r="Q25" s="419"/>
      <c r="R25" s="419" t="s">
        <v>285</v>
      </c>
      <c r="S25" s="419"/>
      <c r="T25" s="419" t="s">
        <v>287</v>
      </c>
      <c r="U25" s="419"/>
      <c r="V25" s="419" t="s">
        <v>289</v>
      </c>
      <c r="W25" s="419"/>
      <c r="X25" s="419" t="s">
        <v>291</v>
      </c>
      <c r="Y25" s="419"/>
    </row>
    <row r="26" spans="2:25" x14ac:dyDescent="0.25">
      <c r="B26" s="670">
        <v>43525</v>
      </c>
      <c r="C26" s="413">
        <f>INDEX(\t_carpenterforeman,4,MATCH(Settings!\reg,\carpenterforeman,0))</f>
        <v>134.89500000000001</v>
      </c>
      <c r="D26" s="413">
        <f>INDEX(\t_carpenterforeman,4,MATCH(Settings!\reg,\carpenterforeman,0)+1)</f>
        <v>171.31665000000001</v>
      </c>
      <c r="E26" s="670"/>
      <c r="F26" s="404">
        <v>127.5</v>
      </c>
      <c r="G26" s="404">
        <f>G$25*F26</f>
        <v>161.92500000000001</v>
      </c>
      <c r="H26" s="404">
        <v>130</v>
      </c>
      <c r="I26" s="404">
        <f>I$25*H26</f>
        <v>0</v>
      </c>
      <c r="J26" s="404">
        <v>130</v>
      </c>
      <c r="K26" s="404">
        <f>K$25*J26</f>
        <v>0</v>
      </c>
      <c r="L26" s="404">
        <v>130</v>
      </c>
      <c r="M26" s="404">
        <f>M$25*L26</f>
        <v>0</v>
      </c>
      <c r="N26" s="404">
        <v>130</v>
      </c>
      <c r="O26" s="404">
        <f>O$25*N26</f>
        <v>0</v>
      </c>
      <c r="P26" s="404">
        <v>130</v>
      </c>
      <c r="Q26" s="404">
        <f>Q$25*P26</f>
        <v>0</v>
      </c>
      <c r="R26" s="404">
        <v>130</v>
      </c>
      <c r="S26" s="404">
        <f>S$25*R26</f>
        <v>0</v>
      </c>
      <c r="T26" s="404">
        <v>130</v>
      </c>
      <c r="U26" s="404">
        <f>U$25*T26</f>
        <v>0</v>
      </c>
      <c r="V26" s="404">
        <v>130</v>
      </c>
      <c r="W26" s="404">
        <f>W$25*V26</f>
        <v>0</v>
      </c>
      <c r="X26" s="404">
        <v>130</v>
      </c>
      <c r="Y26" s="404">
        <f>Y$25*X26</f>
        <v>0</v>
      </c>
    </row>
    <row r="27" spans="2:25" x14ac:dyDescent="0.25">
      <c r="B27" s="670">
        <v>43344</v>
      </c>
      <c r="C27" s="413">
        <f>INDEX(\t_carpenterforeman,3,MATCH(Settings!\reg,\carpenterforeman,0))</f>
        <v>132.25</v>
      </c>
      <c r="D27" s="413">
        <f>INDEX(\t_carpenterforeman,3,MATCH(Settings!\reg,\carpenterforeman,0)+1)</f>
        <v>167.95750000000001</v>
      </c>
      <c r="E27" s="670"/>
      <c r="F27" s="404">
        <v>130</v>
      </c>
      <c r="G27" s="404">
        <f>G$25*F27</f>
        <v>165.1</v>
      </c>
      <c r="H27" s="404">
        <v>130</v>
      </c>
      <c r="I27" s="404">
        <f>I$25*H27</f>
        <v>0</v>
      </c>
      <c r="J27" s="404">
        <v>130</v>
      </c>
      <c r="K27" s="404">
        <f>K$25*J27</f>
        <v>0</v>
      </c>
      <c r="L27" s="404">
        <v>130</v>
      </c>
      <c r="M27" s="404">
        <f>M$25*L27</f>
        <v>0</v>
      </c>
      <c r="N27" s="404">
        <v>130</v>
      </c>
      <c r="O27" s="404">
        <f>O$25*N27</f>
        <v>0</v>
      </c>
      <c r="P27" s="404">
        <v>130</v>
      </c>
      <c r="Q27" s="404">
        <f>Q$25*P27</f>
        <v>0</v>
      </c>
      <c r="R27" s="404">
        <v>130</v>
      </c>
      <c r="S27" s="404">
        <f>S$25*R27</f>
        <v>0</v>
      </c>
      <c r="T27" s="404">
        <v>130</v>
      </c>
      <c r="U27" s="404">
        <f>U$25*T27</f>
        <v>0</v>
      </c>
      <c r="V27" s="404">
        <v>130</v>
      </c>
      <c r="W27" s="404">
        <f>W$25*V27</f>
        <v>0</v>
      </c>
      <c r="X27" s="404">
        <v>130</v>
      </c>
      <c r="Y27" s="404">
        <f>Y$25*X27</f>
        <v>0</v>
      </c>
    </row>
    <row r="28" spans="2:25" x14ac:dyDescent="0.25">
      <c r="B28" s="670">
        <v>43160</v>
      </c>
      <c r="C28" s="413">
        <f>INDEX(\t_carpenterforeman,2,MATCH(Settings!\reg,\carpenterforeman,0))</f>
        <v>130</v>
      </c>
      <c r="D28" s="413">
        <f>INDEX(\t_carpenterforeman,2,MATCH(Settings!\reg,\carpenterforeman,0)+1)</f>
        <v>165.1</v>
      </c>
      <c r="E28" s="670"/>
      <c r="F28" s="404">
        <v>132.25</v>
      </c>
      <c r="G28" s="404">
        <f t="shared" ref="G28:I29" si="30">G$25*F28</f>
        <v>167.95750000000001</v>
      </c>
      <c r="H28" s="404">
        <v>132.25</v>
      </c>
      <c r="I28" s="404">
        <f t="shared" si="30"/>
        <v>0</v>
      </c>
      <c r="J28" s="404">
        <v>132.25</v>
      </c>
      <c r="K28" s="404">
        <f t="shared" ref="K28:K29" si="31">K$25*J28</f>
        <v>0</v>
      </c>
      <c r="L28" s="404">
        <v>132.25</v>
      </c>
      <c r="M28" s="404">
        <f t="shared" ref="M28:M29" si="32">M$25*L28</f>
        <v>0</v>
      </c>
      <c r="N28" s="404">
        <v>132.25</v>
      </c>
      <c r="O28" s="404">
        <f t="shared" ref="O28:O29" si="33">O$25*N28</f>
        <v>0</v>
      </c>
      <c r="P28" s="404">
        <v>132.25</v>
      </c>
      <c r="Q28" s="404">
        <f t="shared" ref="Q28:Q29" si="34">Q$25*P28</f>
        <v>0</v>
      </c>
      <c r="R28" s="404">
        <v>132.25</v>
      </c>
      <c r="S28" s="404">
        <f t="shared" ref="S28:S29" si="35">S$25*R28</f>
        <v>0</v>
      </c>
      <c r="T28" s="404">
        <v>132.25</v>
      </c>
      <c r="U28" s="404">
        <f t="shared" ref="U28:U29" si="36">U$25*T28</f>
        <v>0</v>
      </c>
      <c r="V28" s="404">
        <v>132.25</v>
      </c>
      <c r="W28" s="404">
        <f t="shared" ref="W28:W29" si="37">W$25*V28</f>
        <v>0</v>
      </c>
      <c r="X28" s="404">
        <v>132.25</v>
      </c>
      <c r="Y28" s="404">
        <f t="shared" ref="Y28:Y29" si="38">Y$25*X28</f>
        <v>0</v>
      </c>
    </row>
    <row r="29" spans="2:25" x14ac:dyDescent="0.25">
      <c r="B29" s="670">
        <v>42979</v>
      </c>
      <c r="C29" s="413">
        <f>INDEX(\t_carpenterforeman,1,MATCH(Settings!\reg,\carpenterforeman,0))</f>
        <v>127.5</v>
      </c>
      <c r="D29" s="413">
        <f>INDEX(\t_carpenterforeman,1,MATCH(Settings!\reg,\carpenterforeman,0)+1)</f>
        <v>161.92500000000001</v>
      </c>
      <c r="E29" s="670"/>
      <c r="F29" s="413">
        <f>F28*1.02</f>
        <v>134.89500000000001</v>
      </c>
      <c r="G29" s="404">
        <f t="shared" si="30"/>
        <v>171.31665000000001</v>
      </c>
      <c r="H29" s="413">
        <f t="shared" ref="H29:X29" si="39">H28*1.02</f>
        <v>134.89500000000001</v>
      </c>
      <c r="I29" s="404">
        <f t="shared" si="30"/>
        <v>0</v>
      </c>
      <c r="J29" s="413">
        <f t="shared" si="39"/>
        <v>134.89500000000001</v>
      </c>
      <c r="K29" s="404">
        <f t="shared" si="31"/>
        <v>0</v>
      </c>
      <c r="L29" s="413">
        <f t="shared" si="39"/>
        <v>134.89500000000001</v>
      </c>
      <c r="M29" s="404">
        <f t="shared" si="32"/>
        <v>0</v>
      </c>
      <c r="N29" s="413">
        <f t="shared" si="39"/>
        <v>134.89500000000001</v>
      </c>
      <c r="O29" s="404">
        <f t="shared" si="33"/>
        <v>0</v>
      </c>
      <c r="P29" s="413">
        <f t="shared" si="39"/>
        <v>134.89500000000001</v>
      </c>
      <c r="Q29" s="404">
        <f t="shared" si="34"/>
        <v>0</v>
      </c>
      <c r="R29" s="413">
        <f t="shared" si="39"/>
        <v>134.89500000000001</v>
      </c>
      <c r="S29" s="404">
        <f t="shared" si="35"/>
        <v>0</v>
      </c>
      <c r="T29" s="413">
        <f t="shared" si="39"/>
        <v>134.89500000000001</v>
      </c>
      <c r="U29" s="404">
        <f t="shared" si="36"/>
        <v>0</v>
      </c>
      <c r="V29" s="413">
        <f t="shared" si="39"/>
        <v>134.89500000000001</v>
      </c>
      <c r="W29" s="404">
        <f t="shared" si="37"/>
        <v>0</v>
      </c>
      <c r="X29" s="413">
        <f t="shared" si="39"/>
        <v>134.89500000000001</v>
      </c>
      <c r="Y29" s="404">
        <f t="shared" si="38"/>
        <v>0</v>
      </c>
    </row>
    <row r="32" spans="2:25" x14ac:dyDescent="0.25">
      <c r="B32" t="str">
        <f>INDEX(Code!\t_schedule,MATCH(Settings!\reg,Code!\headertable,0),3)</f>
        <v>Police</v>
      </c>
      <c r="C32" s="404"/>
      <c r="D32" s="404"/>
      <c r="E32" s="404"/>
      <c r="F32" s="419" t="s">
        <v>274</v>
      </c>
      <c r="G32" s="419"/>
      <c r="H32" s="419" t="s">
        <v>276</v>
      </c>
      <c r="I32" s="419"/>
      <c r="J32" s="419" t="s">
        <v>278</v>
      </c>
      <c r="K32" s="419"/>
      <c r="L32" s="419" t="s">
        <v>268</v>
      </c>
      <c r="M32" s="419"/>
      <c r="N32" s="419" t="s">
        <v>281</v>
      </c>
      <c r="O32" s="419"/>
      <c r="P32" s="419" t="s">
        <v>283</v>
      </c>
      <c r="Q32" s="419"/>
      <c r="R32" s="419" t="s">
        <v>285</v>
      </c>
      <c r="S32" s="419"/>
      <c r="T32" s="419" t="s">
        <v>287</v>
      </c>
      <c r="U32" s="419"/>
      <c r="V32" s="419" t="s">
        <v>289</v>
      </c>
      <c r="W32" s="419"/>
      <c r="X32" s="419" t="s">
        <v>291</v>
      </c>
      <c r="Y32" s="419"/>
    </row>
    <row r="33" spans="2:25" x14ac:dyDescent="0.25">
      <c r="B33" s="670">
        <v>0</v>
      </c>
      <c r="C33" s="413">
        <f>INDEX(\t_police,1,MATCH(Settings!\reg,\police,0))</f>
        <v>45</v>
      </c>
      <c r="D33" s="413">
        <f>INDEX(\t_police,1,MATCH(Settings!\reg,\police,0)+1)</f>
        <v>66</v>
      </c>
      <c r="E33" s="670"/>
      <c r="F33" s="404">
        <v>45</v>
      </c>
      <c r="G33" s="404">
        <v>66</v>
      </c>
      <c r="H33" s="404">
        <v>45</v>
      </c>
      <c r="I33" s="404">
        <v>66</v>
      </c>
      <c r="J33" s="404">
        <v>45</v>
      </c>
      <c r="K33" s="404">
        <v>66</v>
      </c>
      <c r="L33" s="404">
        <v>45</v>
      </c>
      <c r="M33" s="404">
        <v>66</v>
      </c>
      <c r="N33" s="404">
        <v>45</v>
      </c>
      <c r="O33" s="404">
        <v>66</v>
      </c>
      <c r="P33" s="404">
        <v>45</v>
      </c>
      <c r="Q33" s="404">
        <v>66</v>
      </c>
      <c r="R33" s="404">
        <v>45</v>
      </c>
      <c r="S33" s="404">
        <v>66</v>
      </c>
      <c r="T33" s="404">
        <v>45</v>
      </c>
      <c r="U33" s="404">
        <v>66</v>
      </c>
      <c r="V33" s="404">
        <v>45</v>
      </c>
      <c r="W33" s="404">
        <v>66</v>
      </c>
      <c r="X33" s="404">
        <v>45</v>
      </c>
      <c r="Y33" s="404">
        <v>66</v>
      </c>
    </row>
    <row r="36" spans="2:25" x14ac:dyDescent="0.25">
      <c r="B36" t="str">
        <f>INDEX(Code!\t_schedule,MATCH(Settings!\reg,Code!\headertable,0),4)</f>
        <v>Labor Steward</v>
      </c>
      <c r="C36" s="404"/>
      <c r="D36" s="404"/>
      <c r="E36" s="404"/>
      <c r="F36" s="419" t="s">
        <v>274</v>
      </c>
      <c r="G36" s="419">
        <v>1.25</v>
      </c>
      <c r="H36" s="419" t="s">
        <v>276</v>
      </c>
      <c r="I36" s="419"/>
      <c r="J36" s="419" t="s">
        <v>278</v>
      </c>
      <c r="K36" s="419"/>
      <c r="L36" s="419" t="s">
        <v>268</v>
      </c>
      <c r="M36" s="419"/>
      <c r="N36" s="419" t="s">
        <v>281</v>
      </c>
      <c r="O36" s="419"/>
      <c r="P36" s="419" t="s">
        <v>283</v>
      </c>
      <c r="Q36" s="419"/>
      <c r="R36" s="419" t="s">
        <v>285</v>
      </c>
      <c r="S36" s="419"/>
      <c r="T36" s="419" t="s">
        <v>287</v>
      </c>
      <c r="U36" s="419"/>
      <c r="V36" s="419" t="s">
        <v>289</v>
      </c>
      <c r="W36" s="419"/>
      <c r="X36" s="419" t="s">
        <v>291</v>
      </c>
      <c r="Y36" s="419"/>
    </row>
    <row r="37" spans="2:25" x14ac:dyDescent="0.25">
      <c r="B37" s="670">
        <v>43617</v>
      </c>
      <c r="C37" s="413">
        <f>INDEX(\t_laborsteward,4,MATCH(Settings!\reg,\laborsteward,0))</f>
        <v>1</v>
      </c>
      <c r="D37" s="413">
        <f>INDEX(\t_laborsteward,4,MATCH(Settings!\reg,\laborsteward,0)+1)</f>
        <v>1.25</v>
      </c>
      <c r="E37" s="670"/>
      <c r="F37" s="404">
        <v>1</v>
      </c>
      <c r="G37" s="404">
        <f>G$36*F37</f>
        <v>1.25</v>
      </c>
      <c r="H37" s="404">
        <v>1</v>
      </c>
      <c r="I37" s="404">
        <f>I$36*H37</f>
        <v>0</v>
      </c>
      <c r="J37" s="404">
        <v>1</v>
      </c>
      <c r="K37" s="404">
        <f>K$36*J37</f>
        <v>0</v>
      </c>
      <c r="L37" s="404">
        <v>1</v>
      </c>
      <c r="M37" s="404">
        <f>M$36*L37</f>
        <v>0</v>
      </c>
      <c r="N37" s="404">
        <v>1</v>
      </c>
      <c r="O37" s="404">
        <f>O$36*N37</f>
        <v>0</v>
      </c>
      <c r="P37" s="404">
        <v>1</v>
      </c>
      <c r="Q37" s="404">
        <f>Q$36*P37</f>
        <v>0</v>
      </c>
      <c r="R37" s="404">
        <v>1</v>
      </c>
      <c r="S37" s="404">
        <f>S$36*R37</f>
        <v>0</v>
      </c>
      <c r="T37" s="404">
        <v>1</v>
      </c>
      <c r="U37" s="404">
        <f>U$36*T37</f>
        <v>0</v>
      </c>
      <c r="V37" s="404">
        <v>1</v>
      </c>
      <c r="W37" s="404">
        <f>W$36*V37</f>
        <v>0</v>
      </c>
      <c r="X37" s="404">
        <v>1</v>
      </c>
      <c r="Y37" s="404">
        <f>Y$36*X37</f>
        <v>0</v>
      </c>
    </row>
    <row r="38" spans="2:25" x14ac:dyDescent="0.25">
      <c r="B38" s="670">
        <v>43435</v>
      </c>
      <c r="C38" s="413">
        <f>INDEX(\t_laborsteward,3,MATCH(Settings!\reg,\laborsteward,0))</f>
        <v>1</v>
      </c>
      <c r="D38" s="413">
        <f>INDEX(\t_laborsteward,3,MATCH(Settings!\reg,\laborsteward,0)+1)</f>
        <v>1.25</v>
      </c>
      <c r="E38" s="670"/>
      <c r="F38" s="404">
        <v>1</v>
      </c>
      <c r="G38" s="404">
        <f>G$36*F38</f>
        <v>1.25</v>
      </c>
      <c r="H38" s="404">
        <v>1</v>
      </c>
      <c r="I38" s="404">
        <f>I$36*H38</f>
        <v>0</v>
      </c>
      <c r="J38" s="404">
        <v>1</v>
      </c>
      <c r="K38" s="404">
        <f>K$36*J38</f>
        <v>0</v>
      </c>
      <c r="L38" s="404">
        <v>1</v>
      </c>
      <c r="M38" s="404">
        <f>M$36*L38</f>
        <v>0</v>
      </c>
      <c r="N38" s="404">
        <v>1</v>
      </c>
      <c r="O38" s="404">
        <f>O$36*N38</f>
        <v>0</v>
      </c>
      <c r="P38" s="404">
        <v>1</v>
      </c>
      <c r="Q38" s="404">
        <f>Q$36*P38</f>
        <v>0</v>
      </c>
      <c r="R38" s="404">
        <v>1</v>
      </c>
      <c r="S38" s="404">
        <f>S$36*R38</f>
        <v>0</v>
      </c>
      <c r="T38" s="404">
        <v>1</v>
      </c>
      <c r="U38" s="404">
        <f>U$36*T38</f>
        <v>0</v>
      </c>
      <c r="V38" s="404">
        <v>1</v>
      </c>
      <c r="W38" s="404">
        <f>W$36*V38</f>
        <v>0</v>
      </c>
      <c r="X38" s="404">
        <v>1</v>
      </c>
      <c r="Y38" s="404">
        <f>Y$36*X38</f>
        <v>0</v>
      </c>
    </row>
    <row r="39" spans="2:25" x14ac:dyDescent="0.25">
      <c r="B39" s="670">
        <v>43252</v>
      </c>
      <c r="C39" s="413">
        <f>INDEX(\t_laborsteward,2,MATCH(Settings!\reg,\laborsteward,0))</f>
        <v>1</v>
      </c>
      <c r="D39" s="413">
        <f>INDEX(\t_laborsteward,2,MATCH(Settings!\reg,\laborsteward,0)+1)</f>
        <v>1.25</v>
      </c>
      <c r="E39" s="670"/>
      <c r="F39" s="404">
        <v>1</v>
      </c>
      <c r="G39" s="404">
        <f t="shared" ref="G39:I40" si="40">G$36*F39</f>
        <v>1.25</v>
      </c>
      <c r="H39" s="404">
        <v>1.1000000000000001</v>
      </c>
      <c r="I39" s="404">
        <f t="shared" si="40"/>
        <v>0</v>
      </c>
      <c r="J39" s="404">
        <v>1.25</v>
      </c>
      <c r="K39" s="404">
        <f t="shared" ref="K39:K40" si="41">K$36*J39</f>
        <v>0</v>
      </c>
      <c r="L39" s="404">
        <v>1.25</v>
      </c>
      <c r="M39" s="404">
        <f t="shared" ref="M39:M40" si="42">M$36*L39</f>
        <v>0</v>
      </c>
      <c r="N39" s="404">
        <v>1.25</v>
      </c>
      <c r="O39" s="404">
        <f t="shared" ref="O39:O40" si="43">O$36*N39</f>
        <v>0</v>
      </c>
      <c r="P39" s="404">
        <v>1.25</v>
      </c>
      <c r="Q39" s="404">
        <f t="shared" ref="Q39:Q40" si="44">Q$36*P39</f>
        <v>0</v>
      </c>
      <c r="R39" s="404">
        <v>1.25</v>
      </c>
      <c r="S39" s="404">
        <f t="shared" ref="S39:S40" si="45">S$36*R39</f>
        <v>0</v>
      </c>
      <c r="T39" s="404">
        <v>1.25</v>
      </c>
      <c r="U39" s="404">
        <f t="shared" ref="U39:U40" si="46">U$36*T39</f>
        <v>0</v>
      </c>
      <c r="V39" s="404">
        <v>1.25</v>
      </c>
      <c r="W39" s="404">
        <f t="shared" ref="W39:W40" si="47">W$36*V39</f>
        <v>0</v>
      </c>
      <c r="X39" s="404">
        <v>1.25</v>
      </c>
      <c r="Y39" s="404">
        <f t="shared" ref="Y39:Y40" si="48">Y$36*X39</f>
        <v>0</v>
      </c>
    </row>
    <row r="40" spans="2:25" x14ac:dyDescent="0.25">
      <c r="B40" s="670">
        <v>43070</v>
      </c>
      <c r="C40" s="413">
        <f>INDEX(\t_laborsteward,1,MATCH(Settings!\reg,\laborsteward,0))</f>
        <v>1</v>
      </c>
      <c r="D40" s="413">
        <f>INDEX(\t_laborsteward,1,MATCH(Settings!\reg,\laborsteward,0)+1)</f>
        <v>1.25</v>
      </c>
      <c r="E40" s="670"/>
      <c r="F40" s="404">
        <v>1</v>
      </c>
      <c r="G40" s="404">
        <f t="shared" si="40"/>
        <v>1.25</v>
      </c>
      <c r="H40" s="404">
        <v>1.17</v>
      </c>
      <c r="I40" s="404">
        <f t="shared" si="40"/>
        <v>0</v>
      </c>
      <c r="J40" s="404">
        <v>1.5</v>
      </c>
      <c r="K40" s="404">
        <f t="shared" si="41"/>
        <v>0</v>
      </c>
      <c r="L40" s="404">
        <v>1.5</v>
      </c>
      <c r="M40" s="404">
        <f t="shared" si="42"/>
        <v>0</v>
      </c>
      <c r="N40" s="404">
        <v>1.5</v>
      </c>
      <c r="O40" s="404">
        <f t="shared" si="43"/>
        <v>0</v>
      </c>
      <c r="P40" s="404">
        <v>1.5</v>
      </c>
      <c r="Q40" s="404">
        <f t="shared" si="44"/>
        <v>0</v>
      </c>
      <c r="R40" s="404">
        <v>1.5</v>
      </c>
      <c r="S40" s="404">
        <f t="shared" si="45"/>
        <v>0</v>
      </c>
      <c r="T40" s="404">
        <v>1.5</v>
      </c>
      <c r="U40" s="404">
        <f t="shared" si="46"/>
        <v>0</v>
      </c>
      <c r="V40" s="404">
        <v>1.5</v>
      </c>
      <c r="W40" s="404">
        <f t="shared" si="47"/>
        <v>0</v>
      </c>
      <c r="X40" s="404">
        <v>1.5</v>
      </c>
      <c r="Y40" s="404">
        <f t="shared" si="48"/>
        <v>0</v>
      </c>
    </row>
    <row r="43" spans="2:25" x14ac:dyDescent="0.25">
      <c r="B43" t="str">
        <f>INDEX(Code!\t_schedule,MATCH(Settings!\reg,Code!\headertable,0),5)</f>
        <v>Carpenter Steward</v>
      </c>
      <c r="C43" s="404"/>
      <c r="D43" s="404"/>
      <c r="E43" s="404"/>
      <c r="F43" s="419" t="s">
        <v>274</v>
      </c>
      <c r="G43" s="419">
        <v>1.25</v>
      </c>
      <c r="H43" s="419" t="s">
        <v>276</v>
      </c>
      <c r="I43" s="419"/>
      <c r="J43" s="419" t="s">
        <v>278</v>
      </c>
      <c r="K43" s="419"/>
      <c r="L43" s="419" t="s">
        <v>268</v>
      </c>
      <c r="M43" s="419"/>
      <c r="N43" s="419" t="s">
        <v>281</v>
      </c>
      <c r="O43" s="419"/>
      <c r="P43" s="419" t="s">
        <v>283</v>
      </c>
      <c r="Q43" s="419"/>
      <c r="R43" s="419" t="s">
        <v>285</v>
      </c>
      <c r="S43" s="419"/>
      <c r="T43" s="419" t="s">
        <v>287</v>
      </c>
      <c r="U43" s="419"/>
      <c r="V43" s="419" t="s">
        <v>289</v>
      </c>
      <c r="W43" s="419"/>
      <c r="X43" s="419" t="s">
        <v>291</v>
      </c>
      <c r="Y43" s="419"/>
    </row>
    <row r="44" spans="2:25" x14ac:dyDescent="0.25">
      <c r="B44" s="670">
        <v>43525</v>
      </c>
      <c r="C44" s="413">
        <f>INDEX(\t_carpentersteward,4,MATCH(Settings!\reg,\carpentersteward,0))</f>
        <v>1</v>
      </c>
      <c r="D44" s="413">
        <f>INDEX(\t_carpentersteward,4,MATCH(Settings!\reg,\carpentersteward,0)+1)</f>
        <v>1.25</v>
      </c>
      <c r="E44" s="670"/>
      <c r="F44" s="404">
        <v>1</v>
      </c>
      <c r="G44" s="404">
        <f>G$43*F44</f>
        <v>1.25</v>
      </c>
      <c r="H44" s="404">
        <v>1</v>
      </c>
      <c r="I44" s="404">
        <f>I$43*H44</f>
        <v>0</v>
      </c>
      <c r="J44" s="404">
        <v>1</v>
      </c>
      <c r="K44" s="404">
        <f>K$43*J44</f>
        <v>0</v>
      </c>
      <c r="L44" s="404">
        <v>1</v>
      </c>
      <c r="M44" s="404">
        <f>M$43*L44</f>
        <v>0</v>
      </c>
      <c r="N44" s="404">
        <v>1</v>
      </c>
      <c r="O44" s="404">
        <f>O$43*N44</f>
        <v>0</v>
      </c>
      <c r="P44" s="404">
        <v>1</v>
      </c>
      <c r="Q44" s="404">
        <f>Q$43*P44</f>
        <v>0</v>
      </c>
      <c r="R44" s="404">
        <v>1</v>
      </c>
      <c r="S44" s="404">
        <f>S$43*R44</f>
        <v>0</v>
      </c>
      <c r="T44" s="404">
        <v>1</v>
      </c>
      <c r="U44" s="404">
        <f>U$43*T44</f>
        <v>0</v>
      </c>
      <c r="V44" s="404">
        <v>1</v>
      </c>
      <c r="W44" s="404">
        <f>W$43*V44</f>
        <v>0</v>
      </c>
      <c r="X44" s="404">
        <v>1</v>
      </c>
      <c r="Y44" s="404">
        <f>Y$43*X44</f>
        <v>0</v>
      </c>
    </row>
    <row r="45" spans="2:25" x14ac:dyDescent="0.25">
      <c r="B45" s="670">
        <v>43344</v>
      </c>
      <c r="C45" s="413">
        <f>INDEX(\t_carpentersteward,3,MATCH(Settings!\reg,\carpentersteward,0))</f>
        <v>1</v>
      </c>
      <c r="D45" s="413">
        <f>INDEX(\t_carpentersteward,3,MATCH(Settings!\reg,\carpentersteward,0)+1)</f>
        <v>1.25</v>
      </c>
      <c r="E45" s="670"/>
      <c r="F45" s="404">
        <v>1</v>
      </c>
      <c r="G45" s="404">
        <f>G$43*F45</f>
        <v>1.25</v>
      </c>
      <c r="H45" s="404">
        <v>1</v>
      </c>
      <c r="I45" s="404">
        <f>I$43*H45</f>
        <v>0</v>
      </c>
      <c r="J45" s="404">
        <v>1</v>
      </c>
      <c r="K45" s="404">
        <f>K$43*J45</f>
        <v>0</v>
      </c>
      <c r="L45" s="404">
        <v>1</v>
      </c>
      <c r="M45" s="404">
        <f>M$43*L45</f>
        <v>0</v>
      </c>
      <c r="N45" s="404">
        <v>1</v>
      </c>
      <c r="O45" s="404">
        <f>O$43*N45</f>
        <v>0</v>
      </c>
      <c r="P45" s="404">
        <v>1</v>
      </c>
      <c r="Q45" s="404">
        <f>Q$43*P45</f>
        <v>0</v>
      </c>
      <c r="R45" s="404">
        <v>1</v>
      </c>
      <c r="S45" s="404">
        <f>S$43*R45</f>
        <v>0</v>
      </c>
      <c r="T45" s="404">
        <v>1</v>
      </c>
      <c r="U45" s="404">
        <f>U$43*T45</f>
        <v>0</v>
      </c>
      <c r="V45" s="404">
        <v>1</v>
      </c>
      <c r="W45" s="404">
        <f>W$43*V45</f>
        <v>0</v>
      </c>
      <c r="X45" s="404">
        <v>1</v>
      </c>
      <c r="Y45" s="404">
        <f>Y$43*X45</f>
        <v>0</v>
      </c>
    </row>
    <row r="46" spans="2:25" x14ac:dyDescent="0.25">
      <c r="B46" s="670">
        <v>43160</v>
      </c>
      <c r="C46" s="413">
        <f>INDEX(\t_carpentersteward,2,MATCH(Settings!\reg,\carpentersteward,0))</f>
        <v>1</v>
      </c>
      <c r="D46" s="413">
        <f>INDEX(\t_carpentersteward,2,MATCH(Settings!\reg,\carpentersteward,0)+1)</f>
        <v>1.25</v>
      </c>
      <c r="E46" s="670"/>
      <c r="F46" s="404">
        <v>1</v>
      </c>
      <c r="G46" s="404">
        <f t="shared" ref="G46:I47" si="49">G$43*F46</f>
        <v>1.25</v>
      </c>
      <c r="H46" s="404">
        <v>1.1000000000000001</v>
      </c>
      <c r="I46" s="404">
        <f t="shared" si="49"/>
        <v>0</v>
      </c>
      <c r="J46" s="404">
        <v>1.25</v>
      </c>
      <c r="K46" s="404">
        <f t="shared" ref="K46:K47" si="50">K$43*J46</f>
        <v>0</v>
      </c>
      <c r="L46" s="404">
        <v>1.25</v>
      </c>
      <c r="M46" s="404">
        <f t="shared" ref="M46:M47" si="51">M$43*L46</f>
        <v>0</v>
      </c>
      <c r="N46" s="404">
        <v>1.25</v>
      </c>
      <c r="O46" s="404">
        <f t="shared" ref="O46:O47" si="52">O$43*N46</f>
        <v>0</v>
      </c>
      <c r="P46" s="404">
        <v>1.25</v>
      </c>
      <c r="Q46" s="404">
        <f t="shared" ref="Q46:Q47" si="53">Q$43*P46</f>
        <v>0</v>
      </c>
      <c r="R46" s="404">
        <v>1.25</v>
      </c>
      <c r="S46" s="404">
        <f t="shared" ref="S46:S47" si="54">S$43*R46</f>
        <v>0</v>
      </c>
      <c r="T46" s="404">
        <v>1.25</v>
      </c>
      <c r="U46" s="404">
        <f t="shared" ref="U46:U47" si="55">U$43*T46</f>
        <v>0</v>
      </c>
      <c r="V46" s="404">
        <v>1.25</v>
      </c>
      <c r="W46" s="404">
        <f t="shared" ref="W46:W47" si="56">W$43*V46</f>
        <v>0</v>
      </c>
      <c r="X46" s="404">
        <v>1.25</v>
      </c>
      <c r="Y46" s="404">
        <f t="shared" ref="Y46:Y47" si="57">Y$43*X46</f>
        <v>0</v>
      </c>
    </row>
    <row r="47" spans="2:25" x14ac:dyDescent="0.25">
      <c r="B47" s="670">
        <v>42979</v>
      </c>
      <c r="C47" s="413">
        <f>INDEX(\t_carpentersteward,1,MATCH(Settings!\reg,\carpentersteward,0))</f>
        <v>1</v>
      </c>
      <c r="D47" s="413">
        <f>INDEX(\t_carpentersteward,1,MATCH(Settings!\reg,\carpentersteward,0)+1)</f>
        <v>1.25</v>
      </c>
      <c r="E47" s="670"/>
      <c r="F47" s="404">
        <v>1</v>
      </c>
      <c r="G47" s="404">
        <f t="shared" si="49"/>
        <v>1.25</v>
      </c>
      <c r="H47" s="404">
        <v>1.17</v>
      </c>
      <c r="I47" s="404">
        <f t="shared" si="49"/>
        <v>0</v>
      </c>
      <c r="J47" s="404">
        <v>1.5</v>
      </c>
      <c r="K47" s="404">
        <f t="shared" si="50"/>
        <v>0</v>
      </c>
      <c r="L47" s="404">
        <v>1.5</v>
      </c>
      <c r="M47" s="404">
        <f t="shared" si="51"/>
        <v>0</v>
      </c>
      <c r="N47" s="404">
        <v>1.5</v>
      </c>
      <c r="O47" s="404">
        <f t="shared" si="52"/>
        <v>0</v>
      </c>
      <c r="P47" s="404">
        <v>1.5</v>
      </c>
      <c r="Q47" s="404">
        <f t="shared" si="53"/>
        <v>0</v>
      </c>
      <c r="R47" s="404">
        <v>1.5</v>
      </c>
      <c r="S47" s="404">
        <f t="shared" si="54"/>
        <v>0</v>
      </c>
      <c r="T47" s="404">
        <v>1.5</v>
      </c>
      <c r="U47" s="404">
        <f t="shared" si="55"/>
        <v>0</v>
      </c>
      <c r="V47" s="404">
        <v>1.5</v>
      </c>
      <c r="W47" s="404">
        <f t="shared" si="56"/>
        <v>0</v>
      </c>
      <c r="X47" s="404">
        <v>1.5</v>
      </c>
      <c r="Y47" s="404">
        <f t="shared" si="57"/>
        <v>0</v>
      </c>
    </row>
    <row r="50" spans="2:25" x14ac:dyDescent="0.25">
      <c r="B50" t="str">
        <f>INDEX(Code!\t_schedule,MATCH(Settings!\reg,Code!\headertable,0),6)</f>
        <v>Fire Watch</v>
      </c>
      <c r="C50" s="404"/>
      <c r="D50" s="404"/>
      <c r="E50" s="404"/>
      <c r="F50" s="419" t="s">
        <v>274</v>
      </c>
      <c r="G50" s="419"/>
      <c r="H50" s="419" t="s">
        <v>276</v>
      </c>
      <c r="I50" s="419"/>
      <c r="J50" s="419" t="s">
        <v>278</v>
      </c>
      <c r="K50" s="419"/>
      <c r="L50" s="419" t="s">
        <v>268</v>
      </c>
      <c r="M50" s="419"/>
      <c r="N50" s="419" t="s">
        <v>281</v>
      </c>
      <c r="O50" s="419"/>
      <c r="P50" s="419" t="s">
        <v>283</v>
      </c>
      <c r="Q50" s="419"/>
      <c r="R50" s="419" t="s">
        <v>285</v>
      </c>
      <c r="S50" s="419"/>
      <c r="T50" s="419" t="s">
        <v>287</v>
      </c>
      <c r="U50" s="419"/>
      <c r="V50" s="419" t="s">
        <v>289</v>
      </c>
      <c r="W50" s="419"/>
      <c r="X50" s="419" t="s">
        <v>291</v>
      </c>
      <c r="Y50" s="419"/>
    </row>
    <row r="51" spans="2:25" x14ac:dyDescent="0.25">
      <c r="B51" s="670">
        <v>0</v>
      </c>
      <c r="C51" s="413">
        <f>INDEX(\t_firewatch,1,MATCH(Settings!\reg,\firewatch,0))</f>
        <v>45</v>
      </c>
      <c r="D51" s="413">
        <f>INDEX(\t_firewatch,1,MATCH(Settings!\reg,\firewatch,0)+1)</f>
        <v>66</v>
      </c>
      <c r="E51" s="670"/>
      <c r="F51" s="404">
        <v>45</v>
      </c>
      <c r="G51" s="404">
        <v>66</v>
      </c>
      <c r="H51" s="404">
        <v>1</v>
      </c>
      <c r="I51" s="404">
        <f>I$50*H51</f>
        <v>0</v>
      </c>
      <c r="J51" s="404">
        <v>1</v>
      </c>
      <c r="K51" s="404">
        <f>K$50*J51</f>
        <v>0</v>
      </c>
      <c r="L51" s="404">
        <v>1</v>
      </c>
      <c r="M51" s="404">
        <f>M$50*L51</f>
        <v>0</v>
      </c>
      <c r="N51" s="404">
        <v>1</v>
      </c>
      <c r="O51" s="404">
        <f>O$50*N51</f>
        <v>0</v>
      </c>
      <c r="P51" s="404">
        <v>1</v>
      </c>
      <c r="Q51" s="404">
        <f>Q$50*P51</f>
        <v>0</v>
      </c>
      <c r="R51" s="404">
        <v>1</v>
      </c>
      <c r="S51" s="404">
        <f>S$50*R51</f>
        <v>0</v>
      </c>
      <c r="T51" s="404">
        <v>1</v>
      </c>
      <c r="U51" s="404">
        <f>U$50*T51</f>
        <v>0</v>
      </c>
      <c r="V51" s="404">
        <v>1</v>
      </c>
      <c r="W51" s="404">
        <f>W$50*V51</f>
        <v>0</v>
      </c>
      <c r="X51" s="404">
        <v>1</v>
      </c>
      <c r="Y51" s="404">
        <f>Y$50*X51</f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11CD-A1BB-430E-B922-55207433646A}">
  <sheetPr codeName="Sheet12"/>
  <dimension ref="A1:T129"/>
  <sheetViews>
    <sheetView topLeftCell="D1" zoomScaleNormal="100" workbookViewId="0">
      <pane ySplit="8" topLeftCell="A13" activePane="bottomLeft" state="frozen"/>
      <selection activeCell="D4" sqref="D4:E4"/>
      <selection pane="bottomLeft" activeCell="D4" sqref="D4:E4"/>
    </sheetView>
  </sheetViews>
  <sheetFormatPr defaultColWidth="0" defaultRowHeight="13.9" customHeight="1" zeroHeight="1" x14ac:dyDescent="0.2"/>
  <cols>
    <col min="1" max="1" width="2" style="1" hidden="1" customWidth="1"/>
    <col min="2" max="2" width="4.42578125" style="1" hidden="1" customWidth="1"/>
    <col min="3" max="3" width="18.28515625" style="1" hidden="1" customWidth="1"/>
    <col min="4" max="4" width="3" style="1" customWidth="1"/>
    <col min="5" max="5" width="13.42578125" style="1" customWidth="1"/>
    <col min="6" max="6" width="51.7109375" style="1" customWidth="1"/>
    <col min="7" max="7" width="8.28515625" style="1" customWidth="1"/>
    <col min="8" max="8" width="12.7109375" style="1" customWidth="1"/>
    <col min="9" max="9" width="9.140625" style="1" customWidth="1"/>
    <col min="10" max="10" width="13.7109375" style="48" customWidth="1"/>
    <col min="11" max="11" width="14.140625" style="1" bestFit="1" customWidth="1"/>
    <col min="12" max="12" width="3" style="1" customWidth="1"/>
    <col min="13" max="14" width="7.7109375" style="1" hidden="1" customWidth="1"/>
    <col min="15" max="15" width="2.85546875" style="41" hidden="1" customWidth="1"/>
    <col min="16" max="16" width="2.7109375" style="41" hidden="1" customWidth="1"/>
    <col min="17" max="19" width="11.28515625" style="42" hidden="1" customWidth="1"/>
    <col min="20" max="16384" width="9.140625" style="1" hidden="1"/>
  </cols>
  <sheetData>
    <row r="1" spans="1:19" s="129" customFormat="1" ht="16.899999999999999" customHeight="1" x14ac:dyDescent="0.2">
      <c r="A1" s="126"/>
      <c r="B1" s="126"/>
      <c r="C1" s="126"/>
      <c r="D1" s="127"/>
      <c r="E1" s="128"/>
      <c r="F1" s="128"/>
      <c r="G1" s="128"/>
      <c r="H1" s="128"/>
      <c r="I1" s="130"/>
      <c r="J1" s="130"/>
      <c r="K1" s="130"/>
      <c r="L1" s="39"/>
      <c r="M1" s="39"/>
      <c r="N1" s="126"/>
      <c r="O1" s="41"/>
      <c r="P1" s="41"/>
      <c r="Q1" s="41" t="s">
        <v>301</v>
      </c>
      <c r="R1" s="41" t="s">
        <v>302</v>
      </c>
      <c r="S1" s="41" t="s">
        <v>360</v>
      </c>
    </row>
    <row r="2" spans="1:19" ht="27" customHeight="1" x14ac:dyDescent="0.25">
      <c r="A2" s="19"/>
      <c r="B2" s="19"/>
      <c r="C2" s="19"/>
      <c r="D2" s="20"/>
      <c r="E2" s="704" t="s">
        <v>384</v>
      </c>
      <c r="F2" s="704"/>
      <c r="G2" s="20"/>
      <c r="H2" s="20"/>
      <c r="I2" s="131"/>
      <c r="J2" s="705" t="e">
        <f ca="1">SUMIF(O9:O100,"[",K9:K100)</f>
        <v>#NAME?</v>
      </c>
      <c r="K2" s="705"/>
      <c r="L2" s="37"/>
      <c r="M2" s="37"/>
      <c r="N2" s="19"/>
    </row>
    <row r="3" spans="1:19" ht="11.45" customHeight="1" x14ac:dyDescent="0.25">
      <c r="A3" s="37"/>
      <c r="B3" s="37"/>
      <c r="C3" s="37"/>
      <c r="D3" s="57"/>
      <c r="E3" s="706" t="s">
        <v>384</v>
      </c>
      <c r="F3" s="706"/>
      <c r="G3" s="135"/>
      <c r="H3" s="57"/>
      <c r="I3" s="57"/>
      <c r="J3" s="132"/>
      <c r="K3" s="57"/>
      <c r="L3" s="57"/>
      <c r="M3" s="57"/>
      <c r="N3" s="57"/>
    </row>
    <row r="4" spans="1:19" ht="10.9" hidden="1" customHeight="1" x14ac:dyDescent="0.25">
      <c r="A4" s="32"/>
      <c r="B4" s="32"/>
      <c r="C4" s="6"/>
      <c r="D4" s="32"/>
      <c r="E4" s="32"/>
      <c r="F4" s="31"/>
      <c r="G4" s="6"/>
      <c r="H4" s="32"/>
      <c r="I4" s="32"/>
      <c r="J4" s="45"/>
      <c r="K4" s="32"/>
      <c r="L4" s="32"/>
      <c r="M4" s="32"/>
      <c r="N4" s="32"/>
    </row>
    <row r="5" spans="1:19" ht="21" hidden="1" customHeight="1" x14ac:dyDescent="0.2">
      <c r="A5" s="89"/>
      <c r="B5" s="90"/>
      <c r="C5" s="91"/>
      <c r="D5" s="53"/>
      <c r="E5" s="5" t="s">
        <v>13</v>
      </c>
      <c r="F5" s="592" t="str">
        <f>Settings!\reg</f>
        <v>Boston</v>
      </c>
      <c r="G5" s="5"/>
      <c r="H5" s="5" t="s">
        <v>10</v>
      </c>
      <c r="I5" s="30" t="e">
        <f ca="1">Settings!\wdur</f>
        <v>#NAME?</v>
      </c>
      <c r="J5" s="46" t="s">
        <v>12</v>
      </c>
      <c r="K5" s="30">
        <f>Settings!\unit</f>
        <v>0</v>
      </c>
      <c r="L5" s="40"/>
      <c r="M5" s="40"/>
      <c r="N5" s="40"/>
    </row>
    <row r="6" spans="1:19" ht="21" hidden="1" customHeight="1" x14ac:dyDescent="0.2">
      <c r="A6" s="97"/>
      <c r="B6" s="97"/>
      <c r="C6" s="97"/>
      <c r="D6" s="53"/>
      <c r="E6" s="5" t="s">
        <v>15</v>
      </c>
      <c r="F6" s="592" t="str">
        <f>Settings!\sec</f>
        <v>Residential</v>
      </c>
      <c r="G6" s="5"/>
      <c r="H6" s="5" t="s">
        <v>11</v>
      </c>
      <c r="I6" s="30" t="e">
        <f ca="1">Settings!\duration</f>
        <v>#NAME?</v>
      </c>
      <c r="J6" s="46" t="s">
        <v>14</v>
      </c>
      <c r="K6" s="30">
        <f>Settings!\area</f>
        <v>0</v>
      </c>
      <c r="L6" s="40"/>
      <c r="M6" s="40"/>
      <c r="N6" s="40"/>
    </row>
    <row r="7" spans="1:19" ht="13.15" hidden="1" customHeight="1" thickBot="1" x14ac:dyDescent="0.25">
      <c r="A7" s="97"/>
      <c r="B7" s="97"/>
      <c r="C7" s="97"/>
      <c r="D7" s="34"/>
      <c r="E7" s="52"/>
      <c r="F7" s="34"/>
      <c r="G7" s="8"/>
      <c r="H7" s="34"/>
      <c r="I7" s="34"/>
      <c r="J7" s="35"/>
      <c r="K7" s="36"/>
      <c r="L7" s="8"/>
      <c r="M7" s="40"/>
      <c r="N7" s="40"/>
    </row>
    <row r="8" spans="1:19" ht="13.9" customHeight="1" thickBot="1" x14ac:dyDescent="0.25">
      <c r="A8" s="2"/>
      <c r="B8" s="51"/>
      <c r="C8" s="33"/>
      <c r="D8" s="21"/>
      <c r="E8" s="22"/>
      <c r="F8" s="22"/>
      <c r="G8" s="22"/>
      <c r="H8" s="22"/>
      <c r="I8" s="22"/>
      <c r="J8" s="22"/>
      <c r="K8" s="22"/>
      <c r="L8" s="19"/>
      <c r="M8" s="61"/>
      <c r="N8" s="40"/>
    </row>
    <row r="9" spans="1:19" ht="24" customHeight="1" thickBot="1" x14ac:dyDescent="0.25">
      <c r="A9" s="2"/>
      <c r="B9" s="51"/>
      <c r="C9" s="7"/>
      <c r="E9" s="593" t="s">
        <v>140</v>
      </c>
      <c r="F9" s="95"/>
      <c r="G9" s="95"/>
      <c r="H9" s="95"/>
      <c r="I9" s="95"/>
      <c r="J9" s="96"/>
      <c r="K9" s="156" t="e">
        <f ca="1">SUMIF(O10:O20,1,K10:K20)</f>
        <v>#NAME?</v>
      </c>
      <c r="L9" s="19"/>
      <c r="M9" s="61"/>
      <c r="N9" s="40"/>
      <c r="O9" s="41" t="s">
        <v>269</v>
      </c>
    </row>
    <row r="10" spans="1:19" s="109" customFormat="1" ht="19.149999999999999" customHeight="1" x14ac:dyDescent="0.25">
      <c r="A10" s="3"/>
      <c r="B10" s="100"/>
      <c r="C10" s="7"/>
      <c r="D10" s="101"/>
      <c r="E10" s="142" t="s">
        <v>141</v>
      </c>
      <c r="F10" s="102"/>
      <c r="G10" s="103"/>
      <c r="H10" s="143" t="e">
        <f ca="1">Settings!$K$7</f>
        <v>#NAME?</v>
      </c>
      <c r="I10" s="146" t="s">
        <v>35</v>
      </c>
      <c r="J10" s="149">
        <v>300</v>
      </c>
      <c r="K10" s="150" t="e">
        <f t="shared" ref="K10:K19" ca="1" si="0">SUM(H10*J10)</f>
        <v>#NAME?</v>
      </c>
      <c r="L10" s="38"/>
      <c r="M10" s="104"/>
      <c r="N10" s="105"/>
      <c r="O10" s="106">
        <f t="shared" ref="O10:O19" si="1">OR(NOT(ISERROR(SEARCH($F$5,Q10))),Q10=0)*OR(NOT(ISERROR(SEARCH($F$6,R10))),R10=0)</f>
        <v>1</v>
      </c>
      <c r="P10" s="106"/>
      <c r="Q10" s="107"/>
      <c r="R10" s="108"/>
      <c r="S10" s="108" t="s">
        <v>999</v>
      </c>
    </row>
    <row r="11" spans="1:19" s="109" customFormat="1" ht="19.149999999999999" customHeight="1" x14ac:dyDescent="0.25">
      <c r="A11" s="3"/>
      <c r="B11" s="100"/>
      <c r="C11" s="7"/>
      <c r="D11" s="101"/>
      <c r="E11" s="520" t="s">
        <v>142</v>
      </c>
      <c r="F11" s="137"/>
      <c r="G11" s="110"/>
      <c r="H11" s="144">
        <v>0</v>
      </c>
      <c r="I11" s="147" t="s">
        <v>18</v>
      </c>
      <c r="J11" s="151">
        <v>0</v>
      </c>
      <c r="K11" s="152">
        <f t="shared" si="0"/>
        <v>0</v>
      </c>
      <c r="L11" s="38"/>
      <c r="M11" s="104"/>
      <c r="N11" s="105"/>
      <c r="O11" s="106">
        <f t="shared" si="1"/>
        <v>1</v>
      </c>
      <c r="P11" s="106"/>
      <c r="Q11" s="111"/>
      <c r="R11" s="108"/>
      <c r="S11" s="108" t="s">
        <v>999</v>
      </c>
    </row>
    <row r="12" spans="1:19" s="109" customFormat="1" ht="19.149999999999999" customHeight="1" x14ac:dyDescent="0.2">
      <c r="A12" s="3"/>
      <c r="B12" s="100"/>
      <c r="C12" s="7"/>
      <c r="D12" s="1"/>
      <c r="E12" s="520" t="s">
        <v>143</v>
      </c>
      <c r="F12" s="137"/>
      <c r="G12" s="110"/>
      <c r="H12" s="144">
        <v>0</v>
      </c>
      <c r="I12" s="147" t="s">
        <v>144</v>
      </c>
      <c r="J12" s="153">
        <v>0.55000000000000004</v>
      </c>
      <c r="K12" s="152">
        <f t="shared" si="0"/>
        <v>0</v>
      </c>
      <c r="L12" s="38"/>
      <c r="M12" s="104"/>
      <c r="N12" s="105"/>
      <c r="O12" s="106">
        <f t="shared" si="1"/>
        <v>1</v>
      </c>
      <c r="P12" s="106"/>
      <c r="Q12" s="111"/>
      <c r="R12" s="111"/>
      <c r="S12" s="108" t="s">
        <v>999</v>
      </c>
    </row>
    <row r="13" spans="1:19" s="109" customFormat="1" ht="19.149999999999999" customHeight="1" x14ac:dyDescent="0.25">
      <c r="A13" s="3"/>
      <c r="B13" s="100"/>
      <c r="C13" s="7"/>
      <c r="D13" s="101"/>
      <c r="E13" s="520" t="s">
        <v>145</v>
      </c>
      <c r="F13" s="137"/>
      <c r="G13" s="110"/>
      <c r="H13" s="144">
        <v>0</v>
      </c>
      <c r="I13" s="147" t="s">
        <v>146</v>
      </c>
      <c r="J13" s="151">
        <v>0</v>
      </c>
      <c r="K13" s="152">
        <f t="shared" si="0"/>
        <v>0</v>
      </c>
      <c r="L13" s="38"/>
      <c r="M13" s="104"/>
      <c r="N13" s="105"/>
      <c r="O13" s="106">
        <f t="shared" si="1"/>
        <v>1</v>
      </c>
      <c r="P13" s="106"/>
      <c r="Q13" s="108"/>
      <c r="R13" s="108"/>
      <c r="S13" s="108" t="s">
        <v>999</v>
      </c>
    </row>
    <row r="14" spans="1:19" s="109" customFormat="1" ht="19.149999999999999" customHeight="1" x14ac:dyDescent="0.25">
      <c r="A14" s="3"/>
      <c r="B14" s="100"/>
      <c r="C14" s="7"/>
      <c r="D14" s="101"/>
      <c r="E14" s="520" t="s">
        <v>392</v>
      </c>
      <c r="F14" s="137"/>
      <c r="G14" s="110"/>
      <c r="H14" s="144">
        <v>0</v>
      </c>
      <c r="I14" s="147" t="s">
        <v>147</v>
      </c>
      <c r="J14" s="151">
        <v>0</v>
      </c>
      <c r="K14" s="152">
        <f>SUM(H14*J14)</f>
        <v>0</v>
      </c>
      <c r="L14" s="38"/>
      <c r="M14" s="104"/>
      <c r="N14" s="105"/>
      <c r="O14" s="106">
        <f t="shared" si="1"/>
        <v>1</v>
      </c>
      <c r="P14" s="106"/>
      <c r="Q14" s="108"/>
      <c r="R14" s="108"/>
      <c r="S14" s="108" t="s">
        <v>999</v>
      </c>
    </row>
    <row r="15" spans="1:19" s="109" customFormat="1" ht="19.149999999999999" customHeight="1" x14ac:dyDescent="0.2">
      <c r="A15" s="3"/>
      <c r="B15" s="100"/>
      <c r="C15" s="7"/>
      <c r="D15" s="1"/>
      <c r="E15" s="520" t="s">
        <v>148</v>
      </c>
      <c r="F15" s="137"/>
      <c r="G15" s="110"/>
      <c r="H15" s="144">
        <v>0</v>
      </c>
      <c r="I15" s="147" t="s">
        <v>44</v>
      </c>
      <c r="J15" s="151">
        <v>400</v>
      </c>
      <c r="K15" s="152">
        <f t="shared" si="0"/>
        <v>0</v>
      </c>
      <c r="L15" s="38"/>
      <c r="M15" s="104"/>
      <c r="N15" s="105"/>
      <c r="O15" s="106">
        <f t="shared" si="1"/>
        <v>1</v>
      </c>
      <c r="P15" s="106"/>
      <c r="Q15" s="108"/>
      <c r="R15" s="108"/>
      <c r="S15" s="108" t="s">
        <v>999</v>
      </c>
    </row>
    <row r="16" spans="1:19" s="109" customFormat="1" ht="19.149999999999999" customHeight="1" x14ac:dyDescent="0.25">
      <c r="A16" s="3"/>
      <c r="B16" s="100"/>
      <c r="C16" s="7"/>
      <c r="D16" s="101"/>
      <c r="E16" s="520" t="s">
        <v>432</v>
      </c>
      <c r="F16" s="137"/>
      <c r="G16" s="110"/>
      <c r="H16" s="144" t="e">
        <f ca="1">Settings!$K$6</f>
        <v>#NAME?</v>
      </c>
      <c r="I16" s="147" t="s">
        <v>21</v>
      </c>
      <c r="J16" s="151">
        <v>0</v>
      </c>
      <c r="K16" s="152" t="e">
        <f t="shared" ca="1" si="0"/>
        <v>#NAME?</v>
      </c>
      <c r="L16" s="38"/>
      <c r="M16" s="104"/>
      <c r="N16" s="105"/>
      <c r="O16" s="106">
        <f t="shared" si="1"/>
        <v>1</v>
      </c>
      <c r="P16" s="106"/>
      <c r="Q16" s="111"/>
      <c r="R16" s="108"/>
      <c r="S16" s="108" t="s">
        <v>999</v>
      </c>
    </row>
    <row r="17" spans="1:19" s="109" customFormat="1" ht="19.149999999999999" customHeight="1" x14ac:dyDescent="0.25">
      <c r="A17" s="3"/>
      <c r="B17" s="238"/>
      <c r="C17" s="7"/>
      <c r="D17" s="101"/>
      <c r="E17" s="520" t="s">
        <v>433</v>
      </c>
      <c r="F17" s="137"/>
      <c r="G17" s="110"/>
      <c r="H17" s="144" t="e">
        <f ca="1">Settings!$K$7</f>
        <v>#NAME?</v>
      </c>
      <c r="I17" s="147" t="s">
        <v>35</v>
      </c>
      <c r="J17" s="151">
        <v>0</v>
      </c>
      <c r="K17" s="152" t="e">
        <f t="shared" ref="K17" ca="1" si="2">SUM(H17*J17)</f>
        <v>#NAME?</v>
      </c>
      <c r="L17" s="38"/>
      <c r="M17" s="104"/>
      <c r="N17" s="105"/>
      <c r="O17" s="106">
        <f t="shared" ref="O17" si="3">OR(NOT(ISERROR(SEARCH($F$5,Q17))),Q17=0)*OR(NOT(ISERROR(SEARCH($F$6,R17))),R17=0)</f>
        <v>0</v>
      </c>
      <c r="P17" s="106"/>
      <c r="Q17" s="111" t="s">
        <v>935</v>
      </c>
      <c r="R17" s="108"/>
      <c r="S17" s="108" t="s">
        <v>999</v>
      </c>
    </row>
    <row r="18" spans="1:19" s="109" customFormat="1" ht="19.149999999999999" customHeight="1" x14ac:dyDescent="0.25">
      <c r="A18" s="3"/>
      <c r="B18" s="100"/>
      <c r="C18" s="7"/>
      <c r="D18" s="101"/>
      <c r="E18" s="520" t="s">
        <v>149</v>
      </c>
      <c r="F18" s="137"/>
      <c r="G18" s="110"/>
      <c r="H18" s="144" t="e">
        <f ca="1">Settings!$K$7</f>
        <v>#NAME?</v>
      </c>
      <c r="I18" s="147" t="s">
        <v>35</v>
      </c>
      <c r="J18" s="151">
        <v>0</v>
      </c>
      <c r="K18" s="152" t="e">
        <f t="shared" ca="1" si="0"/>
        <v>#NAME?</v>
      </c>
      <c r="L18" s="38"/>
      <c r="M18" s="104"/>
      <c r="N18" s="105"/>
      <c r="O18" s="106">
        <f t="shared" si="1"/>
        <v>1</v>
      </c>
      <c r="P18" s="106"/>
      <c r="Q18" s="108"/>
      <c r="R18" s="108"/>
      <c r="S18" s="108" t="s">
        <v>999</v>
      </c>
    </row>
    <row r="19" spans="1:19" s="109" customFormat="1" ht="19.149999999999999" customHeight="1" thickBot="1" x14ac:dyDescent="0.25">
      <c r="A19" s="3"/>
      <c r="B19" s="100"/>
      <c r="C19" s="7"/>
      <c r="D19" s="1"/>
      <c r="E19" s="518" t="s">
        <v>150</v>
      </c>
      <c r="F19" s="206"/>
      <c r="G19" s="217"/>
      <c r="H19" s="218" t="e">
        <f ca="1">Settings!$K$7</f>
        <v>#NAME?</v>
      </c>
      <c r="I19" s="219" t="s">
        <v>35</v>
      </c>
      <c r="J19" s="220">
        <v>0</v>
      </c>
      <c r="K19" s="221" t="e">
        <f t="shared" ca="1" si="0"/>
        <v>#NAME?</v>
      </c>
      <c r="L19" s="38"/>
      <c r="M19" s="104"/>
      <c r="N19" s="105"/>
      <c r="O19" s="106">
        <f t="shared" si="1"/>
        <v>1</v>
      </c>
      <c r="P19" s="106"/>
      <c r="Q19" s="111"/>
      <c r="R19" s="108"/>
      <c r="S19" s="108" t="s">
        <v>999</v>
      </c>
    </row>
    <row r="20" spans="1:19" ht="15.75" thickBot="1" x14ac:dyDescent="0.25">
      <c r="A20" s="2"/>
      <c r="B20" s="51"/>
      <c r="C20" s="33"/>
      <c r="D20" s="24"/>
      <c r="E20" s="212"/>
      <c r="F20" s="212"/>
      <c r="G20" s="212"/>
      <c r="H20" s="213"/>
      <c r="I20" s="214"/>
      <c r="J20" s="215"/>
      <c r="K20" s="216"/>
      <c r="L20" s="19"/>
      <c r="M20" s="61"/>
      <c r="N20" s="40"/>
      <c r="O20" s="41" t="s">
        <v>270</v>
      </c>
    </row>
    <row r="21" spans="1:19" ht="24" customHeight="1" thickBot="1" x14ac:dyDescent="0.25">
      <c r="A21" s="2"/>
      <c r="B21" s="51"/>
      <c r="C21" s="7"/>
      <c r="E21" s="94" t="s">
        <v>320</v>
      </c>
      <c r="F21" s="95"/>
      <c r="G21" s="95"/>
      <c r="H21" s="95"/>
      <c r="I21" s="95"/>
      <c r="J21" s="96"/>
      <c r="K21" s="44">
        <f>SUMIF(O22:O24,1,K22:K24)</f>
        <v>0</v>
      </c>
      <c r="L21" s="19"/>
      <c r="M21" s="61"/>
      <c r="N21" s="40"/>
      <c r="O21" s="41" t="s">
        <v>269</v>
      </c>
    </row>
    <row r="22" spans="1:19" s="109" customFormat="1" ht="4.9000000000000004" customHeight="1" x14ac:dyDescent="0.25">
      <c r="A22" s="3"/>
      <c r="B22" s="100"/>
      <c r="C22" s="7"/>
      <c r="D22" s="38"/>
      <c r="E22" s="136"/>
      <c r="F22" s="137"/>
      <c r="G22" s="256"/>
      <c r="H22" s="257"/>
      <c r="I22" s="258"/>
      <c r="J22" s="260"/>
      <c r="K22" s="259"/>
      <c r="L22" s="38"/>
      <c r="M22" s="104"/>
      <c r="N22" s="105"/>
      <c r="O22" s="106">
        <f t="shared" ref="O22" si="4">OR(NOT(ISERROR(SEARCH($F$5,Q22))),Q22=0)*OR(NOT(ISERROR(SEARCH($F$6,R22))),R22=0)</f>
        <v>1</v>
      </c>
      <c r="P22" s="106"/>
      <c r="Q22" s="108"/>
      <c r="R22" s="108"/>
      <c r="S22" s="108"/>
    </row>
    <row r="23" spans="1:19" ht="24" customHeight="1" thickBot="1" x14ac:dyDescent="0.25">
      <c r="A23" s="2"/>
      <c r="B23" s="51"/>
      <c r="C23" s="33"/>
      <c r="D23" s="19"/>
      <c r="E23" s="121"/>
      <c r="F23" s="122"/>
      <c r="G23" s="122"/>
      <c r="H23" s="123"/>
      <c r="I23" s="124"/>
      <c r="J23" s="125"/>
      <c r="K23" s="49"/>
      <c r="L23" s="19"/>
      <c r="M23" s="61"/>
      <c r="N23" s="40"/>
      <c r="O23" s="41" t="s">
        <v>270</v>
      </c>
    </row>
    <row r="24" spans="1:19" ht="15.75" thickBot="1" x14ac:dyDescent="0.25">
      <c r="A24" s="2"/>
      <c r="B24" s="51"/>
      <c r="C24" s="33"/>
      <c r="D24" s="24"/>
      <c r="E24" s="25"/>
      <c r="F24" s="25"/>
      <c r="G24" s="25"/>
      <c r="H24" s="26"/>
      <c r="I24" s="27"/>
      <c r="J24" s="28"/>
      <c r="K24" s="29"/>
      <c r="L24" s="19"/>
      <c r="M24" s="61"/>
      <c r="N24" s="40"/>
    </row>
    <row r="25" spans="1:19" ht="24" customHeight="1" thickBot="1" x14ac:dyDescent="0.25">
      <c r="A25" s="2"/>
      <c r="B25" s="51"/>
      <c r="C25" s="33"/>
      <c r="D25" s="23"/>
      <c r="E25" s="94" t="s">
        <v>160</v>
      </c>
      <c r="F25" s="95"/>
      <c r="G25" s="95"/>
      <c r="H25" s="95"/>
      <c r="I25" s="95"/>
      <c r="J25" s="96"/>
      <c r="K25" s="156" t="e">
        <f ca="1">SUMIF(O26:O30,1,K26:K30)</f>
        <v>#NAME?</v>
      </c>
      <c r="L25" s="19"/>
      <c r="M25" s="61"/>
      <c r="N25" s="40"/>
      <c r="O25" s="41" t="s">
        <v>269</v>
      </c>
    </row>
    <row r="26" spans="1:19" s="109" customFormat="1" ht="19.149999999999999" customHeight="1" x14ac:dyDescent="0.25">
      <c r="A26" s="3"/>
      <c r="B26" s="100"/>
      <c r="C26" s="7"/>
      <c r="D26" s="101"/>
      <c r="E26" s="142" t="s">
        <v>161</v>
      </c>
      <c r="F26" s="102"/>
      <c r="G26" s="103"/>
      <c r="H26" s="143" t="e">
        <f ca="1">Settings!$K$6</f>
        <v>#NAME?</v>
      </c>
      <c r="I26" s="146" t="s">
        <v>21</v>
      </c>
      <c r="J26" s="149">
        <v>0</v>
      </c>
      <c r="K26" s="150" t="e">
        <f ca="1">SUM(H26*J26)</f>
        <v>#NAME?</v>
      </c>
      <c r="L26" s="38"/>
      <c r="M26" s="104"/>
      <c r="N26" s="105"/>
      <c r="O26" s="106">
        <f>OR(NOT(ISERROR(SEARCH($F$5,Q26))),Q26=0)*OR(NOT(ISERROR(SEARCH($F$6,R26))),R26=0)</f>
        <v>1</v>
      </c>
      <c r="P26" s="106"/>
      <c r="Q26" s="108"/>
      <c r="R26" s="108"/>
      <c r="S26" s="108" t="s">
        <v>1000</v>
      </c>
    </row>
    <row r="27" spans="1:19" s="109" customFormat="1" ht="19.149999999999999" customHeight="1" x14ac:dyDescent="0.2">
      <c r="A27" s="3"/>
      <c r="B27" s="100"/>
      <c r="C27" s="7"/>
      <c r="D27" s="1"/>
      <c r="E27" s="520" t="s">
        <v>162</v>
      </c>
      <c r="F27" s="137"/>
      <c r="G27" s="110"/>
      <c r="H27" s="144">
        <v>1</v>
      </c>
      <c r="I27" s="147" t="s">
        <v>18</v>
      </c>
      <c r="J27" s="151">
        <v>0</v>
      </c>
      <c r="K27" s="152">
        <f>SUM(H27*J27)</f>
        <v>0</v>
      </c>
      <c r="L27" s="38"/>
      <c r="M27" s="104"/>
      <c r="N27" s="105"/>
      <c r="O27" s="106">
        <f>OR(NOT(ISERROR(SEARCH($F$5,Q27))),Q27=0)*OR(NOT(ISERROR(SEARCH($F$6,R27))),R27=0)</f>
        <v>1</v>
      </c>
      <c r="P27" s="106"/>
      <c r="Q27" s="108"/>
      <c r="R27" s="108"/>
      <c r="S27" s="108" t="s">
        <v>1000</v>
      </c>
    </row>
    <row r="28" spans="1:19" s="109" customFormat="1" ht="19.149999999999999" customHeight="1" x14ac:dyDescent="0.25">
      <c r="A28" s="3"/>
      <c r="B28" s="100"/>
      <c r="C28" s="7"/>
      <c r="D28" s="101"/>
      <c r="E28" s="520" t="s">
        <v>163</v>
      </c>
      <c r="F28" s="137"/>
      <c r="G28" s="110"/>
      <c r="H28" s="144" t="e">
        <f ca="1">Settings!$K$6</f>
        <v>#NAME?</v>
      </c>
      <c r="I28" s="147" t="s">
        <v>21</v>
      </c>
      <c r="J28" s="151">
        <v>0</v>
      </c>
      <c r="K28" s="152" t="e">
        <f ca="1">SUM(H28*J28)</f>
        <v>#NAME?</v>
      </c>
      <c r="L28" s="38"/>
      <c r="M28" s="104"/>
      <c r="N28" s="105"/>
      <c r="O28" s="106">
        <f>OR(NOT(ISERROR(SEARCH($F$5,Q28))),Q28=0)*OR(NOT(ISERROR(SEARCH($F$6,R28))),R28=0)</f>
        <v>1</v>
      </c>
      <c r="P28" s="106"/>
      <c r="Q28" s="108"/>
      <c r="R28" s="108"/>
      <c r="S28" s="108" t="s">
        <v>1000</v>
      </c>
    </row>
    <row r="29" spans="1:19" s="109" customFormat="1" ht="19.149999999999999" customHeight="1" thickBot="1" x14ac:dyDescent="0.3">
      <c r="A29" s="3"/>
      <c r="B29" s="100"/>
      <c r="C29" s="7"/>
      <c r="D29" s="101"/>
      <c r="E29" s="518" t="s">
        <v>164</v>
      </c>
      <c r="F29" s="206"/>
      <c r="G29" s="217"/>
      <c r="H29" s="218">
        <v>1</v>
      </c>
      <c r="I29" s="219" t="s">
        <v>18</v>
      </c>
      <c r="J29" s="220">
        <v>0</v>
      </c>
      <c r="K29" s="221">
        <f>SUM(H29*J29)</f>
        <v>0</v>
      </c>
      <c r="L29" s="38"/>
      <c r="M29" s="104"/>
      <c r="N29" s="105"/>
      <c r="O29" s="106">
        <f>OR(NOT(ISERROR(SEARCH($F$5,Q29))),Q29=0)*OR(NOT(ISERROR(SEARCH($F$6,R29))),R29=0)</f>
        <v>1</v>
      </c>
      <c r="P29" s="106"/>
      <c r="Q29" s="108"/>
      <c r="R29" s="108"/>
      <c r="S29" s="108" t="s">
        <v>1000</v>
      </c>
    </row>
    <row r="30" spans="1:19" ht="15.75" thickBot="1" x14ac:dyDescent="0.25">
      <c r="A30" s="2"/>
      <c r="B30" s="51"/>
      <c r="C30" s="33"/>
      <c r="D30" s="24"/>
      <c r="E30" s="212"/>
      <c r="F30" s="212"/>
      <c r="G30" s="212"/>
      <c r="H30" s="213"/>
      <c r="I30" s="214"/>
      <c r="J30" s="215"/>
      <c r="K30" s="216"/>
      <c r="L30" s="19"/>
      <c r="M30" s="61"/>
      <c r="N30" s="40"/>
      <c r="O30" s="41" t="s">
        <v>270</v>
      </c>
    </row>
    <row r="31" spans="1:19" ht="24" customHeight="1" thickBot="1" x14ac:dyDescent="0.25">
      <c r="A31" s="2"/>
      <c r="B31" s="51"/>
      <c r="C31" s="7"/>
      <c r="E31" s="94" t="s">
        <v>165</v>
      </c>
      <c r="F31" s="95"/>
      <c r="G31" s="95"/>
      <c r="H31" s="95"/>
      <c r="I31" s="95"/>
      <c r="J31" s="96"/>
      <c r="K31" s="156" t="e">
        <f ca="1">SUMIF(O32:O44,1,K32:K44)</f>
        <v>#NAME?</v>
      </c>
      <c r="L31" s="19"/>
      <c r="M31" s="61"/>
      <c r="N31" s="40"/>
      <c r="O31" s="41" t="s">
        <v>269</v>
      </c>
    </row>
    <row r="32" spans="1:19" s="109" customFormat="1" ht="19.149999999999999" customHeight="1" x14ac:dyDescent="0.25">
      <c r="A32" s="3"/>
      <c r="B32" s="100"/>
      <c r="C32" s="7"/>
      <c r="D32" s="113"/>
      <c r="E32" s="142" t="s">
        <v>166</v>
      </c>
      <c r="F32" s="102"/>
      <c r="G32" s="103"/>
      <c r="H32" s="143">
        <v>0</v>
      </c>
      <c r="I32" s="146" t="s">
        <v>53</v>
      </c>
      <c r="J32" s="149">
        <v>500</v>
      </c>
      <c r="K32" s="150">
        <f t="shared" ref="K32:K43" si="5">SUM(H32*J32)</f>
        <v>0</v>
      </c>
      <c r="L32" s="38"/>
      <c r="M32" s="104"/>
      <c r="N32" s="105"/>
      <c r="O32" s="106">
        <f t="shared" ref="O32:O37" si="6">OR(NOT(ISERROR(SEARCH($F$5,Q32))),Q32=0)*OR(NOT(ISERROR(SEARCH($F$6,R32))),R32=0)</f>
        <v>1</v>
      </c>
      <c r="P32" s="106"/>
      <c r="Q32" s="108"/>
      <c r="R32" s="108"/>
      <c r="S32" s="108" t="s">
        <v>1000</v>
      </c>
    </row>
    <row r="33" spans="1:19" s="109" customFormat="1" ht="19.149999999999999" customHeight="1" x14ac:dyDescent="0.25">
      <c r="A33" s="3"/>
      <c r="B33" s="100"/>
      <c r="C33" s="7"/>
      <c r="D33" s="113"/>
      <c r="E33" s="520" t="s">
        <v>167</v>
      </c>
      <c r="F33" s="137"/>
      <c r="G33" s="110"/>
      <c r="H33" s="144">
        <v>0</v>
      </c>
      <c r="I33" s="147" t="s">
        <v>168</v>
      </c>
      <c r="J33" s="151">
        <v>12000</v>
      </c>
      <c r="K33" s="152">
        <f t="shared" si="5"/>
        <v>0</v>
      </c>
      <c r="L33" s="38"/>
      <c r="M33" s="104"/>
      <c r="N33" s="105"/>
      <c r="O33" s="106">
        <f t="shared" si="6"/>
        <v>1</v>
      </c>
      <c r="P33" s="106"/>
      <c r="Q33" s="108"/>
      <c r="R33" s="108"/>
      <c r="S33" s="108" t="s">
        <v>1000</v>
      </c>
    </row>
    <row r="34" spans="1:19" s="109" customFormat="1" ht="19.149999999999999" customHeight="1" x14ac:dyDescent="0.2">
      <c r="A34" s="3"/>
      <c r="B34" s="100"/>
      <c r="C34" s="7"/>
      <c r="D34" s="1"/>
      <c r="E34" s="520" t="s">
        <v>169</v>
      </c>
      <c r="F34" s="137"/>
      <c r="G34" s="110"/>
      <c r="H34" s="144" t="e">
        <f ca="1">Settings!$K$6</f>
        <v>#NAME?</v>
      </c>
      <c r="I34" s="147" t="s">
        <v>21</v>
      </c>
      <c r="J34" s="151">
        <v>900</v>
      </c>
      <c r="K34" s="152" t="e">
        <f t="shared" ca="1" si="5"/>
        <v>#NAME?</v>
      </c>
      <c r="L34" s="38"/>
      <c r="M34" s="104"/>
      <c r="N34" s="105"/>
      <c r="O34" s="106">
        <f t="shared" si="6"/>
        <v>1</v>
      </c>
      <c r="P34" s="106"/>
      <c r="Q34" s="108"/>
      <c r="R34" s="108"/>
      <c r="S34" s="108" t="s">
        <v>1000</v>
      </c>
    </row>
    <row r="35" spans="1:19" s="109" customFormat="1" ht="19.149999999999999" customHeight="1" x14ac:dyDescent="0.25">
      <c r="A35" s="3"/>
      <c r="B35" s="100"/>
      <c r="C35" s="7"/>
      <c r="D35" s="113"/>
      <c r="E35" s="520" t="s">
        <v>170</v>
      </c>
      <c r="F35" s="137"/>
      <c r="G35" s="110"/>
      <c r="H35" s="144">
        <v>0</v>
      </c>
      <c r="I35" s="146" t="s">
        <v>53</v>
      </c>
      <c r="J35" s="151">
        <v>1250</v>
      </c>
      <c r="K35" s="152">
        <f t="shared" si="5"/>
        <v>0</v>
      </c>
      <c r="L35" s="38"/>
      <c r="M35" s="104"/>
      <c r="N35" s="105"/>
      <c r="O35" s="106">
        <f t="shared" si="6"/>
        <v>1</v>
      </c>
      <c r="P35" s="106"/>
      <c r="Q35" s="108"/>
      <c r="R35" s="108"/>
      <c r="S35" s="108" t="s">
        <v>1000</v>
      </c>
    </row>
    <row r="36" spans="1:19" s="109" customFormat="1" ht="19.149999999999999" customHeight="1" x14ac:dyDescent="0.2">
      <c r="A36" s="3"/>
      <c r="B36" s="100"/>
      <c r="C36" s="7"/>
      <c r="D36" s="1"/>
      <c r="E36" s="157" t="s">
        <v>309</v>
      </c>
      <c r="F36" s="114"/>
      <c r="G36" s="115"/>
      <c r="H36" s="158">
        <v>0</v>
      </c>
      <c r="I36" s="146" t="s">
        <v>53</v>
      </c>
      <c r="J36" s="160" t="e">
        <f ca="1">tbl('GCs Detail'!\t_copiers,staffcounter)</f>
        <v>#NAME?</v>
      </c>
      <c r="K36" s="152" t="e">
        <f t="shared" ca="1" si="5"/>
        <v>#NAME?</v>
      </c>
      <c r="L36" s="38"/>
      <c r="M36" s="104"/>
      <c r="N36" s="105"/>
      <c r="O36" s="106">
        <f t="shared" si="6"/>
        <v>1</v>
      </c>
      <c r="P36" s="106"/>
      <c r="Q36" s="108"/>
      <c r="R36" s="108"/>
      <c r="S36" s="108" t="s">
        <v>1000</v>
      </c>
    </row>
    <row r="37" spans="1:19" s="109" customFormat="1" ht="19.149999999999999" customHeight="1" x14ac:dyDescent="0.2">
      <c r="A37" s="3"/>
      <c r="B37" s="238"/>
      <c r="C37" s="7"/>
      <c r="D37" s="1"/>
      <c r="E37" s="157" t="s">
        <v>436</v>
      </c>
      <c r="F37" s="114"/>
      <c r="G37" s="115"/>
      <c r="H37" s="158" t="e">
        <f ca="1">Settings!$K$6</f>
        <v>#NAME?</v>
      </c>
      <c r="I37" s="159" t="s">
        <v>21</v>
      </c>
      <c r="J37" s="160">
        <v>500</v>
      </c>
      <c r="K37" s="152" t="e">
        <f t="shared" ca="1" si="5"/>
        <v>#NAME?</v>
      </c>
      <c r="L37" s="38"/>
      <c r="M37" s="104"/>
      <c r="N37" s="105"/>
      <c r="O37" s="106">
        <f t="shared" si="6"/>
        <v>0</v>
      </c>
      <c r="P37" s="106"/>
      <c r="Q37" s="111" t="s">
        <v>935</v>
      </c>
      <c r="R37" s="108"/>
      <c r="S37" s="108" t="s">
        <v>1000</v>
      </c>
    </row>
    <row r="38" spans="1:19" s="109" customFormat="1" ht="19.149999999999999" customHeight="1" x14ac:dyDescent="0.2">
      <c r="A38" s="3"/>
      <c r="B38" s="100"/>
      <c r="C38" s="7"/>
      <c r="D38" s="1"/>
      <c r="E38" s="520" t="s">
        <v>171</v>
      </c>
      <c r="F38" s="137"/>
      <c r="G38" s="110"/>
      <c r="H38" s="158" t="e">
        <f ca="1">Settings!$K$6</f>
        <v>#NAME?</v>
      </c>
      <c r="I38" s="147" t="s">
        <v>21</v>
      </c>
      <c r="J38" s="151">
        <v>350</v>
      </c>
      <c r="K38" s="152" t="e">
        <f t="shared" ca="1" si="5"/>
        <v>#NAME?</v>
      </c>
      <c r="L38" s="38"/>
      <c r="M38" s="104"/>
      <c r="N38" s="105"/>
      <c r="O38" s="106">
        <f t="shared" ref="O38:O43" si="7">OR(NOT(ISERROR(SEARCH($F$5,Q38))),Q38=0)*OR(NOT(ISERROR(SEARCH($F$6,R38))),R38=0)</f>
        <v>1</v>
      </c>
      <c r="P38" s="106"/>
      <c r="Q38" s="108"/>
      <c r="R38" s="108"/>
      <c r="S38" s="108" t="s">
        <v>1000</v>
      </c>
    </row>
    <row r="39" spans="1:19" s="109" customFormat="1" ht="19.149999999999999" customHeight="1" x14ac:dyDescent="0.25">
      <c r="A39" s="3"/>
      <c r="B39" s="100"/>
      <c r="C39" s="7"/>
      <c r="D39" s="113"/>
      <c r="E39" s="520" t="s">
        <v>172</v>
      </c>
      <c r="F39" s="137"/>
      <c r="G39" s="110"/>
      <c r="H39" s="158">
        <v>0</v>
      </c>
      <c r="I39" s="146" t="s">
        <v>53</v>
      </c>
      <c r="J39" s="151">
        <v>600</v>
      </c>
      <c r="K39" s="152">
        <f t="shared" si="5"/>
        <v>0</v>
      </c>
      <c r="L39" s="38"/>
      <c r="M39" s="104"/>
      <c r="N39" s="105"/>
      <c r="O39" s="106">
        <f t="shared" si="7"/>
        <v>1</v>
      </c>
      <c r="P39" s="106"/>
      <c r="Q39" s="108"/>
      <c r="R39" s="108"/>
      <c r="S39" s="108" t="s">
        <v>1000</v>
      </c>
    </row>
    <row r="40" spans="1:19" s="109" customFormat="1" ht="19.149999999999999" customHeight="1" x14ac:dyDescent="0.2">
      <c r="A40" s="3"/>
      <c r="B40" s="100"/>
      <c r="C40" s="7"/>
      <c r="D40" s="1"/>
      <c r="E40" s="520" t="s">
        <v>173</v>
      </c>
      <c r="F40" s="137"/>
      <c r="G40" s="110"/>
      <c r="H40" s="158">
        <v>0</v>
      </c>
      <c r="I40" s="147" t="s">
        <v>38</v>
      </c>
      <c r="J40" s="151">
        <v>600</v>
      </c>
      <c r="K40" s="152">
        <f t="shared" si="5"/>
        <v>0</v>
      </c>
      <c r="L40" s="38"/>
      <c r="M40" s="104"/>
      <c r="N40" s="105"/>
      <c r="O40" s="106">
        <f t="shared" si="7"/>
        <v>1</v>
      </c>
      <c r="P40" s="106"/>
      <c r="Q40" s="108"/>
      <c r="R40" s="108"/>
      <c r="S40" s="108" t="s">
        <v>1000</v>
      </c>
    </row>
    <row r="41" spans="1:19" s="109" customFormat="1" ht="19.149999999999999" customHeight="1" x14ac:dyDescent="0.2">
      <c r="A41" s="3"/>
      <c r="B41" s="100"/>
      <c r="C41" s="7"/>
      <c r="D41" s="1"/>
      <c r="E41" s="520" t="s">
        <v>174</v>
      </c>
      <c r="F41" s="137"/>
      <c r="G41" s="110"/>
      <c r="H41" s="158" t="e">
        <f ca="1">Settings!$K$6</f>
        <v>#NAME?</v>
      </c>
      <c r="I41" s="147" t="s">
        <v>21</v>
      </c>
      <c r="J41" s="151">
        <v>200</v>
      </c>
      <c r="K41" s="152" t="e">
        <f t="shared" ca="1" si="5"/>
        <v>#NAME?</v>
      </c>
      <c r="L41" s="38"/>
      <c r="M41" s="104"/>
      <c r="N41" s="105"/>
      <c r="O41" s="106">
        <f t="shared" si="7"/>
        <v>1</v>
      </c>
      <c r="P41" s="106"/>
      <c r="Q41" s="108"/>
      <c r="R41" s="108"/>
      <c r="S41" s="108" t="s">
        <v>1000</v>
      </c>
    </row>
    <row r="42" spans="1:19" s="109" customFormat="1" ht="19.149999999999999" customHeight="1" x14ac:dyDescent="0.2">
      <c r="A42" s="3"/>
      <c r="B42" s="238"/>
      <c r="C42" s="7"/>
      <c r="D42" s="1"/>
      <c r="E42" s="520" t="s">
        <v>437</v>
      </c>
      <c r="F42" s="137"/>
      <c r="G42" s="110"/>
      <c r="H42" s="158" t="e">
        <f ca="1">Settings!$K$6</f>
        <v>#NAME?</v>
      </c>
      <c r="I42" s="147" t="s">
        <v>21</v>
      </c>
      <c r="J42" s="151">
        <v>500</v>
      </c>
      <c r="K42" s="152" t="e">
        <f t="shared" ca="1" si="5"/>
        <v>#NAME?</v>
      </c>
      <c r="L42" s="38"/>
      <c r="M42" s="104"/>
      <c r="N42" s="105"/>
      <c r="O42" s="106">
        <f t="shared" ref="O42" si="8">OR(NOT(ISERROR(SEARCH($F$5,Q42))),Q42=0)*OR(NOT(ISERROR(SEARCH($F$6,R42))),R42=0)</f>
        <v>0</v>
      </c>
      <c r="P42" s="106"/>
      <c r="Q42" s="111" t="s">
        <v>935</v>
      </c>
      <c r="R42" s="108"/>
      <c r="S42" s="108" t="s">
        <v>1000</v>
      </c>
    </row>
    <row r="43" spans="1:19" s="109" customFormat="1" ht="19.149999999999999" customHeight="1" thickBot="1" x14ac:dyDescent="0.3">
      <c r="A43" s="3"/>
      <c r="B43" s="100"/>
      <c r="C43" s="7"/>
      <c r="D43" s="113"/>
      <c r="E43" s="518" t="s">
        <v>175</v>
      </c>
      <c r="F43" s="206"/>
      <c r="G43" s="217"/>
      <c r="H43" s="210" t="e">
        <f ca="1">Settings!$K$6</f>
        <v>#NAME?</v>
      </c>
      <c r="I43" s="219" t="s">
        <v>21</v>
      </c>
      <c r="J43" s="220">
        <v>250</v>
      </c>
      <c r="K43" s="221" t="e">
        <f t="shared" ca="1" si="5"/>
        <v>#NAME?</v>
      </c>
      <c r="L43" s="38"/>
      <c r="M43" s="104"/>
      <c r="N43" s="105"/>
      <c r="O43" s="106">
        <f t="shared" si="7"/>
        <v>1</v>
      </c>
      <c r="P43" s="106"/>
      <c r="Q43" s="108"/>
      <c r="R43" s="108"/>
      <c r="S43" s="108" t="s">
        <v>1000</v>
      </c>
    </row>
    <row r="44" spans="1:19" ht="15.75" thickBot="1" x14ac:dyDescent="0.25">
      <c r="A44" s="2"/>
      <c r="B44" s="51"/>
      <c r="C44" s="33"/>
      <c r="D44" s="24"/>
      <c r="E44" s="222"/>
      <c r="F44" s="222"/>
      <c r="G44" s="222"/>
      <c r="H44" s="223"/>
      <c r="I44" s="224"/>
      <c r="J44" s="225"/>
      <c r="K44" s="226"/>
      <c r="L44" s="19"/>
      <c r="M44" s="61"/>
      <c r="N44" s="40"/>
      <c r="O44" s="41" t="s">
        <v>270</v>
      </c>
    </row>
    <row r="45" spans="1:19" ht="24" customHeight="1" thickBot="1" x14ac:dyDescent="0.25">
      <c r="A45" s="2"/>
      <c r="B45" s="51"/>
      <c r="C45" s="7"/>
      <c r="E45" s="94" t="s">
        <v>176</v>
      </c>
      <c r="F45" s="95"/>
      <c r="G45" s="95"/>
      <c r="H45" s="95"/>
      <c r="I45" s="95"/>
      <c r="J45" s="96"/>
      <c r="K45" s="156" t="e">
        <f ca="1">SUMIF(O46:O57,1,K46:K57)</f>
        <v>#NAME?</v>
      </c>
      <c r="L45" s="19"/>
      <c r="M45" s="61"/>
      <c r="N45" s="40"/>
      <c r="O45" s="41" t="s">
        <v>269</v>
      </c>
    </row>
    <row r="46" spans="1:19" s="109" customFormat="1" ht="19.149999999999999" customHeight="1" x14ac:dyDescent="0.2">
      <c r="A46" s="3"/>
      <c r="B46" s="100"/>
      <c r="C46" s="7"/>
      <c r="D46" s="1"/>
      <c r="E46" s="290" t="s">
        <v>177</v>
      </c>
      <c r="F46" s="291"/>
      <c r="G46" s="162"/>
      <c r="H46" s="144">
        <v>0</v>
      </c>
      <c r="I46" s="147" t="s">
        <v>178</v>
      </c>
      <c r="J46" s="164">
        <v>1000</v>
      </c>
      <c r="K46" s="152">
        <f>SUM(H46*J46)</f>
        <v>0</v>
      </c>
      <c r="L46" s="38"/>
      <c r="M46" s="104"/>
      <c r="N46" s="105"/>
      <c r="O46" s="106">
        <f t="shared" ref="O46:O56" si="9">OR(NOT(ISERROR(SEARCH($F$5,Q46))),Q46=0)*OR(NOT(ISERROR(SEARCH($F$6,R46))),R46=0)</f>
        <v>1</v>
      </c>
      <c r="P46" s="106"/>
      <c r="Q46" s="108"/>
      <c r="R46" s="108"/>
      <c r="S46" s="108" t="s">
        <v>1000</v>
      </c>
    </row>
    <row r="47" spans="1:19" s="109" customFormat="1" ht="19.149999999999999" customHeight="1" x14ac:dyDescent="0.2">
      <c r="A47" s="3"/>
      <c r="B47" s="100"/>
      <c r="C47" s="7"/>
      <c r="D47" s="1"/>
      <c r="E47" s="525" t="s">
        <v>308</v>
      </c>
      <c r="F47" s="526"/>
      <c r="G47" s="162"/>
      <c r="H47" s="144" t="e">
        <f ca="1">Settings!$K$6</f>
        <v>#NAME?</v>
      </c>
      <c r="I47" s="147" t="s">
        <v>21</v>
      </c>
      <c r="J47" s="163" t="e">
        <f ca="1">tbl('GCs Detail'!\t_internet,staffcounter)</f>
        <v>#NAME?</v>
      </c>
      <c r="K47" s="152"/>
      <c r="L47" s="38"/>
      <c r="M47" s="104"/>
      <c r="N47" s="105"/>
      <c r="O47" s="106">
        <f t="shared" si="9"/>
        <v>1</v>
      </c>
      <c r="P47" s="106"/>
      <c r="Q47" s="108"/>
      <c r="R47" s="108"/>
      <c r="S47" s="108" t="s">
        <v>1000</v>
      </c>
    </row>
    <row r="48" spans="1:19" s="109" customFormat="1" ht="19.149999999999999" customHeight="1" x14ac:dyDescent="0.25">
      <c r="A48" s="3"/>
      <c r="B48" s="100"/>
      <c r="C48" s="7"/>
      <c r="D48" s="116"/>
      <c r="E48" s="293" t="s">
        <v>179</v>
      </c>
      <c r="F48" s="161"/>
      <c r="G48" s="162"/>
      <c r="H48" s="144">
        <v>0</v>
      </c>
      <c r="I48" s="147" t="s">
        <v>53</v>
      </c>
      <c r="J48" s="163">
        <v>300</v>
      </c>
      <c r="K48" s="152">
        <f t="shared" ref="K48:K55" si="10">SUM(H48*J48)</f>
        <v>0</v>
      </c>
      <c r="L48" s="38"/>
      <c r="M48" s="104"/>
      <c r="N48" s="105"/>
      <c r="O48" s="106">
        <f t="shared" si="9"/>
        <v>1</v>
      </c>
      <c r="P48" s="106"/>
      <c r="Q48" s="108"/>
      <c r="R48" s="111"/>
      <c r="S48" s="108" t="s">
        <v>1000</v>
      </c>
    </row>
    <row r="49" spans="1:19" s="109" customFormat="1" ht="19.149999999999999" customHeight="1" x14ac:dyDescent="0.2">
      <c r="A49" s="3"/>
      <c r="B49" s="100"/>
      <c r="C49" s="7"/>
      <c r="D49" s="1"/>
      <c r="E49" s="525" t="s">
        <v>180</v>
      </c>
      <c r="F49" s="526"/>
      <c r="G49" s="162"/>
      <c r="H49" s="144" t="e">
        <f ca="1">Settings!$K$6</f>
        <v>#NAME?</v>
      </c>
      <c r="I49" s="147" t="s">
        <v>21</v>
      </c>
      <c r="J49" s="163">
        <v>265</v>
      </c>
      <c r="K49" s="152" t="e">
        <f t="shared" ca="1" si="10"/>
        <v>#NAME?</v>
      </c>
      <c r="L49" s="38"/>
      <c r="M49" s="104"/>
      <c r="N49" s="105"/>
      <c r="O49" s="106">
        <f t="shared" si="9"/>
        <v>1</v>
      </c>
      <c r="P49" s="106"/>
      <c r="Q49" s="108"/>
      <c r="R49" s="111"/>
      <c r="S49" s="108" t="s">
        <v>1000</v>
      </c>
    </row>
    <row r="50" spans="1:19" s="109" customFormat="1" ht="19.149999999999999" customHeight="1" x14ac:dyDescent="0.2">
      <c r="A50" s="3"/>
      <c r="B50" s="100"/>
      <c r="C50" s="7"/>
      <c r="D50" s="1"/>
      <c r="E50" s="525" t="s">
        <v>181</v>
      </c>
      <c r="F50" s="526"/>
      <c r="G50" s="162"/>
      <c r="H50" s="144">
        <v>0</v>
      </c>
      <c r="I50" s="146" t="s">
        <v>53</v>
      </c>
      <c r="J50" s="163">
        <v>4600</v>
      </c>
      <c r="K50" s="152">
        <f t="shared" si="10"/>
        <v>0</v>
      </c>
      <c r="L50" s="38"/>
      <c r="M50" s="104"/>
      <c r="N50" s="105"/>
      <c r="O50" s="106">
        <f t="shared" si="9"/>
        <v>1</v>
      </c>
      <c r="P50" s="106"/>
      <c r="Q50" s="108"/>
      <c r="R50" s="108"/>
      <c r="S50" s="108" t="s">
        <v>1000</v>
      </c>
    </row>
    <row r="51" spans="1:19" s="109" customFormat="1" ht="19.149999999999999" customHeight="1" x14ac:dyDescent="0.25">
      <c r="A51" s="3"/>
      <c r="B51" s="100"/>
      <c r="C51" s="7"/>
      <c r="D51" s="116"/>
      <c r="E51" s="293" t="s">
        <v>182</v>
      </c>
      <c r="F51" s="161"/>
      <c r="G51" s="501"/>
      <c r="H51" s="144">
        <v>0</v>
      </c>
      <c r="I51" s="147" t="s">
        <v>53</v>
      </c>
      <c r="J51" s="163">
        <v>600</v>
      </c>
      <c r="K51" s="152">
        <f t="shared" si="10"/>
        <v>0</v>
      </c>
      <c r="L51" s="38"/>
      <c r="M51" s="104"/>
      <c r="N51" s="105"/>
      <c r="O51" s="106">
        <f t="shared" si="9"/>
        <v>0</v>
      </c>
      <c r="P51" s="106"/>
      <c r="Q51" s="111" t="s">
        <v>409</v>
      </c>
      <c r="R51" s="108"/>
      <c r="S51" s="108" t="s">
        <v>1000</v>
      </c>
    </row>
    <row r="52" spans="1:19" s="109" customFormat="1" ht="19.149999999999999" customHeight="1" x14ac:dyDescent="0.2">
      <c r="A52" s="3"/>
      <c r="B52" s="100"/>
      <c r="C52" s="7"/>
      <c r="D52" s="1"/>
      <c r="E52" s="293" t="s">
        <v>183</v>
      </c>
      <c r="F52" s="161"/>
      <c r="G52" s="162"/>
      <c r="H52" s="144">
        <v>0</v>
      </c>
      <c r="I52" s="147" t="s">
        <v>53</v>
      </c>
      <c r="J52" s="163">
        <v>1820</v>
      </c>
      <c r="K52" s="152">
        <f t="shared" si="10"/>
        <v>0</v>
      </c>
      <c r="L52" s="38"/>
      <c r="M52" s="104"/>
      <c r="N52" s="105"/>
      <c r="O52" s="106">
        <f t="shared" si="9"/>
        <v>1</v>
      </c>
      <c r="P52" s="106"/>
      <c r="Q52" s="111" t="s">
        <v>410</v>
      </c>
      <c r="R52" s="108"/>
      <c r="S52" s="108" t="s">
        <v>1000</v>
      </c>
    </row>
    <row r="53" spans="1:19" s="109" customFormat="1" ht="19.149999999999999" customHeight="1" x14ac:dyDescent="0.2">
      <c r="A53" s="3"/>
      <c r="B53" s="100"/>
      <c r="C53" s="7"/>
      <c r="D53" s="1"/>
      <c r="E53" s="293" t="s">
        <v>184</v>
      </c>
      <c r="F53" s="161"/>
      <c r="G53" s="162"/>
      <c r="H53" s="144">
        <v>0</v>
      </c>
      <c r="I53" s="146" t="s">
        <v>53</v>
      </c>
      <c r="J53" s="163">
        <v>750</v>
      </c>
      <c r="K53" s="152">
        <f t="shared" si="10"/>
        <v>0</v>
      </c>
      <c r="L53" s="38"/>
      <c r="M53" s="104"/>
      <c r="N53" s="105"/>
      <c r="O53" s="106">
        <f t="shared" si="9"/>
        <v>1</v>
      </c>
      <c r="P53" s="106"/>
      <c r="Q53" s="108"/>
      <c r="R53" s="108"/>
      <c r="S53" s="108" t="s">
        <v>1000</v>
      </c>
    </row>
    <row r="54" spans="1:19" s="109" customFormat="1" ht="19.149999999999999" customHeight="1" x14ac:dyDescent="0.2">
      <c r="A54" s="3"/>
      <c r="B54" s="100"/>
      <c r="C54" s="7"/>
      <c r="D54" s="1"/>
      <c r="E54" s="293" t="s">
        <v>185</v>
      </c>
      <c r="F54" s="161"/>
      <c r="G54" s="162"/>
      <c r="H54" s="144">
        <v>0</v>
      </c>
      <c r="I54" s="146" t="s">
        <v>53</v>
      </c>
      <c r="J54" s="163">
        <v>1200</v>
      </c>
      <c r="K54" s="152">
        <f t="shared" si="10"/>
        <v>0</v>
      </c>
      <c r="L54" s="38"/>
      <c r="M54" s="104"/>
      <c r="N54" s="105"/>
      <c r="O54" s="106">
        <f t="shared" si="9"/>
        <v>1</v>
      </c>
      <c r="P54" s="106"/>
      <c r="Q54" s="108"/>
      <c r="R54" s="108"/>
      <c r="S54" s="108" t="s">
        <v>1000</v>
      </c>
    </row>
    <row r="55" spans="1:19" s="109" customFormat="1" ht="19.149999999999999" customHeight="1" x14ac:dyDescent="0.25">
      <c r="A55" s="3"/>
      <c r="B55" s="100"/>
      <c r="C55" s="7"/>
      <c r="D55" s="116"/>
      <c r="E55" s="293" t="s">
        <v>396</v>
      </c>
      <c r="F55" s="161"/>
      <c r="G55" s="162"/>
      <c r="H55" s="144">
        <v>0</v>
      </c>
      <c r="I55" s="146" t="s">
        <v>53</v>
      </c>
      <c r="J55" s="163">
        <v>50</v>
      </c>
      <c r="K55" s="152">
        <f t="shared" si="10"/>
        <v>0</v>
      </c>
      <c r="L55" s="38"/>
      <c r="M55" s="104"/>
      <c r="N55" s="105"/>
      <c r="O55" s="106">
        <f t="shared" si="9"/>
        <v>1</v>
      </c>
      <c r="P55" s="106"/>
      <c r="Q55" s="108"/>
      <c r="R55" s="108"/>
      <c r="S55" s="108" t="s">
        <v>1000</v>
      </c>
    </row>
    <row r="56" spans="1:19" s="109" customFormat="1" ht="19.149999999999999" customHeight="1" thickBot="1" x14ac:dyDescent="0.3">
      <c r="A56" s="3"/>
      <c r="B56" s="100"/>
      <c r="C56" s="7"/>
      <c r="D56" s="116"/>
      <c r="E56" s="528" t="s">
        <v>186</v>
      </c>
      <c r="F56" s="529"/>
      <c r="G56" s="209"/>
      <c r="H56" s="218">
        <v>0</v>
      </c>
      <c r="I56" s="146" t="s">
        <v>53</v>
      </c>
      <c r="J56" s="227">
        <v>25000</v>
      </c>
      <c r="K56" s="221">
        <f>H56*J56</f>
        <v>0</v>
      </c>
      <c r="L56" s="38"/>
      <c r="M56" s="104"/>
      <c r="N56" s="105"/>
      <c r="O56" s="106">
        <f t="shared" si="9"/>
        <v>1</v>
      </c>
      <c r="P56" s="117"/>
      <c r="Q56" s="108"/>
      <c r="R56" s="108"/>
      <c r="S56" s="108" t="s">
        <v>1000</v>
      </c>
    </row>
    <row r="57" spans="1:19" ht="15.75" thickBot="1" x14ac:dyDescent="0.25">
      <c r="A57" s="2"/>
      <c r="B57" s="51"/>
      <c r="C57" s="33"/>
      <c r="D57" s="24"/>
      <c r="E57" s="228"/>
      <c r="F57" s="229"/>
      <c r="G57" s="222"/>
      <c r="H57" s="223"/>
      <c r="I57" s="224"/>
      <c r="J57" s="230"/>
      <c r="K57" s="216"/>
      <c r="L57" s="19"/>
      <c r="M57" s="61"/>
      <c r="N57" s="40"/>
      <c r="O57" s="41" t="s">
        <v>270</v>
      </c>
    </row>
    <row r="58" spans="1:19" ht="24" customHeight="1" thickBot="1" x14ac:dyDescent="0.25">
      <c r="A58" s="2"/>
      <c r="B58" s="51"/>
      <c r="C58" s="7"/>
      <c r="E58" s="94" t="s">
        <v>187</v>
      </c>
      <c r="F58" s="95"/>
      <c r="G58" s="95"/>
      <c r="H58" s="95"/>
      <c r="I58" s="95"/>
      <c r="J58" s="96"/>
      <c r="K58" s="156">
        <f>SUMIF(O59:O70,1,K59:K70)</f>
        <v>0</v>
      </c>
      <c r="L58" s="19"/>
      <c r="M58" s="61"/>
      <c r="N58" s="40"/>
      <c r="O58" s="41" t="s">
        <v>269</v>
      </c>
    </row>
    <row r="59" spans="1:19" s="109" customFormat="1" ht="19.149999999999999" customHeight="1" x14ac:dyDescent="0.25">
      <c r="A59" s="3"/>
      <c r="B59" s="100"/>
      <c r="C59" s="7"/>
      <c r="D59" s="116"/>
      <c r="E59" s="520" t="s">
        <v>188</v>
      </c>
      <c r="F59" s="521"/>
      <c r="G59" s="110"/>
      <c r="H59" s="144">
        <v>0</v>
      </c>
      <c r="I59" s="146" t="s">
        <v>53</v>
      </c>
      <c r="J59" s="164">
        <v>450</v>
      </c>
      <c r="K59" s="152">
        <f>SUM(H59*J59)</f>
        <v>0</v>
      </c>
      <c r="L59" s="38"/>
      <c r="M59" s="104"/>
      <c r="N59" s="105"/>
      <c r="O59" s="106">
        <f t="shared" ref="O59:O69" si="11">OR(NOT(ISERROR(SEARCH($F$5,Q59))),Q59=0)*OR(NOT(ISERROR(SEARCH($F$6,R59))),R59=0)</f>
        <v>1</v>
      </c>
      <c r="P59" s="106"/>
      <c r="Q59" s="108"/>
      <c r="R59" s="108"/>
      <c r="S59" s="108" t="s">
        <v>1000</v>
      </c>
    </row>
    <row r="60" spans="1:19" s="109" customFormat="1" ht="19.149999999999999" customHeight="1" x14ac:dyDescent="0.25">
      <c r="A60" s="3"/>
      <c r="B60" s="100"/>
      <c r="C60" s="7"/>
      <c r="D60" s="116"/>
      <c r="E60" s="520" t="s">
        <v>395</v>
      </c>
      <c r="F60" s="521"/>
      <c r="G60" s="110"/>
      <c r="H60" s="158">
        <v>0</v>
      </c>
      <c r="I60" s="146" t="s">
        <v>53</v>
      </c>
      <c r="J60" s="164">
        <v>2265</v>
      </c>
      <c r="K60" s="152">
        <f t="shared" ref="K60:K65" si="12">SUM(H60*J60)</f>
        <v>0</v>
      </c>
      <c r="L60" s="38"/>
      <c r="M60" s="104"/>
      <c r="N60" s="105"/>
      <c r="O60" s="106">
        <f t="shared" si="11"/>
        <v>1</v>
      </c>
      <c r="P60" s="106"/>
      <c r="Q60" s="108"/>
      <c r="R60" s="108"/>
      <c r="S60" s="108" t="s">
        <v>1000</v>
      </c>
    </row>
    <row r="61" spans="1:19" s="109" customFormat="1" ht="19.149999999999999" customHeight="1" x14ac:dyDescent="0.25">
      <c r="A61" s="3"/>
      <c r="B61" s="100"/>
      <c r="C61" s="7"/>
      <c r="D61" s="116"/>
      <c r="E61" s="525" t="s">
        <v>393</v>
      </c>
      <c r="F61" s="524"/>
      <c r="G61" s="110"/>
      <c r="H61" s="158">
        <v>0</v>
      </c>
      <c r="I61" s="146" t="s">
        <v>53</v>
      </c>
      <c r="J61" s="164">
        <v>1500</v>
      </c>
      <c r="K61" s="152">
        <f t="shared" si="12"/>
        <v>0</v>
      </c>
      <c r="L61" s="38"/>
      <c r="M61" s="104"/>
      <c r="N61" s="105"/>
      <c r="O61" s="106">
        <f t="shared" si="11"/>
        <v>1</v>
      </c>
      <c r="P61" s="106"/>
      <c r="Q61" s="108"/>
      <c r="R61" s="108"/>
      <c r="S61" s="108" t="s">
        <v>1000</v>
      </c>
    </row>
    <row r="62" spans="1:19" s="109" customFormat="1" ht="19.149999999999999" customHeight="1" x14ac:dyDescent="0.25">
      <c r="A62" s="3"/>
      <c r="B62" s="100"/>
      <c r="C62" s="7"/>
      <c r="D62" s="118"/>
      <c r="E62" s="525" t="s">
        <v>394</v>
      </c>
      <c r="F62" s="524"/>
      <c r="G62" s="119"/>
      <c r="H62" s="165">
        <v>0</v>
      </c>
      <c r="I62" s="146" t="s">
        <v>53</v>
      </c>
      <c r="J62" s="164">
        <v>4500</v>
      </c>
      <c r="K62" s="152">
        <f t="shared" si="12"/>
        <v>0</v>
      </c>
      <c r="L62" s="38"/>
      <c r="M62" s="104"/>
      <c r="N62" s="105"/>
      <c r="O62" s="106">
        <f t="shared" si="11"/>
        <v>1</v>
      </c>
      <c r="P62" s="106"/>
      <c r="Q62" s="108"/>
      <c r="R62" s="108"/>
      <c r="S62" s="108" t="s">
        <v>1000</v>
      </c>
    </row>
    <row r="63" spans="1:19" s="109" customFormat="1" ht="19.149999999999999" customHeight="1" x14ac:dyDescent="0.25">
      <c r="A63" s="3"/>
      <c r="B63" s="100"/>
      <c r="C63" s="7"/>
      <c r="D63" s="116"/>
      <c r="E63" s="525" t="s">
        <v>189</v>
      </c>
      <c r="F63" s="526"/>
      <c r="G63" s="110"/>
      <c r="H63" s="158">
        <v>0</v>
      </c>
      <c r="I63" s="146" t="s">
        <v>53</v>
      </c>
      <c r="J63" s="164">
        <v>150</v>
      </c>
      <c r="K63" s="152">
        <f t="shared" si="12"/>
        <v>0</v>
      </c>
      <c r="L63" s="38"/>
      <c r="M63" s="104"/>
      <c r="N63" s="105"/>
      <c r="O63" s="106">
        <f t="shared" si="11"/>
        <v>1</v>
      </c>
      <c r="P63" s="106"/>
      <c r="Q63" s="108"/>
      <c r="R63" s="108"/>
      <c r="S63" s="108" t="s">
        <v>1000</v>
      </c>
    </row>
    <row r="64" spans="1:19" s="109" customFormat="1" ht="19.149999999999999" customHeight="1" x14ac:dyDescent="0.25">
      <c r="A64" s="3"/>
      <c r="B64" s="100"/>
      <c r="C64" s="7"/>
      <c r="D64" s="116"/>
      <c r="E64" s="525" t="s">
        <v>190</v>
      </c>
      <c r="F64" s="526"/>
      <c r="G64" s="110"/>
      <c r="H64" s="158">
        <v>0</v>
      </c>
      <c r="I64" s="146" t="s">
        <v>53</v>
      </c>
      <c r="J64" s="164">
        <v>150</v>
      </c>
      <c r="K64" s="152">
        <f t="shared" si="12"/>
        <v>0</v>
      </c>
      <c r="L64" s="38"/>
      <c r="M64" s="104"/>
      <c r="N64" s="105"/>
      <c r="O64" s="106">
        <f t="shared" si="11"/>
        <v>1</v>
      </c>
      <c r="P64" s="106"/>
      <c r="Q64" s="108"/>
      <c r="R64" s="108"/>
      <c r="S64" s="108" t="s">
        <v>1000</v>
      </c>
    </row>
    <row r="65" spans="1:19" s="109" customFormat="1" ht="19.149999999999999" customHeight="1" x14ac:dyDescent="0.25">
      <c r="A65" s="3"/>
      <c r="B65" s="100"/>
      <c r="C65" s="7"/>
      <c r="D65" s="116"/>
      <c r="E65" s="525" t="s">
        <v>191</v>
      </c>
      <c r="F65" s="526"/>
      <c r="G65" s="110"/>
      <c r="H65" s="158">
        <v>0</v>
      </c>
      <c r="I65" s="146" t="s">
        <v>53</v>
      </c>
      <c r="J65" s="164">
        <v>450</v>
      </c>
      <c r="K65" s="152">
        <f t="shared" si="12"/>
        <v>0</v>
      </c>
      <c r="L65" s="38"/>
      <c r="M65" s="104"/>
      <c r="N65" s="105"/>
      <c r="O65" s="106">
        <f t="shared" si="11"/>
        <v>1</v>
      </c>
      <c r="P65" s="106"/>
      <c r="Q65" s="108"/>
      <c r="R65" s="108"/>
      <c r="S65" s="108" t="s">
        <v>1000</v>
      </c>
    </row>
    <row r="66" spans="1:19" s="109" customFormat="1" ht="19.149999999999999" customHeight="1" x14ac:dyDescent="0.2">
      <c r="A66" s="3"/>
      <c r="B66" s="100"/>
      <c r="C66" s="7"/>
      <c r="D66" s="1"/>
      <c r="E66" s="520" t="s">
        <v>192</v>
      </c>
      <c r="F66" s="521"/>
      <c r="G66" s="110"/>
      <c r="H66" s="158">
        <v>0</v>
      </c>
      <c r="I66" s="146" t="s">
        <v>53</v>
      </c>
      <c r="J66" s="164">
        <v>2500</v>
      </c>
      <c r="K66" s="152">
        <f>SUM(H66*J66)</f>
        <v>0</v>
      </c>
      <c r="L66" s="38"/>
      <c r="M66" s="104"/>
      <c r="N66" s="105"/>
      <c r="O66" s="106">
        <f t="shared" si="11"/>
        <v>1</v>
      </c>
      <c r="P66" s="106"/>
      <c r="Q66" s="108"/>
      <c r="R66" s="108"/>
      <c r="S66" s="108" t="s">
        <v>1000</v>
      </c>
    </row>
    <row r="67" spans="1:19" s="109" customFormat="1" ht="19.149999999999999" customHeight="1" x14ac:dyDescent="0.25">
      <c r="A67" s="3"/>
      <c r="B67" s="100"/>
      <c r="C67" s="7"/>
      <c r="D67" s="116"/>
      <c r="E67" s="520" t="s">
        <v>413</v>
      </c>
      <c r="F67" s="521"/>
      <c r="G67" s="110"/>
      <c r="H67" s="158">
        <v>0</v>
      </c>
      <c r="I67" s="146" t="s">
        <v>53</v>
      </c>
      <c r="J67" s="164">
        <v>1500</v>
      </c>
      <c r="K67" s="152">
        <f>SUM(H67*J67)</f>
        <v>0</v>
      </c>
      <c r="L67" s="38"/>
      <c r="M67" s="104"/>
      <c r="N67" s="105"/>
      <c r="O67" s="106">
        <f t="shared" si="11"/>
        <v>1</v>
      </c>
      <c r="P67" s="106"/>
      <c r="Q67" s="108"/>
      <c r="R67" s="108"/>
      <c r="S67" s="108" t="s">
        <v>1000</v>
      </c>
    </row>
    <row r="68" spans="1:19" s="109" customFormat="1" ht="19.149999999999999" customHeight="1" x14ac:dyDescent="0.25">
      <c r="A68" s="3"/>
      <c r="B68" s="100"/>
      <c r="C68" s="7"/>
      <c r="D68" s="116"/>
      <c r="E68" s="520" t="s">
        <v>193</v>
      </c>
      <c r="F68" s="521"/>
      <c r="G68" s="110"/>
      <c r="H68" s="158">
        <v>0</v>
      </c>
      <c r="I68" s="146" t="s">
        <v>53</v>
      </c>
      <c r="J68" s="164">
        <v>70</v>
      </c>
      <c r="K68" s="152">
        <f>SUM(H68*J68)</f>
        <v>0</v>
      </c>
      <c r="L68" s="38"/>
      <c r="M68" s="104"/>
      <c r="N68" s="105"/>
      <c r="O68" s="106">
        <f t="shared" si="11"/>
        <v>1</v>
      </c>
      <c r="P68" s="106"/>
      <c r="Q68" s="108"/>
      <c r="R68" s="108"/>
      <c r="S68" s="108" t="s">
        <v>1000</v>
      </c>
    </row>
    <row r="69" spans="1:19" s="109" customFormat="1" ht="19.149999999999999" customHeight="1" thickBot="1" x14ac:dyDescent="0.3">
      <c r="A69" s="3"/>
      <c r="B69" s="100"/>
      <c r="C69" s="7"/>
      <c r="D69" s="116"/>
      <c r="E69" s="518" t="s">
        <v>194</v>
      </c>
      <c r="F69" s="519"/>
      <c r="G69" s="217"/>
      <c r="H69" s="210">
        <v>0</v>
      </c>
      <c r="I69" s="146" t="s">
        <v>53</v>
      </c>
      <c r="J69" s="231">
        <v>860</v>
      </c>
      <c r="K69" s="221">
        <f>SUM(H69*J69)</f>
        <v>0</v>
      </c>
      <c r="L69" s="38"/>
      <c r="M69" s="104"/>
      <c r="N69" s="105"/>
      <c r="O69" s="106">
        <f t="shared" si="11"/>
        <v>1</v>
      </c>
      <c r="P69" s="106"/>
      <c r="Q69" s="108"/>
      <c r="R69" s="108"/>
      <c r="S69" s="108" t="s">
        <v>1000</v>
      </c>
    </row>
    <row r="70" spans="1:19" ht="15.75" thickBot="1" x14ac:dyDescent="0.25">
      <c r="A70" s="2"/>
      <c r="B70" s="51"/>
      <c r="C70" s="33"/>
      <c r="D70" s="24"/>
      <c r="E70" s="228"/>
      <c r="F70" s="229"/>
      <c r="G70" s="222"/>
      <c r="H70" s="223"/>
      <c r="I70" s="224"/>
      <c r="J70" s="230"/>
      <c r="K70" s="216"/>
      <c r="L70" s="19"/>
      <c r="M70" s="61"/>
      <c r="N70" s="40"/>
      <c r="O70" s="41" t="s">
        <v>270</v>
      </c>
    </row>
    <row r="71" spans="1:19" ht="24" customHeight="1" thickBot="1" x14ac:dyDescent="0.25">
      <c r="A71" s="2"/>
      <c r="B71" s="51"/>
      <c r="C71" s="33"/>
      <c r="D71" s="24"/>
      <c r="E71" s="94" t="s">
        <v>319</v>
      </c>
      <c r="F71" s="95"/>
      <c r="G71" s="95"/>
      <c r="H71" s="95"/>
      <c r="I71" s="95"/>
      <c r="J71" s="96"/>
      <c r="K71" s="156">
        <f>SUMIF(O72:O73,1,K72:K73)</f>
        <v>0</v>
      </c>
      <c r="L71" s="19"/>
      <c r="M71" s="61"/>
      <c r="N71" s="40"/>
      <c r="O71" s="41" t="s">
        <v>269</v>
      </c>
    </row>
    <row r="72" spans="1:19" s="109" customFormat="1" ht="19.149999999999999" customHeight="1" thickBot="1" x14ac:dyDescent="0.3">
      <c r="A72" s="3"/>
      <c r="B72" s="100"/>
      <c r="C72" s="7"/>
      <c r="D72" s="116"/>
      <c r="E72" s="522" t="s">
        <v>195</v>
      </c>
      <c r="F72" s="523"/>
      <c r="G72" s="270"/>
      <c r="H72" s="271">
        <f>Settings!$D$13</f>
        <v>0</v>
      </c>
      <c r="I72" s="272" t="s">
        <v>397</v>
      </c>
      <c r="J72" s="273">
        <v>6.9999999999999999E-4</v>
      </c>
      <c r="K72" s="274">
        <f>SUM(H72*J72)</f>
        <v>0</v>
      </c>
      <c r="L72" s="38"/>
      <c r="M72" s="104"/>
      <c r="N72" s="105"/>
      <c r="O72" s="106">
        <f>OR(NOT(ISERROR(SEARCH($F$5,Q72))),Q72=0)*OR(NOT(ISERROR(SEARCH($F$6,R72))),R72=0)</f>
        <v>1</v>
      </c>
      <c r="P72" s="106"/>
      <c r="Q72" s="108"/>
      <c r="R72" s="108"/>
      <c r="S72" s="108" t="s">
        <v>1000</v>
      </c>
    </row>
    <row r="73" spans="1:19" ht="15.75" thickBot="1" x14ac:dyDescent="0.25">
      <c r="A73" s="2"/>
      <c r="B73" s="51"/>
      <c r="C73" s="33"/>
      <c r="D73" s="24"/>
      <c r="E73" s="228"/>
      <c r="F73" s="229"/>
      <c r="G73" s="222"/>
      <c r="H73" s="223"/>
      <c r="I73" s="224"/>
      <c r="J73" s="230"/>
      <c r="K73" s="216"/>
      <c r="L73" s="19"/>
      <c r="M73" s="61"/>
      <c r="N73" s="40"/>
      <c r="O73" s="41" t="s">
        <v>270</v>
      </c>
    </row>
    <row r="74" spans="1:19" ht="24" customHeight="1" thickBot="1" x14ac:dyDescent="0.25">
      <c r="A74" s="2"/>
      <c r="B74" s="51"/>
      <c r="C74" s="33"/>
      <c r="D74" s="24"/>
      <c r="E74" s="94" t="s">
        <v>196</v>
      </c>
      <c r="F74" s="95"/>
      <c r="G74" s="95"/>
      <c r="H74" s="95"/>
      <c r="I74" s="95"/>
      <c r="J74" s="96"/>
      <c r="K74" s="156" t="e">
        <f ca="1">SUMIF(O75:O76,1,K75:K76)</f>
        <v>#NAME?</v>
      </c>
      <c r="L74" s="19"/>
      <c r="M74" s="61"/>
      <c r="N74" s="40"/>
      <c r="O74" s="41" t="s">
        <v>269</v>
      </c>
    </row>
    <row r="75" spans="1:19" s="109" customFormat="1" ht="19.149999999999999" customHeight="1" thickBot="1" x14ac:dyDescent="0.3">
      <c r="A75" s="3"/>
      <c r="B75" s="100"/>
      <c r="C75" s="7"/>
      <c r="D75" s="116"/>
      <c r="E75" s="283" t="s">
        <v>391</v>
      </c>
      <c r="F75" s="284"/>
      <c r="G75" s="270"/>
      <c r="H75" s="285" t="e">
        <f ca="1">Settings!$K$6</f>
        <v>#NAME?</v>
      </c>
      <c r="I75" s="286" t="s">
        <v>21</v>
      </c>
      <c r="J75" s="287">
        <v>65</v>
      </c>
      <c r="K75" s="274" t="e">
        <f ca="1">SUM(H75*J75)</f>
        <v>#NAME?</v>
      </c>
      <c r="L75" s="38"/>
      <c r="M75" s="104"/>
      <c r="N75" s="105"/>
      <c r="O75" s="106">
        <f>OR(NOT(ISERROR(SEARCH($F$5,Q75))),Q75=0)*OR(NOT(ISERROR(SEARCH($F$6,R75))),R75=0)</f>
        <v>1</v>
      </c>
      <c r="P75" s="106"/>
      <c r="Q75" s="108"/>
      <c r="R75" s="108"/>
      <c r="S75" s="108" t="s">
        <v>1000</v>
      </c>
    </row>
    <row r="76" spans="1:19" ht="15.75" thickBot="1" x14ac:dyDescent="0.25">
      <c r="A76" s="2"/>
      <c r="B76" s="51"/>
      <c r="C76" s="33"/>
      <c r="D76" s="24"/>
      <c r="E76" s="228"/>
      <c r="F76" s="229"/>
      <c r="G76" s="222"/>
      <c r="H76" s="223"/>
      <c r="I76" s="224"/>
      <c r="J76" s="230"/>
      <c r="K76" s="216"/>
      <c r="L76" s="19"/>
      <c r="M76" s="61"/>
      <c r="N76" s="40"/>
      <c r="O76" s="41" t="s">
        <v>270</v>
      </c>
    </row>
    <row r="77" spans="1:19" ht="24" customHeight="1" thickBot="1" x14ac:dyDescent="0.25">
      <c r="A77" s="2"/>
      <c r="B77" s="51"/>
      <c r="C77" s="33"/>
      <c r="D77" s="24"/>
      <c r="E77" s="94" t="s">
        <v>197</v>
      </c>
      <c r="F77" s="95"/>
      <c r="G77" s="95"/>
      <c r="H77" s="95"/>
      <c r="I77" s="95"/>
      <c r="J77" s="96"/>
      <c r="K77" s="156">
        <f>SUMIF(O78:O79,1,K78:K79)</f>
        <v>0</v>
      </c>
      <c r="L77" s="19"/>
      <c r="M77" s="61"/>
      <c r="N77" s="40"/>
      <c r="O77" s="41" t="s">
        <v>269</v>
      </c>
    </row>
    <row r="78" spans="1:19" s="109" customFormat="1" ht="19.149999999999999" customHeight="1" thickBot="1" x14ac:dyDescent="0.3">
      <c r="A78" s="3"/>
      <c r="B78" s="100"/>
      <c r="C78" s="7"/>
      <c r="D78" s="116"/>
      <c r="E78" s="522" t="s">
        <v>197</v>
      </c>
      <c r="F78" s="523"/>
      <c r="G78" s="270"/>
      <c r="H78" s="271">
        <f>Settings!$D$13</f>
        <v>0</v>
      </c>
      <c r="I78" s="272" t="s">
        <v>397</v>
      </c>
      <c r="J78" s="288">
        <v>2.5000000000000001E-4</v>
      </c>
      <c r="K78" s="274">
        <f>SUM(H78*J78)</f>
        <v>0</v>
      </c>
      <c r="L78" s="38"/>
      <c r="M78" s="104"/>
      <c r="N78" s="105"/>
      <c r="O78" s="106">
        <f>OR(NOT(ISERROR(SEARCH($F$5,Q78))),Q78=0)*OR(NOT(ISERROR(SEARCH($F$6,R78))),R78=0)</f>
        <v>1</v>
      </c>
      <c r="P78" s="106"/>
      <c r="Q78" s="108"/>
      <c r="R78" s="108"/>
      <c r="S78" s="108" t="s">
        <v>1000</v>
      </c>
    </row>
    <row r="79" spans="1:19" ht="15.75" thickBot="1" x14ac:dyDescent="0.25">
      <c r="A79" s="2"/>
      <c r="B79" s="51"/>
      <c r="C79" s="33"/>
      <c r="D79" s="24"/>
      <c r="E79" s="228"/>
      <c r="F79" s="229"/>
      <c r="G79" s="222"/>
      <c r="H79" s="223"/>
      <c r="I79" s="224"/>
      <c r="J79" s="230"/>
      <c r="K79" s="216"/>
      <c r="L79" s="19"/>
      <c r="M79" s="61"/>
      <c r="N79" s="40"/>
      <c r="O79" s="41" t="s">
        <v>270</v>
      </c>
    </row>
    <row r="80" spans="1:19" ht="24" customHeight="1" thickBot="1" x14ac:dyDescent="0.25">
      <c r="A80" s="2"/>
      <c r="B80" s="51"/>
      <c r="C80" s="33"/>
      <c r="D80" s="24"/>
      <c r="E80" s="94" t="s">
        <v>198</v>
      </c>
      <c r="F80" s="95"/>
      <c r="G80" s="95"/>
      <c r="H80" s="95"/>
      <c r="I80" s="95"/>
      <c r="J80" s="96"/>
      <c r="K80" s="156">
        <f>SUMIF(O81:O83,1,K81:K83)</f>
        <v>0</v>
      </c>
      <c r="L80" s="19"/>
      <c r="M80" s="61"/>
      <c r="N80" s="40"/>
      <c r="O80" s="41" t="s">
        <v>269</v>
      </c>
    </row>
    <row r="81" spans="1:19" s="109" customFormat="1" ht="19.149999999999999" customHeight="1" x14ac:dyDescent="0.25">
      <c r="A81" s="3"/>
      <c r="B81" s="100"/>
      <c r="C81" s="7"/>
      <c r="D81" s="116"/>
      <c r="E81" s="520" t="s">
        <v>199</v>
      </c>
      <c r="F81" s="521"/>
      <c r="G81" s="110"/>
      <c r="H81" s="144">
        <f>\area</f>
        <v>0</v>
      </c>
      <c r="I81" s="147" t="s">
        <v>83</v>
      </c>
      <c r="J81" s="167">
        <v>0.3</v>
      </c>
      <c r="K81" s="152">
        <f>SUM(H81*J81)</f>
        <v>0</v>
      </c>
      <c r="L81" s="38"/>
      <c r="M81" s="104"/>
      <c r="N81" s="105"/>
      <c r="O81" s="106">
        <f t="shared" ref="O81:O82" si="13">OR(NOT(ISERROR(SEARCH($F$5,Q81))),Q81=0)*OR(NOT(ISERROR(SEARCH($F$6,R81))),R81=0)</f>
        <v>1</v>
      </c>
      <c r="P81" s="106"/>
      <c r="Q81" s="108"/>
      <c r="R81" s="108"/>
      <c r="S81" s="108" t="s">
        <v>1000</v>
      </c>
    </row>
    <row r="82" spans="1:19" s="109" customFormat="1" ht="19.149999999999999" customHeight="1" thickBot="1" x14ac:dyDescent="0.3">
      <c r="A82" s="3"/>
      <c r="B82" s="100"/>
      <c r="C82" s="7"/>
      <c r="D82" s="116"/>
      <c r="E82" s="518" t="s">
        <v>200</v>
      </c>
      <c r="F82" s="519"/>
      <c r="G82" s="217"/>
      <c r="H82" s="218">
        <f>\area</f>
        <v>0</v>
      </c>
      <c r="I82" s="219" t="s">
        <v>83</v>
      </c>
      <c r="J82" s="232">
        <v>0.6</v>
      </c>
      <c r="K82" s="221">
        <f>SUM(H82*J82)</f>
        <v>0</v>
      </c>
      <c r="L82" s="38"/>
      <c r="M82" s="104"/>
      <c r="N82" s="105"/>
      <c r="O82" s="106">
        <f t="shared" si="13"/>
        <v>1</v>
      </c>
      <c r="P82" s="106"/>
      <c r="Q82" s="108"/>
      <c r="R82" s="108"/>
      <c r="S82" s="108" t="s">
        <v>1000</v>
      </c>
    </row>
    <row r="83" spans="1:19" ht="15.75" thickBot="1" x14ac:dyDescent="0.25">
      <c r="A83" s="2"/>
      <c r="B83" s="51"/>
      <c r="C83" s="33"/>
      <c r="D83" s="24"/>
      <c r="E83" s="228"/>
      <c r="F83" s="229"/>
      <c r="G83" s="222"/>
      <c r="H83" s="223"/>
      <c r="I83" s="224"/>
      <c r="J83" s="230"/>
      <c r="K83" s="216"/>
      <c r="L83" s="19"/>
      <c r="M83" s="61"/>
      <c r="N83" s="40"/>
      <c r="O83" s="41" t="s">
        <v>270</v>
      </c>
    </row>
    <row r="84" spans="1:19" ht="24" customHeight="1" thickBot="1" x14ac:dyDescent="0.25">
      <c r="A84" s="2"/>
      <c r="B84" s="51"/>
      <c r="C84" s="33"/>
      <c r="D84" s="24"/>
      <c r="E84" s="94" t="s">
        <v>201</v>
      </c>
      <c r="F84" s="95"/>
      <c r="G84" s="95"/>
      <c r="H84" s="95"/>
      <c r="I84" s="95"/>
      <c r="J84" s="96"/>
      <c r="K84" s="156" t="e">
        <f ca="1">SUMIF(O85:O88,1,K85:K88)</f>
        <v>#NAME?</v>
      </c>
      <c r="L84" s="19"/>
      <c r="M84" s="61"/>
      <c r="N84" s="40"/>
      <c r="O84" s="41" t="s">
        <v>269</v>
      </c>
    </row>
    <row r="85" spans="1:19" s="109" customFormat="1" ht="19.149999999999999" customHeight="1" thickBot="1" x14ac:dyDescent="0.3">
      <c r="A85" s="3"/>
      <c r="B85" s="100"/>
      <c r="C85" s="7"/>
      <c r="D85" s="101"/>
      <c r="E85" s="168" t="s">
        <v>202</v>
      </c>
      <c r="F85" s="169"/>
      <c r="G85" s="120"/>
      <c r="H85" s="170" t="e">
        <f ca="1">Settings!$K$6</f>
        <v>#NAME?</v>
      </c>
      <c r="I85" s="171" t="s">
        <v>21</v>
      </c>
      <c r="J85" s="172" t="e">
        <f ca="1">tbl('GCs Detail'!\t_internalConsult,Settings!\pcost)</f>
        <v>#NAME?</v>
      </c>
      <c r="K85" s="173" t="e">
        <f ca="1">SUM(H85*J85)</f>
        <v>#NAME?</v>
      </c>
      <c r="L85" s="38"/>
      <c r="M85" s="104"/>
      <c r="N85" s="105"/>
      <c r="O85" s="106">
        <f t="shared" ref="O85:O87" si="14">OR(NOT(ISERROR(SEARCH($F$5,Q85))),Q85=0)*OR(NOT(ISERROR(SEARCH($F$6,R85))),R85=0)</f>
        <v>1</v>
      </c>
      <c r="P85" s="106"/>
      <c r="Q85" s="108"/>
      <c r="R85" s="108"/>
      <c r="S85" s="108" t="s">
        <v>1001</v>
      </c>
    </row>
    <row r="86" spans="1:19" s="109" customFormat="1" ht="19.149999999999999" customHeight="1" thickBot="1" x14ac:dyDescent="0.3">
      <c r="A86" s="3"/>
      <c r="B86" s="100"/>
      <c r="C86" s="7"/>
      <c r="D86" s="101"/>
      <c r="E86" s="520" t="s">
        <v>315</v>
      </c>
      <c r="F86" s="521"/>
      <c r="G86" s="110"/>
      <c r="H86" s="144" t="e">
        <f ca="1">Settings!$K$6</f>
        <v>#NAME?</v>
      </c>
      <c r="I86" s="147" t="s">
        <v>21</v>
      </c>
      <c r="J86" s="164" t="e">
        <f ca="1">tbl('GCs Detail'!\t_internet,Settings!\pcost)</f>
        <v>#NAME?</v>
      </c>
      <c r="K86" s="173" t="e">
        <f t="shared" ref="K86:K87" ca="1" si="15">SUM(H86*J86)</f>
        <v>#NAME?</v>
      </c>
      <c r="L86" s="38"/>
      <c r="M86" s="104"/>
      <c r="N86" s="105"/>
      <c r="O86" s="106">
        <f t="shared" si="14"/>
        <v>1</v>
      </c>
      <c r="P86" s="106"/>
      <c r="Q86" s="108"/>
      <c r="R86" s="108"/>
      <c r="S86" s="108" t="s">
        <v>1001</v>
      </c>
    </row>
    <row r="87" spans="1:19" s="109" customFormat="1" ht="19.149999999999999" customHeight="1" thickBot="1" x14ac:dyDescent="0.3">
      <c r="A87" s="3"/>
      <c r="B87" s="100"/>
      <c r="C87" s="7"/>
      <c r="D87" s="101"/>
      <c r="E87" s="518" t="s">
        <v>316</v>
      </c>
      <c r="F87" s="519"/>
      <c r="G87" s="217"/>
      <c r="H87" s="218">
        <v>1</v>
      </c>
      <c r="I87" s="219" t="s">
        <v>18</v>
      </c>
      <c r="J87" s="231" t="e">
        <f ca="1">tbl('GCs Detail'!\t_touchplan,Settings!\pcost,2)</f>
        <v>#NAME?</v>
      </c>
      <c r="K87" s="173" t="e">
        <f t="shared" ca="1" si="15"/>
        <v>#NAME?</v>
      </c>
      <c r="L87" s="38"/>
      <c r="M87" s="104"/>
      <c r="N87" s="105"/>
      <c r="O87" s="106">
        <f t="shared" si="14"/>
        <v>1</v>
      </c>
      <c r="P87" s="106"/>
      <c r="Q87" s="108"/>
      <c r="R87" s="108"/>
      <c r="S87" s="108" t="s">
        <v>1001</v>
      </c>
    </row>
    <row r="88" spans="1:19" ht="15.75" thickBot="1" x14ac:dyDescent="0.25">
      <c r="A88" s="2"/>
      <c r="B88" s="51"/>
      <c r="C88" s="33"/>
      <c r="D88" s="24"/>
      <c r="E88" s="228"/>
      <c r="F88" s="229"/>
      <c r="G88" s="222"/>
      <c r="H88" s="223"/>
      <c r="I88" s="224"/>
      <c r="J88" s="230"/>
      <c r="K88" s="216"/>
      <c r="L88" s="19"/>
      <c r="M88" s="61"/>
      <c r="N88" s="40"/>
      <c r="O88" s="41" t="s">
        <v>270</v>
      </c>
    </row>
    <row r="89" spans="1:19" ht="24" customHeight="1" thickBot="1" x14ac:dyDescent="0.25">
      <c r="A89" s="2"/>
      <c r="B89" s="51"/>
      <c r="C89" s="33"/>
      <c r="D89" s="23"/>
      <c r="E89" s="94" t="s">
        <v>203</v>
      </c>
      <c r="F89" s="95"/>
      <c r="G89" s="95"/>
      <c r="H89" s="95"/>
      <c r="I89" s="95"/>
      <c r="J89" s="96"/>
      <c r="K89" s="156">
        <f>SUMIF(O90:O98,1,K90:K98)</f>
        <v>5000</v>
      </c>
      <c r="L89" s="19"/>
      <c r="M89" s="61"/>
      <c r="N89" s="40"/>
      <c r="O89" s="41" t="s">
        <v>269</v>
      </c>
    </row>
    <row r="90" spans="1:19" s="109" customFormat="1" ht="19.149999999999999" customHeight="1" x14ac:dyDescent="0.25">
      <c r="A90" s="3"/>
      <c r="B90" s="100"/>
      <c r="C90" s="7"/>
      <c r="D90" s="101"/>
      <c r="E90" s="142" t="s">
        <v>204</v>
      </c>
      <c r="F90" s="174"/>
      <c r="G90" s="103"/>
      <c r="H90" s="143">
        <v>1</v>
      </c>
      <c r="I90" s="146" t="s">
        <v>18</v>
      </c>
      <c r="J90" s="149">
        <v>3000</v>
      </c>
      <c r="K90" s="150">
        <f>SUM(H90*J90)</f>
        <v>3000</v>
      </c>
      <c r="L90" s="38"/>
      <c r="M90" s="104"/>
      <c r="N90" s="105"/>
      <c r="O90" s="106">
        <f>OR(NOT(ISERROR(SEARCH($F$5,Q90))),Q90=0)*OR(NOT(ISERROR(SEARCH($F$6,R90))),R90=0)</f>
        <v>1</v>
      </c>
      <c r="P90" s="106"/>
      <c r="Q90" s="108"/>
      <c r="R90" s="108"/>
      <c r="S90" s="108" t="s">
        <v>1001</v>
      </c>
    </row>
    <row r="91" spans="1:19" s="109" customFormat="1" ht="19.149999999999999" customHeight="1" x14ac:dyDescent="0.25">
      <c r="A91" s="3"/>
      <c r="B91" s="238"/>
      <c r="C91" s="7"/>
      <c r="D91" s="101"/>
      <c r="E91" s="520" t="s">
        <v>205</v>
      </c>
      <c r="F91" s="521"/>
      <c r="G91" s="110"/>
      <c r="H91" s="144">
        <v>1</v>
      </c>
      <c r="I91" s="146" t="s">
        <v>18</v>
      </c>
      <c r="J91" s="164">
        <v>2000</v>
      </c>
      <c r="K91" s="150">
        <f t="shared" ref="K91:K93" si="16">SUM(H91*J91)</f>
        <v>2000</v>
      </c>
      <c r="L91" s="38"/>
      <c r="M91" s="104"/>
      <c r="N91" s="105"/>
      <c r="O91" s="106">
        <f t="shared" ref="O91:O92" si="17">OR(NOT(ISERROR(SEARCH($F$5,Q91))),Q91=0)*OR(NOT(ISERROR(SEARCH($F$6,R91))),R91=0)</f>
        <v>1</v>
      </c>
      <c r="P91" s="106"/>
      <c r="Q91" s="108"/>
      <c r="R91" s="108"/>
      <c r="S91" s="108" t="s">
        <v>1001</v>
      </c>
    </row>
    <row r="92" spans="1:19" s="109" customFormat="1" ht="19.149999999999999" customHeight="1" x14ac:dyDescent="0.25">
      <c r="A92" s="3"/>
      <c r="B92" s="238"/>
      <c r="C92" s="7"/>
      <c r="D92" s="101"/>
      <c r="E92" s="520" t="s">
        <v>438</v>
      </c>
      <c r="F92" s="521"/>
      <c r="G92" s="110"/>
      <c r="H92" s="144">
        <v>1</v>
      </c>
      <c r="I92" s="146" t="s">
        <v>18</v>
      </c>
      <c r="J92" s="164">
        <v>0</v>
      </c>
      <c r="K92" s="150">
        <f t="shared" si="16"/>
        <v>0</v>
      </c>
      <c r="L92" s="38"/>
      <c r="M92" s="104"/>
      <c r="N92" s="105"/>
      <c r="O92" s="106">
        <f t="shared" si="17"/>
        <v>0</v>
      </c>
      <c r="P92" s="106"/>
      <c r="Q92" s="111" t="s">
        <v>434</v>
      </c>
      <c r="R92" s="108"/>
      <c r="S92" s="108" t="s">
        <v>1001</v>
      </c>
    </row>
    <row r="93" spans="1:19" s="109" customFormat="1" ht="19.149999999999999" customHeight="1" x14ac:dyDescent="0.25">
      <c r="A93" s="3"/>
      <c r="B93" s="238"/>
      <c r="C93" s="7"/>
      <c r="D93" s="101"/>
      <c r="E93" s="520" t="s">
        <v>439</v>
      </c>
      <c r="F93" s="521"/>
      <c r="G93" s="110"/>
      <c r="H93" s="144">
        <v>1</v>
      </c>
      <c r="I93" s="146" t="s">
        <v>18</v>
      </c>
      <c r="J93" s="164">
        <v>0</v>
      </c>
      <c r="K93" s="150">
        <f t="shared" si="16"/>
        <v>0</v>
      </c>
      <c r="L93" s="38"/>
      <c r="M93" s="104"/>
      <c r="N93" s="105"/>
      <c r="O93" s="106">
        <f t="shared" ref="O93" si="18">OR(NOT(ISERROR(SEARCH($F$5,Q93))),Q93=0)*OR(NOT(ISERROR(SEARCH($F$6,R93))),R93=0)</f>
        <v>0</v>
      </c>
      <c r="P93" s="106"/>
      <c r="Q93" s="111" t="s">
        <v>935</v>
      </c>
      <c r="R93" s="108"/>
      <c r="S93" s="108" t="s">
        <v>1001</v>
      </c>
    </row>
    <row r="94" spans="1:19" s="109" customFormat="1" ht="19.149999999999999" customHeight="1" x14ac:dyDescent="0.25">
      <c r="A94" s="3"/>
      <c r="B94" s="527"/>
      <c r="C94" s="7"/>
      <c r="D94" s="101"/>
      <c r="E94" s="520" t="s">
        <v>936</v>
      </c>
      <c r="F94" s="521"/>
      <c r="G94" s="110"/>
      <c r="H94" s="144">
        <v>1</v>
      </c>
      <c r="I94" s="146" t="s">
        <v>18</v>
      </c>
      <c r="J94" s="164">
        <v>0</v>
      </c>
      <c r="K94" s="150">
        <f t="shared" ref="K94" si="19">SUM(H94*J94)</f>
        <v>0</v>
      </c>
      <c r="L94" s="38"/>
      <c r="M94" s="104"/>
      <c r="N94" s="105"/>
      <c r="O94" s="106">
        <f t="shared" ref="O94" si="20">OR(NOT(ISERROR(SEARCH($F$5,Q94))),Q94=0)*OR(NOT(ISERROR(SEARCH($F$6,R94))),R94=0)</f>
        <v>0</v>
      </c>
      <c r="P94" s="106"/>
      <c r="Q94" s="111" t="s">
        <v>285</v>
      </c>
      <c r="R94" s="108"/>
      <c r="S94" s="108" t="s">
        <v>1001</v>
      </c>
    </row>
    <row r="95" spans="1:19" s="109" customFormat="1" ht="19.149999999999999" customHeight="1" x14ac:dyDescent="0.25">
      <c r="A95" s="3"/>
      <c r="B95" s="527"/>
      <c r="C95" s="7"/>
      <c r="D95" s="101"/>
      <c r="E95" s="520" t="s">
        <v>937</v>
      </c>
      <c r="F95" s="521"/>
      <c r="G95" s="110"/>
      <c r="H95" s="144">
        <v>1</v>
      </c>
      <c r="I95" s="146" t="s">
        <v>18</v>
      </c>
      <c r="J95" s="164">
        <v>0</v>
      </c>
      <c r="K95" s="150">
        <f t="shared" ref="K95" si="21">SUM(H95*J95)</f>
        <v>0</v>
      </c>
      <c r="L95" s="38"/>
      <c r="M95" s="104"/>
      <c r="N95" s="105"/>
      <c r="O95" s="106">
        <f t="shared" ref="O95" si="22">OR(NOT(ISERROR(SEARCH($F$5,Q95))),Q95=0)*OR(NOT(ISERROR(SEARCH($F$6,R95))),R95=0)</f>
        <v>0</v>
      </c>
      <c r="P95" s="106"/>
      <c r="Q95" s="111" t="s">
        <v>935</v>
      </c>
      <c r="R95" s="108"/>
      <c r="S95" s="108" t="s">
        <v>1001</v>
      </c>
    </row>
    <row r="96" spans="1:19" s="109" customFormat="1" ht="19.149999999999999" customHeight="1" x14ac:dyDescent="0.25">
      <c r="A96" s="3"/>
      <c r="B96" s="100"/>
      <c r="C96" s="7"/>
      <c r="D96" s="101"/>
      <c r="E96" s="518" t="s">
        <v>440</v>
      </c>
      <c r="F96" s="519"/>
      <c r="G96" s="217"/>
      <c r="H96" s="218">
        <v>1</v>
      </c>
      <c r="I96" s="219" t="s">
        <v>18</v>
      </c>
      <c r="J96" s="220">
        <v>0</v>
      </c>
      <c r="K96" s="221">
        <f>SUM(H96*J96)</f>
        <v>0</v>
      </c>
      <c r="L96" s="38"/>
      <c r="M96" s="104"/>
      <c r="N96" s="105"/>
      <c r="O96" s="106">
        <f>OR(NOT(ISERROR(SEARCH($F$5,Q96))),Q96=0)*OR(NOT(ISERROR(SEARCH($F$6,R96))),R96=0)</f>
        <v>0</v>
      </c>
      <c r="P96" s="106"/>
      <c r="Q96" s="111" t="s">
        <v>935</v>
      </c>
      <c r="R96" s="108"/>
      <c r="S96" s="108" t="s">
        <v>1001</v>
      </c>
    </row>
    <row r="97" spans="1:20" s="109" customFormat="1" ht="19.149999999999999" customHeight="1" thickBot="1" x14ac:dyDescent="0.3">
      <c r="A97" s="3"/>
      <c r="B97" s="527"/>
      <c r="C97" s="7"/>
      <c r="D97" s="101"/>
      <c r="E97" s="518" t="s">
        <v>938</v>
      </c>
      <c r="F97" s="519"/>
      <c r="G97" s="217"/>
      <c r="H97" s="218">
        <v>1</v>
      </c>
      <c r="I97" s="219" t="s">
        <v>18</v>
      </c>
      <c r="J97" s="220">
        <v>0</v>
      </c>
      <c r="K97" s="221">
        <f>SUM(H97*J97)</f>
        <v>0</v>
      </c>
      <c r="L97" s="38"/>
      <c r="M97" s="104"/>
      <c r="N97" s="105"/>
      <c r="O97" s="106">
        <f>OR(NOT(ISERROR(SEARCH($F$5,Q97))),Q97=0)*OR(NOT(ISERROR(SEARCH($F$6,R97))),R97=0)</f>
        <v>0</v>
      </c>
      <c r="P97" s="106"/>
      <c r="Q97" s="111" t="s">
        <v>285</v>
      </c>
      <c r="R97" s="108"/>
      <c r="S97" s="108" t="s">
        <v>1001</v>
      </c>
    </row>
    <row r="98" spans="1:20" ht="7.9" customHeight="1" x14ac:dyDescent="0.2">
      <c r="A98" s="2"/>
      <c r="B98" s="51"/>
      <c r="C98" s="33"/>
      <c r="D98" s="24"/>
      <c r="E98" s="244"/>
      <c r="F98" s="244"/>
      <c r="G98" s="244"/>
      <c r="H98" s="245"/>
      <c r="I98" s="243"/>
      <c r="J98" s="246"/>
      <c r="K98" s="247"/>
      <c r="L98" s="19"/>
      <c r="M98" s="61"/>
      <c r="N98" s="40"/>
      <c r="O98" s="41" t="s">
        <v>270</v>
      </c>
    </row>
    <row r="99" spans="1:20" ht="7.9" customHeight="1" x14ac:dyDescent="0.2">
      <c r="A99" s="2"/>
      <c r="B99" s="51"/>
      <c r="C99" s="33"/>
      <c r="D99" s="19"/>
      <c r="E99" s="19"/>
      <c r="F99" s="19"/>
      <c r="G99" s="19"/>
      <c r="H99" s="19"/>
      <c r="I99" s="19"/>
      <c r="J99" s="47"/>
      <c r="K99" s="19"/>
      <c r="L99" s="19"/>
      <c r="M99" s="61"/>
      <c r="N99" s="40"/>
    </row>
    <row r="100" spans="1:20" s="4" customFormat="1" ht="15" hidden="1" x14ac:dyDescent="0.2">
      <c r="A100" s="2"/>
      <c r="B100" s="51"/>
      <c r="C100" s="2"/>
      <c r="D100" s="6"/>
      <c r="E100" s="6"/>
      <c r="F100" s="6"/>
      <c r="G100" s="6"/>
      <c r="H100" s="6"/>
      <c r="I100" s="6"/>
      <c r="J100" s="93"/>
      <c r="K100" s="6"/>
      <c r="L100" s="6"/>
      <c r="M100" s="40"/>
      <c r="N100" s="2"/>
      <c r="O100" s="41"/>
      <c r="P100" s="41"/>
      <c r="Q100" s="42"/>
      <c r="R100" s="42"/>
      <c r="S100" s="42"/>
      <c r="T100" s="1"/>
    </row>
    <row r="101" spans="1:20" s="4" customFormat="1" ht="17.45" hidden="1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92"/>
      <c r="K101" s="2"/>
      <c r="L101" s="2"/>
      <c r="M101" s="40"/>
      <c r="N101" s="2"/>
      <c r="O101" s="41"/>
      <c r="P101" s="41"/>
      <c r="Q101" s="42"/>
      <c r="R101" s="42"/>
      <c r="S101" s="42"/>
      <c r="T101" s="1"/>
    </row>
    <row r="102" spans="1:20" ht="14.25" hidden="1" x14ac:dyDescent="0.2">
      <c r="A102" s="98"/>
      <c r="B102" s="98"/>
      <c r="C102" s="98"/>
      <c r="D102" s="98"/>
      <c r="E102" s="98"/>
      <c r="F102" s="98"/>
      <c r="G102" s="98"/>
      <c r="H102" s="98"/>
      <c r="I102" s="98"/>
      <c r="J102" s="99"/>
      <c r="K102" s="98"/>
      <c r="L102" s="98"/>
      <c r="M102" s="98"/>
      <c r="N102" s="98"/>
    </row>
    <row r="103" spans="1:20" ht="19.149999999999999" hidden="1" customHeight="1" x14ac:dyDescent="0.2"/>
    <row r="104" spans="1:20" ht="14.25" hidden="1" x14ac:dyDescent="0.2"/>
    <row r="105" spans="1:20" ht="14.25" hidden="1" x14ac:dyDescent="0.2"/>
    <row r="106" spans="1:20" ht="14.25" hidden="1" x14ac:dyDescent="0.2"/>
    <row r="107" spans="1:20" ht="14.25" hidden="1" x14ac:dyDescent="0.2"/>
    <row r="108" spans="1:20" ht="15" hidden="1" thickBot="1" x14ac:dyDescent="0.25"/>
    <row r="109" spans="1:20" ht="15" hidden="1" thickBot="1" x14ac:dyDescent="0.25">
      <c r="C109" s="205">
        <f>K109</f>
        <v>0</v>
      </c>
      <c r="D109" s="138"/>
    </row>
    <row r="110" spans="1:20" ht="14.25" hidden="1" x14ac:dyDescent="0.2"/>
    <row r="111" spans="1:20" ht="14.25" hidden="1" x14ac:dyDescent="0.2">
      <c r="C111" s="7"/>
    </row>
    <row r="112" spans="1:20" ht="14.25" hidden="1" x14ac:dyDescent="0.2"/>
    <row r="113" spans="1:19" ht="14.25" hidden="1" x14ac:dyDescent="0.2"/>
    <row r="114" spans="1:19" ht="13.9" hidden="1" customHeight="1" x14ac:dyDescent="0.2"/>
    <row r="115" spans="1:19" ht="13.9" hidden="1" customHeight="1" x14ac:dyDescent="0.2"/>
    <row r="116" spans="1:19" ht="13.9" hidden="1" customHeight="1" x14ac:dyDescent="0.2"/>
    <row r="117" spans="1:19" ht="13.9" hidden="1" customHeight="1" x14ac:dyDescent="0.2"/>
    <row r="118" spans="1:19" ht="13.9" hidden="1" customHeight="1" x14ac:dyDescent="0.2"/>
    <row r="119" spans="1:19" ht="13.9" hidden="1" customHeight="1" x14ac:dyDescent="0.2"/>
    <row r="120" spans="1:19" ht="13.9" hidden="1" customHeight="1" x14ac:dyDescent="0.2"/>
    <row r="121" spans="1:19" ht="19.350000000000001" hidden="1" customHeight="1" x14ac:dyDescent="0.2">
      <c r="A121" s="255"/>
      <c r="B121" s="51"/>
      <c r="C121" s="7"/>
      <c r="D121" s="101"/>
      <c r="E121" s="196" t="s">
        <v>411</v>
      </c>
      <c r="F121" s="195"/>
      <c r="G121" s="162"/>
      <c r="H121" s="162"/>
      <c r="I121" s="162"/>
      <c r="J121" s="162"/>
      <c r="K121" s="152"/>
      <c r="L121" s="38"/>
      <c r="M121" s="104"/>
      <c r="N121" s="40"/>
      <c r="S121" s="108">
        <v>982300</v>
      </c>
    </row>
    <row r="122" spans="1:19" ht="19.350000000000001" hidden="1" customHeight="1" x14ac:dyDescent="0.2">
      <c r="A122" s="255"/>
      <c r="B122" s="51"/>
      <c r="C122" s="7"/>
      <c r="D122" s="101"/>
      <c r="E122" s="194" t="s">
        <v>317</v>
      </c>
      <c r="F122" s="195"/>
      <c r="G122" s="162"/>
      <c r="H122" s="158" t="e">
        <f ca="1">Settings!$K$6</f>
        <v>#NAME?</v>
      </c>
      <c r="I122" s="162" t="s">
        <v>21</v>
      </c>
      <c r="J122" s="198" t="e">
        <f ca="1">trailertbl(E122,E121)</f>
        <v>#NAME?</v>
      </c>
      <c r="K122" s="191" t="e">
        <f ca="1">SUM(J122*H122)</f>
        <v>#NAME?</v>
      </c>
      <c r="L122" s="38"/>
      <c r="M122" s="104"/>
      <c r="N122" s="40"/>
      <c r="O122" s="242">
        <f>OR(NOT(ISERROR(SEARCH($F$5,Q122))),Q122=0)*OR(NOT(ISERROR(SEARCH($F$6,R122))),R122=0)</f>
        <v>1</v>
      </c>
      <c r="S122" s="108">
        <v>982300</v>
      </c>
    </row>
    <row r="123" spans="1:19" ht="19.350000000000001" hidden="1" customHeight="1" x14ac:dyDescent="0.2">
      <c r="A123" s="255"/>
      <c r="B123" s="51"/>
      <c r="C123" s="7"/>
      <c r="D123" s="101"/>
      <c r="E123" s="194" t="s">
        <v>152</v>
      </c>
      <c r="F123" s="195"/>
      <c r="G123" s="162"/>
      <c r="H123" s="158">
        <v>1</v>
      </c>
      <c r="I123" s="162" t="s">
        <v>18</v>
      </c>
      <c r="J123" s="198" t="e">
        <f ca="1">trailertbl(E123,E121)</f>
        <v>#NAME?</v>
      </c>
      <c r="K123" s="191" t="e">
        <f t="shared" ref="K123:K129" ca="1" si="23">SUM(J123*H123)</f>
        <v>#NAME?</v>
      </c>
      <c r="L123" s="38"/>
      <c r="M123" s="104"/>
      <c r="N123" s="40"/>
      <c r="O123" s="242">
        <f t="shared" ref="O123:O129" si="24">OR(NOT(ISERROR(SEARCH($F$5,Q123))),Q123=0)*OR(NOT(ISERROR(SEARCH($F$6,R123))),R123=0)</f>
        <v>1</v>
      </c>
      <c r="S123" s="108">
        <v>982300</v>
      </c>
    </row>
    <row r="124" spans="1:19" ht="19.350000000000001" hidden="1" customHeight="1" x14ac:dyDescent="0.2">
      <c r="A124" s="255"/>
      <c r="B124" s="51"/>
      <c r="C124" s="7"/>
      <c r="D124" s="101"/>
      <c r="E124" s="194" t="s">
        <v>153</v>
      </c>
      <c r="F124" s="195"/>
      <c r="G124" s="162"/>
      <c r="H124" s="158">
        <v>1</v>
      </c>
      <c r="I124" s="162" t="s">
        <v>18</v>
      </c>
      <c r="J124" s="198" t="e">
        <f ca="1">trailertbl(E124,E121)</f>
        <v>#NAME?</v>
      </c>
      <c r="K124" s="191" t="e">
        <f t="shared" ca="1" si="23"/>
        <v>#NAME?</v>
      </c>
      <c r="L124" s="38"/>
      <c r="M124" s="104"/>
      <c r="N124" s="40"/>
      <c r="O124" s="242">
        <f t="shared" si="24"/>
        <v>1</v>
      </c>
      <c r="S124" s="108">
        <v>982300</v>
      </c>
    </row>
    <row r="125" spans="1:19" ht="19.350000000000001" hidden="1" customHeight="1" x14ac:dyDescent="0.2">
      <c r="A125" s="255"/>
      <c r="B125" s="51"/>
      <c r="C125" s="7"/>
      <c r="D125" s="101"/>
      <c r="E125" s="194" t="s">
        <v>154</v>
      </c>
      <c r="F125" s="195"/>
      <c r="G125" s="162"/>
      <c r="H125" s="158" t="e">
        <f ca="1">Settings!$K$6</f>
        <v>#NAME?</v>
      </c>
      <c r="I125" s="162" t="s">
        <v>21</v>
      </c>
      <c r="J125" s="198" t="e">
        <f ca="1">trailertbl(E125,E121)</f>
        <v>#NAME?</v>
      </c>
      <c r="K125" s="191" t="e">
        <f t="shared" ca="1" si="23"/>
        <v>#NAME?</v>
      </c>
      <c r="L125" s="38"/>
      <c r="M125" s="104"/>
      <c r="N125" s="40"/>
      <c r="O125" s="242">
        <f t="shared" si="24"/>
        <v>1</v>
      </c>
      <c r="S125" s="108">
        <v>982300</v>
      </c>
    </row>
    <row r="126" spans="1:19" ht="19.350000000000001" hidden="1" customHeight="1" x14ac:dyDescent="0.2">
      <c r="A126" s="255"/>
      <c r="B126" s="51"/>
      <c r="C126" s="7"/>
      <c r="D126" s="101"/>
      <c r="E126" s="194" t="s">
        <v>155</v>
      </c>
      <c r="F126" s="195"/>
      <c r="G126" s="162"/>
      <c r="H126" s="158" t="e">
        <f ca="1">Settings!$K$6</f>
        <v>#NAME?</v>
      </c>
      <c r="I126" s="162" t="s">
        <v>21</v>
      </c>
      <c r="J126" s="198" t="e">
        <f ca="1">trailertbl(E126,E121)</f>
        <v>#NAME?</v>
      </c>
      <c r="K126" s="191" t="e">
        <f t="shared" ca="1" si="23"/>
        <v>#NAME?</v>
      </c>
      <c r="L126" s="38"/>
      <c r="M126" s="104"/>
      <c r="N126" s="40"/>
      <c r="O126" s="242">
        <f t="shared" si="24"/>
        <v>1</v>
      </c>
      <c r="S126" s="108">
        <v>982300</v>
      </c>
    </row>
    <row r="127" spans="1:19" ht="19.350000000000001" hidden="1" customHeight="1" x14ac:dyDescent="0.2">
      <c r="A127" s="255"/>
      <c r="B127" s="51"/>
      <c r="C127" s="7"/>
      <c r="D127" s="101"/>
      <c r="E127" s="194" t="s">
        <v>156</v>
      </c>
      <c r="F127" s="195"/>
      <c r="G127" s="162"/>
      <c r="H127" s="158">
        <v>1</v>
      </c>
      <c r="I127" s="162" t="s">
        <v>18</v>
      </c>
      <c r="J127" s="198" t="e">
        <f ca="1">trailertbl(E127,E121)</f>
        <v>#NAME?</v>
      </c>
      <c r="K127" s="191" t="e">
        <f t="shared" ca="1" si="23"/>
        <v>#NAME?</v>
      </c>
      <c r="L127" s="38"/>
      <c r="M127" s="104"/>
      <c r="N127" s="40"/>
      <c r="O127" s="242">
        <f t="shared" si="24"/>
        <v>1</v>
      </c>
      <c r="S127" s="108">
        <v>982300</v>
      </c>
    </row>
    <row r="128" spans="1:19" ht="19.350000000000001" hidden="1" customHeight="1" x14ac:dyDescent="0.2">
      <c r="A128" s="255"/>
      <c r="B128" s="51"/>
      <c r="C128" s="7"/>
      <c r="D128" s="101"/>
      <c r="E128" s="194" t="s">
        <v>157</v>
      </c>
      <c r="F128" s="195"/>
      <c r="G128" s="162"/>
      <c r="H128" s="158" t="e">
        <f ca="1">Settings!$K$6</f>
        <v>#NAME?</v>
      </c>
      <c r="I128" s="162" t="s">
        <v>21</v>
      </c>
      <c r="J128" s="198" t="e">
        <f ca="1">trailertbl(E128,E121)</f>
        <v>#NAME?</v>
      </c>
      <c r="K128" s="191" t="e">
        <f t="shared" ca="1" si="23"/>
        <v>#NAME?</v>
      </c>
      <c r="L128" s="38"/>
      <c r="M128" s="104"/>
      <c r="N128" s="40"/>
      <c r="O128" s="242">
        <f t="shared" si="24"/>
        <v>1</v>
      </c>
      <c r="S128" s="108">
        <v>982300</v>
      </c>
    </row>
    <row r="129" spans="1:19" ht="19.350000000000001" hidden="1" customHeight="1" x14ac:dyDescent="0.2">
      <c r="A129" s="255"/>
      <c r="B129" s="51"/>
      <c r="C129" s="7"/>
      <c r="D129" s="101"/>
      <c r="E129" s="236" t="s">
        <v>435</v>
      </c>
      <c r="F129" s="237"/>
      <c r="G129" s="162"/>
      <c r="H129" s="158">
        <v>1</v>
      </c>
      <c r="I129" s="162" t="s">
        <v>18</v>
      </c>
      <c r="J129" s="198" t="e">
        <f ca="1">trailertbl(E129,E121)</f>
        <v>#NAME?</v>
      </c>
      <c r="K129" s="191" t="e">
        <f t="shared" ca="1" si="23"/>
        <v>#NAME?</v>
      </c>
      <c r="L129" s="38"/>
      <c r="M129" s="104"/>
      <c r="N129" s="40"/>
      <c r="O129" s="242">
        <f t="shared" si="24"/>
        <v>0</v>
      </c>
      <c r="Q129" s="43" t="s">
        <v>935</v>
      </c>
      <c r="S129" s="108">
        <v>982300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E2:F2"/>
    <mergeCell ref="J2:K2"/>
    <mergeCell ref="E3:F3"/>
  </mergeCells>
  <dataValidations count="2">
    <dataValidation type="list" allowBlank="1" showInputMessage="1" showErrorMessage="1" sqref="F5" xr:uid="{EB7A53AE-AB53-4853-930C-54F34616A60E}">
      <formula1>regions</formula1>
    </dataValidation>
    <dataValidation type="list" allowBlank="1" showInputMessage="1" showErrorMessage="1" sqref="F6" xr:uid="{371123D3-219E-438C-8753-0C9579272474}">
      <formula1>sectors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4692-A155-4D26-8D3B-7CB885DECEDF}">
  <sheetPr codeName="Sheet13"/>
  <dimension ref="A1:T271"/>
  <sheetViews>
    <sheetView topLeftCell="D1" zoomScaleNormal="100" workbookViewId="0">
      <pane ySplit="8" topLeftCell="A9" activePane="bottomLeft" state="frozen"/>
      <selection activeCell="D4" sqref="D4:E4"/>
      <selection pane="bottomLeft" activeCell="D4" sqref="D4:E4"/>
    </sheetView>
  </sheetViews>
  <sheetFormatPr defaultColWidth="0" defaultRowHeight="13.9" customHeight="1" zeroHeight="1" x14ac:dyDescent="0.2"/>
  <cols>
    <col min="1" max="1" width="2" style="1" hidden="1" customWidth="1"/>
    <col min="2" max="2" width="4.42578125" style="1" hidden="1" customWidth="1"/>
    <col min="3" max="3" width="18.28515625" style="1" hidden="1" customWidth="1"/>
    <col min="4" max="4" width="3" style="1" customWidth="1"/>
    <col min="5" max="5" width="13.42578125" style="1" customWidth="1"/>
    <col min="6" max="6" width="51.7109375" style="1" customWidth="1"/>
    <col min="7" max="7" width="8.28515625" style="1" customWidth="1"/>
    <col min="8" max="8" width="12.7109375" style="1" customWidth="1"/>
    <col min="9" max="9" width="9.140625" style="1" customWidth="1"/>
    <col min="10" max="10" width="13.7109375" style="48" customWidth="1"/>
    <col min="11" max="11" width="14.140625" style="1" bestFit="1" customWidth="1"/>
    <col min="12" max="12" width="3" style="1" customWidth="1"/>
    <col min="13" max="14" width="7.7109375" style="1" hidden="1" customWidth="1"/>
    <col min="15" max="15" width="2.85546875" style="41" hidden="1" customWidth="1"/>
    <col min="16" max="16" width="2.7109375" style="41" hidden="1" customWidth="1"/>
    <col min="17" max="18" width="11.28515625" style="42" hidden="1" customWidth="1"/>
    <col min="19" max="19" width="11.28515625" style="297" hidden="1" customWidth="1"/>
    <col min="20" max="16384" width="9.140625" style="1" hidden="1"/>
  </cols>
  <sheetData>
    <row r="1" spans="1:19" s="129" customFormat="1" ht="16.899999999999999" customHeight="1" x14ac:dyDescent="0.2">
      <c r="A1" s="126"/>
      <c r="B1" s="126"/>
      <c r="C1" s="126"/>
      <c r="D1" s="127"/>
      <c r="E1" s="128"/>
      <c r="F1" s="128"/>
      <c r="G1" s="128"/>
      <c r="H1" s="128"/>
      <c r="I1" s="130"/>
      <c r="J1" s="130"/>
      <c r="K1" s="130"/>
      <c r="L1" s="39"/>
      <c r="M1" s="39"/>
      <c r="N1" s="126"/>
      <c r="O1" s="41"/>
      <c r="P1" s="41"/>
      <c r="Q1" s="41" t="s">
        <v>301</v>
      </c>
      <c r="R1" s="41" t="s">
        <v>302</v>
      </c>
      <c r="S1" s="296" t="s">
        <v>360</v>
      </c>
    </row>
    <row r="2" spans="1:19" ht="27" customHeight="1" x14ac:dyDescent="0.25">
      <c r="A2" s="19"/>
      <c r="B2" s="19"/>
      <c r="C2" s="19"/>
      <c r="D2" s="20"/>
      <c r="E2" s="704" t="s">
        <v>384</v>
      </c>
      <c r="F2" s="704"/>
      <c r="G2" s="20"/>
      <c r="H2" s="20"/>
      <c r="I2" s="131"/>
      <c r="J2" s="705" t="e">
        <f ca="1">SUMIF(O9:O235,"[",K9:K235)</f>
        <v>#NAME?</v>
      </c>
      <c r="K2" s="705"/>
      <c r="L2" s="37"/>
      <c r="M2" s="37"/>
      <c r="N2" s="19"/>
    </row>
    <row r="3" spans="1:19" ht="11.45" customHeight="1" x14ac:dyDescent="0.25">
      <c r="A3" s="37"/>
      <c r="B3" s="37"/>
      <c r="C3" s="37"/>
      <c r="D3" s="57"/>
      <c r="E3" s="706" t="s">
        <v>384</v>
      </c>
      <c r="F3" s="706"/>
      <c r="G3" s="201"/>
      <c r="H3" s="57"/>
      <c r="I3" s="57"/>
      <c r="J3" s="132"/>
      <c r="K3" s="57"/>
      <c r="L3" s="57"/>
      <c r="M3" s="57"/>
      <c r="N3" s="57"/>
    </row>
    <row r="4" spans="1:19" ht="10.9" hidden="1" customHeight="1" x14ac:dyDescent="0.25">
      <c r="A4" s="32"/>
      <c r="B4" s="32"/>
      <c r="C4" s="6"/>
      <c r="D4" s="32"/>
      <c r="E4" s="32"/>
      <c r="F4" s="31"/>
      <c r="G4" s="6"/>
      <c r="H4" s="32"/>
      <c r="I4" s="32"/>
      <c r="J4" s="45"/>
      <c r="K4" s="32"/>
      <c r="L4" s="32"/>
      <c r="M4" s="32"/>
      <c r="N4" s="32"/>
    </row>
    <row r="5" spans="1:19" ht="21" hidden="1" customHeight="1" x14ac:dyDescent="0.2">
      <c r="A5" s="89"/>
      <c r="B5" s="90"/>
      <c r="C5" s="91"/>
      <c r="D5" s="53"/>
      <c r="E5" s="5" t="s">
        <v>13</v>
      </c>
      <c r="F5" s="592" t="str">
        <f>Settings!\reg</f>
        <v>Boston</v>
      </c>
      <c r="G5" s="5"/>
      <c r="H5" s="5" t="s">
        <v>10</v>
      </c>
      <c r="I5" s="30" t="e">
        <f ca="1">Settings!\wdur</f>
        <v>#NAME?</v>
      </c>
      <c r="J5" s="46" t="s">
        <v>12</v>
      </c>
      <c r="K5" s="30">
        <f>Settings!\unit</f>
        <v>0</v>
      </c>
      <c r="L5" s="40"/>
      <c r="M5" s="40"/>
      <c r="N5" s="40"/>
    </row>
    <row r="6" spans="1:19" ht="21" hidden="1" customHeight="1" x14ac:dyDescent="0.2">
      <c r="A6" s="97"/>
      <c r="B6" s="97"/>
      <c r="C6" s="97"/>
      <c r="D6" s="53"/>
      <c r="E6" s="5" t="s">
        <v>15</v>
      </c>
      <c r="F6" s="592" t="str">
        <f>Settings!\sec</f>
        <v>Residential</v>
      </c>
      <c r="G6" s="5"/>
      <c r="H6" s="5" t="s">
        <v>11</v>
      </c>
      <c r="I6" s="30" t="e">
        <f ca="1">Settings!\duration</f>
        <v>#NAME?</v>
      </c>
      <c r="J6" s="46" t="s">
        <v>14</v>
      </c>
      <c r="K6" s="30">
        <f>Settings!\area</f>
        <v>0</v>
      </c>
      <c r="L6" s="40"/>
      <c r="M6" s="40"/>
      <c r="N6" s="40"/>
    </row>
    <row r="7" spans="1:19" ht="13.15" hidden="1" customHeight="1" thickBot="1" x14ac:dyDescent="0.25">
      <c r="A7" s="97"/>
      <c r="B7" s="97"/>
      <c r="C7" s="97"/>
      <c r="D7" s="34"/>
      <c r="E7" s="52"/>
      <c r="F7" s="34"/>
      <c r="G7" s="8"/>
      <c r="H7" s="34"/>
      <c r="I7" s="34"/>
      <c r="J7" s="35"/>
      <c r="K7" s="36"/>
      <c r="L7" s="8"/>
      <c r="M7" s="40"/>
      <c r="N7" s="40"/>
    </row>
    <row r="8" spans="1:19" ht="13.9" customHeight="1" thickBot="1" x14ac:dyDescent="0.25">
      <c r="A8" s="2"/>
      <c r="B8" s="51"/>
      <c r="C8" s="33"/>
      <c r="D8" s="21"/>
      <c r="E8" s="22"/>
      <c r="F8" s="22"/>
      <c r="G8" s="22"/>
      <c r="H8" s="22"/>
      <c r="I8" s="22"/>
      <c r="J8" s="22"/>
      <c r="K8" s="22"/>
      <c r="L8" s="19"/>
      <c r="M8" s="61"/>
      <c r="N8" s="40"/>
    </row>
    <row r="9" spans="1:19" ht="24" customHeight="1" thickBot="1" x14ac:dyDescent="0.25">
      <c r="A9" s="2"/>
      <c r="B9" s="51"/>
      <c r="C9" s="7"/>
      <c r="E9" s="94" t="s">
        <v>16</v>
      </c>
      <c r="F9" s="95"/>
      <c r="G9" s="95"/>
      <c r="H9" s="95"/>
      <c r="I9" s="95"/>
      <c r="J9" s="96"/>
      <c r="K9" s="156">
        <f>SUMIF(O10:O12,1,K10:K12)</f>
        <v>0</v>
      </c>
      <c r="L9" s="19"/>
      <c r="M9" s="61"/>
      <c r="N9" s="40"/>
      <c r="O9" s="41" t="s">
        <v>269</v>
      </c>
    </row>
    <row r="10" spans="1:19" s="109" customFormat="1" ht="19.149999999999999" customHeight="1" x14ac:dyDescent="0.25">
      <c r="A10" s="3"/>
      <c r="B10" s="204"/>
      <c r="C10" s="7"/>
      <c r="D10" s="101"/>
      <c r="E10" s="142" t="s">
        <v>17</v>
      </c>
      <c r="F10" s="102"/>
      <c r="G10" s="103"/>
      <c r="H10" s="143">
        <v>1</v>
      </c>
      <c r="I10" s="146" t="s">
        <v>18</v>
      </c>
      <c r="J10" s="149">
        <v>0</v>
      </c>
      <c r="K10" s="150">
        <f>SUM(H10*J10)</f>
        <v>0</v>
      </c>
      <c r="L10" s="38"/>
      <c r="M10" s="104"/>
      <c r="N10" s="105"/>
      <c r="O10" s="106">
        <f>OR(NOT(ISERROR(SEARCH($F$5,Q10))),Q10=0)*OR(NOT(ISERROR(SEARCH($F$6,R10))),R10=0)</f>
        <v>1</v>
      </c>
      <c r="P10" s="106"/>
      <c r="Q10" s="107"/>
      <c r="R10" s="108"/>
      <c r="S10" s="298" t="s">
        <v>991</v>
      </c>
    </row>
    <row r="11" spans="1:19" s="109" customFormat="1" ht="19.149999999999999" customHeight="1" thickBot="1" x14ac:dyDescent="0.25">
      <c r="A11" s="3"/>
      <c r="B11" s="204"/>
      <c r="C11" s="7"/>
      <c r="D11" s="1"/>
      <c r="E11" s="600" t="s">
        <v>19</v>
      </c>
      <c r="F11" s="206"/>
      <c r="G11" s="217"/>
      <c r="H11" s="218">
        <v>1</v>
      </c>
      <c r="I11" s="219" t="s">
        <v>18</v>
      </c>
      <c r="J11" s="220">
        <v>0</v>
      </c>
      <c r="K11" s="221">
        <f>SUM(H11*J11)</f>
        <v>0</v>
      </c>
      <c r="L11" s="38"/>
      <c r="M11" s="104"/>
      <c r="N11" s="105"/>
      <c r="O11" s="106">
        <f>OR(NOT(ISERROR(SEARCH($F$5,Q11))),Q11=0)*OR(NOT(ISERROR(SEARCH($F$6,R11))),R11=0)</f>
        <v>1</v>
      </c>
      <c r="P11" s="106"/>
      <c r="Q11" s="111"/>
      <c r="R11" s="108"/>
      <c r="S11" s="298" t="s">
        <v>991</v>
      </c>
    </row>
    <row r="12" spans="1:19" ht="15.75" thickBot="1" x14ac:dyDescent="0.25">
      <c r="A12" s="2"/>
      <c r="B12" s="51"/>
      <c r="C12" s="33"/>
      <c r="D12" s="24"/>
      <c r="E12" s="212"/>
      <c r="F12" s="212"/>
      <c r="G12" s="212"/>
      <c r="H12" s="213"/>
      <c r="I12" s="214"/>
      <c r="J12" s="215"/>
      <c r="K12" s="216"/>
      <c r="L12" s="19"/>
      <c r="M12" s="61"/>
      <c r="N12" s="40"/>
      <c r="O12" s="41" t="s">
        <v>270</v>
      </c>
    </row>
    <row r="13" spans="1:19" ht="24" customHeight="1" thickBot="1" x14ac:dyDescent="0.25">
      <c r="A13" s="2"/>
      <c r="B13" s="51"/>
      <c r="C13" s="7"/>
      <c r="E13" s="94" t="s">
        <v>20</v>
      </c>
      <c r="F13" s="95"/>
      <c r="G13" s="95"/>
      <c r="H13" s="95"/>
      <c r="I13" s="95"/>
      <c r="J13" s="96"/>
      <c r="K13" s="44">
        <f>SUMIF(O14:O16,1,K14:K16)</f>
        <v>0</v>
      </c>
      <c r="L13" s="19"/>
      <c r="M13" s="61"/>
      <c r="N13" s="40"/>
      <c r="O13" s="41" t="s">
        <v>269</v>
      </c>
    </row>
    <row r="14" spans="1:19" ht="19.149999999999999" customHeight="1" x14ac:dyDescent="0.2">
      <c r="A14" s="707"/>
      <c r="B14" s="51"/>
      <c r="C14" s="7"/>
      <c r="D14" s="101"/>
      <c r="E14" s="598" t="s">
        <v>17</v>
      </c>
      <c r="F14" s="599"/>
      <c r="G14" s="162"/>
      <c r="H14" s="158">
        <v>1</v>
      </c>
      <c r="I14" s="233" t="s">
        <v>18</v>
      </c>
      <c r="J14" s="603">
        <v>0</v>
      </c>
      <c r="K14" s="191">
        <f>J14</f>
        <v>0</v>
      </c>
      <c r="L14" s="38"/>
      <c r="M14" s="104"/>
      <c r="N14" s="40"/>
      <c r="O14" s="106">
        <f>OR(NOT(ISERROR(SEARCH($F$5,Q14))),Q14=0)*OR(NOT(ISERROR(SEARCH($F$6,R14))),R14=0)</f>
        <v>1</v>
      </c>
      <c r="S14" s="298" t="s">
        <v>991</v>
      </c>
    </row>
    <row r="15" spans="1:19" ht="19.149999999999999" customHeight="1" thickBot="1" x14ac:dyDescent="0.25">
      <c r="A15" s="707"/>
      <c r="B15" s="51"/>
      <c r="C15" s="7"/>
      <c r="D15" s="101"/>
      <c r="E15" s="600" t="s">
        <v>19</v>
      </c>
      <c r="F15" s="601"/>
      <c r="G15" s="209"/>
      <c r="H15" s="210">
        <v>1</v>
      </c>
      <c r="I15" s="234" t="s">
        <v>18</v>
      </c>
      <c r="J15" s="604">
        <v>0</v>
      </c>
      <c r="K15" s="211">
        <f>J15</f>
        <v>0</v>
      </c>
      <c r="L15" s="38"/>
      <c r="M15" s="104"/>
      <c r="N15" s="40"/>
      <c r="O15" s="106">
        <f>OR(NOT(ISERROR(SEARCH($F$5,Q15))),Q15=0)*OR(NOT(ISERROR(SEARCH($F$6,R15))),R15=0)</f>
        <v>1</v>
      </c>
      <c r="S15" s="298" t="s">
        <v>991</v>
      </c>
    </row>
    <row r="16" spans="1:19" ht="15.75" thickBot="1" x14ac:dyDescent="0.25">
      <c r="A16" s="2"/>
      <c r="B16" s="51"/>
      <c r="C16" s="33"/>
      <c r="D16" s="24"/>
      <c r="E16" s="212"/>
      <c r="F16" s="212"/>
      <c r="G16" s="212"/>
      <c r="H16" s="213"/>
      <c r="I16" s="214"/>
      <c r="J16" s="215"/>
      <c r="K16" s="216"/>
      <c r="L16" s="19"/>
      <c r="M16" s="61"/>
      <c r="N16" s="40"/>
      <c r="O16" s="41" t="s">
        <v>270</v>
      </c>
    </row>
    <row r="17" spans="1:19" ht="24" customHeight="1" thickBot="1" x14ac:dyDescent="0.25">
      <c r="A17" s="2"/>
      <c r="B17" s="51"/>
      <c r="C17" s="33"/>
      <c r="D17" s="23"/>
      <c r="E17" s="94" t="s">
        <v>22</v>
      </c>
      <c r="F17" s="95"/>
      <c r="G17" s="95"/>
      <c r="H17" s="95"/>
      <c r="I17" s="95"/>
      <c r="J17" s="96"/>
      <c r="K17" s="156">
        <f>SUMIF(O18:O22,1,K18:K22)</f>
        <v>0</v>
      </c>
      <c r="L17" s="19"/>
      <c r="M17" s="61"/>
      <c r="N17" s="40"/>
      <c r="O17" s="41" t="s">
        <v>269</v>
      </c>
    </row>
    <row r="18" spans="1:19" s="109" customFormat="1" ht="19.149999999999999" customHeight="1" x14ac:dyDescent="0.25">
      <c r="A18" s="3"/>
      <c r="B18" s="204"/>
      <c r="C18" s="7"/>
      <c r="D18" s="101"/>
      <c r="E18" s="600" t="s">
        <v>23</v>
      </c>
      <c r="F18" s="206"/>
      <c r="G18" s="217"/>
      <c r="H18" s="218">
        <v>1</v>
      </c>
      <c r="I18" s="219" t="s">
        <v>18</v>
      </c>
      <c r="J18" s="220">
        <v>0</v>
      </c>
      <c r="K18" s="152">
        <f t="shared" ref="K18:K21" si="0">SUM(H18*J18)</f>
        <v>0</v>
      </c>
      <c r="L18" s="38"/>
      <c r="M18" s="104"/>
      <c r="N18" s="105"/>
      <c r="O18" s="106">
        <f t="shared" ref="O18:O21" si="1">OR(NOT(ISERROR(SEARCH($F$5,Q18))),Q18=0)*OR(NOT(ISERROR(SEARCH($F$6,R18))),R18=0)</f>
        <v>1</v>
      </c>
      <c r="P18" s="106"/>
      <c r="Q18" s="108"/>
      <c r="R18" s="108"/>
      <c r="S18" s="298" t="s">
        <v>991</v>
      </c>
    </row>
    <row r="19" spans="1:19" s="109" customFormat="1" ht="19.149999999999999" customHeight="1" x14ac:dyDescent="0.25">
      <c r="A19" s="3"/>
      <c r="B19" s="204"/>
      <c r="C19" s="7"/>
      <c r="D19" s="101"/>
      <c r="E19" s="600" t="s">
        <v>414</v>
      </c>
      <c r="F19" s="206"/>
      <c r="G19" s="217"/>
      <c r="H19" s="218">
        <v>1</v>
      </c>
      <c r="I19" s="219" t="s">
        <v>18</v>
      </c>
      <c r="J19" s="220">
        <v>0</v>
      </c>
      <c r="K19" s="152">
        <f t="shared" si="0"/>
        <v>0</v>
      </c>
      <c r="L19" s="38"/>
      <c r="M19" s="104"/>
      <c r="N19" s="105"/>
      <c r="O19" s="106">
        <f t="shared" si="1"/>
        <v>1</v>
      </c>
      <c r="P19" s="106"/>
      <c r="Q19" s="108"/>
      <c r="R19" s="108"/>
      <c r="S19" s="298" t="s">
        <v>991</v>
      </c>
    </row>
    <row r="20" spans="1:19" s="109" customFormat="1" ht="19.149999999999999" customHeight="1" x14ac:dyDescent="0.25">
      <c r="A20" s="3"/>
      <c r="B20" s="204"/>
      <c r="C20" s="7"/>
      <c r="D20" s="101"/>
      <c r="E20" s="600" t="s">
        <v>24</v>
      </c>
      <c r="F20" s="206"/>
      <c r="G20" s="217"/>
      <c r="H20" s="218">
        <v>0</v>
      </c>
      <c r="I20" s="219" t="s">
        <v>25</v>
      </c>
      <c r="J20" s="220">
        <v>1600</v>
      </c>
      <c r="K20" s="152">
        <f t="shared" si="0"/>
        <v>0</v>
      </c>
      <c r="L20" s="38"/>
      <c r="M20" s="104"/>
      <c r="N20" s="105"/>
      <c r="O20" s="106">
        <f t="shared" si="1"/>
        <v>1</v>
      </c>
      <c r="P20" s="106"/>
      <c r="Q20" s="108"/>
      <c r="R20" s="108"/>
      <c r="S20" s="298" t="s">
        <v>991</v>
      </c>
    </row>
    <row r="21" spans="1:19" s="109" customFormat="1" ht="19.149999999999999" customHeight="1" thickBot="1" x14ac:dyDescent="0.3">
      <c r="A21" s="3"/>
      <c r="B21" s="204"/>
      <c r="C21" s="7"/>
      <c r="D21" s="101"/>
      <c r="E21" s="600" t="s">
        <v>26</v>
      </c>
      <c r="F21" s="206"/>
      <c r="G21" s="217"/>
      <c r="H21" s="218">
        <v>1</v>
      </c>
      <c r="I21" s="219" t="s">
        <v>18</v>
      </c>
      <c r="J21" s="220">
        <v>0</v>
      </c>
      <c r="K21" s="221">
        <f t="shared" si="0"/>
        <v>0</v>
      </c>
      <c r="L21" s="38"/>
      <c r="M21" s="104"/>
      <c r="N21" s="105"/>
      <c r="O21" s="106">
        <f t="shared" si="1"/>
        <v>1</v>
      </c>
      <c r="P21" s="106"/>
      <c r="Q21" s="108"/>
      <c r="R21" s="108"/>
      <c r="S21" s="298" t="s">
        <v>991</v>
      </c>
    </row>
    <row r="22" spans="1:19" ht="15.75" thickBot="1" x14ac:dyDescent="0.25">
      <c r="A22" s="2"/>
      <c r="B22" s="51"/>
      <c r="C22" s="33"/>
      <c r="D22" s="24"/>
      <c r="E22" s="212"/>
      <c r="F22" s="212"/>
      <c r="G22" s="212"/>
      <c r="H22" s="213"/>
      <c r="I22" s="214"/>
      <c r="J22" s="215"/>
      <c r="K22" s="216"/>
      <c r="L22" s="19"/>
      <c r="M22" s="61"/>
      <c r="N22" s="40"/>
      <c r="O22" s="41" t="s">
        <v>270</v>
      </c>
    </row>
    <row r="23" spans="1:19" ht="24" customHeight="1" thickBot="1" x14ac:dyDescent="0.25">
      <c r="A23" s="2"/>
      <c r="B23" s="51"/>
      <c r="C23" s="7"/>
      <c r="E23" s="94" t="s">
        <v>939</v>
      </c>
      <c r="F23" s="95"/>
      <c r="G23" s="95"/>
      <c r="H23" s="95"/>
      <c r="I23" s="95"/>
      <c r="J23" s="96"/>
      <c r="K23" s="156">
        <f>SUMIF(O24:O27,1,K24:K27)</f>
        <v>0</v>
      </c>
      <c r="L23" s="19"/>
      <c r="M23" s="61"/>
      <c r="N23" s="40"/>
      <c r="O23" s="41" t="s">
        <v>269</v>
      </c>
    </row>
    <row r="24" spans="1:19" s="109" customFormat="1" ht="19.149999999999999" customHeight="1" x14ac:dyDescent="0.25">
      <c r="A24" s="3"/>
      <c r="B24" s="204"/>
      <c r="C24" s="7"/>
      <c r="D24" s="113"/>
      <c r="E24" s="142" t="s">
        <v>27</v>
      </c>
      <c r="F24" s="102"/>
      <c r="G24" s="103"/>
      <c r="H24" s="143">
        <v>1</v>
      </c>
      <c r="I24" s="146" t="s">
        <v>18</v>
      </c>
      <c r="J24" s="149">
        <v>0</v>
      </c>
      <c r="K24" s="152">
        <f>SUM(H24*J24)</f>
        <v>0</v>
      </c>
      <c r="L24" s="38"/>
      <c r="M24" s="104"/>
      <c r="N24" s="105"/>
      <c r="O24" s="106">
        <f>OR(NOT(ISERROR(SEARCH($F$5,Q24))),Q24=0)*OR(NOT(ISERROR(SEARCH($F$6,R24))),R24=0)</f>
        <v>1</v>
      </c>
      <c r="P24" s="106"/>
      <c r="Q24" s="108"/>
      <c r="R24" s="108"/>
      <c r="S24" s="298" t="s">
        <v>991</v>
      </c>
    </row>
    <row r="25" spans="1:19" s="109" customFormat="1" ht="19.149999999999999" customHeight="1" x14ac:dyDescent="0.25">
      <c r="A25" s="3"/>
      <c r="B25" s="204"/>
      <c r="C25" s="7"/>
      <c r="D25" s="113"/>
      <c r="E25" s="598" t="s">
        <v>28</v>
      </c>
      <c r="F25" s="137"/>
      <c r="G25" s="110"/>
      <c r="H25" s="144">
        <v>1</v>
      </c>
      <c r="I25" s="147" t="s">
        <v>18</v>
      </c>
      <c r="J25" s="151">
        <v>0</v>
      </c>
      <c r="K25" s="152">
        <f>SUM(H25*J25)</f>
        <v>0</v>
      </c>
      <c r="L25" s="38"/>
      <c r="M25" s="104"/>
      <c r="N25" s="105"/>
      <c r="O25" s="106">
        <f>OR(NOT(ISERROR(SEARCH($F$5,Q25))),Q25=0)*OR(NOT(ISERROR(SEARCH($F$6,R25))),R25=0)</f>
        <v>1</v>
      </c>
      <c r="P25" s="106"/>
      <c r="Q25" s="108"/>
      <c r="R25" s="108"/>
      <c r="S25" s="298" t="s">
        <v>991</v>
      </c>
    </row>
    <row r="26" spans="1:19" s="109" customFormat="1" ht="19.149999999999999" customHeight="1" thickBot="1" x14ac:dyDescent="0.25">
      <c r="A26" s="3"/>
      <c r="B26" s="204"/>
      <c r="C26" s="7"/>
      <c r="D26" s="1"/>
      <c r="E26" s="600" t="s">
        <v>29</v>
      </c>
      <c r="F26" s="206"/>
      <c r="G26" s="217"/>
      <c r="H26" s="218">
        <v>0</v>
      </c>
      <c r="I26" s="219" t="s">
        <v>25</v>
      </c>
      <c r="J26" s="220">
        <v>280</v>
      </c>
      <c r="K26" s="221">
        <f>SUM(H26*J26)</f>
        <v>0</v>
      </c>
      <c r="L26" s="38"/>
      <c r="M26" s="104"/>
      <c r="N26" s="105"/>
      <c r="O26" s="106">
        <f>OR(NOT(ISERROR(SEARCH($F$5,Q26))),Q26=0)*OR(NOT(ISERROR(SEARCH($F$6,R26))),R26=0)</f>
        <v>1</v>
      </c>
      <c r="P26" s="106"/>
      <c r="Q26" s="108"/>
      <c r="R26" s="108"/>
      <c r="S26" s="298" t="s">
        <v>991</v>
      </c>
    </row>
    <row r="27" spans="1:19" ht="15.75" thickBot="1" x14ac:dyDescent="0.25">
      <c r="A27" s="2"/>
      <c r="B27" s="51"/>
      <c r="C27" s="33"/>
      <c r="D27" s="24"/>
      <c r="E27" s="222"/>
      <c r="F27" s="222"/>
      <c r="G27" s="222"/>
      <c r="H27" s="223"/>
      <c r="I27" s="224"/>
      <c r="J27" s="225"/>
      <c r="K27" s="226"/>
      <c r="L27" s="19"/>
      <c r="M27" s="61"/>
      <c r="N27" s="40"/>
      <c r="O27" s="41" t="s">
        <v>270</v>
      </c>
    </row>
    <row r="28" spans="1:19" ht="24" customHeight="1" thickBot="1" x14ac:dyDescent="0.25">
      <c r="A28" s="2"/>
      <c r="B28" s="51"/>
      <c r="C28" s="7"/>
      <c r="E28" s="94" t="s">
        <v>30</v>
      </c>
      <c r="F28" s="95"/>
      <c r="G28" s="95"/>
      <c r="H28" s="95"/>
      <c r="I28" s="95"/>
      <c r="J28" s="96"/>
      <c r="K28" s="156">
        <f>SUMIF(O29:O40,1,K29:K40)</f>
        <v>0</v>
      </c>
      <c r="L28" s="19"/>
      <c r="M28" s="61"/>
      <c r="N28" s="40"/>
      <c r="O28" s="41" t="s">
        <v>269</v>
      </c>
    </row>
    <row r="29" spans="1:19" s="109" customFormat="1" ht="19.149999999999999" customHeight="1" x14ac:dyDescent="0.25">
      <c r="A29" s="3"/>
      <c r="B29" s="204"/>
      <c r="C29" s="7"/>
      <c r="D29" s="594"/>
      <c r="E29" s="290" t="s">
        <v>940</v>
      </c>
      <c r="F29" s="291"/>
      <c r="G29" s="162"/>
      <c r="H29" s="144">
        <v>1</v>
      </c>
      <c r="I29" s="147" t="s">
        <v>18</v>
      </c>
      <c r="J29" s="164">
        <v>0</v>
      </c>
      <c r="K29" s="152">
        <f t="shared" ref="K29:K39" si="2">SUM(H29*J29)</f>
        <v>0</v>
      </c>
      <c r="L29" s="38"/>
      <c r="M29" s="104"/>
      <c r="N29" s="105"/>
      <c r="O29" s="106">
        <f t="shared" ref="O29:O39" si="3">OR(NOT(ISERROR(SEARCH($F$5,Q29))),Q29=0)*OR(NOT(ISERROR(SEARCH($F$6,R29))),R29=0)</f>
        <v>1</v>
      </c>
      <c r="P29" s="106"/>
      <c r="Q29" s="108"/>
      <c r="R29" s="108"/>
      <c r="S29" s="298" t="s">
        <v>991</v>
      </c>
    </row>
    <row r="30" spans="1:19" s="109" customFormat="1" ht="19.149999999999999" customHeight="1" x14ac:dyDescent="0.25">
      <c r="A30" s="3"/>
      <c r="B30" s="527"/>
      <c r="C30" s="7"/>
      <c r="D30" s="594"/>
      <c r="E30" s="290" t="s">
        <v>941</v>
      </c>
      <c r="F30" s="291"/>
      <c r="G30" s="162"/>
      <c r="H30" s="144">
        <v>1</v>
      </c>
      <c r="I30" s="147" t="s">
        <v>18</v>
      </c>
      <c r="J30" s="164">
        <v>0</v>
      </c>
      <c r="K30" s="152">
        <f t="shared" ref="K30" si="4">SUM(H30*J30)</f>
        <v>0</v>
      </c>
      <c r="L30" s="38"/>
      <c r="M30" s="104"/>
      <c r="N30" s="105"/>
      <c r="O30" s="106">
        <f t="shared" ref="O30" si="5">OR(NOT(ISERROR(SEARCH($F$5,Q30))),Q30=0)*OR(NOT(ISERROR(SEARCH($F$6,R30))),R30=0)</f>
        <v>0</v>
      </c>
      <c r="P30" s="106"/>
      <c r="Q30" s="108" t="s">
        <v>285</v>
      </c>
      <c r="R30" s="108"/>
      <c r="S30" s="298" t="s">
        <v>991</v>
      </c>
    </row>
    <row r="31" spans="1:19" s="109" customFormat="1" ht="19.149999999999999" customHeight="1" x14ac:dyDescent="0.25">
      <c r="A31" s="3"/>
      <c r="B31" s="527"/>
      <c r="C31" s="7"/>
      <c r="D31" s="594"/>
      <c r="E31" s="290" t="s">
        <v>942</v>
      </c>
      <c r="F31" s="291"/>
      <c r="G31" s="162"/>
      <c r="H31" s="144">
        <v>1</v>
      </c>
      <c r="I31" s="147" t="s">
        <v>18</v>
      </c>
      <c r="J31" s="164">
        <v>0</v>
      </c>
      <c r="K31" s="152">
        <f t="shared" ref="K31" si="6">SUM(H31*J31)</f>
        <v>0</v>
      </c>
      <c r="L31" s="38"/>
      <c r="M31" s="104"/>
      <c r="N31" s="105"/>
      <c r="O31" s="106">
        <f t="shared" ref="O31" si="7">OR(NOT(ISERROR(SEARCH($F$5,Q31))),Q31=0)*OR(NOT(ISERROR(SEARCH($F$6,R31))),R31=0)</f>
        <v>0</v>
      </c>
      <c r="P31" s="106"/>
      <c r="Q31" s="108" t="s">
        <v>285</v>
      </c>
      <c r="R31" s="108"/>
      <c r="S31" s="298" t="s">
        <v>991</v>
      </c>
    </row>
    <row r="32" spans="1:19" s="109" customFormat="1" ht="19.149999999999999" customHeight="1" x14ac:dyDescent="0.25">
      <c r="A32" s="3"/>
      <c r="B32" s="527"/>
      <c r="C32" s="7"/>
      <c r="D32" s="594"/>
      <c r="E32" s="290" t="s">
        <v>943</v>
      </c>
      <c r="F32" s="291"/>
      <c r="G32" s="162"/>
      <c r="H32" s="144">
        <v>1</v>
      </c>
      <c r="I32" s="147" t="s">
        <v>18</v>
      </c>
      <c r="J32" s="164">
        <v>0</v>
      </c>
      <c r="K32" s="152">
        <f t="shared" ref="K32" si="8">SUM(H32*J32)</f>
        <v>0</v>
      </c>
      <c r="L32" s="38"/>
      <c r="M32" s="104"/>
      <c r="N32" s="105"/>
      <c r="O32" s="106">
        <f t="shared" ref="O32" si="9">OR(NOT(ISERROR(SEARCH($F$5,Q32))),Q32=0)*OR(NOT(ISERROR(SEARCH($F$6,R32))),R32=0)</f>
        <v>0</v>
      </c>
      <c r="P32" s="106"/>
      <c r="Q32" s="108" t="s">
        <v>285</v>
      </c>
      <c r="R32" s="108"/>
      <c r="S32" s="298" t="s">
        <v>991</v>
      </c>
    </row>
    <row r="33" spans="1:19" s="109" customFormat="1" ht="19.149999999999999" customHeight="1" x14ac:dyDescent="0.25">
      <c r="A33" s="3"/>
      <c r="B33" s="527"/>
      <c r="C33" s="7"/>
      <c r="D33" s="594"/>
      <c r="E33" s="290" t="s">
        <v>944</v>
      </c>
      <c r="F33" s="291"/>
      <c r="G33" s="162"/>
      <c r="H33" s="144">
        <v>1</v>
      </c>
      <c r="I33" s="147" t="s">
        <v>18</v>
      </c>
      <c r="J33" s="164">
        <v>0</v>
      </c>
      <c r="K33" s="152">
        <f t="shared" ref="K33" si="10">SUM(H33*J33)</f>
        <v>0</v>
      </c>
      <c r="L33" s="38"/>
      <c r="M33" s="104"/>
      <c r="N33" s="105"/>
      <c r="O33" s="106">
        <f t="shared" ref="O33" si="11">OR(NOT(ISERROR(SEARCH($F$5,Q33))),Q33=0)*OR(NOT(ISERROR(SEARCH($F$6,R33))),R33=0)</f>
        <v>0</v>
      </c>
      <c r="P33" s="106"/>
      <c r="Q33" s="108" t="s">
        <v>285</v>
      </c>
      <c r="R33" s="108"/>
      <c r="S33" s="298" t="s">
        <v>991</v>
      </c>
    </row>
    <row r="34" spans="1:19" s="109" customFormat="1" ht="19.149999999999999" customHeight="1" x14ac:dyDescent="0.2">
      <c r="A34" s="3"/>
      <c r="B34" s="527"/>
      <c r="C34" s="7"/>
      <c r="D34" s="1"/>
      <c r="E34" s="290" t="s">
        <v>945</v>
      </c>
      <c r="F34" s="291"/>
      <c r="G34" s="162"/>
      <c r="H34" s="144">
        <v>1</v>
      </c>
      <c r="I34" s="147" t="s">
        <v>18</v>
      </c>
      <c r="J34" s="164">
        <v>0</v>
      </c>
      <c r="K34" s="152">
        <f t="shared" ref="K34" si="12">SUM(H34*J34)</f>
        <v>0</v>
      </c>
      <c r="L34" s="38"/>
      <c r="M34" s="104"/>
      <c r="N34" s="105"/>
      <c r="O34" s="106">
        <f t="shared" ref="O34" si="13">OR(NOT(ISERROR(SEARCH($F$5,Q34))),Q34=0)*OR(NOT(ISERROR(SEARCH($F$6,R34))),R34=0)</f>
        <v>0</v>
      </c>
      <c r="P34" s="106"/>
      <c r="Q34" s="108" t="s">
        <v>285</v>
      </c>
      <c r="R34" s="108"/>
      <c r="S34" s="298" t="s">
        <v>991</v>
      </c>
    </row>
    <row r="35" spans="1:19" s="109" customFormat="1" ht="19.149999999999999" customHeight="1" x14ac:dyDescent="0.25">
      <c r="A35" s="3"/>
      <c r="B35" s="238"/>
      <c r="C35" s="7"/>
      <c r="D35" s="113"/>
      <c r="E35" s="598" t="s">
        <v>441</v>
      </c>
      <c r="F35" s="137"/>
      <c r="G35" s="110"/>
      <c r="H35" s="144">
        <v>1</v>
      </c>
      <c r="I35" s="147" t="s">
        <v>18</v>
      </c>
      <c r="J35" s="164">
        <v>0</v>
      </c>
      <c r="K35" s="152">
        <f t="shared" si="2"/>
        <v>0</v>
      </c>
      <c r="L35" s="38"/>
      <c r="M35" s="104"/>
      <c r="N35" s="105"/>
      <c r="O35" s="106">
        <f t="shared" si="3"/>
        <v>0</v>
      </c>
      <c r="P35" s="106"/>
      <c r="Q35" s="111" t="s">
        <v>434</v>
      </c>
      <c r="R35" s="108"/>
      <c r="S35" s="298" t="s">
        <v>991</v>
      </c>
    </row>
    <row r="36" spans="1:19" s="109" customFormat="1" ht="19.149999999999999" customHeight="1" x14ac:dyDescent="0.25">
      <c r="A36" s="3"/>
      <c r="B36" s="238"/>
      <c r="C36" s="7"/>
      <c r="D36" s="113"/>
      <c r="E36" s="598" t="s">
        <v>442</v>
      </c>
      <c r="F36" s="137"/>
      <c r="G36" s="110"/>
      <c r="H36" s="144">
        <v>1</v>
      </c>
      <c r="I36" s="147" t="s">
        <v>18</v>
      </c>
      <c r="J36" s="164">
        <v>0</v>
      </c>
      <c r="K36" s="152">
        <f t="shared" si="2"/>
        <v>0</v>
      </c>
      <c r="L36" s="38"/>
      <c r="M36" s="104"/>
      <c r="N36" s="105"/>
      <c r="O36" s="106">
        <f t="shared" si="3"/>
        <v>0</v>
      </c>
      <c r="P36" s="106"/>
      <c r="Q36" s="111" t="s">
        <v>434</v>
      </c>
      <c r="R36" s="108"/>
      <c r="S36" s="298" t="s">
        <v>991</v>
      </c>
    </row>
    <row r="37" spans="1:19" s="109" customFormat="1" ht="19.149999999999999" customHeight="1" x14ac:dyDescent="0.25">
      <c r="A37" s="3"/>
      <c r="B37" s="238"/>
      <c r="C37" s="7"/>
      <c r="D37" s="113"/>
      <c r="E37" s="598" t="s">
        <v>443</v>
      </c>
      <c r="F37" s="137"/>
      <c r="G37" s="110"/>
      <c r="H37" s="144">
        <v>1</v>
      </c>
      <c r="I37" s="147" t="s">
        <v>18</v>
      </c>
      <c r="J37" s="164">
        <v>0</v>
      </c>
      <c r="K37" s="152">
        <f t="shared" si="2"/>
        <v>0</v>
      </c>
      <c r="L37" s="38"/>
      <c r="M37" s="104"/>
      <c r="N37" s="105"/>
      <c r="O37" s="106">
        <f t="shared" si="3"/>
        <v>0</v>
      </c>
      <c r="P37" s="106"/>
      <c r="Q37" s="111" t="s">
        <v>434</v>
      </c>
      <c r="R37" s="108"/>
      <c r="S37" s="298" t="s">
        <v>991</v>
      </c>
    </row>
    <row r="38" spans="1:19" s="109" customFormat="1" ht="19.149999999999999" customHeight="1" x14ac:dyDescent="0.2">
      <c r="A38" s="3"/>
      <c r="B38" s="204"/>
      <c r="C38" s="7"/>
      <c r="D38" s="1"/>
      <c r="E38" s="525" t="s">
        <v>32</v>
      </c>
      <c r="F38" s="526"/>
      <c r="G38" s="162"/>
      <c r="H38" s="144">
        <v>1</v>
      </c>
      <c r="I38" s="147" t="s">
        <v>18</v>
      </c>
      <c r="J38" s="164">
        <v>0</v>
      </c>
      <c r="K38" s="152">
        <f t="shared" si="2"/>
        <v>0</v>
      </c>
      <c r="L38" s="38"/>
      <c r="M38" s="104"/>
      <c r="N38" s="105"/>
      <c r="O38" s="106">
        <f t="shared" si="3"/>
        <v>1</v>
      </c>
      <c r="P38" s="106"/>
      <c r="Q38" s="108"/>
      <c r="R38" s="108"/>
      <c r="S38" s="298" t="s">
        <v>991</v>
      </c>
    </row>
    <row r="39" spans="1:19" s="109" customFormat="1" ht="19.149999999999999" customHeight="1" thickBot="1" x14ac:dyDescent="0.3">
      <c r="A39" s="3"/>
      <c r="B39" s="204"/>
      <c r="C39" s="7"/>
      <c r="D39" s="116"/>
      <c r="E39" s="596" t="s">
        <v>415</v>
      </c>
      <c r="F39" s="597"/>
      <c r="G39" s="209"/>
      <c r="H39" s="144">
        <v>1</v>
      </c>
      <c r="I39" s="219" t="s">
        <v>18</v>
      </c>
      <c r="J39" s="164">
        <v>0</v>
      </c>
      <c r="K39" s="221">
        <f t="shared" si="2"/>
        <v>0</v>
      </c>
      <c r="L39" s="38"/>
      <c r="M39" s="104"/>
      <c r="N39" s="105"/>
      <c r="O39" s="106">
        <f t="shared" si="3"/>
        <v>0</v>
      </c>
      <c r="P39" s="106"/>
      <c r="Q39" s="108"/>
      <c r="R39" s="111" t="s">
        <v>408</v>
      </c>
      <c r="S39" s="298" t="s">
        <v>991</v>
      </c>
    </row>
    <row r="40" spans="1:19" ht="15.75" thickBot="1" x14ac:dyDescent="0.25">
      <c r="A40" s="2"/>
      <c r="B40" s="51"/>
      <c r="C40" s="33"/>
      <c r="D40" s="24"/>
      <c r="E40" s="228"/>
      <c r="F40" s="229"/>
      <c r="G40" s="222"/>
      <c r="H40" s="223"/>
      <c r="I40" s="224"/>
      <c r="J40" s="230"/>
      <c r="K40" s="216"/>
      <c r="L40" s="19"/>
      <c r="M40" s="61"/>
      <c r="N40" s="40"/>
      <c r="O40" s="41" t="s">
        <v>270</v>
      </c>
    </row>
    <row r="41" spans="1:19" ht="24" customHeight="1" thickBot="1" x14ac:dyDescent="0.25">
      <c r="A41" s="2"/>
      <c r="B41" s="51"/>
      <c r="C41" s="7"/>
      <c r="E41" s="94" t="s">
        <v>33</v>
      </c>
      <c r="F41" s="95"/>
      <c r="G41" s="95"/>
      <c r="H41" s="95"/>
      <c r="I41" s="95"/>
      <c r="J41" s="96"/>
      <c r="K41" s="156" t="e">
        <f ca="1">SUMIF(O42:O57,1,K42:K57)</f>
        <v>#NAME?</v>
      </c>
      <c r="L41" s="19"/>
      <c r="M41" s="61"/>
      <c r="N41" s="40"/>
      <c r="O41" s="41" t="s">
        <v>269</v>
      </c>
    </row>
    <row r="42" spans="1:19" s="109" customFormat="1" ht="19.149999999999999" customHeight="1" x14ac:dyDescent="0.25">
      <c r="A42" s="3"/>
      <c r="B42" s="527"/>
      <c r="C42" s="7"/>
      <c r="D42" s="116"/>
      <c r="E42" s="293" t="s">
        <v>42</v>
      </c>
      <c r="F42" s="161"/>
      <c r="G42" s="110"/>
      <c r="H42" s="158">
        <v>1</v>
      </c>
      <c r="I42" s="147" t="s">
        <v>18</v>
      </c>
      <c r="J42" s="164">
        <v>0</v>
      </c>
      <c r="K42" s="152">
        <f t="shared" ref="K42" si="14">SUM(H42*J42)</f>
        <v>0</v>
      </c>
      <c r="L42" s="38"/>
      <c r="M42" s="104"/>
      <c r="N42" s="105"/>
      <c r="O42" s="106">
        <f t="shared" ref="O42" si="15">OR(NOT(ISERROR(SEARCH($F$5,Q42))),Q42=0)*OR(NOT(ISERROR(SEARCH($F$6,R42))),R42=0)</f>
        <v>1</v>
      </c>
      <c r="P42" s="106"/>
      <c r="Q42" s="108"/>
      <c r="R42" s="108"/>
      <c r="S42" s="298" t="s">
        <v>991</v>
      </c>
    </row>
    <row r="43" spans="1:19" s="109" customFormat="1" ht="19.149999999999999" customHeight="1" x14ac:dyDescent="0.25">
      <c r="A43" s="3"/>
      <c r="B43" s="527"/>
      <c r="C43" s="7"/>
      <c r="D43" s="116"/>
      <c r="E43" s="293" t="s">
        <v>948</v>
      </c>
      <c r="F43" s="161"/>
      <c r="G43" s="110"/>
      <c r="H43" s="158">
        <v>1</v>
      </c>
      <c r="I43" s="147" t="s">
        <v>18</v>
      </c>
      <c r="J43" s="164">
        <v>0</v>
      </c>
      <c r="K43" s="152">
        <f t="shared" ref="K43" si="16">SUM(H43*J43)</f>
        <v>0</v>
      </c>
      <c r="L43" s="38"/>
      <c r="M43" s="104"/>
      <c r="N43" s="105"/>
      <c r="O43" s="106">
        <f t="shared" ref="O43" si="17">OR(NOT(ISERROR(SEARCH($F$5,Q43))),Q43=0)*OR(NOT(ISERROR(SEARCH($F$6,R43))),R43=0)</f>
        <v>0</v>
      </c>
      <c r="P43" s="106"/>
      <c r="Q43" s="108" t="s">
        <v>285</v>
      </c>
      <c r="R43" s="108"/>
      <c r="S43" s="298" t="s">
        <v>991</v>
      </c>
    </row>
    <row r="44" spans="1:19" s="109" customFormat="1" ht="19.149999999999999" customHeight="1" x14ac:dyDescent="0.25">
      <c r="A44" s="3"/>
      <c r="B44" s="527"/>
      <c r="C44" s="7"/>
      <c r="D44" s="116"/>
      <c r="E44" s="293" t="s">
        <v>949</v>
      </c>
      <c r="F44" s="161"/>
      <c r="G44" s="110"/>
      <c r="H44" s="158">
        <v>1</v>
      </c>
      <c r="I44" s="147" t="s">
        <v>18</v>
      </c>
      <c r="J44" s="164">
        <v>0</v>
      </c>
      <c r="K44" s="152">
        <f t="shared" ref="K44" si="18">SUM(H44*J44)</f>
        <v>0</v>
      </c>
      <c r="L44" s="38"/>
      <c r="M44" s="104"/>
      <c r="N44" s="105"/>
      <c r="O44" s="106">
        <f t="shared" ref="O44" si="19">OR(NOT(ISERROR(SEARCH($F$5,Q44))),Q44=0)*OR(NOT(ISERROR(SEARCH($F$6,R44))),R44=0)</f>
        <v>0</v>
      </c>
      <c r="P44" s="106"/>
      <c r="Q44" s="108" t="s">
        <v>285</v>
      </c>
      <c r="R44" s="108"/>
      <c r="S44" s="298" t="s">
        <v>991</v>
      </c>
    </row>
    <row r="45" spans="1:19" s="109" customFormat="1" ht="19.149999999999999" customHeight="1" x14ac:dyDescent="0.25">
      <c r="A45" s="3"/>
      <c r="B45" s="527"/>
      <c r="C45" s="7"/>
      <c r="D45" s="116"/>
      <c r="E45" s="293" t="s">
        <v>950</v>
      </c>
      <c r="F45" s="161"/>
      <c r="G45" s="110"/>
      <c r="H45" s="158">
        <v>1</v>
      </c>
      <c r="I45" s="147" t="s">
        <v>18</v>
      </c>
      <c r="J45" s="164">
        <v>0</v>
      </c>
      <c r="K45" s="152">
        <f t="shared" ref="K45" si="20">SUM(H45*J45)</f>
        <v>0</v>
      </c>
      <c r="L45" s="38"/>
      <c r="M45" s="104"/>
      <c r="N45" s="105"/>
      <c r="O45" s="106">
        <f t="shared" ref="O45" si="21">OR(NOT(ISERROR(SEARCH($F$5,Q45))),Q45=0)*OR(NOT(ISERROR(SEARCH($F$6,R45))),R45=0)</f>
        <v>0</v>
      </c>
      <c r="P45" s="106"/>
      <c r="Q45" s="108" t="s">
        <v>285</v>
      </c>
      <c r="R45" s="108"/>
      <c r="S45" s="298" t="s">
        <v>991</v>
      </c>
    </row>
    <row r="46" spans="1:19" s="109" customFormat="1" ht="19.149999999999999" customHeight="1" x14ac:dyDescent="0.25">
      <c r="A46" s="3"/>
      <c r="B46" s="204"/>
      <c r="C46" s="7"/>
      <c r="D46" s="116"/>
      <c r="E46" s="598" t="s">
        <v>36</v>
      </c>
      <c r="F46" s="599"/>
      <c r="G46" s="110"/>
      <c r="H46" s="158">
        <v>0</v>
      </c>
      <c r="I46" s="147" t="s">
        <v>35</v>
      </c>
      <c r="J46" s="164">
        <v>5000</v>
      </c>
      <c r="K46" s="152">
        <f t="shared" ref="K46:K56" si="22">SUM(H46*J46)</f>
        <v>0</v>
      </c>
      <c r="L46" s="38"/>
      <c r="M46" s="104"/>
      <c r="N46" s="105"/>
      <c r="O46" s="106">
        <f t="shared" ref="O46:O56" si="23">OR(NOT(ISERROR(SEARCH($F$5,Q46))),Q46=0)*OR(NOT(ISERROR(SEARCH($F$6,R46))),R46=0)</f>
        <v>1</v>
      </c>
      <c r="P46" s="106"/>
      <c r="Q46" s="111" t="s">
        <v>947</v>
      </c>
      <c r="R46" s="108"/>
      <c r="S46" s="298" t="s">
        <v>991</v>
      </c>
    </row>
    <row r="47" spans="1:19" s="109" customFormat="1" ht="19.149999999999999" customHeight="1" x14ac:dyDescent="0.25">
      <c r="A47" s="3"/>
      <c r="B47" s="204"/>
      <c r="C47" s="7"/>
      <c r="D47" s="116"/>
      <c r="E47" s="525" t="s">
        <v>37</v>
      </c>
      <c r="F47" s="602"/>
      <c r="G47" s="110"/>
      <c r="H47" s="158">
        <v>1</v>
      </c>
      <c r="I47" s="147" t="s">
        <v>18</v>
      </c>
      <c r="J47" s="164">
        <v>0</v>
      </c>
      <c r="K47" s="152">
        <f t="shared" si="22"/>
        <v>0</v>
      </c>
      <c r="L47" s="38"/>
      <c r="M47" s="104"/>
      <c r="N47" s="105"/>
      <c r="O47" s="106">
        <f t="shared" si="23"/>
        <v>1</v>
      </c>
      <c r="P47" s="106"/>
      <c r="Q47" s="111" t="s">
        <v>445</v>
      </c>
      <c r="R47" s="108"/>
      <c r="S47" s="298" t="s">
        <v>991</v>
      </c>
    </row>
    <row r="48" spans="1:19" s="109" customFormat="1" ht="19.149999999999999" customHeight="1" x14ac:dyDescent="0.25">
      <c r="A48" s="3"/>
      <c r="B48" s="204"/>
      <c r="C48" s="7"/>
      <c r="D48" s="118"/>
      <c r="E48" s="293" t="s">
        <v>39</v>
      </c>
      <c r="F48" s="294"/>
      <c r="G48" s="119"/>
      <c r="H48" s="165" t="e">
        <f ca="1">Settings!$K$6</f>
        <v>#NAME?</v>
      </c>
      <c r="I48" s="235" t="s">
        <v>21</v>
      </c>
      <c r="J48" s="164">
        <v>165</v>
      </c>
      <c r="K48" s="152" t="e">
        <f t="shared" ca="1" si="22"/>
        <v>#NAME?</v>
      </c>
      <c r="L48" s="38"/>
      <c r="M48" s="104"/>
      <c r="N48" s="105"/>
      <c r="O48" s="106">
        <f t="shared" si="23"/>
        <v>1</v>
      </c>
      <c r="P48" s="106"/>
      <c r="Q48" s="108"/>
      <c r="R48" s="108"/>
      <c r="S48" s="298" t="s">
        <v>991</v>
      </c>
    </row>
    <row r="49" spans="1:19" s="109" customFormat="1" ht="19.149999999999999" customHeight="1" x14ac:dyDescent="0.25">
      <c r="A49" s="3"/>
      <c r="B49" s="527"/>
      <c r="C49" s="7"/>
      <c r="D49" s="116"/>
      <c r="E49" s="598" t="s">
        <v>34</v>
      </c>
      <c r="F49" s="599"/>
      <c r="G49" s="110"/>
      <c r="H49" s="144">
        <v>0</v>
      </c>
      <c r="I49" s="147" t="s">
        <v>35</v>
      </c>
      <c r="J49" s="164">
        <v>6000</v>
      </c>
      <c r="K49" s="152">
        <f t="shared" ref="K49" si="24">SUM(H49*J49)</f>
        <v>0</v>
      </c>
      <c r="L49" s="38"/>
      <c r="M49" s="104"/>
      <c r="N49" s="105"/>
      <c r="O49" s="106">
        <f t="shared" ref="O49" si="25">OR(NOT(ISERROR(SEARCH($F$5,Q49))),Q49=0)*OR(NOT(ISERROR(SEARCH($F$6,R49))),R49=0)</f>
        <v>1</v>
      </c>
      <c r="P49" s="106"/>
      <c r="Q49" s="111" t="s">
        <v>445</v>
      </c>
      <c r="R49" s="108"/>
      <c r="S49" s="298" t="s">
        <v>991</v>
      </c>
    </row>
    <row r="50" spans="1:19" s="109" customFormat="1" ht="19.149999999999999" customHeight="1" x14ac:dyDescent="0.25">
      <c r="A50" s="3"/>
      <c r="B50" s="204"/>
      <c r="C50" s="7"/>
      <c r="D50" s="116"/>
      <c r="E50" s="293" t="s">
        <v>40</v>
      </c>
      <c r="F50" s="161"/>
      <c r="G50" s="110"/>
      <c r="H50" s="158" t="e">
        <f ca="1">Settings!$K$6</f>
        <v>#NAME?</v>
      </c>
      <c r="I50" s="147" t="s">
        <v>21</v>
      </c>
      <c r="J50" s="164">
        <v>1000</v>
      </c>
      <c r="K50" s="152" t="e">
        <f t="shared" ca="1" si="22"/>
        <v>#NAME?</v>
      </c>
      <c r="L50" s="38"/>
      <c r="M50" s="104"/>
      <c r="N50" s="105"/>
      <c r="O50" s="106">
        <f t="shared" si="23"/>
        <v>1</v>
      </c>
      <c r="P50" s="106"/>
      <c r="Q50" s="108"/>
      <c r="R50" s="108"/>
      <c r="S50" s="298" t="s">
        <v>991</v>
      </c>
    </row>
    <row r="51" spans="1:19" s="109" customFormat="1" ht="19.149999999999999" customHeight="1" x14ac:dyDescent="0.25">
      <c r="A51" s="3"/>
      <c r="B51" s="238"/>
      <c r="C51" s="7"/>
      <c r="D51" s="116"/>
      <c r="E51" s="290" t="s">
        <v>444</v>
      </c>
      <c r="F51" s="291"/>
      <c r="G51" s="110"/>
      <c r="H51" s="158">
        <v>0</v>
      </c>
      <c r="I51" s="147" t="s">
        <v>53</v>
      </c>
      <c r="J51" s="164">
        <v>0</v>
      </c>
      <c r="K51" s="152">
        <f t="shared" si="22"/>
        <v>0</v>
      </c>
      <c r="L51" s="38"/>
      <c r="M51" s="104"/>
      <c r="N51" s="105"/>
      <c r="O51" s="106">
        <f t="shared" si="23"/>
        <v>0</v>
      </c>
      <c r="P51" s="106"/>
      <c r="Q51" s="111" t="s">
        <v>434</v>
      </c>
      <c r="R51" s="108"/>
      <c r="S51" s="298" t="s">
        <v>991</v>
      </c>
    </row>
    <row r="52" spans="1:19" s="109" customFormat="1" ht="19.149999999999999" customHeight="1" x14ac:dyDescent="0.25">
      <c r="A52" s="3"/>
      <c r="B52" s="204"/>
      <c r="C52" s="7"/>
      <c r="D52" s="116"/>
      <c r="E52" s="293" t="s">
        <v>41</v>
      </c>
      <c r="F52" s="161"/>
      <c r="G52" s="110"/>
      <c r="H52" s="158">
        <v>0</v>
      </c>
      <c r="I52" s="147" t="s">
        <v>21</v>
      </c>
      <c r="J52" s="164">
        <v>300</v>
      </c>
      <c r="K52" s="152">
        <f t="shared" si="22"/>
        <v>0</v>
      </c>
      <c r="L52" s="38"/>
      <c r="M52" s="104"/>
      <c r="N52" s="105"/>
      <c r="O52" s="106">
        <f t="shared" si="23"/>
        <v>1</v>
      </c>
      <c r="P52" s="106"/>
      <c r="Q52" s="111" t="s">
        <v>946</v>
      </c>
      <c r="R52" s="108"/>
      <c r="S52" s="298" t="s">
        <v>991</v>
      </c>
    </row>
    <row r="53" spans="1:19" s="109" customFormat="1" ht="19.149999999999999" customHeight="1" x14ac:dyDescent="0.25">
      <c r="A53" s="3"/>
      <c r="B53" s="204"/>
      <c r="C53" s="7"/>
      <c r="D53" s="116"/>
      <c r="E53" s="293" t="s">
        <v>42</v>
      </c>
      <c r="F53" s="161"/>
      <c r="G53" s="110"/>
      <c r="H53" s="158">
        <v>1</v>
      </c>
      <c r="I53" s="147" t="s">
        <v>18</v>
      </c>
      <c r="J53" s="164">
        <v>0</v>
      </c>
      <c r="K53" s="152">
        <f t="shared" si="22"/>
        <v>0</v>
      </c>
      <c r="L53" s="38"/>
      <c r="M53" s="104"/>
      <c r="N53" s="105"/>
      <c r="O53" s="106">
        <f t="shared" si="23"/>
        <v>1</v>
      </c>
      <c r="P53" s="106"/>
      <c r="Q53" s="108"/>
      <c r="R53" s="108"/>
      <c r="S53" s="298" t="s">
        <v>991</v>
      </c>
    </row>
    <row r="54" spans="1:19" s="109" customFormat="1" ht="19.149999999999999" customHeight="1" x14ac:dyDescent="0.2">
      <c r="A54" s="3"/>
      <c r="B54" s="204"/>
      <c r="C54" s="7"/>
      <c r="D54" s="1"/>
      <c r="E54" s="290" t="s">
        <v>43</v>
      </c>
      <c r="F54" s="291"/>
      <c r="G54" s="110"/>
      <c r="H54" s="158">
        <v>0</v>
      </c>
      <c r="I54" s="147" t="s">
        <v>44</v>
      </c>
      <c r="J54" s="164">
        <v>100</v>
      </c>
      <c r="K54" s="152">
        <f t="shared" si="22"/>
        <v>0</v>
      </c>
      <c r="L54" s="38"/>
      <c r="M54" s="104"/>
      <c r="N54" s="105"/>
      <c r="O54" s="106">
        <f t="shared" si="23"/>
        <v>1</v>
      </c>
      <c r="P54" s="106"/>
      <c r="Q54" s="111" t="s">
        <v>946</v>
      </c>
      <c r="R54" s="108"/>
      <c r="S54" s="298" t="s">
        <v>991</v>
      </c>
    </row>
    <row r="55" spans="1:19" s="109" customFormat="1" ht="19.149999999999999" customHeight="1" x14ac:dyDescent="0.25">
      <c r="A55" s="3"/>
      <c r="B55" s="204"/>
      <c r="C55" s="7"/>
      <c r="D55" s="116"/>
      <c r="E55" s="290" t="s">
        <v>45</v>
      </c>
      <c r="F55" s="291"/>
      <c r="G55" s="110"/>
      <c r="H55" s="158">
        <v>1</v>
      </c>
      <c r="I55" s="147" t="s">
        <v>18</v>
      </c>
      <c r="J55" s="164">
        <v>0</v>
      </c>
      <c r="K55" s="152">
        <f t="shared" si="22"/>
        <v>0</v>
      </c>
      <c r="L55" s="38"/>
      <c r="M55" s="104"/>
      <c r="N55" s="105"/>
      <c r="O55" s="106">
        <f t="shared" si="23"/>
        <v>1</v>
      </c>
      <c r="P55" s="106"/>
      <c r="Q55" s="108"/>
      <c r="R55" s="108"/>
      <c r="S55" s="298" t="s">
        <v>991</v>
      </c>
    </row>
    <row r="56" spans="1:19" s="109" customFormat="1" ht="19.149999999999999" customHeight="1" thickBot="1" x14ac:dyDescent="0.3">
      <c r="A56" s="3"/>
      <c r="B56" s="204"/>
      <c r="C56" s="7"/>
      <c r="D56" s="116"/>
      <c r="E56" s="292" t="s">
        <v>46</v>
      </c>
      <c r="F56" s="281"/>
      <c r="G56" s="217"/>
      <c r="H56" s="210">
        <v>1</v>
      </c>
      <c r="I56" s="219" t="s">
        <v>18</v>
      </c>
      <c r="J56" s="231">
        <v>0</v>
      </c>
      <c r="K56" s="221">
        <f t="shared" si="22"/>
        <v>0</v>
      </c>
      <c r="L56" s="38"/>
      <c r="M56" s="104"/>
      <c r="N56" s="105"/>
      <c r="O56" s="106">
        <f t="shared" si="23"/>
        <v>1</v>
      </c>
      <c r="P56" s="106"/>
      <c r="Q56" s="111" t="s">
        <v>946</v>
      </c>
      <c r="R56" s="108"/>
      <c r="S56" s="298" t="s">
        <v>991</v>
      </c>
    </row>
    <row r="57" spans="1:19" ht="15.75" thickBot="1" x14ac:dyDescent="0.25">
      <c r="A57" s="2"/>
      <c r="B57" s="51"/>
      <c r="C57" s="33"/>
      <c r="D57" s="24"/>
      <c r="E57" s="228"/>
      <c r="F57" s="229"/>
      <c r="G57" s="222"/>
      <c r="H57" s="223"/>
      <c r="I57" s="224"/>
      <c r="J57" s="230"/>
      <c r="K57" s="216"/>
      <c r="L57" s="19"/>
      <c r="M57" s="61"/>
      <c r="N57" s="40"/>
      <c r="O57" s="41" t="s">
        <v>270</v>
      </c>
    </row>
    <row r="58" spans="1:19" ht="24" customHeight="1" thickBot="1" x14ac:dyDescent="0.25">
      <c r="A58" s="2"/>
      <c r="B58" s="51"/>
      <c r="C58" s="33"/>
      <c r="D58" s="24"/>
      <c r="E58" s="94" t="s">
        <v>47</v>
      </c>
      <c r="F58" s="95"/>
      <c r="G58" s="95"/>
      <c r="H58" s="95"/>
      <c r="I58" s="95"/>
      <c r="J58" s="96"/>
      <c r="K58" s="156" t="e">
        <f ca="1">SUMIF(O59:O60,1,K59:K60)</f>
        <v>#NAME?</v>
      </c>
      <c r="L58" s="19"/>
      <c r="M58" s="61"/>
      <c r="N58" s="40"/>
      <c r="O58" s="41" t="s">
        <v>269</v>
      </c>
    </row>
    <row r="59" spans="1:19" s="109" customFormat="1" ht="19.149999999999999" customHeight="1" thickBot="1" x14ac:dyDescent="0.3">
      <c r="A59" s="3"/>
      <c r="B59" s="204"/>
      <c r="C59" s="7"/>
      <c r="D59" s="116"/>
      <c r="E59" s="295" t="s">
        <v>378</v>
      </c>
      <c r="F59" s="284"/>
      <c r="G59" s="270"/>
      <c r="H59" s="285" t="e">
        <f ca="1">Settings!$K$6</f>
        <v>#NAME?</v>
      </c>
      <c r="I59" s="272" t="s">
        <v>21</v>
      </c>
      <c r="J59" s="605">
        <v>0</v>
      </c>
      <c r="K59" s="274" t="e">
        <f ca="1">SUM(H59*J59)</f>
        <v>#NAME?</v>
      </c>
      <c r="L59" s="38"/>
      <c r="M59" s="104"/>
      <c r="N59" s="105"/>
      <c r="O59" s="106">
        <f>OR(NOT(ISERROR(SEARCH($F$5,Q59))),Q59=0)*OR(NOT(ISERROR(SEARCH($F$6,R59))),R59=0)</f>
        <v>1</v>
      </c>
      <c r="P59" s="106"/>
      <c r="Q59" s="108"/>
      <c r="R59" s="108"/>
      <c r="S59" s="298" t="s">
        <v>992</v>
      </c>
    </row>
    <row r="60" spans="1:19" s="109" customFormat="1" ht="19.149999999999999" customHeight="1" thickBot="1" x14ac:dyDescent="0.25">
      <c r="A60" s="3"/>
      <c r="B60" s="204"/>
      <c r="C60" s="7"/>
      <c r="D60" s="116"/>
      <c r="E60" s="275"/>
      <c r="F60" s="275"/>
      <c r="G60" s="275"/>
      <c r="H60" s="276"/>
      <c r="I60" s="277"/>
      <c r="J60" s="278"/>
      <c r="K60" s="279"/>
      <c r="L60" s="38"/>
      <c r="M60" s="104"/>
      <c r="N60" s="105"/>
      <c r="O60" s="41" t="s">
        <v>270</v>
      </c>
      <c r="P60" s="106"/>
      <c r="Q60" s="108"/>
      <c r="R60" s="108"/>
      <c r="S60" s="298"/>
    </row>
    <row r="61" spans="1:19" ht="24" customHeight="1" thickBot="1" x14ac:dyDescent="0.25">
      <c r="A61" s="2"/>
      <c r="B61" s="51"/>
      <c r="C61" s="33"/>
      <c r="D61" s="24"/>
      <c r="E61" s="94" t="s">
        <v>48</v>
      </c>
      <c r="F61" s="95"/>
      <c r="G61" s="95"/>
      <c r="H61" s="95"/>
      <c r="I61" s="95"/>
      <c r="J61" s="96"/>
      <c r="K61" s="156">
        <f>SUMIF(O63:O64,1,K63:K64)</f>
        <v>0</v>
      </c>
      <c r="L61" s="19"/>
      <c r="M61" s="61"/>
      <c r="N61" s="40"/>
      <c r="O61" s="41" t="s">
        <v>269</v>
      </c>
    </row>
    <row r="62" spans="1:19" ht="19.5" customHeight="1" x14ac:dyDescent="0.2">
      <c r="A62" s="2"/>
      <c r="B62" s="51"/>
      <c r="C62" s="33"/>
      <c r="D62" s="24"/>
      <c r="E62" s="598" t="s">
        <v>416</v>
      </c>
      <c r="F62" s="599"/>
      <c r="G62" s="110"/>
      <c r="H62" s="144" t="e">
        <f ca="1">Settings!$K$6</f>
        <v>#NAME?</v>
      </c>
      <c r="I62" s="147" t="s">
        <v>21</v>
      </c>
      <c r="J62" s="164">
        <v>0</v>
      </c>
      <c r="K62" s="152" t="e">
        <f ca="1">SUM(H62*J62)</f>
        <v>#NAME?</v>
      </c>
      <c r="L62" s="19"/>
      <c r="M62" s="61"/>
      <c r="N62" s="40"/>
      <c r="O62" s="106">
        <f>OR(NOT(ISERROR(SEARCH($F$5,Q62))),Q62=0)*OR(NOT(ISERROR(SEARCH($F$6,R62))),R62=0)</f>
        <v>1</v>
      </c>
      <c r="S62" s="298" t="s">
        <v>992</v>
      </c>
    </row>
    <row r="63" spans="1:19" s="109" customFormat="1" ht="19.149999999999999" customHeight="1" thickBot="1" x14ac:dyDescent="0.3">
      <c r="A63" s="3"/>
      <c r="B63" s="204"/>
      <c r="C63" s="7"/>
      <c r="D63" s="116"/>
      <c r="E63" s="280" t="s">
        <v>49</v>
      </c>
      <c r="F63" s="281"/>
      <c r="G63" s="209"/>
      <c r="H63" s="210">
        <v>1</v>
      </c>
      <c r="I63" s="219" t="s">
        <v>18</v>
      </c>
      <c r="J63" s="231">
        <v>0</v>
      </c>
      <c r="K63" s="221">
        <f>SUM(H63*J63)</f>
        <v>0</v>
      </c>
      <c r="L63" s="38"/>
      <c r="M63" s="104"/>
      <c r="N63" s="105"/>
      <c r="O63" s="106">
        <f>OR(NOT(ISERROR(SEARCH($F$5,Q63))),Q63=0)*OR(NOT(ISERROR(SEARCH($F$6,R63))),R63=0)</f>
        <v>1</v>
      </c>
      <c r="P63" s="106"/>
      <c r="Q63" s="108"/>
      <c r="R63" s="108"/>
      <c r="S63" s="298" t="s">
        <v>992</v>
      </c>
    </row>
    <row r="64" spans="1:19" ht="15.75" thickBot="1" x14ac:dyDescent="0.25">
      <c r="A64" s="2"/>
      <c r="B64" s="51"/>
      <c r="C64" s="33"/>
      <c r="D64" s="24"/>
      <c r="E64" s="228"/>
      <c r="F64" s="229"/>
      <c r="G64" s="222"/>
      <c r="H64" s="223"/>
      <c r="I64" s="224"/>
      <c r="J64" s="230"/>
      <c r="K64" s="216"/>
      <c r="L64" s="19"/>
      <c r="M64" s="61"/>
      <c r="N64" s="40"/>
      <c r="O64" s="41" t="s">
        <v>270</v>
      </c>
    </row>
    <row r="65" spans="1:19" ht="24" customHeight="1" thickBot="1" x14ac:dyDescent="0.25">
      <c r="A65" s="2"/>
      <c r="B65" s="51"/>
      <c r="C65" s="33"/>
      <c r="D65" s="24"/>
      <c r="E65" s="94" t="s">
        <v>50</v>
      </c>
      <c r="F65" s="95"/>
      <c r="G65" s="95"/>
      <c r="H65" s="95"/>
      <c r="I65" s="95"/>
      <c r="J65" s="96"/>
      <c r="K65" s="156">
        <f>SUMIF(O74:O75,1,K74:K75)</f>
        <v>0</v>
      </c>
      <c r="L65" s="19"/>
      <c r="M65" s="61"/>
      <c r="N65" s="40"/>
      <c r="O65" s="41" t="s">
        <v>269</v>
      </c>
    </row>
    <row r="66" spans="1:19" ht="19.350000000000001" customHeight="1" x14ac:dyDescent="0.2">
      <c r="A66" s="2"/>
      <c r="B66" s="51"/>
      <c r="C66" s="33"/>
      <c r="D66" s="24"/>
      <c r="E66" s="598" t="s">
        <v>51</v>
      </c>
      <c r="F66" s="599"/>
      <c r="G66" s="110"/>
      <c r="H66" s="144">
        <v>0</v>
      </c>
      <c r="I66" s="147" t="s">
        <v>53</v>
      </c>
      <c r="J66" s="164">
        <v>0</v>
      </c>
      <c r="K66" s="152">
        <f t="shared" ref="K66:K74" si="26">SUM(H66*J66)</f>
        <v>0</v>
      </c>
      <c r="L66" s="19"/>
      <c r="M66" s="61"/>
      <c r="N66" s="40"/>
      <c r="O66" s="106">
        <f t="shared" ref="O66:O74" si="27">OR(NOT(ISERROR(SEARCH($F$5,Q66))),Q66=0)*OR(NOT(ISERROR(SEARCH($F$6,R66))),R66=0)</f>
        <v>1</v>
      </c>
      <c r="S66" s="298" t="s">
        <v>992</v>
      </c>
    </row>
    <row r="67" spans="1:19" ht="19.350000000000001" customHeight="1" x14ac:dyDescent="0.2">
      <c r="A67" s="2"/>
      <c r="B67" s="51"/>
      <c r="C67" s="33"/>
      <c r="D67" s="24"/>
      <c r="E67" s="598" t="s">
        <v>446</v>
      </c>
      <c r="F67" s="599"/>
      <c r="G67" s="110"/>
      <c r="H67" s="144">
        <v>1</v>
      </c>
      <c r="I67" s="147" t="s">
        <v>18</v>
      </c>
      <c r="J67" s="164">
        <v>0</v>
      </c>
      <c r="K67" s="152">
        <f t="shared" si="26"/>
        <v>0</v>
      </c>
      <c r="L67" s="19"/>
      <c r="M67" s="61"/>
      <c r="N67" s="40"/>
      <c r="O67" s="106">
        <f t="shared" si="27"/>
        <v>0</v>
      </c>
      <c r="Q67" s="111" t="s">
        <v>434</v>
      </c>
      <c r="S67" s="298" t="s">
        <v>992</v>
      </c>
    </row>
    <row r="68" spans="1:19" ht="19.350000000000001" customHeight="1" x14ac:dyDescent="0.2">
      <c r="A68" s="2"/>
      <c r="B68" s="51"/>
      <c r="C68" s="33"/>
      <c r="D68" s="24"/>
      <c r="E68" s="598" t="s">
        <v>52</v>
      </c>
      <c r="F68" s="599"/>
      <c r="G68" s="110"/>
      <c r="H68" s="144">
        <v>0</v>
      </c>
      <c r="I68" s="147" t="s">
        <v>53</v>
      </c>
      <c r="J68" s="164">
        <v>100</v>
      </c>
      <c r="K68" s="152">
        <f t="shared" si="26"/>
        <v>0</v>
      </c>
      <c r="L68" s="19"/>
      <c r="M68" s="61"/>
      <c r="N68" s="40"/>
      <c r="O68" s="106">
        <f t="shared" si="27"/>
        <v>1</v>
      </c>
      <c r="S68" s="298" t="s">
        <v>992</v>
      </c>
    </row>
    <row r="69" spans="1:19" ht="19.350000000000001" customHeight="1" x14ac:dyDescent="0.2">
      <c r="A69" s="2"/>
      <c r="B69" s="51"/>
      <c r="C69" s="33"/>
      <c r="D69" s="24"/>
      <c r="E69" s="598" t="s">
        <v>54</v>
      </c>
      <c r="F69" s="599"/>
      <c r="G69" s="110"/>
      <c r="H69" s="144">
        <v>0</v>
      </c>
      <c r="I69" s="147" t="s">
        <v>53</v>
      </c>
      <c r="J69" s="164">
        <v>100</v>
      </c>
      <c r="K69" s="152">
        <f t="shared" si="26"/>
        <v>0</v>
      </c>
      <c r="L69" s="19"/>
      <c r="M69" s="61"/>
      <c r="N69" s="40"/>
      <c r="O69" s="106">
        <f t="shared" si="27"/>
        <v>1</v>
      </c>
      <c r="S69" s="298" t="s">
        <v>992</v>
      </c>
    </row>
    <row r="70" spans="1:19" ht="19.350000000000001" customHeight="1" x14ac:dyDescent="0.2">
      <c r="A70" s="2"/>
      <c r="B70" s="51"/>
      <c r="C70" s="33"/>
      <c r="D70" s="24"/>
      <c r="E70" s="598" t="s">
        <v>55</v>
      </c>
      <c r="F70" s="599"/>
      <c r="G70" s="110"/>
      <c r="H70" s="144" t="e">
        <f ca="1">Settings!$K$7/2</f>
        <v>#NAME?</v>
      </c>
      <c r="I70" s="147" t="s">
        <v>35</v>
      </c>
      <c r="J70" s="164">
        <v>0</v>
      </c>
      <c r="K70" s="152" t="e">
        <f t="shared" ca="1" si="26"/>
        <v>#NAME?</v>
      </c>
      <c r="L70" s="19"/>
      <c r="M70" s="61"/>
      <c r="N70" s="40"/>
      <c r="O70" s="106">
        <f t="shared" si="27"/>
        <v>1</v>
      </c>
      <c r="S70" s="298" t="s">
        <v>992</v>
      </c>
    </row>
    <row r="71" spans="1:19" ht="19.350000000000001" customHeight="1" x14ac:dyDescent="0.2">
      <c r="A71" s="2"/>
      <c r="B71" s="51"/>
      <c r="C71" s="33"/>
      <c r="D71" s="24"/>
      <c r="E71" s="598" t="s">
        <v>447</v>
      </c>
      <c r="F71" s="599"/>
      <c r="G71" s="110"/>
      <c r="H71" s="144">
        <v>0</v>
      </c>
      <c r="I71" s="147" t="s">
        <v>53</v>
      </c>
      <c r="J71" s="164">
        <v>0</v>
      </c>
      <c r="K71" s="152">
        <f t="shared" ref="K71" si="28">SUM(H71*J71)</f>
        <v>0</v>
      </c>
      <c r="L71" s="19"/>
      <c r="M71" s="61"/>
      <c r="N71" s="40"/>
      <c r="O71" s="106">
        <f t="shared" ref="O71" si="29">OR(NOT(ISERROR(SEARCH($F$5,Q71))),Q71=0)*OR(NOT(ISERROR(SEARCH($F$6,R71))),R71=0)</f>
        <v>0</v>
      </c>
      <c r="Q71" s="111" t="s">
        <v>935</v>
      </c>
      <c r="S71" s="298" t="s">
        <v>992</v>
      </c>
    </row>
    <row r="72" spans="1:19" ht="19.350000000000001" customHeight="1" x14ac:dyDescent="0.2">
      <c r="A72" s="2"/>
      <c r="B72" s="51"/>
      <c r="C72" s="33"/>
      <c r="D72" s="24"/>
      <c r="E72" s="598" t="s">
        <v>951</v>
      </c>
      <c r="F72" s="599"/>
      <c r="G72" s="110"/>
      <c r="H72" s="144">
        <v>0</v>
      </c>
      <c r="I72" s="147" t="s">
        <v>53</v>
      </c>
      <c r="J72" s="164">
        <v>0</v>
      </c>
      <c r="K72" s="152">
        <f t="shared" si="26"/>
        <v>0</v>
      </c>
      <c r="L72" s="19"/>
      <c r="M72" s="61"/>
      <c r="N72" s="40"/>
      <c r="O72" s="106">
        <f t="shared" si="27"/>
        <v>0</v>
      </c>
      <c r="Q72" s="111" t="s">
        <v>285</v>
      </c>
      <c r="S72" s="298" t="s">
        <v>992</v>
      </c>
    </row>
    <row r="73" spans="1:19" ht="19.350000000000001" customHeight="1" x14ac:dyDescent="0.2">
      <c r="A73" s="2"/>
      <c r="B73" s="51"/>
      <c r="C73" s="33"/>
      <c r="D73" s="24"/>
      <c r="E73" s="598" t="s">
        <v>448</v>
      </c>
      <c r="F73" s="599"/>
      <c r="G73" s="110"/>
      <c r="H73" s="144">
        <v>0</v>
      </c>
      <c r="I73" s="147" t="s">
        <v>53</v>
      </c>
      <c r="J73" s="164">
        <v>0</v>
      </c>
      <c r="K73" s="152">
        <f t="shared" si="26"/>
        <v>0</v>
      </c>
      <c r="L73" s="19"/>
      <c r="M73" s="61"/>
      <c r="N73" s="40"/>
      <c r="O73" s="106">
        <f t="shared" si="27"/>
        <v>0</v>
      </c>
      <c r="Q73" s="111" t="s">
        <v>434</v>
      </c>
      <c r="S73" s="298" t="s">
        <v>992</v>
      </c>
    </row>
    <row r="74" spans="1:19" s="109" customFormat="1" ht="19.149999999999999" customHeight="1" thickBot="1" x14ac:dyDescent="0.3">
      <c r="A74" s="3"/>
      <c r="B74" s="204"/>
      <c r="C74" s="7"/>
      <c r="D74" s="116"/>
      <c r="E74" s="600" t="s">
        <v>449</v>
      </c>
      <c r="F74" s="601"/>
      <c r="G74" s="209"/>
      <c r="H74" s="144">
        <v>0</v>
      </c>
      <c r="I74" s="282" t="s">
        <v>53</v>
      </c>
      <c r="J74" s="231">
        <v>0</v>
      </c>
      <c r="K74" s="221">
        <f t="shared" si="26"/>
        <v>0</v>
      </c>
      <c r="L74" s="38"/>
      <c r="M74" s="104"/>
      <c r="N74" s="105"/>
      <c r="O74" s="106">
        <f t="shared" si="27"/>
        <v>0</v>
      </c>
      <c r="P74" s="106"/>
      <c r="Q74" s="111" t="s">
        <v>935</v>
      </c>
      <c r="R74" s="108"/>
      <c r="S74" s="298" t="s">
        <v>992</v>
      </c>
    </row>
    <row r="75" spans="1:19" ht="15.75" thickBot="1" x14ac:dyDescent="0.25">
      <c r="A75" s="2"/>
      <c r="B75" s="51"/>
      <c r="C75" s="33"/>
      <c r="D75" s="24"/>
      <c r="E75" s="228"/>
      <c r="F75" s="229"/>
      <c r="G75" s="222"/>
      <c r="H75" s="223"/>
      <c r="I75" s="224"/>
      <c r="J75" s="230"/>
      <c r="K75" s="216"/>
      <c r="L75" s="19"/>
      <c r="M75" s="61"/>
      <c r="N75" s="40"/>
      <c r="O75" s="41" t="s">
        <v>270</v>
      </c>
    </row>
    <row r="76" spans="1:19" ht="24" customHeight="1" thickBot="1" x14ac:dyDescent="0.25">
      <c r="A76" s="2"/>
      <c r="B76" s="51"/>
      <c r="C76" s="33"/>
      <c r="D76" s="24"/>
      <c r="E76" s="94" t="s">
        <v>56</v>
      </c>
      <c r="F76" s="95"/>
      <c r="G76" s="95"/>
      <c r="H76" s="95"/>
      <c r="I76" s="95"/>
      <c r="J76" s="96"/>
      <c r="K76" s="156" t="e">
        <f ca="1">SUMIF(O77:O102,1,K77:K102)</f>
        <v>#NAME?</v>
      </c>
      <c r="L76" s="19"/>
      <c r="M76" s="61"/>
      <c r="N76" s="40"/>
      <c r="O76" s="41" t="s">
        <v>269</v>
      </c>
    </row>
    <row r="77" spans="1:19" s="109" customFormat="1" ht="19.149999999999999" customHeight="1" x14ac:dyDescent="0.25">
      <c r="A77" s="3"/>
      <c r="B77" s="204"/>
      <c r="C77" s="7"/>
      <c r="D77" s="116"/>
      <c r="E77" s="600" t="s">
        <v>57</v>
      </c>
      <c r="F77" s="166"/>
      <c r="G77" s="110"/>
      <c r="H77" s="144">
        <v>0</v>
      </c>
      <c r="I77" s="147" t="s">
        <v>58</v>
      </c>
      <c r="J77" s="164">
        <v>175</v>
      </c>
      <c r="K77" s="152">
        <f t="shared" ref="K77:K101" si="30">SUM(H77*J77)</f>
        <v>0</v>
      </c>
      <c r="L77" s="38"/>
      <c r="M77" s="104"/>
      <c r="N77" s="105"/>
      <c r="O77" s="106">
        <f t="shared" ref="O77:O101" si="31">OR(NOT(ISERROR(SEARCH($F$5,Q77))),Q77=0)*OR(NOT(ISERROR(SEARCH($F$6,R77))),R77=0)</f>
        <v>1</v>
      </c>
      <c r="P77" s="106"/>
      <c r="Q77" s="108"/>
      <c r="R77" s="108"/>
      <c r="S77" s="298" t="s">
        <v>993</v>
      </c>
    </row>
    <row r="78" spans="1:19" s="109" customFormat="1" ht="19.149999999999999" customHeight="1" x14ac:dyDescent="0.25">
      <c r="A78" s="3"/>
      <c r="B78" s="204"/>
      <c r="C78" s="7"/>
      <c r="D78" s="116"/>
      <c r="E78" s="600" t="s">
        <v>59</v>
      </c>
      <c r="F78" s="599"/>
      <c r="G78" s="110"/>
      <c r="H78" s="144">
        <v>1</v>
      </c>
      <c r="I78" s="147" t="s">
        <v>18</v>
      </c>
      <c r="J78" s="164">
        <v>0</v>
      </c>
      <c r="K78" s="152">
        <f t="shared" si="30"/>
        <v>0</v>
      </c>
      <c r="L78" s="38"/>
      <c r="M78" s="104"/>
      <c r="N78" s="105"/>
      <c r="O78" s="106">
        <f t="shared" si="31"/>
        <v>1</v>
      </c>
      <c r="P78" s="106"/>
      <c r="Q78" s="108"/>
      <c r="R78" s="108"/>
      <c r="S78" s="298" t="s">
        <v>993</v>
      </c>
    </row>
    <row r="79" spans="1:19" s="109" customFormat="1" ht="19.149999999999999" customHeight="1" x14ac:dyDescent="0.25">
      <c r="A79" s="3"/>
      <c r="B79" s="204"/>
      <c r="C79" s="7"/>
      <c r="D79" s="116"/>
      <c r="E79" s="600" t="s">
        <v>60</v>
      </c>
      <c r="F79" s="601"/>
      <c r="G79" s="217"/>
      <c r="H79" s="144">
        <v>1</v>
      </c>
      <c r="I79" s="147" t="s">
        <v>18</v>
      </c>
      <c r="J79" s="164">
        <v>0</v>
      </c>
      <c r="K79" s="221">
        <f t="shared" si="30"/>
        <v>0</v>
      </c>
      <c r="L79" s="38"/>
      <c r="M79" s="104"/>
      <c r="N79" s="105"/>
      <c r="O79" s="106">
        <f t="shared" si="31"/>
        <v>1</v>
      </c>
      <c r="P79" s="106"/>
      <c r="Q79" s="108"/>
      <c r="R79" s="108"/>
      <c r="S79" s="298" t="s">
        <v>993</v>
      </c>
    </row>
    <row r="80" spans="1:19" s="109" customFormat="1" ht="19.149999999999999" customHeight="1" x14ac:dyDescent="0.25">
      <c r="A80" s="3"/>
      <c r="B80" s="204"/>
      <c r="C80" s="7"/>
      <c r="D80" s="116"/>
      <c r="E80" s="600" t="s">
        <v>61</v>
      </c>
      <c r="F80" s="601"/>
      <c r="G80" s="217"/>
      <c r="H80" s="144">
        <v>1</v>
      </c>
      <c r="I80" s="147" t="s">
        <v>18</v>
      </c>
      <c r="J80" s="164">
        <v>0</v>
      </c>
      <c r="K80" s="221">
        <f t="shared" si="30"/>
        <v>0</v>
      </c>
      <c r="L80" s="38"/>
      <c r="M80" s="104"/>
      <c r="N80" s="105"/>
      <c r="O80" s="106">
        <f t="shared" si="31"/>
        <v>1</v>
      </c>
      <c r="P80" s="106"/>
      <c r="Q80" s="108"/>
      <c r="R80" s="108"/>
      <c r="S80" s="298" t="s">
        <v>993</v>
      </c>
    </row>
    <row r="81" spans="1:19" s="109" customFormat="1" ht="19.149999999999999" customHeight="1" x14ac:dyDescent="0.25">
      <c r="A81" s="3"/>
      <c r="B81" s="204"/>
      <c r="C81" s="7"/>
      <c r="D81" s="116"/>
      <c r="E81" s="600" t="s">
        <v>62</v>
      </c>
      <c r="F81" s="601"/>
      <c r="G81" s="217"/>
      <c r="H81" s="218" t="e">
        <f ca="1">Settings!$K$6</f>
        <v>#NAME?</v>
      </c>
      <c r="I81" s="219" t="s">
        <v>21</v>
      </c>
      <c r="J81" s="231">
        <v>0</v>
      </c>
      <c r="K81" s="221" t="e">
        <f t="shared" ca="1" si="30"/>
        <v>#NAME?</v>
      </c>
      <c r="L81" s="38"/>
      <c r="M81" s="104"/>
      <c r="N81" s="105"/>
      <c r="O81" s="106">
        <f t="shared" si="31"/>
        <v>1</v>
      </c>
      <c r="P81" s="106"/>
      <c r="Q81" s="108"/>
      <c r="R81" s="108"/>
      <c r="S81" s="298" t="s">
        <v>993</v>
      </c>
    </row>
    <row r="82" spans="1:19" s="109" customFormat="1" ht="19.149999999999999" customHeight="1" x14ac:dyDescent="0.25">
      <c r="A82" s="3"/>
      <c r="B82" s="204"/>
      <c r="C82" s="7"/>
      <c r="D82" s="116"/>
      <c r="E82" s="600" t="s">
        <v>63</v>
      </c>
      <c r="F82" s="601"/>
      <c r="G82" s="217"/>
      <c r="H82" s="218" t="e">
        <f ca="1">Settings!$K$6</f>
        <v>#NAME?</v>
      </c>
      <c r="I82" s="219" t="s">
        <v>21</v>
      </c>
      <c r="J82" s="231">
        <v>0</v>
      </c>
      <c r="K82" s="221" t="e">
        <f t="shared" ca="1" si="30"/>
        <v>#NAME?</v>
      </c>
      <c r="L82" s="38"/>
      <c r="M82" s="104"/>
      <c r="N82" s="105"/>
      <c r="O82" s="106">
        <f t="shared" si="31"/>
        <v>1</v>
      </c>
      <c r="P82" s="106"/>
      <c r="Q82" s="108"/>
      <c r="R82" s="108"/>
      <c r="S82" s="298" t="s">
        <v>993</v>
      </c>
    </row>
    <row r="83" spans="1:19" s="109" customFormat="1" ht="19.149999999999999" customHeight="1" x14ac:dyDescent="0.25">
      <c r="A83" s="3"/>
      <c r="B83" s="527"/>
      <c r="C83" s="7"/>
      <c r="D83" s="116"/>
      <c r="E83" s="600" t="s">
        <v>952</v>
      </c>
      <c r="F83" s="601"/>
      <c r="G83" s="217"/>
      <c r="H83" s="218" t="e">
        <f ca="1">Settings!$K$6</f>
        <v>#NAME?</v>
      </c>
      <c r="I83" s="219" t="s">
        <v>21</v>
      </c>
      <c r="J83" s="231">
        <v>0</v>
      </c>
      <c r="K83" s="221" t="e">
        <f t="shared" ref="K83" ca="1" si="32">SUM(H83*J83)</f>
        <v>#NAME?</v>
      </c>
      <c r="L83" s="38"/>
      <c r="M83" s="104"/>
      <c r="N83" s="105"/>
      <c r="O83" s="106">
        <f t="shared" ref="O83" si="33">OR(NOT(ISERROR(SEARCH($F$5,Q83))),Q83=0)*OR(NOT(ISERROR(SEARCH($F$6,R83))),R83=0)</f>
        <v>0</v>
      </c>
      <c r="P83" s="106"/>
      <c r="Q83" s="108" t="s">
        <v>285</v>
      </c>
      <c r="R83" s="108"/>
      <c r="S83" s="298" t="s">
        <v>993</v>
      </c>
    </row>
    <row r="84" spans="1:19" s="109" customFormat="1" ht="19.149999999999999" customHeight="1" x14ac:dyDescent="0.25">
      <c r="A84" s="3"/>
      <c r="B84" s="527"/>
      <c r="C84" s="7"/>
      <c r="D84" s="116"/>
      <c r="E84" s="600" t="s">
        <v>953</v>
      </c>
      <c r="F84" s="601"/>
      <c r="G84" s="217"/>
      <c r="H84" s="218">
        <v>1</v>
      </c>
      <c r="I84" s="219" t="s">
        <v>18</v>
      </c>
      <c r="J84" s="231">
        <v>0</v>
      </c>
      <c r="K84" s="221">
        <f t="shared" ref="K84" si="34">SUM(H84*J84)</f>
        <v>0</v>
      </c>
      <c r="L84" s="38"/>
      <c r="M84" s="104"/>
      <c r="N84" s="105"/>
      <c r="O84" s="106">
        <f t="shared" ref="O84" si="35">OR(NOT(ISERROR(SEARCH($F$5,Q84))),Q84=0)*OR(NOT(ISERROR(SEARCH($F$6,R84))),R84=0)</f>
        <v>0</v>
      </c>
      <c r="P84" s="106"/>
      <c r="Q84" s="108" t="s">
        <v>285</v>
      </c>
      <c r="R84" s="108"/>
      <c r="S84" s="298" t="s">
        <v>993</v>
      </c>
    </row>
    <row r="85" spans="1:19" s="109" customFormat="1" ht="19.149999999999999" customHeight="1" x14ac:dyDescent="0.25">
      <c r="A85" s="3"/>
      <c r="B85" s="527"/>
      <c r="C85" s="7"/>
      <c r="D85" s="116"/>
      <c r="E85" s="600" t="s">
        <v>954</v>
      </c>
      <c r="F85" s="601"/>
      <c r="G85" s="217"/>
      <c r="H85" s="218">
        <v>1</v>
      </c>
      <c r="I85" s="219" t="s">
        <v>18</v>
      </c>
      <c r="J85" s="231">
        <v>0</v>
      </c>
      <c r="K85" s="221">
        <f t="shared" ref="K85" si="36">SUM(H85*J85)</f>
        <v>0</v>
      </c>
      <c r="L85" s="38"/>
      <c r="M85" s="104"/>
      <c r="N85" s="105"/>
      <c r="O85" s="106">
        <f t="shared" ref="O85" si="37">OR(NOT(ISERROR(SEARCH($F$5,Q85))),Q85=0)*OR(NOT(ISERROR(SEARCH($F$6,R85))),R85=0)</f>
        <v>0</v>
      </c>
      <c r="P85" s="106"/>
      <c r="Q85" s="108" t="s">
        <v>285</v>
      </c>
      <c r="R85" s="108"/>
      <c r="S85" s="298" t="s">
        <v>993</v>
      </c>
    </row>
    <row r="86" spans="1:19" s="109" customFormat="1" ht="19.149999999999999" customHeight="1" x14ac:dyDescent="0.25">
      <c r="A86" s="3"/>
      <c r="B86" s="527"/>
      <c r="C86" s="7"/>
      <c r="D86" s="116"/>
      <c r="E86" s="600" t="s">
        <v>955</v>
      </c>
      <c r="F86" s="601"/>
      <c r="G86" s="217"/>
      <c r="H86" s="218">
        <v>1</v>
      </c>
      <c r="I86" s="219" t="s">
        <v>18</v>
      </c>
      <c r="J86" s="231">
        <v>0</v>
      </c>
      <c r="K86" s="221">
        <f t="shared" ref="K86" si="38">SUM(H86*J86)</f>
        <v>0</v>
      </c>
      <c r="L86" s="38"/>
      <c r="M86" s="104"/>
      <c r="N86" s="105"/>
      <c r="O86" s="106">
        <f t="shared" ref="O86" si="39">OR(NOT(ISERROR(SEARCH($F$5,Q86))),Q86=0)*OR(NOT(ISERROR(SEARCH($F$6,R86))),R86=0)</f>
        <v>0</v>
      </c>
      <c r="P86" s="106"/>
      <c r="Q86" s="108" t="s">
        <v>285</v>
      </c>
      <c r="R86" s="108"/>
      <c r="S86" s="298" t="s">
        <v>993</v>
      </c>
    </row>
    <row r="87" spans="1:19" s="109" customFormat="1" ht="19.149999999999999" customHeight="1" x14ac:dyDescent="0.25">
      <c r="A87" s="3"/>
      <c r="B87" s="527"/>
      <c r="C87" s="7"/>
      <c r="D87" s="116"/>
      <c r="E87" s="600" t="s">
        <v>80</v>
      </c>
      <c r="F87" s="601"/>
      <c r="G87" s="217"/>
      <c r="H87" s="218" t="e">
        <f ca="1">Settings!$K$6</f>
        <v>#NAME?</v>
      </c>
      <c r="I87" s="219" t="s">
        <v>21</v>
      </c>
      <c r="J87" s="231">
        <v>0</v>
      </c>
      <c r="K87" s="221" t="e">
        <f t="shared" ref="K87" ca="1" si="40">SUM(H87*J87)</f>
        <v>#NAME?</v>
      </c>
      <c r="L87" s="38"/>
      <c r="M87" s="104"/>
      <c r="N87" s="105"/>
      <c r="O87" s="106">
        <f t="shared" ref="O87" si="41">OR(NOT(ISERROR(SEARCH($F$5,Q87))),Q87=0)*OR(NOT(ISERROR(SEARCH($F$6,R87))),R87=0)</f>
        <v>1</v>
      </c>
      <c r="P87" s="106"/>
      <c r="Q87" s="108"/>
      <c r="R87" s="108"/>
      <c r="S87" s="298" t="s">
        <v>993</v>
      </c>
    </row>
    <row r="88" spans="1:19" s="109" customFormat="1" ht="19.149999999999999" customHeight="1" x14ac:dyDescent="0.25">
      <c r="A88" s="3"/>
      <c r="B88" s="527"/>
      <c r="C88" s="7"/>
      <c r="D88" s="116"/>
      <c r="E88" s="600" t="s">
        <v>956</v>
      </c>
      <c r="F88" s="601"/>
      <c r="G88" s="217"/>
      <c r="H88" s="218" t="e">
        <f ca="1">Settings!$K$6</f>
        <v>#NAME?</v>
      </c>
      <c r="I88" s="219" t="s">
        <v>21</v>
      </c>
      <c r="J88" s="231">
        <v>0</v>
      </c>
      <c r="K88" s="221" t="e">
        <f t="shared" ref="K88" ca="1" si="42">SUM(H88*J88)</f>
        <v>#NAME?</v>
      </c>
      <c r="L88" s="38"/>
      <c r="M88" s="104"/>
      <c r="N88" s="105"/>
      <c r="O88" s="106">
        <f t="shared" ref="O88" si="43">OR(NOT(ISERROR(SEARCH($F$5,Q88))),Q88=0)*OR(NOT(ISERROR(SEARCH($F$6,R88))),R88=0)</f>
        <v>0</v>
      </c>
      <c r="P88" s="106"/>
      <c r="Q88" s="108" t="s">
        <v>285</v>
      </c>
      <c r="R88" s="108"/>
      <c r="S88" s="298" t="s">
        <v>993</v>
      </c>
    </row>
    <row r="89" spans="1:19" s="109" customFormat="1" ht="19.149999999999999" customHeight="1" x14ac:dyDescent="0.25">
      <c r="A89" s="3"/>
      <c r="B89" s="527"/>
      <c r="C89" s="7"/>
      <c r="D89" s="116"/>
      <c r="E89" s="600" t="s">
        <v>569</v>
      </c>
      <c r="F89" s="601"/>
      <c r="G89" s="217"/>
      <c r="H89" s="218">
        <v>1</v>
      </c>
      <c r="I89" s="219" t="s">
        <v>18</v>
      </c>
      <c r="J89" s="231">
        <v>0</v>
      </c>
      <c r="K89" s="221">
        <f t="shared" ref="K89" si="44">SUM(H89*J89)</f>
        <v>0</v>
      </c>
      <c r="L89" s="38"/>
      <c r="M89" s="104"/>
      <c r="N89" s="105"/>
      <c r="O89" s="106">
        <f t="shared" ref="O89" si="45">OR(NOT(ISERROR(SEARCH($F$5,Q89))),Q89=0)*OR(NOT(ISERROR(SEARCH($F$6,R89))),R89=0)</f>
        <v>0</v>
      </c>
      <c r="P89" s="106"/>
      <c r="Q89" s="108" t="s">
        <v>285</v>
      </c>
      <c r="R89" s="108"/>
      <c r="S89" s="298" t="s">
        <v>993</v>
      </c>
    </row>
    <row r="90" spans="1:19" s="109" customFormat="1" ht="19.149999999999999" customHeight="1" x14ac:dyDescent="0.25">
      <c r="A90" s="3"/>
      <c r="B90" s="527"/>
      <c r="C90" s="7"/>
      <c r="D90" s="116"/>
      <c r="E90" s="600" t="s">
        <v>438</v>
      </c>
      <c r="F90" s="601"/>
      <c r="G90" s="217"/>
      <c r="H90" s="218">
        <v>1</v>
      </c>
      <c r="I90" s="219" t="s">
        <v>18</v>
      </c>
      <c r="J90" s="231">
        <v>0</v>
      </c>
      <c r="K90" s="221">
        <f t="shared" ref="K90" si="46">SUM(H90*J90)</f>
        <v>0</v>
      </c>
      <c r="L90" s="38"/>
      <c r="M90" s="104"/>
      <c r="N90" s="105"/>
      <c r="O90" s="106">
        <f t="shared" ref="O90" si="47">OR(NOT(ISERROR(SEARCH($F$5,Q90))),Q90=0)*OR(NOT(ISERROR(SEARCH($F$6,R90))),R90=0)</f>
        <v>0</v>
      </c>
      <c r="P90" s="106"/>
      <c r="Q90" s="108" t="s">
        <v>285</v>
      </c>
      <c r="R90" s="108"/>
      <c r="S90" s="298" t="s">
        <v>993</v>
      </c>
    </row>
    <row r="91" spans="1:19" s="109" customFormat="1" ht="19.149999999999999" customHeight="1" x14ac:dyDescent="0.25">
      <c r="A91" s="3"/>
      <c r="B91" s="527"/>
      <c r="C91" s="7"/>
      <c r="D91" s="116"/>
      <c r="E91" s="600" t="s">
        <v>957</v>
      </c>
      <c r="F91" s="601"/>
      <c r="G91" s="217"/>
      <c r="H91" s="218">
        <v>1</v>
      </c>
      <c r="I91" s="219" t="s">
        <v>18</v>
      </c>
      <c r="J91" s="231">
        <v>0</v>
      </c>
      <c r="K91" s="221">
        <f t="shared" ref="K91" si="48">SUM(H91*J91)</f>
        <v>0</v>
      </c>
      <c r="L91" s="38"/>
      <c r="M91" s="104"/>
      <c r="N91" s="105"/>
      <c r="O91" s="106">
        <f t="shared" ref="O91" si="49">OR(NOT(ISERROR(SEARCH($F$5,Q91))),Q91=0)*OR(NOT(ISERROR(SEARCH($F$6,R91))),R91=0)</f>
        <v>0</v>
      </c>
      <c r="P91" s="106"/>
      <c r="Q91" s="108" t="s">
        <v>285</v>
      </c>
      <c r="R91" s="108"/>
      <c r="S91" s="298" t="s">
        <v>993</v>
      </c>
    </row>
    <row r="92" spans="1:19" s="109" customFormat="1" ht="19.149999999999999" customHeight="1" x14ac:dyDescent="0.25">
      <c r="A92" s="3"/>
      <c r="B92" s="238"/>
      <c r="C92" s="7"/>
      <c r="D92" s="116"/>
      <c r="E92" s="600" t="s">
        <v>450</v>
      </c>
      <c r="F92" s="601"/>
      <c r="G92" s="217"/>
      <c r="H92" s="218" t="e">
        <f ca="1">Settings!$K$6</f>
        <v>#NAME?</v>
      </c>
      <c r="I92" s="219" t="s">
        <v>21</v>
      </c>
      <c r="J92" s="231">
        <v>0</v>
      </c>
      <c r="K92" s="221" t="e">
        <f t="shared" ca="1" si="30"/>
        <v>#NAME?</v>
      </c>
      <c r="L92" s="38"/>
      <c r="M92" s="104"/>
      <c r="N92" s="105"/>
      <c r="O92" s="106">
        <f t="shared" si="31"/>
        <v>0</v>
      </c>
      <c r="P92" s="106"/>
      <c r="Q92" s="111" t="s">
        <v>434</v>
      </c>
      <c r="R92" s="108"/>
      <c r="S92" s="298" t="s">
        <v>993</v>
      </c>
    </row>
    <row r="93" spans="1:19" s="109" customFormat="1" ht="19.149999999999999" customHeight="1" x14ac:dyDescent="0.25">
      <c r="A93" s="3"/>
      <c r="B93" s="238"/>
      <c r="C93" s="7"/>
      <c r="D93" s="116"/>
      <c r="E93" s="600" t="s">
        <v>451</v>
      </c>
      <c r="F93" s="601"/>
      <c r="G93" s="217"/>
      <c r="H93" s="218">
        <v>1</v>
      </c>
      <c r="I93" s="219" t="s">
        <v>18</v>
      </c>
      <c r="J93" s="231">
        <v>0</v>
      </c>
      <c r="K93" s="221">
        <f t="shared" si="30"/>
        <v>0</v>
      </c>
      <c r="L93" s="38"/>
      <c r="M93" s="104"/>
      <c r="N93" s="105"/>
      <c r="O93" s="106">
        <f t="shared" si="31"/>
        <v>0</v>
      </c>
      <c r="P93" s="106"/>
      <c r="Q93" s="111" t="s">
        <v>434</v>
      </c>
      <c r="R93" s="108"/>
      <c r="S93" s="298" t="s">
        <v>993</v>
      </c>
    </row>
    <row r="94" spans="1:19" s="109" customFormat="1" ht="19.149999999999999" customHeight="1" x14ac:dyDescent="0.25">
      <c r="A94" s="3"/>
      <c r="B94" s="238"/>
      <c r="C94" s="7"/>
      <c r="D94" s="116"/>
      <c r="E94" s="600" t="s">
        <v>452</v>
      </c>
      <c r="F94" s="601"/>
      <c r="G94" s="217"/>
      <c r="H94" s="218">
        <v>1</v>
      </c>
      <c r="I94" s="219" t="s">
        <v>18</v>
      </c>
      <c r="J94" s="231">
        <v>0</v>
      </c>
      <c r="K94" s="221">
        <f t="shared" si="30"/>
        <v>0</v>
      </c>
      <c r="L94" s="38"/>
      <c r="M94" s="104"/>
      <c r="N94" s="105"/>
      <c r="O94" s="106">
        <f t="shared" si="31"/>
        <v>0</v>
      </c>
      <c r="P94" s="106"/>
      <c r="Q94" s="111" t="s">
        <v>935</v>
      </c>
      <c r="R94" s="108"/>
      <c r="S94" s="298" t="s">
        <v>993</v>
      </c>
    </row>
    <row r="95" spans="1:19" s="109" customFormat="1" ht="19.149999999999999" customHeight="1" x14ac:dyDescent="0.25">
      <c r="A95" s="3"/>
      <c r="B95" s="238"/>
      <c r="C95" s="7"/>
      <c r="D95" s="116"/>
      <c r="E95" s="600" t="s">
        <v>453</v>
      </c>
      <c r="F95" s="601"/>
      <c r="G95" s="217"/>
      <c r="H95" s="218">
        <v>1</v>
      </c>
      <c r="I95" s="219" t="s">
        <v>18</v>
      </c>
      <c r="J95" s="231">
        <v>0</v>
      </c>
      <c r="K95" s="221">
        <f t="shared" si="30"/>
        <v>0</v>
      </c>
      <c r="L95" s="38"/>
      <c r="M95" s="104"/>
      <c r="N95" s="105"/>
      <c r="O95" s="106">
        <f t="shared" si="31"/>
        <v>0</v>
      </c>
      <c r="P95" s="106"/>
      <c r="Q95" s="111" t="s">
        <v>434</v>
      </c>
      <c r="R95" s="108"/>
      <c r="S95" s="298" t="s">
        <v>993</v>
      </c>
    </row>
    <row r="96" spans="1:19" s="109" customFormat="1" ht="19.149999999999999" customHeight="1" x14ac:dyDescent="0.25">
      <c r="A96" s="3"/>
      <c r="B96" s="238"/>
      <c r="C96" s="7"/>
      <c r="D96" s="116"/>
      <c r="E96" s="600" t="s">
        <v>454</v>
      </c>
      <c r="F96" s="601"/>
      <c r="G96" s="217"/>
      <c r="H96" s="218">
        <v>1</v>
      </c>
      <c r="I96" s="219" t="s">
        <v>18</v>
      </c>
      <c r="J96" s="231">
        <v>0</v>
      </c>
      <c r="K96" s="221">
        <f t="shared" si="30"/>
        <v>0</v>
      </c>
      <c r="L96" s="38"/>
      <c r="M96" s="104"/>
      <c r="N96" s="105"/>
      <c r="O96" s="106">
        <f t="shared" si="31"/>
        <v>0</v>
      </c>
      <c r="P96" s="106"/>
      <c r="Q96" s="111" t="s">
        <v>434</v>
      </c>
      <c r="R96" s="108"/>
      <c r="S96" s="298" t="s">
        <v>993</v>
      </c>
    </row>
    <row r="97" spans="1:19" s="109" customFormat="1" ht="19.149999999999999" customHeight="1" x14ac:dyDescent="0.25">
      <c r="A97" s="3"/>
      <c r="B97" s="238"/>
      <c r="C97" s="7"/>
      <c r="D97" s="116"/>
      <c r="E97" s="600" t="s">
        <v>455</v>
      </c>
      <c r="F97" s="601"/>
      <c r="G97" s="217"/>
      <c r="H97" s="218">
        <v>1</v>
      </c>
      <c r="I97" s="219" t="s">
        <v>18</v>
      </c>
      <c r="J97" s="231">
        <v>0</v>
      </c>
      <c r="K97" s="221">
        <f t="shared" si="30"/>
        <v>0</v>
      </c>
      <c r="L97" s="38"/>
      <c r="M97" s="104"/>
      <c r="N97" s="105"/>
      <c r="O97" s="106">
        <f t="shared" si="31"/>
        <v>0</v>
      </c>
      <c r="P97" s="106"/>
      <c r="Q97" s="111" t="s">
        <v>434</v>
      </c>
      <c r="R97" s="108"/>
      <c r="S97" s="298" t="s">
        <v>993</v>
      </c>
    </row>
    <row r="98" spans="1:19" s="109" customFormat="1" ht="19.149999999999999" customHeight="1" x14ac:dyDescent="0.25">
      <c r="A98" s="3"/>
      <c r="B98" s="238"/>
      <c r="C98" s="7"/>
      <c r="D98" s="116"/>
      <c r="E98" s="600" t="s">
        <v>456</v>
      </c>
      <c r="F98" s="601"/>
      <c r="G98" s="217"/>
      <c r="H98" s="218">
        <v>1</v>
      </c>
      <c r="I98" s="219" t="s">
        <v>18</v>
      </c>
      <c r="J98" s="231">
        <v>0</v>
      </c>
      <c r="K98" s="221">
        <f t="shared" si="30"/>
        <v>0</v>
      </c>
      <c r="L98" s="38"/>
      <c r="M98" s="104"/>
      <c r="N98" s="105"/>
      <c r="O98" s="106">
        <f t="shared" si="31"/>
        <v>0</v>
      </c>
      <c r="P98" s="106"/>
      <c r="Q98" s="111" t="s">
        <v>434</v>
      </c>
      <c r="R98" s="108"/>
      <c r="S98" s="298" t="s">
        <v>993</v>
      </c>
    </row>
    <row r="99" spans="1:19" s="109" customFormat="1" ht="19.149999999999999" customHeight="1" x14ac:dyDescent="0.25">
      <c r="A99" s="3"/>
      <c r="B99" s="238"/>
      <c r="C99" s="7"/>
      <c r="D99" s="116"/>
      <c r="E99" s="600" t="s">
        <v>457</v>
      </c>
      <c r="F99" s="601"/>
      <c r="G99" s="217"/>
      <c r="H99" s="218">
        <v>1</v>
      </c>
      <c r="I99" s="219" t="s">
        <v>18</v>
      </c>
      <c r="J99" s="231">
        <v>0</v>
      </c>
      <c r="K99" s="221">
        <f t="shared" si="30"/>
        <v>0</v>
      </c>
      <c r="L99" s="38"/>
      <c r="M99" s="104"/>
      <c r="N99" s="105"/>
      <c r="O99" s="106">
        <f t="shared" si="31"/>
        <v>0</v>
      </c>
      <c r="P99" s="106"/>
      <c r="Q99" s="111" t="s">
        <v>434</v>
      </c>
      <c r="R99" s="108"/>
      <c r="S99" s="298" t="s">
        <v>993</v>
      </c>
    </row>
    <row r="100" spans="1:19" s="109" customFormat="1" ht="19.149999999999999" customHeight="1" x14ac:dyDescent="0.25">
      <c r="A100" s="3"/>
      <c r="B100" s="204"/>
      <c r="C100" s="7"/>
      <c r="D100" s="116"/>
      <c r="E100" s="600" t="s">
        <v>64</v>
      </c>
      <c r="F100" s="601"/>
      <c r="G100" s="217"/>
      <c r="H100" s="218" t="e">
        <f ca="1">Settings!$K$6</f>
        <v>#NAME?</v>
      </c>
      <c r="I100" s="219" t="s">
        <v>21</v>
      </c>
      <c r="J100" s="231">
        <v>0</v>
      </c>
      <c r="K100" s="221" t="e">
        <f t="shared" ca="1" si="30"/>
        <v>#NAME?</v>
      </c>
      <c r="L100" s="38"/>
      <c r="M100" s="104"/>
      <c r="N100" s="105"/>
      <c r="O100" s="106">
        <f t="shared" si="31"/>
        <v>1</v>
      </c>
      <c r="P100" s="106"/>
      <c r="Q100" s="108"/>
      <c r="R100" s="108"/>
      <c r="S100" s="298" t="s">
        <v>993</v>
      </c>
    </row>
    <row r="101" spans="1:19" s="109" customFormat="1" ht="19.149999999999999" customHeight="1" thickBot="1" x14ac:dyDescent="0.3">
      <c r="A101" s="3"/>
      <c r="B101" s="204"/>
      <c r="C101" s="7"/>
      <c r="D101" s="116"/>
      <c r="E101" s="600" t="s">
        <v>65</v>
      </c>
      <c r="F101" s="601"/>
      <c r="G101" s="217"/>
      <c r="H101" s="218">
        <v>0</v>
      </c>
      <c r="I101" s="219" t="s">
        <v>988</v>
      </c>
      <c r="J101" s="231">
        <v>100</v>
      </c>
      <c r="K101" s="221">
        <f t="shared" si="30"/>
        <v>0</v>
      </c>
      <c r="L101" s="38"/>
      <c r="M101" s="104"/>
      <c r="N101" s="105"/>
      <c r="O101" s="106">
        <f t="shared" si="31"/>
        <v>1</v>
      </c>
      <c r="P101" s="106"/>
      <c r="Q101" s="108"/>
      <c r="R101" s="108"/>
      <c r="S101" s="298" t="s">
        <v>993</v>
      </c>
    </row>
    <row r="102" spans="1:19" ht="15.75" thickBot="1" x14ac:dyDescent="0.25">
      <c r="A102" s="2"/>
      <c r="B102" s="51"/>
      <c r="C102" s="33"/>
      <c r="D102" s="24"/>
      <c r="E102" s="228"/>
      <c r="F102" s="229"/>
      <c r="G102" s="222"/>
      <c r="H102" s="223"/>
      <c r="I102" s="224"/>
      <c r="J102" s="230"/>
      <c r="K102" s="216"/>
      <c r="L102" s="19"/>
      <c r="M102" s="61"/>
      <c r="N102" s="40"/>
      <c r="O102" s="41" t="s">
        <v>270</v>
      </c>
    </row>
    <row r="103" spans="1:19" ht="24" customHeight="1" thickBot="1" x14ac:dyDescent="0.25">
      <c r="A103" s="2"/>
      <c r="B103" s="51"/>
      <c r="C103" s="33"/>
      <c r="D103" s="24"/>
      <c r="E103" s="94" t="s">
        <v>66</v>
      </c>
      <c r="F103" s="95"/>
      <c r="G103" s="95"/>
      <c r="H103" s="95"/>
      <c r="I103" s="95"/>
      <c r="J103" s="96"/>
      <c r="K103" s="156" t="e">
        <f ca="1">SUMIF(O104:O113,1,K104:K113)</f>
        <v>#NAME?</v>
      </c>
      <c r="L103" s="19"/>
      <c r="M103" s="61"/>
      <c r="N103" s="40"/>
      <c r="O103" s="41" t="s">
        <v>269</v>
      </c>
    </row>
    <row r="104" spans="1:19" s="109" customFormat="1" ht="19.149999999999999" customHeight="1" x14ac:dyDescent="0.25">
      <c r="A104" s="3"/>
      <c r="B104" s="204"/>
      <c r="C104" s="7"/>
      <c r="D104" s="101"/>
      <c r="E104" s="168" t="s">
        <v>67</v>
      </c>
      <c r="F104" s="169"/>
      <c r="G104" s="120"/>
      <c r="H104" s="170">
        <v>0</v>
      </c>
      <c r="I104" s="171" t="s">
        <v>68</v>
      </c>
      <c r="J104" s="172">
        <v>12</v>
      </c>
      <c r="K104" s="173">
        <f t="shared" ref="K104:K112" si="50">SUM(H104*J104)</f>
        <v>0</v>
      </c>
      <c r="L104" s="38"/>
      <c r="M104" s="104"/>
      <c r="N104" s="105"/>
      <c r="O104" s="106">
        <f t="shared" ref="O104:O112" si="51">OR(NOT(ISERROR(SEARCH($F$5,Q104))),Q104=0)*OR(NOT(ISERROR(SEARCH($F$6,R104))),R104=0)</f>
        <v>1</v>
      </c>
      <c r="P104" s="106"/>
      <c r="Q104" s="108"/>
      <c r="R104" s="108"/>
      <c r="S104" s="298" t="s">
        <v>994</v>
      </c>
    </row>
    <row r="105" spans="1:19" s="109" customFormat="1" ht="19.149999999999999" customHeight="1" x14ac:dyDescent="0.25">
      <c r="A105" s="3"/>
      <c r="B105" s="204"/>
      <c r="C105" s="7"/>
      <c r="D105" s="101"/>
      <c r="E105" s="598" t="s">
        <v>69</v>
      </c>
      <c r="F105" s="599"/>
      <c r="G105" s="110"/>
      <c r="H105" s="144">
        <v>0</v>
      </c>
      <c r="I105" s="147" t="s">
        <v>58</v>
      </c>
      <c r="J105" s="164">
        <v>10</v>
      </c>
      <c r="K105" s="152">
        <f t="shared" si="50"/>
        <v>0</v>
      </c>
      <c r="L105" s="38"/>
      <c r="M105" s="104"/>
      <c r="N105" s="105"/>
      <c r="O105" s="106">
        <f t="shared" si="51"/>
        <v>1</v>
      </c>
      <c r="P105" s="106"/>
      <c r="Q105" s="108"/>
      <c r="R105" s="108"/>
      <c r="S105" s="298" t="s">
        <v>994</v>
      </c>
    </row>
    <row r="106" spans="1:19" s="109" customFormat="1" ht="19.149999999999999" customHeight="1" x14ac:dyDescent="0.25">
      <c r="A106" s="3"/>
      <c r="B106" s="204"/>
      <c r="C106" s="7"/>
      <c r="D106" s="101"/>
      <c r="E106" s="600" t="s">
        <v>418</v>
      </c>
      <c r="F106" s="601"/>
      <c r="G106" s="217"/>
      <c r="H106" s="218">
        <v>0</v>
      </c>
      <c r="I106" s="219" t="s">
        <v>58</v>
      </c>
      <c r="J106" s="231">
        <v>18</v>
      </c>
      <c r="K106" s="221">
        <f t="shared" si="50"/>
        <v>0</v>
      </c>
      <c r="L106" s="38"/>
      <c r="M106" s="104"/>
      <c r="N106" s="105"/>
      <c r="O106" s="106">
        <f t="shared" si="51"/>
        <v>1</v>
      </c>
      <c r="P106" s="106"/>
      <c r="Q106" s="108"/>
      <c r="R106" s="108"/>
      <c r="S106" s="298" t="s">
        <v>994</v>
      </c>
    </row>
    <row r="107" spans="1:19" s="109" customFormat="1" ht="19.149999999999999" customHeight="1" x14ac:dyDescent="0.25">
      <c r="A107" s="3"/>
      <c r="B107" s="238"/>
      <c r="C107" s="7"/>
      <c r="D107" s="101"/>
      <c r="E107" s="600" t="s">
        <v>958</v>
      </c>
      <c r="F107" s="601"/>
      <c r="G107" s="217"/>
      <c r="H107" s="218">
        <v>0</v>
      </c>
      <c r="I107" s="219" t="s">
        <v>58</v>
      </c>
      <c r="J107" s="231">
        <v>0</v>
      </c>
      <c r="K107" s="221">
        <f t="shared" si="50"/>
        <v>0</v>
      </c>
      <c r="L107" s="38"/>
      <c r="M107" s="104"/>
      <c r="N107" s="105"/>
      <c r="O107" s="106">
        <f t="shared" si="51"/>
        <v>0</v>
      </c>
      <c r="P107" s="106"/>
      <c r="Q107" s="111" t="s">
        <v>935</v>
      </c>
      <c r="R107" s="108"/>
      <c r="S107" s="298" t="s">
        <v>994</v>
      </c>
    </row>
    <row r="108" spans="1:19" s="109" customFormat="1" ht="19.149999999999999" customHeight="1" x14ac:dyDescent="0.25">
      <c r="A108" s="3"/>
      <c r="B108" s="238"/>
      <c r="C108" s="7"/>
      <c r="D108" s="101"/>
      <c r="E108" s="600" t="s">
        <v>458</v>
      </c>
      <c r="F108" s="601"/>
      <c r="G108" s="217"/>
      <c r="H108" s="218">
        <v>0</v>
      </c>
      <c r="I108" s="219" t="s">
        <v>58</v>
      </c>
      <c r="J108" s="231">
        <v>0</v>
      </c>
      <c r="K108" s="221">
        <f t="shared" si="50"/>
        <v>0</v>
      </c>
      <c r="L108" s="38"/>
      <c r="M108" s="104"/>
      <c r="N108" s="105"/>
      <c r="O108" s="106">
        <f t="shared" si="51"/>
        <v>0</v>
      </c>
      <c r="P108" s="106"/>
      <c r="Q108" s="111" t="s">
        <v>434</v>
      </c>
      <c r="R108" s="108"/>
      <c r="S108" s="298" t="s">
        <v>994</v>
      </c>
    </row>
    <row r="109" spans="1:19" s="109" customFormat="1" ht="19.149999999999999" customHeight="1" x14ac:dyDescent="0.25">
      <c r="A109" s="3"/>
      <c r="B109" s="204"/>
      <c r="C109" s="7"/>
      <c r="D109" s="101"/>
      <c r="E109" s="600" t="s">
        <v>70</v>
      </c>
      <c r="F109" s="601"/>
      <c r="G109" s="217"/>
      <c r="H109" s="218">
        <v>0</v>
      </c>
      <c r="I109" s="219" t="s">
        <v>53</v>
      </c>
      <c r="J109" s="231">
        <v>500</v>
      </c>
      <c r="K109" s="221">
        <f t="shared" si="50"/>
        <v>0</v>
      </c>
      <c r="L109" s="38"/>
      <c r="M109" s="104"/>
      <c r="N109" s="105"/>
      <c r="O109" s="106">
        <f t="shared" si="51"/>
        <v>1</v>
      </c>
      <c r="P109" s="106"/>
      <c r="Q109" s="108"/>
      <c r="R109" s="108"/>
      <c r="S109" s="298" t="s">
        <v>994</v>
      </c>
    </row>
    <row r="110" spans="1:19" s="109" customFormat="1" ht="19.149999999999999" customHeight="1" x14ac:dyDescent="0.25">
      <c r="A110" s="3"/>
      <c r="B110" s="204"/>
      <c r="C110" s="7"/>
      <c r="D110" s="101"/>
      <c r="E110" s="600" t="s">
        <v>71</v>
      </c>
      <c r="F110" s="601"/>
      <c r="G110" s="217"/>
      <c r="H110" s="218" t="e">
        <f ca="1">Settings!$K$7</f>
        <v>#NAME?</v>
      </c>
      <c r="I110" s="219" t="s">
        <v>35</v>
      </c>
      <c r="J110" s="231">
        <v>0</v>
      </c>
      <c r="K110" s="221" t="e">
        <f t="shared" ca="1" si="50"/>
        <v>#NAME?</v>
      </c>
      <c r="L110" s="38"/>
      <c r="M110" s="104"/>
      <c r="N110" s="105"/>
      <c r="O110" s="106">
        <f t="shared" si="51"/>
        <v>1</v>
      </c>
      <c r="P110" s="106"/>
      <c r="Q110" s="108"/>
      <c r="R110" s="108"/>
      <c r="S110" s="298" t="s">
        <v>994</v>
      </c>
    </row>
    <row r="111" spans="1:19" s="109" customFormat="1" ht="19.149999999999999" customHeight="1" x14ac:dyDescent="0.25">
      <c r="A111" s="3"/>
      <c r="B111" s="204"/>
      <c r="C111" s="7"/>
      <c r="D111" s="101"/>
      <c r="E111" s="600" t="s">
        <v>72</v>
      </c>
      <c r="F111" s="601"/>
      <c r="G111" s="217"/>
      <c r="H111" s="218">
        <v>0</v>
      </c>
      <c r="I111" s="219" t="s">
        <v>58</v>
      </c>
      <c r="J111" s="231">
        <v>0</v>
      </c>
      <c r="K111" s="221">
        <f t="shared" si="50"/>
        <v>0</v>
      </c>
      <c r="L111" s="38"/>
      <c r="M111" s="104"/>
      <c r="N111" s="105"/>
      <c r="O111" s="106">
        <f t="shared" si="51"/>
        <v>1</v>
      </c>
      <c r="P111" s="106"/>
      <c r="Q111" s="108"/>
      <c r="R111" s="108"/>
      <c r="S111" s="298" t="s">
        <v>994</v>
      </c>
    </row>
    <row r="112" spans="1:19" s="109" customFormat="1" ht="19.149999999999999" customHeight="1" thickBot="1" x14ac:dyDescent="0.3">
      <c r="A112" s="3"/>
      <c r="B112" s="204"/>
      <c r="C112" s="7"/>
      <c r="D112" s="101"/>
      <c r="E112" s="600" t="s">
        <v>73</v>
      </c>
      <c r="F112" s="601"/>
      <c r="G112" s="217"/>
      <c r="H112" s="218">
        <v>0</v>
      </c>
      <c r="I112" s="219" t="s">
        <v>74</v>
      </c>
      <c r="J112" s="231">
        <v>0</v>
      </c>
      <c r="K112" s="221">
        <f t="shared" si="50"/>
        <v>0</v>
      </c>
      <c r="L112" s="38"/>
      <c r="M112" s="104"/>
      <c r="N112" s="105"/>
      <c r="O112" s="106">
        <f t="shared" si="51"/>
        <v>1</v>
      </c>
      <c r="P112" s="106"/>
      <c r="Q112" s="108"/>
      <c r="R112" s="108"/>
      <c r="S112" s="298" t="s">
        <v>994</v>
      </c>
    </row>
    <row r="113" spans="1:19" ht="15.75" thickBot="1" x14ac:dyDescent="0.25">
      <c r="A113" s="2"/>
      <c r="B113" s="51"/>
      <c r="C113" s="33"/>
      <c r="D113" s="24"/>
      <c r="E113" s="228"/>
      <c r="F113" s="229"/>
      <c r="G113" s="222"/>
      <c r="H113" s="223"/>
      <c r="I113" s="224"/>
      <c r="J113" s="230"/>
      <c r="K113" s="216"/>
      <c r="L113" s="19"/>
      <c r="M113" s="61"/>
      <c r="N113" s="40"/>
      <c r="O113" s="41" t="s">
        <v>270</v>
      </c>
    </row>
    <row r="114" spans="1:19" ht="24" customHeight="1" thickBot="1" x14ac:dyDescent="0.25">
      <c r="A114" s="2"/>
      <c r="B114" s="51"/>
      <c r="C114" s="33"/>
      <c r="D114" s="23"/>
      <c r="E114" s="94" t="s">
        <v>75</v>
      </c>
      <c r="F114" s="95"/>
      <c r="G114" s="95"/>
      <c r="H114" s="95"/>
      <c r="I114" s="95"/>
      <c r="J114" s="96"/>
      <c r="K114" s="156" t="e">
        <f ca="1">SUMIF(O115:O123,1,K115:K123)</f>
        <v>#NAME?</v>
      </c>
      <c r="L114" s="19"/>
      <c r="M114" s="61"/>
      <c r="N114" s="40"/>
      <c r="O114" s="41" t="s">
        <v>269</v>
      </c>
    </row>
    <row r="115" spans="1:19" s="109" customFormat="1" ht="19.149999999999999" customHeight="1" x14ac:dyDescent="0.25">
      <c r="A115" s="3"/>
      <c r="B115" s="204"/>
      <c r="C115" s="7"/>
      <c r="D115" s="101"/>
      <c r="E115" s="142" t="s">
        <v>76</v>
      </c>
      <c r="F115" s="174"/>
      <c r="G115" s="103"/>
      <c r="H115" s="143">
        <v>0</v>
      </c>
      <c r="I115" s="146" t="s">
        <v>53</v>
      </c>
      <c r="J115" s="149">
        <v>200</v>
      </c>
      <c r="K115" s="150">
        <f>SUM(H115*J115)</f>
        <v>0</v>
      </c>
      <c r="L115" s="38"/>
      <c r="M115" s="104"/>
      <c r="N115" s="105"/>
      <c r="O115" s="106">
        <f t="shared" ref="O115:O122" si="52">OR(NOT(ISERROR(SEARCH($F$5,Q115))),Q115=0)*OR(NOT(ISERROR(SEARCH($F$6,R115))),R115=0)</f>
        <v>1</v>
      </c>
      <c r="P115" s="106"/>
      <c r="Q115" s="108"/>
      <c r="R115" s="108"/>
      <c r="S115" s="298" t="s">
        <v>993</v>
      </c>
    </row>
    <row r="116" spans="1:19" s="109" customFormat="1" ht="19.149999999999999" customHeight="1" x14ac:dyDescent="0.25">
      <c r="A116" s="3"/>
      <c r="B116" s="204"/>
      <c r="C116" s="7"/>
      <c r="D116" s="101"/>
      <c r="E116" s="600" t="s">
        <v>77</v>
      </c>
      <c r="F116" s="601"/>
      <c r="G116" s="217"/>
      <c r="H116" s="218">
        <v>1</v>
      </c>
      <c r="I116" s="219" t="s">
        <v>18</v>
      </c>
      <c r="J116" s="231">
        <v>0</v>
      </c>
      <c r="K116" s="221">
        <f t="shared" ref="K116:K121" si="53">SUM(H116*J116)</f>
        <v>0</v>
      </c>
      <c r="L116" s="38"/>
      <c r="M116" s="104"/>
      <c r="N116" s="105"/>
      <c r="O116" s="106">
        <f t="shared" si="52"/>
        <v>1</v>
      </c>
      <c r="P116" s="106"/>
      <c r="Q116" s="108"/>
      <c r="R116" s="108"/>
      <c r="S116" s="298" t="s">
        <v>993</v>
      </c>
    </row>
    <row r="117" spans="1:19" s="109" customFormat="1" ht="19.149999999999999" customHeight="1" x14ac:dyDescent="0.25">
      <c r="A117" s="3"/>
      <c r="B117" s="204"/>
      <c r="C117" s="7"/>
      <c r="D117" s="101"/>
      <c r="E117" s="600" t="s">
        <v>78</v>
      </c>
      <c r="F117" s="601"/>
      <c r="G117" s="217"/>
      <c r="H117" s="218" t="e">
        <f ca="1">Settings!$K$6</f>
        <v>#NAME?</v>
      </c>
      <c r="I117" s="219" t="s">
        <v>21</v>
      </c>
      <c r="J117" s="231">
        <v>0</v>
      </c>
      <c r="K117" s="221" t="e">
        <f t="shared" ca="1" si="53"/>
        <v>#NAME?</v>
      </c>
      <c r="L117" s="38"/>
      <c r="M117" s="104"/>
      <c r="N117" s="105"/>
      <c r="O117" s="106">
        <f t="shared" si="52"/>
        <v>1</v>
      </c>
      <c r="P117" s="106"/>
      <c r="Q117" s="108"/>
      <c r="R117" s="108"/>
      <c r="S117" s="298" t="s">
        <v>993</v>
      </c>
    </row>
    <row r="118" spans="1:19" s="109" customFormat="1" ht="19.149999999999999" customHeight="1" x14ac:dyDescent="0.25">
      <c r="A118" s="3"/>
      <c r="B118" s="204"/>
      <c r="C118" s="7"/>
      <c r="D118" s="101"/>
      <c r="E118" s="600" t="s">
        <v>419</v>
      </c>
      <c r="F118" s="601"/>
      <c r="G118" s="217"/>
      <c r="H118" s="218">
        <v>0</v>
      </c>
      <c r="I118" s="219" t="s">
        <v>53</v>
      </c>
      <c r="J118" s="231">
        <v>200</v>
      </c>
      <c r="K118" s="221">
        <f t="shared" si="53"/>
        <v>0</v>
      </c>
      <c r="L118" s="38"/>
      <c r="M118" s="104"/>
      <c r="N118" s="105"/>
      <c r="O118" s="106">
        <f t="shared" si="52"/>
        <v>1</v>
      </c>
      <c r="P118" s="106"/>
      <c r="Q118" s="111" t="s">
        <v>947</v>
      </c>
      <c r="R118" s="108"/>
      <c r="S118" s="298" t="s">
        <v>993</v>
      </c>
    </row>
    <row r="119" spans="1:19" s="109" customFormat="1" ht="19.149999999999999" customHeight="1" x14ac:dyDescent="0.25">
      <c r="A119" s="3"/>
      <c r="B119" s="204"/>
      <c r="C119" s="7"/>
      <c r="D119" s="101"/>
      <c r="E119" s="600" t="s">
        <v>959</v>
      </c>
      <c r="F119" s="601"/>
      <c r="G119" s="217"/>
      <c r="H119" s="218">
        <v>0</v>
      </c>
      <c r="I119" s="219" t="s">
        <v>53</v>
      </c>
      <c r="J119" s="231">
        <v>750</v>
      </c>
      <c r="K119" s="221">
        <f t="shared" si="53"/>
        <v>0</v>
      </c>
      <c r="L119" s="38"/>
      <c r="M119" s="104"/>
      <c r="N119" s="105"/>
      <c r="O119" s="106">
        <f t="shared" si="52"/>
        <v>1</v>
      </c>
      <c r="P119" s="106"/>
      <c r="Q119" s="111" t="s">
        <v>947</v>
      </c>
      <c r="R119" s="108"/>
      <c r="S119" s="298" t="s">
        <v>993</v>
      </c>
    </row>
    <row r="120" spans="1:19" s="109" customFormat="1" ht="19.149999999999999" customHeight="1" x14ac:dyDescent="0.25">
      <c r="A120" s="3"/>
      <c r="B120" s="204"/>
      <c r="C120" s="7"/>
      <c r="D120" s="101"/>
      <c r="E120" s="600" t="s">
        <v>960</v>
      </c>
      <c r="F120" s="601"/>
      <c r="G120" s="217"/>
      <c r="H120" s="218">
        <v>0</v>
      </c>
      <c r="I120" s="219" t="s">
        <v>53</v>
      </c>
      <c r="J120" s="231">
        <v>5000</v>
      </c>
      <c r="K120" s="221">
        <f t="shared" si="53"/>
        <v>0</v>
      </c>
      <c r="L120" s="38"/>
      <c r="M120" s="104"/>
      <c r="N120" s="105"/>
      <c r="O120" s="106">
        <f t="shared" si="52"/>
        <v>1</v>
      </c>
      <c r="P120" s="106"/>
      <c r="Q120" s="111" t="s">
        <v>445</v>
      </c>
      <c r="R120" s="108"/>
      <c r="S120" s="298" t="s">
        <v>993</v>
      </c>
    </row>
    <row r="121" spans="1:19" s="109" customFormat="1" ht="19.149999999999999" customHeight="1" x14ac:dyDescent="0.25">
      <c r="A121" s="3"/>
      <c r="B121" s="204"/>
      <c r="C121" s="7"/>
      <c r="D121" s="101"/>
      <c r="E121" s="600" t="s">
        <v>420</v>
      </c>
      <c r="F121" s="601"/>
      <c r="G121" s="217"/>
      <c r="H121" s="218">
        <v>0</v>
      </c>
      <c r="I121" s="219" t="s">
        <v>53</v>
      </c>
      <c r="J121" s="231">
        <v>25000</v>
      </c>
      <c r="K121" s="221">
        <f t="shared" si="53"/>
        <v>0</v>
      </c>
      <c r="L121" s="38"/>
      <c r="M121" s="104"/>
      <c r="N121" s="105"/>
      <c r="O121" s="106">
        <f t="shared" si="52"/>
        <v>1</v>
      </c>
      <c r="P121" s="106"/>
      <c r="Q121" s="111" t="s">
        <v>445</v>
      </c>
      <c r="R121" s="108"/>
      <c r="S121" s="298" t="s">
        <v>993</v>
      </c>
    </row>
    <row r="122" spans="1:19" s="109" customFormat="1" ht="19.149999999999999" customHeight="1" thickBot="1" x14ac:dyDescent="0.3">
      <c r="A122" s="3"/>
      <c r="B122" s="204"/>
      <c r="C122" s="7"/>
      <c r="D122" s="101"/>
      <c r="E122" s="600" t="s">
        <v>421</v>
      </c>
      <c r="F122" s="601"/>
      <c r="G122" s="217"/>
      <c r="H122" s="218" t="e">
        <f ca="1">Settings!$K$6</f>
        <v>#NAME?</v>
      </c>
      <c r="I122" s="219" t="s">
        <v>21</v>
      </c>
      <c r="J122" s="220">
        <v>0</v>
      </c>
      <c r="K122" s="221" t="e">
        <f ca="1">SUM(H122*J122)</f>
        <v>#NAME?</v>
      </c>
      <c r="L122" s="38"/>
      <c r="M122" s="104"/>
      <c r="N122" s="105"/>
      <c r="O122" s="106">
        <f t="shared" si="52"/>
        <v>1</v>
      </c>
      <c r="P122" s="106"/>
      <c r="Q122" s="108"/>
      <c r="R122" s="108"/>
      <c r="S122" s="298" t="s">
        <v>993</v>
      </c>
    </row>
    <row r="123" spans="1:19" ht="7.9" customHeight="1" x14ac:dyDescent="0.2">
      <c r="A123" s="2"/>
      <c r="B123" s="51"/>
      <c r="C123" s="33"/>
      <c r="D123" s="24"/>
      <c r="E123" s="244"/>
      <c r="F123" s="244"/>
      <c r="G123" s="244"/>
      <c r="H123" s="245"/>
      <c r="I123" s="243"/>
      <c r="J123" s="246"/>
      <c r="K123" s="247"/>
      <c r="L123" s="19"/>
      <c r="M123" s="61"/>
      <c r="N123" s="40"/>
      <c r="O123" s="41" t="s">
        <v>270</v>
      </c>
    </row>
    <row r="124" spans="1:19" ht="7.9" customHeight="1" thickBot="1" x14ac:dyDescent="0.25">
      <c r="A124" s="2"/>
      <c r="B124" s="51"/>
      <c r="C124" s="33"/>
      <c r="D124" s="19"/>
      <c r="E124" s="19"/>
      <c r="F124" s="19"/>
      <c r="G124" s="19"/>
      <c r="H124" s="19"/>
      <c r="I124" s="19"/>
      <c r="J124" s="47"/>
      <c r="K124" s="19"/>
      <c r="L124" s="19"/>
      <c r="M124" s="61"/>
      <c r="N124" s="40"/>
    </row>
    <row r="125" spans="1:19" ht="24" customHeight="1" thickBot="1" x14ac:dyDescent="0.25">
      <c r="A125" s="2"/>
      <c r="B125" s="51"/>
      <c r="C125" s="33"/>
      <c r="D125" s="23"/>
      <c r="E125" s="94" t="s">
        <v>977</v>
      </c>
      <c r="F125" s="95"/>
      <c r="G125" s="95"/>
      <c r="H125" s="95"/>
      <c r="I125" s="95"/>
      <c r="J125" s="96"/>
      <c r="K125" s="156">
        <f>SUMIF(O130:O138,1,K130:K138)</f>
        <v>2000</v>
      </c>
      <c r="L125" s="19"/>
      <c r="M125" s="61"/>
      <c r="N125" s="40"/>
      <c r="O125" s="41" t="s">
        <v>269</v>
      </c>
    </row>
    <row r="126" spans="1:19" s="109" customFormat="1" ht="19.149999999999999" customHeight="1" x14ac:dyDescent="0.25">
      <c r="A126" s="3"/>
      <c r="B126" s="536"/>
      <c r="C126" s="7"/>
      <c r="D126" s="101"/>
      <c r="E126" s="600" t="s">
        <v>88</v>
      </c>
      <c r="F126" s="601"/>
      <c r="G126" s="217"/>
      <c r="H126" s="218" t="e">
        <f ca="1">Settings!$K$6</f>
        <v>#NAME?</v>
      </c>
      <c r="I126" s="219" t="s">
        <v>21</v>
      </c>
      <c r="J126" s="231">
        <v>0</v>
      </c>
      <c r="K126" s="221" t="e">
        <f t="shared" ref="K126:K129" ca="1" si="54">SUM(H126*J126)</f>
        <v>#NAME?</v>
      </c>
      <c r="L126" s="38"/>
      <c r="M126" s="104"/>
      <c r="N126" s="105"/>
      <c r="O126" s="106">
        <f t="shared" ref="O126:O129" si="55">OR(NOT(ISERROR(SEARCH($F$5,Q126))),Q126=0)*OR(NOT(ISERROR(SEARCH($F$6,R126))),R126=0)</f>
        <v>1</v>
      </c>
      <c r="P126" s="106"/>
      <c r="Q126" s="108"/>
      <c r="R126" s="108"/>
      <c r="S126" s="298" t="s">
        <v>995</v>
      </c>
    </row>
    <row r="127" spans="1:19" s="109" customFormat="1" ht="19.149999999999999" customHeight="1" x14ac:dyDescent="0.25">
      <c r="A127" s="3"/>
      <c r="B127" s="536"/>
      <c r="C127" s="7"/>
      <c r="D127" s="101"/>
      <c r="E127" s="600" t="s">
        <v>90</v>
      </c>
      <c r="F127" s="601"/>
      <c r="G127" s="217"/>
      <c r="H127" s="218" t="e">
        <f ca="1">Settings!$K$6</f>
        <v>#NAME?</v>
      </c>
      <c r="I127" s="219" t="s">
        <v>21</v>
      </c>
      <c r="J127" s="231">
        <v>0</v>
      </c>
      <c r="K127" s="221" t="e">
        <f t="shared" ca="1" si="54"/>
        <v>#NAME?</v>
      </c>
      <c r="L127" s="38"/>
      <c r="M127" s="104"/>
      <c r="N127" s="105"/>
      <c r="O127" s="106">
        <f t="shared" si="55"/>
        <v>1</v>
      </c>
      <c r="P127" s="106"/>
      <c r="Q127" s="108"/>
      <c r="R127" s="108"/>
      <c r="S127" s="298" t="s">
        <v>995</v>
      </c>
    </row>
    <row r="128" spans="1:19" s="109" customFormat="1" ht="19.149999999999999" customHeight="1" x14ac:dyDescent="0.25">
      <c r="A128" s="3"/>
      <c r="B128" s="536"/>
      <c r="C128" s="7"/>
      <c r="D128" s="101"/>
      <c r="E128" s="600" t="s">
        <v>91</v>
      </c>
      <c r="F128" s="601"/>
      <c r="G128" s="217"/>
      <c r="H128" s="218">
        <v>0</v>
      </c>
      <c r="I128" s="219" t="s">
        <v>74</v>
      </c>
      <c r="J128" s="231">
        <v>0</v>
      </c>
      <c r="K128" s="221">
        <f t="shared" si="54"/>
        <v>0</v>
      </c>
      <c r="L128" s="38"/>
      <c r="M128" s="104"/>
      <c r="N128" s="105"/>
      <c r="O128" s="106">
        <f t="shared" si="55"/>
        <v>1</v>
      </c>
      <c r="P128" s="106"/>
      <c r="Q128" s="108"/>
      <c r="R128" s="108"/>
      <c r="S128" s="298" t="s">
        <v>995</v>
      </c>
    </row>
    <row r="129" spans="1:19" s="109" customFormat="1" ht="19.149999999999999" customHeight="1" x14ac:dyDescent="0.25">
      <c r="A129" s="3"/>
      <c r="B129" s="536"/>
      <c r="C129" s="7"/>
      <c r="D129" s="101"/>
      <c r="E129" s="600" t="s">
        <v>92</v>
      </c>
      <c r="F129" s="601"/>
      <c r="G129" s="217"/>
      <c r="H129" s="218">
        <v>0</v>
      </c>
      <c r="I129" s="219" t="s">
        <v>74</v>
      </c>
      <c r="J129" s="231">
        <v>0</v>
      </c>
      <c r="K129" s="221">
        <f t="shared" si="54"/>
        <v>0</v>
      </c>
      <c r="L129" s="38"/>
      <c r="M129" s="104"/>
      <c r="N129" s="105"/>
      <c r="O129" s="106">
        <f t="shared" si="55"/>
        <v>1</v>
      </c>
      <c r="P129" s="106"/>
      <c r="Q129" s="108"/>
      <c r="R129" s="108"/>
      <c r="S129" s="298" t="s">
        <v>995</v>
      </c>
    </row>
    <row r="130" spans="1:19" s="109" customFormat="1" ht="19.149999999999999" customHeight="1" x14ac:dyDescent="0.25">
      <c r="A130" s="3"/>
      <c r="B130" s="204"/>
      <c r="C130" s="7"/>
      <c r="D130" s="101"/>
      <c r="E130" s="598" t="s">
        <v>85</v>
      </c>
      <c r="F130" s="599"/>
      <c r="G130" s="110"/>
      <c r="H130" s="144">
        <v>0</v>
      </c>
      <c r="I130" s="147" t="s">
        <v>431</v>
      </c>
      <c r="J130" s="151">
        <v>2000</v>
      </c>
      <c r="K130" s="152">
        <f t="shared" ref="K130:K137" si="56">SUM(H130*J130)</f>
        <v>0</v>
      </c>
      <c r="L130" s="38"/>
      <c r="M130" s="104"/>
      <c r="N130" s="105"/>
      <c r="O130" s="106">
        <f t="shared" ref="O130:O137" si="57">OR(NOT(ISERROR(SEARCH($F$5,Q130))),Q130=0)*OR(NOT(ISERROR(SEARCH($F$6,R130))),R130=0)</f>
        <v>1</v>
      </c>
      <c r="P130" s="106"/>
      <c r="Q130" s="108"/>
      <c r="R130" s="108"/>
      <c r="S130" s="298" t="s">
        <v>995</v>
      </c>
    </row>
    <row r="131" spans="1:19" s="109" customFormat="1" ht="19.149999999999999" customHeight="1" x14ac:dyDescent="0.25">
      <c r="A131" s="3"/>
      <c r="B131" s="530"/>
      <c r="C131" s="7"/>
      <c r="D131" s="101"/>
      <c r="E131" s="142" t="s">
        <v>81</v>
      </c>
      <c r="F131" s="174"/>
      <c r="G131" s="103"/>
      <c r="H131" s="143">
        <v>1</v>
      </c>
      <c r="I131" s="146" t="s">
        <v>18</v>
      </c>
      <c r="J131" s="149">
        <v>2000</v>
      </c>
      <c r="K131" s="150">
        <f t="shared" si="56"/>
        <v>2000</v>
      </c>
      <c r="L131" s="38"/>
      <c r="M131" s="104"/>
      <c r="N131" s="105"/>
      <c r="O131" s="106">
        <f t="shared" si="57"/>
        <v>1</v>
      </c>
      <c r="P131" s="106"/>
      <c r="Q131" s="111" t="s">
        <v>946</v>
      </c>
      <c r="R131" s="108"/>
      <c r="S131" s="298" t="s">
        <v>995</v>
      </c>
    </row>
    <row r="132" spans="1:19" s="109" customFormat="1" ht="19.149999999999999" customHeight="1" x14ac:dyDescent="0.25">
      <c r="A132" s="3"/>
      <c r="B132" s="204"/>
      <c r="C132" s="7"/>
      <c r="D132" s="101"/>
      <c r="E132" s="600" t="s">
        <v>82</v>
      </c>
      <c r="F132" s="601"/>
      <c r="G132" s="217"/>
      <c r="H132" s="218">
        <v>0</v>
      </c>
      <c r="I132" s="219" t="s">
        <v>83</v>
      </c>
      <c r="J132" s="231">
        <v>0</v>
      </c>
      <c r="K132" s="221">
        <f t="shared" si="56"/>
        <v>0</v>
      </c>
      <c r="L132" s="38"/>
      <c r="M132" s="104"/>
      <c r="N132" s="105"/>
      <c r="O132" s="106">
        <f t="shared" si="57"/>
        <v>1</v>
      </c>
      <c r="P132" s="106"/>
      <c r="Q132" s="108"/>
      <c r="R132" s="108"/>
      <c r="S132" s="298" t="s">
        <v>995</v>
      </c>
    </row>
    <row r="133" spans="1:19" s="109" customFormat="1" ht="19.149999999999999" customHeight="1" thickBot="1" x14ac:dyDescent="0.3">
      <c r="A133" s="3"/>
      <c r="B133" s="204"/>
      <c r="C133" s="7"/>
      <c r="D133" s="101"/>
      <c r="E133" s="600" t="s">
        <v>84</v>
      </c>
      <c r="F133" s="601"/>
      <c r="G133" s="217"/>
      <c r="H133" s="218">
        <v>0</v>
      </c>
      <c r="I133" s="219" t="s">
        <v>83</v>
      </c>
      <c r="J133" s="231">
        <v>0</v>
      </c>
      <c r="K133" s="221">
        <f t="shared" si="56"/>
        <v>0</v>
      </c>
      <c r="L133" s="38"/>
      <c r="M133" s="104"/>
      <c r="N133" s="105"/>
      <c r="O133" s="106">
        <f t="shared" si="57"/>
        <v>1</v>
      </c>
      <c r="P133" s="106"/>
      <c r="Q133" s="108"/>
      <c r="R133" s="108"/>
      <c r="S133" s="298" t="s">
        <v>995</v>
      </c>
    </row>
    <row r="134" spans="1:19" s="109" customFormat="1" ht="19.149999999999999" hidden="1" customHeight="1" x14ac:dyDescent="0.25">
      <c r="A134" s="3"/>
      <c r="B134" s="530"/>
      <c r="C134" s="7"/>
      <c r="D134" s="101"/>
      <c r="E134" s="600" t="s">
        <v>963</v>
      </c>
      <c r="F134" s="601"/>
      <c r="G134" s="217"/>
      <c r="H134" s="218">
        <v>0</v>
      </c>
      <c r="I134" s="219" t="s">
        <v>83</v>
      </c>
      <c r="J134" s="231">
        <v>0</v>
      </c>
      <c r="K134" s="221">
        <f t="shared" si="56"/>
        <v>0</v>
      </c>
      <c r="L134" s="38"/>
      <c r="M134" s="104"/>
      <c r="N134" s="105"/>
      <c r="O134" s="106">
        <f t="shared" si="57"/>
        <v>0</v>
      </c>
      <c r="P134" s="106"/>
      <c r="Q134" s="108" t="s">
        <v>285</v>
      </c>
      <c r="R134" s="108"/>
      <c r="S134" s="298" t="s">
        <v>489</v>
      </c>
    </row>
    <row r="135" spans="1:19" s="109" customFormat="1" ht="19.149999999999999" hidden="1" customHeight="1" x14ac:dyDescent="0.25">
      <c r="A135" s="3"/>
      <c r="B135" s="530"/>
      <c r="C135" s="7"/>
      <c r="D135" s="101"/>
      <c r="E135" s="600" t="s">
        <v>964</v>
      </c>
      <c r="F135" s="601"/>
      <c r="G135" s="217"/>
      <c r="H135" s="218">
        <v>0</v>
      </c>
      <c r="I135" s="219" t="s">
        <v>83</v>
      </c>
      <c r="J135" s="231">
        <v>0</v>
      </c>
      <c r="K135" s="221">
        <f t="shared" si="56"/>
        <v>0</v>
      </c>
      <c r="L135" s="38"/>
      <c r="M135" s="104"/>
      <c r="N135" s="105"/>
      <c r="O135" s="106">
        <f t="shared" si="57"/>
        <v>0</v>
      </c>
      <c r="P135" s="106"/>
      <c r="Q135" s="108" t="s">
        <v>285</v>
      </c>
      <c r="R135" s="108"/>
      <c r="S135" s="298" t="s">
        <v>489</v>
      </c>
    </row>
    <row r="136" spans="1:19" s="109" customFormat="1" ht="19.149999999999999" hidden="1" customHeight="1" x14ac:dyDescent="0.25">
      <c r="A136" s="3"/>
      <c r="B136" s="530"/>
      <c r="C136" s="7"/>
      <c r="D136" s="101"/>
      <c r="E136" s="600" t="s">
        <v>962</v>
      </c>
      <c r="F136" s="601"/>
      <c r="G136" s="217"/>
      <c r="H136" s="218">
        <v>0</v>
      </c>
      <c r="I136" s="219" t="s">
        <v>83</v>
      </c>
      <c r="J136" s="231">
        <v>0</v>
      </c>
      <c r="K136" s="221">
        <f t="shared" si="56"/>
        <v>0</v>
      </c>
      <c r="L136" s="38"/>
      <c r="M136" s="104"/>
      <c r="N136" s="105"/>
      <c r="O136" s="106">
        <f t="shared" si="57"/>
        <v>0</v>
      </c>
      <c r="P136" s="106"/>
      <c r="Q136" s="111" t="s">
        <v>285</v>
      </c>
      <c r="R136" s="108"/>
      <c r="S136" s="298" t="s">
        <v>489</v>
      </c>
    </row>
    <row r="137" spans="1:19" s="109" customFormat="1" ht="19.149999999999999" hidden="1" customHeight="1" thickBot="1" x14ac:dyDescent="0.3">
      <c r="A137" s="3"/>
      <c r="B137" s="530"/>
      <c r="C137" s="7"/>
      <c r="D137" s="101"/>
      <c r="E137" s="600" t="s">
        <v>961</v>
      </c>
      <c r="F137" s="601"/>
      <c r="G137" s="217"/>
      <c r="H137" s="218">
        <v>0</v>
      </c>
      <c r="I137" s="219" t="s">
        <v>83</v>
      </c>
      <c r="J137" s="231">
        <v>0</v>
      </c>
      <c r="K137" s="221">
        <f t="shared" si="56"/>
        <v>0</v>
      </c>
      <c r="L137" s="38"/>
      <c r="M137" s="104"/>
      <c r="N137" s="105"/>
      <c r="O137" s="106">
        <f t="shared" si="57"/>
        <v>0</v>
      </c>
      <c r="P137" s="106"/>
      <c r="Q137" s="108" t="s">
        <v>285</v>
      </c>
      <c r="R137" s="108"/>
      <c r="S137" s="298" t="s">
        <v>489</v>
      </c>
    </row>
    <row r="138" spans="1:19" ht="7.9" customHeight="1" thickBot="1" x14ac:dyDescent="0.25">
      <c r="A138" s="2"/>
      <c r="B138" s="51"/>
      <c r="C138" s="33"/>
      <c r="D138" s="24"/>
      <c r="E138" s="244"/>
      <c r="F138" s="244"/>
      <c r="G138" s="244"/>
      <c r="H138" s="245"/>
      <c r="I138" s="243"/>
      <c r="J138" s="246"/>
      <c r="K138" s="247"/>
      <c r="L138" s="19"/>
      <c r="M138" s="61"/>
      <c r="N138" s="40"/>
      <c r="O138" s="41" t="s">
        <v>270</v>
      </c>
    </row>
    <row r="139" spans="1:19" ht="24" customHeight="1" thickBot="1" x14ac:dyDescent="0.25">
      <c r="A139" s="2"/>
      <c r="B139" s="51"/>
      <c r="C139" s="33"/>
      <c r="D139" s="23"/>
      <c r="E139" s="94" t="s">
        <v>422</v>
      </c>
      <c r="F139" s="95"/>
      <c r="G139" s="95"/>
      <c r="H139" s="95"/>
      <c r="I139" s="95"/>
      <c r="J139" s="96"/>
      <c r="K139" s="156">
        <f>SUMIF(O140:O147,1,K140:K147)</f>
        <v>0</v>
      </c>
      <c r="L139" s="19"/>
      <c r="M139" s="61"/>
      <c r="N139" s="40"/>
      <c r="O139" s="41" t="s">
        <v>269</v>
      </c>
      <c r="S139" s="42"/>
    </row>
    <row r="140" spans="1:19" s="109" customFormat="1" ht="19.149999999999999" customHeight="1" x14ac:dyDescent="0.25">
      <c r="A140" s="3"/>
      <c r="B140" s="536"/>
      <c r="C140" s="7"/>
      <c r="D140" s="101"/>
      <c r="E140" s="600" t="s">
        <v>88</v>
      </c>
      <c r="F140" s="601"/>
      <c r="G140" s="217"/>
      <c r="H140" s="218">
        <v>0</v>
      </c>
      <c r="I140" s="219" t="s">
        <v>18</v>
      </c>
      <c r="J140" s="231">
        <v>0</v>
      </c>
      <c r="K140" s="221">
        <f>SUM(H140*J140)</f>
        <v>0</v>
      </c>
      <c r="L140" s="38"/>
      <c r="M140" s="104"/>
      <c r="N140" s="105"/>
      <c r="O140" s="106">
        <f t="shared" ref="O140:O147" si="58">OR(NOT(ISERROR(SEARCH($F$5,Q140))),Q140=0)*OR(NOT(ISERROR(SEARCH($F$6,R140))),R140=0)</f>
        <v>1</v>
      </c>
      <c r="P140" s="106"/>
      <c r="Q140" s="108"/>
      <c r="R140" s="108"/>
      <c r="S140" s="298" t="s">
        <v>993</v>
      </c>
    </row>
    <row r="141" spans="1:19" s="109" customFormat="1" ht="19.149999999999999" customHeight="1" x14ac:dyDescent="0.25">
      <c r="A141" s="3"/>
      <c r="B141" s="536"/>
      <c r="C141" s="7"/>
      <c r="D141" s="101"/>
      <c r="E141" s="600" t="s">
        <v>983</v>
      </c>
      <c r="F141" s="601"/>
      <c r="G141" s="217"/>
      <c r="H141" s="218">
        <v>0</v>
      </c>
      <c r="I141" s="219" t="s">
        <v>53</v>
      </c>
      <c r="J141" s="231">
        <v>0</v>
      </c>
      <c r="K141" s="221">
        <f>SUM(H141*J141)</f>
        <v>0</v>
      </c>
      <c r="L141" s="38"/>
      <c r="M141" s="104"/>
      <c r="N141" s="105"/>
      <c r="O141" s="106">
        <f t="shared" si="58"/>
        <v>1</v>
      </c>
      <c r="P141" s="106"/>
      <c r="Q141" s="108"/>
      <c r="R141" s="108"/>
      <c r="S141" s="298" t="s">
        <v>993</v>
      </c>
    </row>
    <row r="142" spans="1:19" s="109" customFormat="1" ht="19.149999999999999" customHeight="1" x14ac:dyDescent="0.25">
      <c r="A142" s="3"/>
      <c r="B142" s="536"/>
      <c r="C142" s="7"/>
      <c r="D142" s="101"/>
      <c r="E142" s="600" t="s">
        <v>978</v>
      </c>
      <c r="F142" s="601"/>
      <c r="G142" s="217"/>
      <c r="H142" s="218">
        <v>0</v>
      </c>
      <c r="I142" s="219" t="s">
        <v>18</v>
      </c>
      <c r="J142" s="231"/>
      <c r="K142" s="221">
        <f t="shared" ref="K142:K147" si="59">SUM(H142*J142)</f>
        <v>0</v>
      </c>
      <c r="L142" s="38"/>
      <c r="M142" s="104"/>
      <c r="N142" s="105"/>
      <c r="O142" s="106">
        <f t="shared" si="58"/>
        <v>1</v>
      </c>
      <c r="P142" s="106"/>
      <c r="Q142" s="108"/>
      <c r="R142" s="108"/>
      <c r="S142" s="298" t="s">
        <v>993</v>
      </c>
    </row>
    <row r="143" spans="1:19" s="109" customFormat="1" ht="19.149999999999999" customHeight="1" x14ac:dyDescent="0.25">
      <c r="A143" s="3"/>
      <c r="B143" s="536"/>
      <c r="C143" s="7"/>
      <c r="D143" s="101"/>
      <c r="E143" s="600" t="s">
        <v>979</v>
      </c>
      <c r="F143" s="601"/>
      <c r="G143" s="217"/>
      <c r="H143" s="218">
        <v>0</v>
      </c>
      <c r="I143" s="219" t="s">
        <v>18</v>
      </c>
      <c r="J143" s="231"/>
      <c r="K143" s="221">
        <f t="shared" si="59"/>
        <v>0</v>
      </c>
      <c r="L143" s="38"/>
      <c r="M143" s="104"/>
      <c r="N143" s="105"/>
      <c r="O143" s="106">
        <f t="shared" si="58"/>
        <v>1</v>
      </c>
      <c r="P143" s="106"/>
      <c r="Q143" s="108"/>
      <c r="R143" s="108"/>
      <c r="S143" s="298" t="s">
        <v>993</v>
      </c>
    </row>
    <row r="144" spans="1:19" s="109" customFormat="1" ht="19.149999999999999" customHeight="1" x14ac:dyDescent="0.25">
      <c r="A144" s="3"/>
      <c r="B144" s="536"/>
      <c r="C144" s="7"/>
      <c r="D144" s="101"/>
      <c r="E144" s="600" t="s">
        <v>980</v>
      </c>
      <c r="F144" s="601"/>
      <c r="G144" s="217"/>
      <c r="H144" s="218">
        <v>0</v>
      </c>
      <c r="I144" s="219" t="s">
        <v>18</v>
      </c>
      <c r="J144" s="231"/>
      <c r="K144" s="221">
        <f t="shared" si="59"/>
        <v>0</v>
      </c>
      <c r="L144" s="38"/>
      <c r="M144" s="104"/>
      <c r="N144" s="105"/>
      <c r="O144" s="106">
        <f t="shared" si="58"/>
        <v>1</v>
      </c>
      <c r="P144" s="106"/>
      <c r="Q144" s="108"/>
      <c r="R144" s="108"/>
      <c r="S144" s="298" t="s">
        <v>993</v>
      </c>
    </row>
    <row r="145" spans="1:19" s="109" customFormat="1" ht="19.149999999999999" customHeight="1" x14ac:dyDescent="0.25">
      <c r="A145" s="3"/>
      <c r="B145" s="536"/>
      <c r="C145" s="7"/>
      <c r="D145" s="101"/>
      <c r="E145" s="600" t="s">
        <v>981</v>
      </c>
      <c r="F145" s="601"/>
      <c r="G145" s="217"/>
      <c r="H145" s="218">
        <v>0</v>
      </c>
      <c r="I145" s="219" t="s">
        <v>18</v>
      </c>
      <c r="J145" s="231"/>
      <c r="K145" s="221">
        <f t="shared" si="59"/>
        <v>0</v>
      </c>
      <c r="L145" s="38"/>
      <c r="M145" s="104"/>
      <c r="N145" s="105"/>
      <c r="O145" s="106">
        <f t="shared" si="58"/>
        <v>1</v>
      </c>
      <c r="P145" s="106"/>
      <c r="Q145" s="108"/>
      <c r="R145" s="108"/>
      <c r="S145" s="298" t="s">
        <v>993</v>
      </c>
    </row>
    <row r="146" spans="1:19" s="109" customFormat="1" ht="19.149999999999999" customHeight="1" x14ac:dyDescent="0.25">
      <c r="A146" s="3"/>
      <c r="B146" s="536"/>
      <c r="C146" s="7"/>
      <c r="D146" s="101"/>
      <c r="E146" s="600" t="s">
        <v>982</v>
      </c>
      <c r="F146" s="601"/>
      <c r="G146" s="217"/>
      <c r="H146" s="218">
        <v>0</v>
      </c>
      <c r="I146" s="219" t="s">
        <v>18</v>
      </c>
      <c r="J146" s="231"/>
      <c r="K146" s="221">
        <f t="shared" si="59"/>
        <v>0</v>
      </c>
      <c r="L146" s="38"/>
      <c r="M146" s="104"/>
      <c r="N146" s="105"/>
      <c r="O146" s="106">
        <f t="shared" si="58"/>
        <v>1</v>
      </c>
      <c r="P146" s="106"/>
      <c r="Q146" s="108"/>
      <c r="R146" s="108"/>
      <c r="S146" s="298" t="s">
        <v>993</v>
      </c>
    </row>
    <row r="147" spans="1:19" s="109" customFormat="1" ht="19.149999999999999" customHeight="1" thickBot="1" x14ac:dyDescent="0.3">
      <c r="A147" s="3"/>
      <c r="B147" s="536"/>
      <c r="C147" s="7"/>
      <c r="D147" s="101"/>
      <c r="E147" s="202" t="s">
        <v>984</v>
      </c>
      <c r="F147" s="203"/>
      <c r="G147" s="112"/>
      <c r="H147" s="145">
        <v>0</v>
      </c>
      <c r="I147" s="148" t="s">
        <v>18</v>
      </c>
      <c r="J147" s="154"/>
      <c r="K147" s="155">
        <f t="shared" si="59"/>
        <v>0</v>
      </c>
      <c r="L147" s="38"/>
      <c r="M147" s="104"/>
      <c r="N147" s="105"/>
      <c r="O147" s="106">
        <f t="shared" si="58"/>
        <v>1</v>
      </c>
      <c r="P147" s="106"/>
      <c r="Q147" s="108"/>
      <c r="R147" s="108"/>
      <c r="S147" s="298" t="s">
        <v>993</v>
      </c>
    </row>
    <row r="148" spans="1:19" ht="7.9" customHeight="1" thickBot="1" x14ac:dyDescent="0.25">
      <c r="A148" s="2"/>
      <c r="B148" s="51"/>
      <c r="C148" s="33"/>
      <c r="D148" s="19"/>
      <c r="E148" s="19"/>
      <c r="F148" s="19"/>
      <c r="G148" s="19"/>
      <c r="H148" s="19"/>
      <c r="I148" s="19"/>
      <c r="J148" s="47"/>
      <c r="K148" s="19"/>
      <c r="L148" s="19"/>
      <c r="M148" s="61"/>
      <c r="N148" s="40"/>
      <c r="O148" s="41" t="s">
        <v>270</v>
      </c>
    </row>
    <row r="149" spans="1:19" ht="24" customHeight="1" thickBot="1" x14ac:dyDescent="0.25">
      <c r="A149" s="2"/>
      <c r="B149" s="51"/>
      <c r="C149" s="33"/>
      <c r="D149" s="23"/>
      <c r="E149" s="94" t="s">
        <v>93</v>
      </c>
      <c r="F149" s="95"/>
      <c r="G149" s="95"/>
      <c r="H149" s="95"/>
      <c r="I149" s="95"/>
      <c r="J149" s="96"/>
      <c r="K149" s="156">
        <f>SUMIF(O150:O154,1,K150:K154)</f>
        <v>0</v>
      </c>
      <c r="L149" s="19"/>
      <c r="M149" s="61"/>
      <c r="N149" s="40"/>
      <c r="O149" s="41" t="s">
        <v>269</v>
      </c>
    </row>
    <row r="150" spans="1:19" s="109" customFormat="1" ht="19.149999999999999" customHeight="1" x14ac:dyDescent="0.25">
      <c r="A150" s="3"/>
      <c r="B150" s="204"/>
      <c r="C150" s="7"/>
      <c r="D150" s="101"/>
      <c r="E150" s="142" t="s">
        <v>379</v>
      </c>
      <c r="F150" s="174"/>
      <c r="G150" s="103"/>
      <c r="H150" s="143">
        <v>0</v>
      </c>
      <c r="I150" s="146" t="s">
        <v>94</v>
      </c>
      <c r="J150" s="149">
        <v>650</v>
      </c>
      <c r="K150" s="150">
        <f>SUM(H150*J150)</f>
        <v>0</v>
      </c>
      <c r="L150" s="38"/>
      <c r="M150" s="104"/>
      <c r="N150" s="105"/>
      <c r="O150" s="106">
        <f>OR(NOT(ISERROR(SEARCH($F$5,Q150))),Q150=0)*OR(NOT(ISERROR(SEARCH($F$6,R150))),R150=0)</f>
        <v>1</v>
      </c>
      <c r="P150" s="106"/>
      <c r="Q150" s="108"/>
      <c r="R150" s="108"/>
      <c r="S150" s="298" t="s">
        <v>995</v>
      </c>
    </row>
    <row r="151" spans="1:19" s="109" customFormat="1" ht="19.149999999999999" customHeight="1" x14ac:dyDescent="0.25">
      <c r="A151" s="3"/>
      <c r="B151" s="530"/>
      <c r="C151" s="7"/>
      <c r="D151" s="101"/>
      <c r="E151" s="142" t="s">
        <v>965</v>
      </c>
      <c r="F151" s="174"/>
      <c r="G151" s="103"/>
      <c r="H151" s="143">
        <v>1</v>
      </c>
      <c r="I151" s="146" t="s">
        <v>18</v>
      </c>
      <c r="J151" s="149">
        <v>0</v>
      </c>
      <c r="K151" s="150">
        <f>SUM(H151*J151)</f>
        <v>0</v>
      </c>
      <c r="L151" s="38"/>
      <c r="M151" s="104"/>
      <c r="N151" s="105"/>
      <c r="O151" s="106">
        <f>OR(NOT(ISERROR(SEARCH($F$5,Q151))),Q151=0)*OR(NOT(ISERROR(SEARCH($F$6,R151))),R151=0)</f>
        <v>0</v>
      </c>
      <c r="P151" s="106"/>
      <c r="Q151" s="108" t="s">
        <v>285</v>
      </c>
      <c r="R151" s="108"/>
      <c r="S151" s="298" t="s">
        <v>995</v>
      </c>
    </row>
    <row r="152" spans="1:19" s="109" customFormat="1" ht="19.149999999999999" customHeight="1" x14ac:dyDescent="0.25">
      <c r="A152" s="3"/>
      <c r="B152" s="530"/>
      <c r="C152" s="7"/>
      <c r="D152" s="101"/>
      <c r="E152" s="142" t="s">
        <v>966</v>
      </c>
      <c r="F152" s="174"/>
      <c r="G152" s="103"/>
      <c r="H152" s="143">
        <v>1</v>
      </c>
      <c r="I152" s="146" t="s">
        <v>18</v>
      </c>
      <c r="J152" s="149">
        <v>0</v>
      </c>
      <c r="K152" s="150">
        <f>SUM(H152*J152)</f>
        <v>0</v>
      </c>
      <c r="L152" s="38"/>
      <c r="M152" s="104"/>
      <c r="N152" s="105"/>
      <c r="O152" s="106">
        <f>OR(NOT(ISERROR(SEARCH($F$5,Q152))),Q152=0)*OR(NOT(ISERROR(SEARCH($F$6,R152))),R152=0)</f>
        <v>0</v>
      </c>
      <c r="P152" s="106"/>
      <c r="Q152" s="108" t="s">
        <v>285</v>
      </c>
      <c r="R152" s="108"/>
      <c r="S152" s="298" t="s">
        <v>995</v>
      </c>
    </row>
    <row r="153" spans="1:19" s="109" customFormat="1" ht="19.149999999999999" customHeight="1" thickBot="1" x14ac:dyDescent="0.3">
      <c r="A153" s="3"/>
      <c r="B153" s="204"/>
      <c r="C153" s="7"/>
      <c r="D153" s="101"/>
      <c r="E153" s="600" t="s">
        <v>95</v>
      </c>
      <c r="F153" s="601"/>
      <c r="G153" s="217"/>
      <c r="H153" s="218">
        <f>H150*0.1</f>
        <v>0</v>
      </c>
      <c r="I153" s="219" t="s">
        <v>94</v>
      </c>
      <c r="J153" s="220">
        <v>100</v>
      </c>
      <c r="K153" s="221">
        <f>SUM(H153*J153)</f>
        <v>0</v>
      </c>
      <c r="L153" s="38"/>
      <c r="M153" s="104"/>
      <c r="N153" s="105"/>
      <c r="O153" s="106">
        <f>OR(NOT(ISERROR(SEARCH($F$5,Q153))),Q153=0)*OR(NOT(ISERROR(SEARCH($F$6,R153))),R153=0)</f>
        <v>1</v>
      </c>
      <c r="P153" s="106"/>
      <c r="Q153" s="108"/>
      <c r="R153" s="108"/>
      <c r="S153" s="298" t="s">
        <v>995</v>
      </c>
    </row>
    <row r="154" spans="1:19" ht="7.9" customHeight="1" x14ac:dyDescent="0.2">
      <c r="A154" s="2"/>
      <c r="B154" s="51"/>
      <c r="C154" s="33"/>
      <c r="D154" s="24"/>
      <c r="E154" s="244"/>
      <c r="F154" s="244"/>
      <c r="G154" s="244"/>
      <c r="H154" s="245"/>
      <c r="I154" s="243"/>
      <c r="J154" s="246"/>
      <c r="K154" s="247"/>
      <c r="L154" s="19"/>
      <c r="M154" s="61"/>
      <c r="N154" s="40"/>
      <c r="O154" s="41" t="s">
        <v>270</v>
      </c>
    </row>
    <row r="155" spans="1:19" ht="7.9" customHeight="1" thickBot="1" x14ac:dyDescent="0.25">
      <c r="A155" s="2"/>
      <c r="B155" s="51"/>
      <c r="C155" s="33"/>
      <c r="D155" s="19"/>
      <c r="E155" s="19"/>
      <c r="F155" s="19"/>
      <c r="G155" s="19"/>
      <c r="H155" s="19"/>
      <c r="I155" s="19"/>
      <c r="J155" s="47"/>
      <c r="K155" s="19"/>
      <c r="L155" s="19"/>
      <c r="M155" s="61"/>
      <c r="N155" s="40"/>
    </row>
    <row r="156" spans="1:19" ht="24" customHeight="1" thickBot="1" x14ac:dyDescent="0.25">
      <c r="A156" s="2"/>
      <c r="B156" s="51"/>
      <c r="C156" s="33"/>
      <c r="D156" s="23"/>
      <c r="E156" s="94" t="s">
        <v>96</v>
      </c>
      <c r="F156" s="95"/>
      <c r="G156" s="95"/>
      <c r="H156" s="95"/>
      <c r="I156" s="95"/>
      <c r="J156" s="96"/>
      <c r="K156" s="156" t="e">
        <f ca="1">SUMIF(O157:O189,1,K157:K189)</f>
        <v>#NAME?</v>
      </c>
      <c r="L156" s="19"/>
      <c r="M156" s="61"/>
      <c r="N156" s="40"/>
      <c r="O156" s="41" t="s">
        <v>269</v>
      </c>
    </row>
    <row r="157" spans="1:19" s="109" customFormat="1" ht="19.149999999999999" customHeight="1" x14ac:dyDescent="0.25">
      <c r="A157" s="3"/>
      <c r="B157" s="204"/>
      <c r="C157" s="7"/>
      <c r="D157" s="101"/>
      <c r="E157" s="142" t="s">
        <v>97</v>
      </c>
      <c r="F157" s="174"/>
      <c r="G157" s="103"/>
      <c r="H157" s="143">
        <v>0</v>
      </c>
      <c r="I157" s="146" t="s">
        <v>18</v>
      </c>
      <c r="J157" s="149">
        <v>0</v>
      </c>
      <c r="K157" s="150">
        <f>SUM(H157*J157)</f>
        <v>0</v>
      </c>
      <c r="L157" s="38"/>
      <c r="M157" s="104"/>
      <c r="N157" s="105"/>
      <c r="O157" s="106">
        <f>OR(NOT(ISERROR(SEARCH($F$5,Q157))),Q157=0)*OR(NOT(ISERROR(SEARCH($F$6,R157))),R157=0)</f>
        <v>1</v>
      </c>
      <c r="P157" s="106"/>
      <c r="Q157" s="111"/>
      <c r="R157" s="108"/>
      <c r="S157" s="298" t="s">
        <v>996</v>
      </c>
    </row>
    <row r="158" spans="1:19" s="109" customFormat="1" ht="19.149999999999999" customHeight="1" x14ac:dyDescent="0.25">
      <c r="A158" s="3"/>
      <c r="B158" s="204"/>
      <c r="C158" s="7"/>
      <c r="D158" s="101"/>
      <c r="E158" s="600" t="s">
        <v>425</v>
      </c>
      <c r="F158" s="601"/>
      <c r="G158" s="217"/>
      <c r="H158" s="218">
        <v>0</v>
      </c>
      <c r="I158" s="219" t="s">
        <v>18</v>
      </c>
      <c r="J158" s="231">
        <v>0</v>
      </c>
      <c r="K158" s="221">
        <f t="shared" ref="K158:K188" si="60">SUM(H158*J158)</f>
        <v>0</v>
      </c>
      <c r="L158" s="38"/>
      <c r="M158" s="104"/>
      <c r="N158" s="105"/>
      <c r="O158" s="106">
        <f t="shared" ref="O158:O185" si="61">OR(NOT(ISERROR(SEARCH($F$5,Q158))),Q158=0)*OR(NOT(ISERROR(SEARCH($F$6,R158))),R158=0)</f>
        <v>1</v>
      </c>
      <c r="P158" s="106"/>
      <c r="Q158" s="111" t="s">
        <v>946</v>
      </c>
      <c r="R158" s="108"/>
      <c r="S158" s="298" t="s">
        <v>996</v>
      </c>
    </row>
    <row r="159" spans="1:19" s="109" customFormat="1" ht="19.149999999999999" customHeight="1" x14ac:dyDescent="0.25">
      <c r="A159" s="3"/>
      <c r="B159" s="204"/>
      <c r="C159" s="7"/>
      <c r="D159" s="101"/>
      <c r="E159" s="600" t="s">
        <v>426</v>
      </c>
      <c r="F159" s="601"/>
      <c r="G159" s="217"/>
      <c r="H159" s="218">
        <v>0</v>
      </c>
      <c r="I159" s="219" t="s">
        <v>18</v>
      </c>
      <c r="J159" s="231">
        <v>0</v>
      </c>
      <c r="K159" s="221">
        <f t="shared" si="60"/>
        <v>0</v>
      </c>
      <c r="L159" s="38"/>
      <c r="M159" s="104"/>
      <c r="N159" s="105"/>
      <c r="O159" s="106">
        <f t="shared" si="61"/>
        <v>1</v>
      </c>
      <c r="P159" s="106"/>
      <c r="Q159" s="111" t="s">
        <v>946</v>
      </c>
      <c r="R159" s="108"/>
      <c r="S159" s="298" t="s">
        <v>996</v>
      </c>
    </row>
    <row r="160" spans="1:19" s="109" customFormat="1" ht="19.149999999999999" customHeight="1" x14ac:dyDescent="0.25">
      <c r="A160" s="3"/>
      <c r="B160" s="204"/>
      <c r="C160" s="7"/>
      <c r="D160" s="101"/>
      <c r="E160" s="600" t="s">
        <v>98</v>
      </c>
      <c r="F160" s="601"/>
      <c r="G160" s="217"/>
      <c r="H160" s="218" t="e">
        <f ca="1">Settings!$K$6</f>
        <v>#NAME?</v>
      </c>
      <c r="I160" s="219" t="s">
        <v>21</v>
      </c>
      <c r="J160" s="231">
        <v>0</v>
      </c>
      <c r="K160" s="221" t="e">
        <f t="shared" ca="1" si="60"/>
        <v>#NAME?</v>
      </c>
      <c r="L160" s="38"/>
      <c r="M160" s="104"/>
      <c r="N160" s="105"/>
      <c r="O160" s="106">
        <f t="shared" si="61"/>
        <v>1</v>
      </c>
      <c r="P160" s="106"/>
      <c r="Q160" s="111" t="s">
        <v>946</v>
      </c>
      <c r="R160" s="108"/>
      <c r="S160" s="298" t="s">
        <v>996</v>
      </c>
    </row>
    <row r="161" spans="1:19" s="109" customFormat="1" ht="19.149999999999999" customHeight="1" x14ac:dyDescent="0.25">
      <c r="A161" s="3"/>
      <c r="B161" s="204"/>
      <c r="C161" s="7"/>
      <c r="D161" s="101"/>
      <c r="E161" s="600" t="s">
        <v>99</v>
      </c>
      <c r="F161" s="601"/>
      <c r="G161" s="217"/>
      <c r="H161" s="218" t="e">
        <f ca="1">Settings!$K$6</f>
        <v>#NAME?</v>
      </c>
      <c r="I161" s="219" t="s">
        <v>21</v>
      </c>
      <c r="J161" s="231">
        <v>0</v>
      </c>
      <c r="K161" s="221" t="e">
        <f t="shared" ca="1" si="60"/>
        <v>#NAME?</v>
      </c>
      <c r="L161" s="38"/>
      <c r="M161" s="104"/>
      <c r="N161" s="105"/>
      <c r="O161" s="106">
        <f t="shared" si="61"/>
        <v>1</v>
      </c>
      <c r="P161" s="106"/>
      <c r="Q161" s="111" t="s">
        <v>946</v>
      </c>
      <c r="R161" s="108"/>
      <c r="S161" s="298" t="s">
        <v>996</v>
      </c>
    </row>
    <row r="162" spans="1:19" s="109" customFormat="1" ht="19.149999999999999" customHeight="1" x14ac:dyDescent="0.25">
      <c r="A162" s="3"/>
      <c r="B162" s="204"/>
      <c r="C162" s="7"/>
      <c r="D162" s="101"/>
      <c r="E162" s="600" t="s">
        <v>427</v>
      </c>
      <c r="F162" s="601"/>
      <c r="G162" s="217"/>
      <c r="H162" s="218" t="e">
        <f ca="1">Settings!$K$6</f>
        <v>#NAME?</v>
      </c>
      <c r="I162" s="219" t="s">
        <v>21</v>
      </c>
      <c r="J162" s="231">
        <v>0</v>
      </c>
      <c r="K162" s="221" t="e">
        <f t="shared" ca="1" si="60"/>
        <v>#NAME?</v>
      </c>
      <c r="L162" s="38"/>
      <c r="M162" s="104"/>
      <c r="N162" s="105"/>
      <c r="O162" s="106">
        <f t="shared" si="61"/>
        <v>1</v>
      </c>
      <c r="P162" s="106"/>
      <c r="Q162" s="111" t="s">
        <v>946</v>
      </c>
      <c r="R162" s="108"/>
      <c r="S162" s="298" t="s">
        <v>996</v>
      </c>
    </row>
    <row r="163" spans="1:19" s="109" customFormat="1" ht="19.149999999999999" customHeight="1" x14ac:dyDescent="0.25">
      <c r="A163" s="3"/>
      <c r="B163" s="238"/>
      <c r="C163" s="7"/>
      <c r="D163" s="101"/>
      <c r="E163" s="600" t="s">
        <v>460</v>
      </c>
      <c r="F163" s="601"/>
      <c r="G163" s="217"/>
      <c r="H163" s="218">
        <v>0</v>
      </c>
      <c r="I163" s="219" t="s">
        <v>18</v>
      </c>
      <c r="J163" s="231">
        <v>0</v>
      </c>
      <c r="K163" s="221">
        <f t="shared" si="60"/>
        <v>0</v>
      </c>
      <c r="L163" s="38"/>
      <c r="M163" s="104"/>
      <c r="N163" s="105"/>
      <c r="O163" s="106">
        <f>OR(NOT(ISERROR(SEARCH($F$5,Q163))),Q163=0)*OR(NOT(ISERROR(SEARCH($F$6,R163))),R163=0)</f>
        <v>0</v>
      </c>
      <c r="P163" s="106"/>
      <c r="Q163" s="111" t="s">
        <v>434</v>
      </c>
      <c r="R163" s="108"/>
      <c r="S163" s="298" t="s">
        <v>996</v>
      </c>
    </row>
    <row r="164" spans="1:19" s="109" customFormat="1" ht="19.149999999999999" customHeight="1" x14ac:dyDescent="0.25">
      <c r="A164" s="3"/>
      <c r="B164" s="204"/>
      <c r="C164" s="7"/>
      <c r="D164" s="101"/>
      <c r="E164" s="600" t="s">
        <v>100</v>
      </c>
      <c r="F164" s="601"/>
      <c r="G164" s="217"/>
      <c r="H164" s="218">
        <v>0</v>
      </c>
      <c r="I164" s="219" t="s">
        <v>18</v>
      </c>
      <c r="J164" s="231">
        <v>0</v>
      </c>
      <c r="K164" s="221">
        <f t="shared" si="60"/>
        <v>0</v>
      </c>
      <c r="L164" s="38"/>
      <c r="M164" s="104"/>
      <c r="N164" s="105"/>
      <c r="O164" s="106">
        <f t="shared" si="61"/>
        <v>1</v>
      </c>
      <c r="P164" s="106"/>
      <c r="Q164" s="111" t="s">
        <v>946</v>
      </c>
      <c r="R164" s="108"/>
      <c r="S164" s="298" t="s">
        <v>996</v>
      </c>
    </row>
    <row r="165" spans="1:19" s="109" customFormat="1" ht="19.149999999999999" customHeight="1" x14ac:dyDescent="0.25">
      <c r="A165" s="3"/>
      <c r="B165" s="204"/>
      <c r="C165" s="7"/>
      <c r="D165" s="101"/>
      <c r="E165" s="600" t="s">
        <v>101</v>
      </c>
      <c r="F165" s="601"/>
      <c r="G165" s="217"/>
      <c r="H165" s="218" t="e">
        <f ca="1">Settings!$K$6</f>
        <v>#NAME?</v>
      </c>
      <c r="I165" s="219" t="s">
        <v>21</v>
      </c>
      <c r="J165" s="231">
        <v>0</v>
      </c>
      <c r="K165" s="221" t="e">
        <f t="shared" ca="1" si="60"/>
        <v>#NAME?</v>
      </c>
      <c r="L165" s="38"/>
      <c r="M165" s="104"/>
      <c r="N165" s="105"/>
      <c r="O165" s="106">
        <f t="shared" si="61"/>
        <v>1</v>
      </c>
      <c r="P165" s="106"/>
      <c r="Q165" s="111" t="s">
        <v>946</v>
      </c>
      <c r="R165" s="108"/>
      <c r="S165" s="298" t="s">
        <v>996</v>
      </c>
    </row>
    <row r="166" spans="1:19" s="109" customFormat="1" ht="19.149999999999999" customHeight="1" x14ac:dyDescent="0.25">
      <c r="A166" s="3"/>
      <c r="B166" s="204"/>
      <c r="C166" s="7"/>
      <c r="D166" s="101"/>
      <c r="E166" s="600" t="s">
        <v>102</v>
      </c>
      <c r="F166" s="601"/>
      <c r="G166" s="217"/>
      <c r="H166" s="218">
        <v>0</v>
      </c>
      <c r="I166" s="219" t="s">
        <v>53</v>
      </c>
      <c r="J166" s="231">
        <v>0</v>
      </c>
      <c r="K166" s="221">
        <f t="shared" si="60"/>
        <v>0</v>
      </c>
      <c r="L166" s="38"/>
      <c r="M166" s="104"/>
      <c r="N166" s="105"/>
      <c r="O166" s="106">
        <f t="shared" si="61"/>
        <v>1</v>
      </c>
      <c r="P166" s="106"/>
      <c r="Q166" s="111" t="s">
        <v>946</v>
      </c>
      <c r="R166" s="108"/>
      <c r="S166" s="298" t="s">
        <v>996</v>
      </c>
    </row>
    <row r="167" spans="1:19" s="109" customFormat="1" ht="19.149999999999999" customHeight="1" x14ac:dyDescent="0.25">
      <c r="A167" s="3"/>
      <c r="B167" s="204"/>
      <c r="C167" s="7"/>
      <c r="D167" s="101"/>
      <c r="E167" s="600" t="s">
        <v>103</v>
      </c>
      <c r="F167" s="601"/>
      <c r="G167" s="217"/>
      <c r="H167" s="218">
        <v>0</v>
      </c>
      <c r="I167" s="219" t="s">
        <v>53</v>
      </c>
      <c r="J167" s="231">
        <v>0</v>
      </c>
      <c r="K167" s="221">
        <f t="shared" si="60"/>
        <v>0</v>
      </c>
      <c r="L167" s="38"/>
      <c r="M167" s="104"/>
      <c r="N167" s="105"/>
      <c r="O167" s="106">
        <f t="shared" si="61"/>
        <v>1</v>
      </c>
      <c r="P167" s="106"/>
      <c r="Q167" s="111" t="s">
        <v>946</v>
      </c>
      <c r="R167" s="108"/>
      <c r="S167" s="298" t="s">
        <v>996</v>
      </c>
    </row>
    <row r="168" spans="1:19" s="109" customFormat="1" ht="19.149999999999999" customHeight="1" x14ac:dyDescent="0.25">
      <c r="A168" s="3"/>
      <c r="B168" s="204"/>
      <c r="C168" s="7"/>
      <c r="D168" s="101"/>
      <c r="E168" s="600" t="s">
        <v>104</v>
      </c>
      <c r="F168" s="601"/>
      <c r="G168" s="217"/>
      <c r="H168" s="218" t="e">
        <f ca="1">Settings!$K$7</f>
        <v>#NAME?</v>
      </c>
      <c r="I168" s="219" t="s">
        <v>35</v>
      </c>
      <c r="J168" s="231">
        <v>0</v>
      </c>
      <c r="K168" s="221" t="e">
        <f t="shared" ca="1" si="60"/>
        <v>#NAME?</v>
      </c>
      <c r="L168" s="38"/>
      <c r="M168" s="104"/>
      <c r="N168" s="105"/>
      <c r="O168" s="106">
        <f t="shared" si="61"/>
        <v>1</v>
      </c>
      <c r="P168" s="106"/>
      <c r="Q168" s="111" t="s">
        <v>946</v>
      </c>
      <c r="R168" s="108"/>
      <c r="S168" s="298" t="s">
        <v>996</v>
      </c>
    </row>
    <row r="169" spans="1:19" s="109" customFormat="1" ht="19.149999999999999" customHeight="1" x14ac:dyDescent="0.25">
      <c r="A169" s="3"/>
      <c r="B169" s="204"/>
      <c r="C169" s="7"/>
      <c r="D169" s="101"/>
      <c r="E169" s="600" t="s">
        <v>105</v>
      </c>
      <c r="F169" s="601"/>
      <c r="G169" s="217"/>
      <c r="H169" s="218" t="e">
        <f ca="1">Settings!$K$7</f>
        <v>#NAME?</v>
      </c>
      <c r="I169" s="219" t="s">
        <v>35</v>
      </c>
      <c r="J169" s="231">
        <v>0</v>
      </c>
      <c r="K169" s="221" t="e">
        <f t="shared" ca="1" si="60"/>
        <v>#NAME?</v>
      </c>
      <c r="L169" s="38"/>
      <c r="M169" s="104"/>
      <c r="N169" s="105"/>
      <c r="O169" s="106">
        <f t="shared" si="61"/>
        <v>1</v>
      </c>
      <c r="P169" s="106"/>
      <c r="Q169" s="111" t="s">
        <v>946</v>
      </c>
      <c r="R169" s="108"/>
      <c r="S169" s="298" t="s">
        <v>996</v>
      </c>
    </row>
    <row r="170" spans="1:19" s="109" customFormat="1" ht="19.149999999999999" customHeight="1" x14ac:dyDescent="0.25">
      <c r="A170" s="3"/>
      <c r="B170" s="204"/>
      <c r="C170" s="7"/>
      <c r="D170" s="101"/>
      <c r="E170" s="600" t="s">
        <v>106</v>
      </c>
      <c r="F170" s="601"/>
      <c r="G170" s="217"/>
      <c r="H170" s="218" t="e">
        <f ca="1">Settings!$K$7</f>
        <v>#NAME?</v>
      </c>
      <c r="I170" s="219" t="s">
        <v>35</v>
      </c>
      <c r="J170" s="231">
        <v>0</v>
      </c>
      <c r="K170" s="221" t="e">
        <f t="shared" ca="1" si="60"/>
        <v>#NAME?</v>
      </c>
      <c r="L170" s="38"/>
      <c r="M170" s="104"/>
      <c r="N170" s="105"/>
      <c r="O170" s="106">
        <f t="shared" si="61"/>
        <v>1</v>
      </c>
      <c r="P170" s="106"/>
      <c r="Q170" s="111" t="s">
        <v>946</v>
      </c>
      <c r="R170" s="108"/>
      <c r="S170" s="298" t="s">
        <v>996</v>
      </c>
    </row>
    <row r="171" spans="1:19" s="109" customFormat="1" ht="19.149999999999999" customHeight="1" x14ac:dyDescent="0.25">
      <c r="A171" s="3"/>
      <c r="B171" s="204"/>
      <c r="C171" s="7"/>
      <c r="D171" s="101"/>
      <c r="E171" s="600" t="s">
        <v>107</v>
      </c>
      <c r="F171" s="601"/>
      <c r="G171" s="217"/>
      <c r="H171" s="218" t="e">
        <f ca="1">Settings!$K$7</f>
        <v>#NAME?</v>
      </c>
      <c r="I171" s="219" t="s">
        <v>35</v>
      </c>
      <c r="J171" s="231">
        <v>0</v>
      </c>
      <c r="K171" s="221" t="e">
        <f t="shared" ca="1" si="60"/>
        <v>#NAME?</v>
      </c>
      <c r="L171" s="38"/>
      <c r="M171" s="104"/>
      <c r="N171" s="105"/>
      <c r="O171" s="106">
        <f t="shared" si="61"/>
        <v>1</v>
      </c>
      <c r="P171" s="106"/>
      <c r="Q171" s="111" t="s">
        <v>946</v>
      </c>
      <c r="R171" s="108"/>
      <c r="S171" s="298" t="s">
        <v>996</v>
      </c>
    </row>
    <row r="172" spans="1:19" s="109" customFormat="1" ht="19.149999999999999" customHeight="1" x14ac:dyDescent="0.25">
      <c r="A172" s="3"/>
      <c r="B172" s="204"/>
      <c r="C172" s="7"/>
      <c r="D172" s="101"/>
      <c r="E172" s="600" t="s">
        <v>108</v>
      </c>
      <c r="F172" s="601"/>
      <c r="G172" s="217"/>
      <c r="H172" s="218" t="e">
        <f ca="1">Settings!$K$7</f>
        <v>#NAME?</v>
      </c>
      <c r="I172" s="219" t="s">
        <v>35</v>
      </c>
      <c r="J172" s="231">
        <v>0</v>
      </c>
      <c r="K172" s="221" t="e">
        <f t="shared" ca="1" si="60"/>
        <v>#NAME?</v>
      </c>
      <c r="L172" s="38"/>
      <c r="M172" s="104"/>
      <c r="N172" s="105"/>
      <c r="O172" s="106">
        <f t="shared" si="61"/>
        <v>1</v>
      </c>
      <c r="P172" s="106"/>
      <c r="Q172" s="111" t="s">
        <v>946</v>
      </c>
      <c r="R172" s="108"/>
      <c r="S172" s="298" t="s">
        <v>996</v>
      </c>
    </row>
    <row r="173" spans="1:19" s="109" customFormat="1" ht="19.149999999999999" customHeight="1" x14ac:dyDescent="0.25">
      <c r="A173" s="3"/>
      <c r="B173" s="204"/>
      <c r="C173" s="7"/>
      <c r="D173" s="101"/>
      <c r="E173" s="600" t="s">
        <v>109</v>
      </c>
      <c r="F173" s="601"/>
      <c r="G173" s="217"/>
      <c r="H173" s="218" t="e">
        <f ca="1">Settings!$K$7</f>
        <v>#NAME?</v>
      </c>
      <c r="I173" s="219" t="s">
        <v>35</v>
      </c>
      <c r="J173" s="231">
        <v>0</v>
      </c>
      <c r="K173" s="221" t="e">
        <f t="shared" ca="1" si="60"/>
        <v>#NAME?</v>
      </c>
      <c r="L173" s="38"/>
      <c r="M173" s="104"/>
      <c r="N173" s="105"/>
      <c r="O173" s="106">
        <f t="shared" si="61"/>
        <v>1</v>
      </c>
      <c r="P173" s="106"/>
      <c r="Q173" s="111" t="s">
        <v>946</v>
      </c>
      <c r="R173" s="108"/>
      <c r="S173" s="298" t="s">
        <v>996</v>
      </c>
    </row>
    <row r="174" spans="1:19" s="109" customFormat="1" ht="19.149999999999999" customHeight="1" x14ac:dyDescent="0.25">
      <c r="A174" s="3"/>
      <c r="B174" s="238"/>
      <c r="C174" s="7"/>
      <c r="D174" s="101"/>
      <c r="E174" s="600" t="s">
        <v>459</v>
      </c>
      <c r="F174" s="601"/>
      <c r="G174" s="217"/>
      <c r="H174" s="218">
        <v>0</v>
      </c>
      <c r="I174" s="219" t="s">
        <v>74</v>
      </c>
      <c r="J174" s="231">
        <v>0</v>
      </c>
      <c r="K174" s="221">
        <f t="shared" si="60"/>
        <v>0</v>
      </c>
      <c r="L174" s="38"/>
      <c r="M174" s="104"/>
      <c r="N174" s="105"/>
      <c r="O174" s="106">
        <f>OR(NOT(ISERROR(SEARCH($F$5,Q174))),Q174=0)*OR(NOT(ISERROR(SEARCH($F$6,R174))),R174=0)</f>
        <v>0</v>
      </c>
      <c r="P174" s="106"/>
      <c r="Q174" s="111" t="s">
        <v>434</v>
      </c>
      <c r="R174" s="108"/>
      <c r="S174" s="298" t="s">
        <v>996</v>
      </c>
    </row>
    <row r="175" spans="1:19" s="109" customFormat="1" ht="19.149999999999999" customHeight="1" x14ac:dyDescent="0.25">
      <c r="A175" s="3"/>
      <c r="B175" s="204"/>
      <c r="C175" s="7"/>
      <c r="D175" s="101"/>
      <c r="E175" s="600" t="s">
        <v>110</v>
      </c>
      <c r="F175" s="601"/>
      <c r="G175" s="217"/>
      <c r="H175" s="218" t="e">
        <f ca="1">Settings!$K$6</f>
        <v>#NAME?</v>
      </c>
      <c r="I175" s="219" t="s">
        <v>21</v>
      </c>
      <c r="J175" s="231">
        <v>0</v>
      </c>
      <c r="K175" s="221" t="e">
        <f t="shared" ca="1" si="60"/>
        <v>#NAME?</v>
      </c>
      <c r="L175" s="38"/>
      <c r="M175" s="104"/>
      <c r="N175" s="105"/>
      <c r="O175" s="106">
        <f t="shared" si="61"/>
        <v>1</v>
      </c>
      <c r="P175" s="106"/>
      <c r="Q175" s="111" t="s">
        <v>946</v>
      </c>
      <c r="R175" s="108"/>
      <c r="S175" s="298" t="s">
        <v>996</v>
      </c>
    </row>
    <row r="176" spans="1:19" s="109" customFormat="1" ht="19.149999999999999" customHeight="1" x14ac:dyDescent="0.25">
      <c r="A176" s="3"/>
      <c r="B176" s="204"/>
      <c r="C176" s="7"/>
      <c r="D176" s="101"/>
      <c r="E176" s="600" t="s">
        <v>111</v>
      </c>
      <c r="F176" s="601"/>
      <c r="G176" s="217"/>
      <c r="H176" s="218">
        <v>1</v>
      </c>
      <c r="I176" s="219" t="s">
        <v>18</v>
      </c>
      <c r="J176" s="231">
        <v>0</v>
      </c>
      <c r="K176" s="221">
        <f t="shared" si="60"/>
        <v>0</v>
      </c>
      <c r="L176" s="38"/>
      <c r="M176" s="104"/>
      <c r="N176" s="105"/>
      <c r="O176" s="106">
        <f t="shared" si="61"/>
        <v>1</v>
      </c>
      <c r="P176" s="106"/>
      <c r="Q176" s="111" t="s">
        <v>946</v>
      </c>
      <c r="R176" s="108"/>
      <c r="S176" s="298" t="s">
        <v>996</v>
      </c>
    </row>
    <row r="177" spans="1:19" s="109" customFormat="1" ht="19.149999999999999" customHeight="1" x14ac:dyDescent="0.25">
      <c r="A177" s="3"/>
      <c r="B177" s="238"/>
      <c r="C177" s="7"/>
      <c r="D177" s="101"/>
      <c r="E177" s="600" t="s">
        <v>461</v>
      </c>
      <c r="F177" s="601"/>
      <c r="G177" s="217"/>
      <c r="H177" s="218">
        <v>1</v>
      </c>
      <c r="I177" s="219" t="s">
        <v>18</v>
      </c>
      <c r="J177" s="231">
        <v>0</v>
      </c>
      <c r="K177" s="221">
        <f t="shared" si="60"/>
        <v>0</v>
      </c>
      <c r="L177" s="38"/>
      <c r="M177" s="104"/>
      <c r="N177" s="105"/>
      <c r="O177" s="106">
        <f t="shared" ref="O177" si="62">OR(NOT(ISERROR(SEARCH($F$5,Q177))),Q177=0)*OR(NOT(ISERROR(SEARCH($F$6,R177))),R177=0)</f>
        <v>0</v>
      </c>
      <c r="P177" s="106"/>
      <c r="Q177" s="111" t="s">
        <v>434</v>
      </c>
      <c r="R177" s="108"/>
      <c r="S177" s="298" t="s">
        <v>996</v>
      </c>
    </row>
    <row r="178" spans="1:19" s="109" customFormat="1" ht="19.149999999999999" customHeight="1" x14ac:dyDescent="0.25">
      <c r="A178" s="3"/>
      <c r="B178" s="204"/>
      <c r="C178" s="7"/>
      <c r="D178" s="101"/>
      <c r="E178" s="600" t="s">
        <v>112</v>
      </c>
      <c r="F178" s="601"/>
      <c r="G178" s="217"/>
      <c r="H178" s="218">
        <v>0</v>
      </c>
      <c r="I178" s="219" t="s">
        <v>53</v>
      </c>
      <c r="J178" s="231">
        <v>0</v>
      </c>
      <c r="K178" s="221">
        <f t="shared" si="60"/>
        <v>0</v>
      </c>
      <c r="L178" s="38"/>
      <c r="M178" s="104"/>
      <c r="N178" s="105"/>
      <c r="O178" s="106">
        <f t="shared" si="61"/>
        <v>1</v>
      </c>
      <c r="P178" s="106"/>
      <c r="Q178" s="111" t="s">
        <v>946</v>
      </c>
      <c r="R178" s="108"/>
      <c r="S178" s="298" t="s">
        <v>996</v>
      </c>
    </row>
    <row r="179" spans="1:19" s="109" customFormat="1" ht="19.149999999999999" customHeight="1" x14ac:dyDescent="0.25">
      <c r="A179" s="3"/>
      <c r="B179" s="204"/>
      <c r="C179" s="7"/>
      <c r="D179" s="101"/>
      <c r="E179" s="600" t="s">
        <v>113</v>
      </c>
      <c r="F179" s="601"/>
      <c r="G179" s="217"/>
      <c r="H179" s="218">
        <v>0</v>
      </c>
      <c r="I179" s="219" t="s">
        <v>53</v>
      </c>
      <c r="J179" s="231">
        <v>0</v>
      </c>
      <c r="K179" s="221">
        <f t="shared" si="60"/>
        <v>0</v>
      </c>
      <c r="L179" s="38"/>
      <c r="M179" s="104"/>
      <c r="N179" s="105"/>
      <c r="O179" s="106">
        <f t="shared" si="61"/>
        <v>1</v>
      </c>
      <c r="P179" s="106"/>
      <c r="Q179" s="111" t="s">
        <v>946</v>
      </c>
      <c r="R179" s="108"/>
      <c r="S179" s="298" t="s">
        <v>996</v>
      </c>
    </row>
    <row r="180" spans="1:19" s="109" customFormat="1" ht="19.149999999999999" customHeight="1" x14ac:dyDescent="0.25">
      <c r="A180" s="3"/>
      <c r="B180" s="204"/>
      <c r="C180" s="7"/>
      <c r="D180" s="101"/>
      <c r="E180" s="600" t="s">
        <v>114</v>
      </c>
      <c r="F180" s="601"/>
      <c r="G180" s="217"/>
      <c r="H180" s="218">
        <v>0</v>
      </c>
      <c r="I180" s="219" t="s">
        <v>53</v>
      </c>
      <c r="J180" s="231">
        <v>0</v>
      </c>
      <c r="K180" s="221">
        <f t="shared" si="60"/>
        <v>0</v>
      </c>
      <c r="L180" s="38"/>
      <c r="M180" s="104"/>
      <c r="N180" s="105"/>
      <c r="O180" s="106">
        <f t="shared" si="61"/>
        <v>1</v>
      </c>
      <c r="P180" s="106"/>
      <c r="Q180" s="111" t="s">
        <v>946</v>
      </c>
      <c r="R180" s="108"/>
      <c r="S180" s="298" t="s">
        <v>996</v>
      </c>
    </row>
    <row r="181" spans="1:19" s="109" customFormat="1" ht="19.149999999999999" customHeight="1" x14ac:dyDescent="0.25">
      <c r="A181" s="3"/>
      <c r="B181" s="204"/>
      <c r="C181" s="7"/>
      <c r="D181" s="101"/>
      <c r="E181" s="600" t="s">
        <v>115</v>
      </c>
      <c r="F181" s="601"/>
      <c r="G181" s="217"/>
      <c r="H181" s="218">
        <v>0</v>
      </c>
      <c r="I181" s="219" t="s">
        <v>53</v>
      </c>
      <c r="J181" s="231">
        <v>0</v>
      </c>
      <c r="K181" s="221">
        <f t="shared" si="60"/>
        <v>0</v>
      </c>
      <c r="L181" s="38"/>
      <c r="M181" s="104"/>
      <c r="N181" s="105"/>
      <c r="O181" s="106">
        <f t="shared" si="61"/>
        <v>1</v>
      </c>
      <c r="P181" s="106"/>
      <c r="Q181" s="111" t="s">
        <v>946</v>
      </c>
      <c r="R181" s="108"/>
      <c r="S181" s="298" t="s">
        <v>996</v>
      </c>
    </row>
    <row r="182" spans="1:19" s="109" customFormat="1" ht="19.149999999999999" customHeight="1" x14ac:dyDescent="0.25">
      <c r="A182" s="3"/>
      <c r="B182" s="204"/>
      <c r="C182" s="7"/>
      <c r="D182" s="101"/>
      <c r="E182" s="600" t="s">
        <v>116</v>
      </c>
      <c r="F182" s="601"/>
      <c r="G182" s="217"/>
      <c r="H182" s="218">
        <v>1</v>
      </c>
      <c r="I182" s="219" t="s">
        <v>18</v>
      </c>
      <c r="J182" s="231">
        <v>0</v>
      </c>
      <c r="K182" s="221">
        <f t="shared" si="60"/>
        <v>0</v>
      </c>
      <c r="L182" s="38"/>
      <c r="M182" s="104"/>
      <c r="N182" s="105"/>
      <c r="O182" s="106">
        <f t="shared" si="61"/>
        <v>1</v>
      </c>
      <c r="P182" s="106"/>
      <c r="Q182" s="111" t="s">
        <v>946</v>
      </c>
      <c r="R182" s="108"/>
      <c r="S182" s="298" t="s">
        <v>996</v>
      </c>
    </row>
    <row r="183" spans="1:19" s="109" customFormat="1" ht="19.149999999999999" customHeight="1" x14ac:dyDescent="0.25">
      <c r="A183" s="3"/>
      <c r="B183" s="204"/>
      <c r="C183" s="7"/>
      <c r="D183" s="101"/>
      <c r="E183" s="600" t="s">
        <v>117</v>
      </c>
      <c r="F183" s="601"/>
      <c r="G183" s="217"/>
      <c r="H183" s="218">
        <v>0</v>
      </c>
      <c r="I183" s="219" t="s">
        <v>53</v>
      </c>
      <c r="J183" s="231">
        <v>0</v>
      </c>
      <c r="K183" s="221">
        <f t="shared" si="60"/>
        <v>0</v>
      </c>
      <c r="L183" s="38"/>
      <c r="M183" s="104"/>
      <c r="N183" s="105"/>
      <c r="O183" s="106">
        <f t="shared" si="61"/>
        <v>1</v>
      </c>
      <c r="P183" s="106"/>
      <c r="Q183" s="111" t="s">
        <v>946</v>
      </c>
      <c r="R183" s="108"/>
      <c r="S183" s="298" t="s">
        <v>996</v>
      </c>
    </row>
    <row r="184" spans="1:19" s="109" customFormat="1" ht="19.149999999999999" customHeight="1" x14ac:dyDescent="0.25">
      <c r="A184" s="3"/>
      <c r="B184" s="204"/>
      <c r="C184" s="7"/>
      <c r="D184" s="101"/>
      <c r="E184" s="600" t="s">
        <v>118</v>
      </c>
      <c r="F184" s="601"/>
      <c r="G184" s="217"/>
      <c r="H184" s="218">
        <v>0</v>
      </c>
      <c r="I184" s="219" t="s">
        <v>53</v>
      </c>
      <c r="J184" s="231">
        <v>0</v>
      </c>
      <c r="K184" s="221">
        <f t="shared" si="60"/>
        <v>0</v>
      </c>
      <c r="L184" s="38"/>
      <c r="M184" s="104"/>
      <c r="N184" s="105"/>
      <c r="O184" s="106">
        <f t="shared" si="61"/>
        <v>1</v>
      </c>
      <c r="P184" s="106"/>
      <c r="Q184" s="111" t="s">
        <v>946</v>
      </c>
      <c r="R184" s="108"/>
      <c r="S184" s="298" t="s">
        <v>996</v>
      </c>
    </row>
    <row r="185" spans="1:19" s="109" customFormat="1" ht="19.149999999999999" customHeight="1" x14ac:dyDescent="0.25">
      <c r="A185" s="3"/>
      <c r="B185" s="204"/>
      <c r="C185" s="7"/>
      <c r="D185" s="101"/>
      <c r="E185" s="600" t="s">
        <v>119</v>
      </c>
      <c r="F185" s="601"/>
      <c r="G185" s="217"/>
      <c r="H185" s="218" t="e">
        <f ca="1">Settings!$K$6</f>
        <v>#NAME?</v>
      </c>
      <c r="I185" s="219" t="s">
        <v>21</v>
      </c>
      <c r="J185" s="231">
        <v>0</v>
      </c>
      <c r="K185" s="221" t="e">
        <f t="shared" ca="1" si="60"/>
        <v>#NAME?</v>
      </c>
      <c r="L185" s="38"/>
      <c r="M185" s="104"/>
      <c r="N185" s="105"/>
      <c r="O185" s="106">
        <f t="shared" si="61"/>
        <v>1</v>
      </c>
      <c r="P185" s="106"/>
      <c r="Q185" s="111" t="s">
        <v>946</v>
      </c>
      <c r="R185" s="108"/>
      <c r="S185" s="298" t="s">
        <v>996</v>
      </c>
    </row>
    <row r="186" spans="1:19" s="109" customFormat="1" ht="19.149999999999999" customHeight="1" x14ac:dyDescent="0.25">
      <c r="A186" s="3"/>
      <c r="B186" s="238"/>
      <c r="C186" s="7"/>
      <c r="D186" s="101"/>
      <c r="E186" s="600" t="s">
        <v>462</v>
      </c>
      <c r="F186" s="601"/>
      <c r="G186" s="217"/>
      <c r="H186" s="218" t="e">
        <f ca="1">Settings!$K$6</f>
        <v>#NAME?</v>
      </c>
      <c r="I186" s="219" t="s">
        <v>21</v>
      </c>
      <c r="J186" s="231">
        <v>0</v>
      </c>
      <c r="K186" s="221" t="e">
        <f t="shared" ca="1" si="60"/>
        <v>#NAME?</v>
      </c>
      <c r="L186" s="38"/>
      <c r="M186" s="104"/>
      <c r="N186" s="105"/>
      <c r="O186" s="106">
        <f t="shared" ref="O186:O187" si="63">OR(NOT(ISERROR(SEARCH($F$5,Q186))),Q186=0)*OR(NOT(ISERROR(SEARCH($F$6,R186))),R186=0)</f>
        <v>1</v>
      </c>
      <c r="P186" s="106"/>
      <c r="Q186" s="111" t="s">
        <v>946</v>
      </c>
      <c r="R186" s="108"/>
      <c r="S186" s="298" t="s">
        <v>996</v>
      </c>
    </row>
    <row r="187" spans="1:19" s="109" customFormat="1" ht="19.149999999999999" customHeight="1" x14ac:dyDescent="0.25">
      <c r="A187" s="3"/>
      <c r="B187" s="238"/>
      <c r="C187" s="7"/>
      <c r="D187" s="101"/>
      <c r="E187" s="600" t="s">
        <v>463</v>
      </c>
      <c r="F187" s="601"/>
      <c r="G187" s="217"/>
      <c r="H187" s="218" t="e">
        <f ca="1">Settings!$K$6</f>
        <v>#NAME?</v>
      </c>
      <c r="I187" s="219" t="s">
        <v>21</v>
      </c>
      <c r="J187" s="231">
        <v>0</v>
      </c>
      <c r="K187" s="221" t="e">
        <f t="shared" ca="1" si="60"/>
        <v>#NAME?</v>
      </c>
      <c r="L187" s="38"/>
      <c r="M187" s="104"/>
      <c r="N187" s="105"/>
      <c r="O187" s="106">
        <f t="shared" si="63"/>
        <v>1</v>
      </c>
      <c r="P187" s="106"/>
      <c r="Q187" s="111" t="s">
        <v>946</v>
      </c>
      <c r="R187" s="108"/>
      <c r="S187" s="298" t="s">
        <v>996</v>
      </c>
    </row>
    <row r="188" spans="1:19" s="109" customFormat="1" ht="19.149999999999999" customHeight="1" thickBot="1" x14ac:dyDescent="0.3">
      <c r="A188" s="3"/>
      <c r="B188" s="204"/>
      <c r="C188" s="7"/>
      <c r="D188" s="101"/>
      <c r="E188" s="600" t="s">
        <v>464</v>
      </c>
      <c r="F188" s="601"/>
      <c r="G188" s="217"/>
      <c r="H188" s="218">
        <v>1</v>
      </c>
      <c r="I188" s="219" t="s">
        <v>18</v>
      </c>
      <c r="J188" s="220">
        <v>0</v>
      </c>
      <c r="K188" s="221">
        <f t="shared" si="60"/>
        <v>0</v>
      </c>
      <c r="L188" s="38"/>
      <c r="M188" s="104"/>
      <c r="N188" s="105"/>
      <c r="O188" s="106">
        <f>OR(NOT(ISERROR(SEARCH($F$5,Q188))),Q188=0)*OR(NOT(ISERROR(SEARCH($F$6,R188))),R188=0)</f>
        <v>1</v>
      </c>
      <c r="P188" s="106"/>
      <c r="Q188" s="111" t="s">
        <v>946</v>
      </c>
      <c r="R188" s="108"/>
      <c r="S188" s="298" t="s">
        <v>996</v>
      </c>
    </row>
    <row r="189" spans="1:19" ht="7.9" customHeight="1" x14ac:dyDescent="0.2">
      <c r="A189" s="2"/>
      <c r="B189" s="51"/>
      <c r="C189" s="33"/>
      <c r="D189" s="24"/>
      <c r="E189" s="244"/>
      <c r="F189" s="244"/>
      <c r="G189" s="244"/>
      <c r="H189" s="245"/>
      <c r="I189" s="243"/>
      <c r="J189" s="246"/>
      <c r="K189" s="247"/>
      <c r="L189" s="19"/>
      <c r="M189" s="61"/>
      <c r="N189" s="40"/>
      <c r="O189" s="41" t="s">
        <v>270</v>
      </c>
    </row>
    <row r="190" spans="1:19" ht="7.9" customHeight="1" thickBot="1" x14ac:dyDescent="0.25">
      <c r="A190" s="2"/>
      <c r="B190" s="51"/>
      <c r="C190" s="33"/>
      <c r="D190" s="19"/>
      <c r="E190" s="19"/>
      <c r="F190" s="19"/>
      <c r="G190" s="19"/>
      <c r="H190" s="19"/>
      <c r="I190" s="19"/>
      <c r="J190" s="47"/>
      <c r="K190" s="19"/>
      <c r="L190" s="19"/>
      <c r="M190" s="61"/>
      <c r="N190" s="40"/>
    </row>
    <row r="191" spans="1:19" ht="24" customHeight="1" thickBot="1" x14ac:dyDescent="0.25">
      <c r="A191" s="2"/>
      <c r="B191" s="51"/>
      <c r="C191" s="33"/>
      <c r="D191" s="23"/>
      <c r="E191" s="94" t="s">
        <v>120</v>
      </c>
      <c r="F191" s="95"/>
      <c r="G191" s="95"/>
      <c r="H191" s="95"/>
      <c r="I191" s="95"/>
      <c r="J191" s="96"/>
      <c r="K191" s="156">
        <f>SUMIF(O192:O206,1,K192:K206)</f>
        <v>0</v>
      </c>
      <c r="L191" s="19"/>
      <c r="M191" s="61"/>
      <c r="N191" s="40"/>
      <c r="O191" s="41" t="s">
        <v>269</v>
      </c>
    </row>
    <row r="192" spans="1:19" s="109" customFormat="1" ht="19.149999999999999" customHeight="1" x14ac:dyDescent="0.25">
      <c r="A192" s="3"/>
      <c r="B192" s="204"/>
      <c r="C192" s="7"/>
      <c r="D192" s="101"/>
      <c r="E192" s="142" t="s">
        <v>967</v>
      </c>
      <c r="F192" s="174"/>
      <c r="G192" s="103"/>
      <c r="H192" s="143">
        <v>1</v>
      </c>
      <c r="I192" s="146" t="s">
        <v>18</v>
      </c>
      <c r="J192" s="149">
        <v>0</v>
      </c>
      <c r="K192" s="150">
        <f t="shared" ref="K192:K197" si="64">SUM(H192*J192)</f>
        <v>0</v>
      </c>
      <c r="L192" s="38"/>
      <c r="M192" s="104"/>
      <c r="N192" s="105"/>
      <c r="O192" s="106">
        <f t="shared" ref="O192:O197" si="65">OR(NOT(ISERROR(SEARCH($F$5,Q192))),Q192=0)*OR(NOT(ISERROR(SEARCH($F$6,R192))),R192=0)</f>
        <v>1</v>
      </c>
      <c r="P192" s="106"/>
      <c r="Q192" s="111"/>
      <c r="R192" s="108"/>
      <c r="S192" s="298" t="s">
        <v>997</v>
      </c>
    </row>
    <row r="193" spans="1:19" s="109" customFormat="1" ht="19.149999999999999" customHeight="1" x14ac:dyDescent="0.25">
      <c r="A193" s="3"/>
      <c r="B193" s="530"/>
      <c r="C193" s="7"/>
      <c r="D193" s="101"/>
      <c r="E193" s="142" t="s">
        <v>968</v>
      </c>
      <c r="F193" s="174"/>
      <c r="G193" s="103"/>
      <c r="H193" s="143">
        <v>1</v>
      </c>
      <c r="I193" s="146" t="s">
        <v>18</v>
      </c>
      <c r="J193" s="149">
        <v>0</v>
      </c>
      <c r="K193" s="150">
        <f t="shared" si="64"/>
        <v>0</v>
      </c>
      <c r="L193" s="38"/>
      <c r="M193" s="104"/>
      <c r="N193" s="105"/>
      <c r="O193" s="106">
        <f t="shared" si="65"/>
        <v>1</v>
      </c>
      <c r="P193" s="106"/>
      <c r="Q193" s="111"/>
      <c r="R193" s="108"/>
      <c r="S193" s="298" t="s">
        <v>997</v>
      </c>
    </row>
    <row r="194" spans="1:19" s="109" customFormat="1" ht="19.149999999999999" customHeight="1" x14ac:dyDescent="0.25">
      <c r="A194" s="3"/>
      <c r="B194" s="530"/>
      <c r="C194" s="7"/>
      <c r="D194" s="101"/>
      <c r="E194" s="142" t="s">
        <v>969</v>
      </c>
      <c r="F194" s="174"/>
      <c r="G194" s="103"/>
      <c r="H194" s="143">
        <v>1</v>
      </c>
      <c r="I194" s="146" t="s">
        <v>18</v>
      </c>
      <c r="J194" s="149">
        <v>0</v>
      </c>
      <c r="K194" s="150">
        <f t="shared" si="64"/>
        <v>0</v>
      </c>
      <c r="L194" s="38"/>
      <c r="M194" s="104"/>
      <c r="N194" s="105"/>
      <c r="O194" s="106">
        <f t="shared" si="65"/>
        <v>1</v>
      </c>
      <c r="P194" s="106"/>
      <c r="Q194" s="111"/>
      <c r="R194" s="108"/>
      <c r="S194" s="298" t="s">
        <v>997</v>
      </c>
    </row>
    <row r="195" spans="1:19" s="109" customFormat="1" ht="19.149999999999999" customHeight="1" x14ac:dyDescent="0.25">
      <c r="A195" s="3"/>
      <c r="B195" s="530"/>
      <c r="C195" s="7"/>
      <c r="D195" s="101"/>
      <c r="E195" s="142" t="s">
        <v>970</v>
      </c>
      <c r="F195" s="174"/>
      <c r="G195" s="103"/>
      <c r="H195" s="143">
        <v>0</v>
      </c>
      <c r="I195" s="146" t="s">
        <v>53</v>
      </c>
      <c r="J195" s="149">
        <v>0</v>
      </c>
      <c r="K195" s="150">
        <f t="shared" si="64"/>
        <v>0</v>
      </c>
      <c r="L195" s="38"/>
      <c r="M195" s="104"/>
      <c r="N195" s="105"/>
      <c r="O195" s="106">
        <f t="shared" si="65"/>
        <v>0</v>
      </c>
      <c r="P195" s="106"/>
      <c r="Q195" s="111" t="s">
        <v>285</v>
      </c>
      <c r="R195" s="108"/>
      <c r="S195" s="298" t="s">
        <v>997</v>
      </c>
    </row>
    <row r="196" spans="1:19" s="109" customFormat="1" ht="19.149999999999999" customHeight="1" x14ac:dyDescent="0.25">
      <c r="A196" s="3"/>
      <c r="B196" s="530"/>
      <c r="C196" s="7"/>
      <c r="D196" s="101"/>
      <c r="E196" s="142" t="s">
        <v>971</v>
      </c>
      <c r="F196" s="174"/>
      <c r="G196" s="103"/>
      <c r="H196" s="143">
        <v>1</v>
      </c>
      <c r="I196" s="146" t="s">
        <v>18</v>
      </c>
      <c r="J196" s="149">
        <v>0</v>
      </c>
      <c r="K196" s="150">
        <f t="shared" si="64"/>
        <v>0</v>
      </c>
      <c r="L196" s="38"/>
      <c r="M196" s="104"/>
      <c r="N196" s="105"/>
      <c r="O196" s="106">
        <f t="shared" si="65"/>
        <v>1</v>
      </c>
      <c r="P196" s="106"/>
      <c r="Q196" s="111"/>
      <c r="R196" s="108"/>
      <c r="S196" s="298" t="s">
        <v>997</v>
      </c>
    </row>
    <row r="197" spans="1:19" s="109" customFormat="1" ht="19.149999999999999" customHeight="1" x14ac:dyDescent="0.25">
      <c r="A197" s="3"/>
      <c r="B197" s="530"/>
      <c r="C197" s="7"/>
      <c r="D197" s="101"/>
      <c r="E197" s="142" t="s">
        <v>428</v>
      </c>
      <c r="F197" s="174"/>
      <c r="G197" s="103"/>
      <c r="H197" s="143">
        <v>1</v>
      </c>
      <c r="I197" s="146" t="s">
        <v>18</v>
      </c>
      <c r="J197" s="149">
        <v>0</v>
      </c>
      <c r="K197" s="150">
        <f t="shared" si="64"/>
        <v>0</v>
      </c>
      <c r="L197" s="38"/>
      <c r="M197" s="104"/>
      <c r="N197" s="105"/>
      <c r="O197" s="106">
        <f t="shared" si="65"/>
        <v>1</v>
      </c>
      <c r="P197" s="106"/>
      <c r="Q197" s="111" t="s">
        <v>471</v>
      </c>
      <c r="R197" s="108"/>
      <c r="S197" s="298" t="s">
        <v>997</v>
      </c>
    </row>
    <row r="198" spans="1:19" s="109" customFormat="1" ht="19.149999999999999" customHeight="1" x14ac:dyDescent="0.25">
      <c r="A198" s="3"/>
      <c r="B198" s="204"/>
      <c r="C198" s="7"/>
      <c r="D198" s="101"/>
      <c r="E198" s="600" t="s">
        <v>121</v>
      </c>
      <c r="F198" s="601"/>
      <c r="G198" s="217"/>
      <c r="H198" s="218">
        <v>1</v>
      </c>
      <c r="I198" s="219" t="s">
        <v>18</v>
      </c>
      <c r="J198" s="149">
        <v>0</v>
      </c>
      <c r="K198" s="221">
        <f t="shared" ref="K198:K205" si="66">SUM(H198*J198)</f>
        <v>0</v>
      </c>
      <c r="L198" s="38"/>
      <c r="M198" s="104"/>
      <c r="N198" s="105"/>
      <c r="O198" s="106">
        <f t="shared" ref="O198:O205" si="67">OR(NOT(ISERROR(SEARCH($F$5,Q198))),Q198=0)*OR(NOT(ISERROR(SEARCH($F$6,R198))),R198=0)</f>
        <v>1</v>
      </c>
      <c r="P198" s="106"/>
      <c r="Q198" s="111" t="s">
        <v>471</v>
      </c>
      <c r="R198" s="108"/>
      <c r="S198" s="298" t="s">
        <v>997</v>
      </c>
    </row>
    <row r="199" spans="1:19" s="109" customFormat="1" ht="19.149999999999999" customHeight="1" x14ac:dyDescent="0.25">
      <c r="A199" s="3"/>
      <c r="B199" s="204"/>
      <c r="C199" s="7"/>
      <c r="D199" s="101"/>
      <c r="E199" s="600" t="s">
        <v>122</v>
      </c>
      <c r="F199" s="601"/>
      <c r="G199" s="217"/>
      <c r="H199" s="218">
        <v>1</v>
      </c>
      <c r="I199" s="219" t="s">
        <v>18</v>
      </c>
      <c r="J199" s="149">
        <v>0</v>
      </c>
      <c r="K199" s="221">
        <f t="shared" si="66"/>
        <v>0</v>
      </c>
      <c r="L199" s="38"/>
      <c r="M199" s="104"/>
      <c r="N199" s="105"/>
      <c r="O199" s="106">
        <f t="shared" si="67"/>
        <v>1</v>
      </c>
      <c r="P199" s="106"/>
      <c r="Q199" s="111" t="s">
        <v>471</v>
      </c>
      <c r="R199" s="108"/>
      <c r="S199" s="298" t="s">
        <v>997</v>
      </c>
    </row>
    <row r="200" spans="1:19" s="109" customFormat="1" ht="19.149999999999999" customHeight="1" x14ac:dyDescent="0.25">
      <c r="A200" s="3"/>
      <c r="B200" s="204"/>
      <c r="C200" s="7"/>
      <c r="D200" s="101"/>
      <c r="E200" s="600" t="s">
        <v>123</v>
      </c>
      <c r="F200" s="601"/>
      <c r="G200" s="217"/>
      <c r="H200" s="218">
        <v>0</v>
      </c>
      <c r="I200" s="219" t="s">
        <v>21</v>
      </c>
      <c r="J200" s="149">
        <v>0</v>
      </c>
      <c r="K200" s="221">
        <f t="shared" si="66"/>
        <v>0</v>
      </c>
      <c r="L200" s="38"/>
      <c r="M200" s="104"/>
      <c r="N200" s="105"/>
      <c r="O200" s="106">
        <f t="shared" si="67"/>
        <v>1</v>
      </c>
      <c r="P200" s="106"/>
      <c r="Q200" s="111" t="s">
        <v>471</v>
      </c>
      <c r="R200" s="108"/>
      <c r="S200" s="298" t="s">
        <v>997</v>
      </c>
    </row>
    <row r="201" spans="1:19" s="109" customFormat="1" ht="19.149999999999999" customHeight="1" x14ac:dyDescent="0.25">
      <c r="A201" s="3"/>
      <c r="B201" s="204"/>
      <c r="C201" s="7"/>
      <c r="D201" s="101"/>
      <c r="E201" s="600" t="s">
        <v>429</v>
      </c>
      <c r="F201" s="601"/>
      <c r="G201" s="217"/>
      <c r="H201" s="218">
        <v>0</v>
      </c>
      <c r="I201" s="219" t="s">
        <v>21</v>
      </c>
      <c r="J201" s="149">
        <v>0</v>
      </c>
      <c r="K201" s="221">
        <f t="shared" si="66"/>
        <v>0</v>
      </c>
      <c r="L201" s="38"/>
      <c r="M201" s="104"/>
      <c r="N201" s="105"/>
      <c r="O201" s="106">
        <f t="shared" si="67"/>
        <v>1</v>
      </c>
      <c r="P201" s="106"/>
      <c r="Q201" s="111" t="s">
        <v>471</v>
      </c>
      <c r="R201" s="108"/>
      <c r="S201" s="298" t="s">
        <v>997</v>
      </c>
    </row>
    <row r="202" spans="1:19" s="109" customFormat="1" ht="19.149999999999999" customHeight="1" x14ac:dyDescent="0.25">
      <c r="A202" s="3"/>
      <c r="B202" s="204"/>
      <c r="C202" s="7"/>
      <c r="D202" s="101"/>
      <c r="E202" s="600" t="s">
        <v>124</v>
      </c>
      <c r="F202" s="601"/>
      <c r="G202" s="217"/>
      <c r="H202" s="218">
        <v>0</v>
      </c>
      <c r="I202" s="219" t="s">
        <v>21</v>
      </c>
      <c r="J202" s="149">
        <v>0</v>
      </c>
      <c r="K202" s="221">
        <f t="shared" si="66"/>
        <v>0</v>
      </c>
      <c r="L202" s="38"/>
      <c r="M202" s="104"/>
      <c r="N202" s="105"/>
      <c r="O202" s="106">
        <f t="shared" si="67"/>
        <v>1</v>
      </c>
      <c r="P202" s="106"/>
      <c r="Q202" s="111" t="s">
        <v>471</v>
      </c>
      <c r="R202" s="108"/>
      <c r="S202" s="298" t="s">
        <v>997</v>
      </c>
    </row>
    <row r="203" spans="1:19" s="109" customFormat="1" ht="19.149999999999999" customHeight="1" x14ac:dyDescent="0.25">
      <c r="A203" s="3"/>
      <c r="B203" s="204"/>
      <c r="C203" s="7"/>
      <c r="D203" s="101"/>
      <c r="E203" s="600" t="s">
        <v>125</v>
      </c>
      <c r="F203" s="601"/>
      <c r="G203" s="217"/>
      <c r="H203" s="218">
        <v>1</v>
      </c>
      <c r="I203" s="219" t="s">
        <v>18</v>
      </c>
      <c r="J203" s="149">
        <v>0</v>
      </c>
      <c r="K203" s="221">
        <f t="shared" si="66"/>
        <v>0</v>
      </c>
      <c r="L203" s="38"/>
      <c r="M203" s="104"/>
      <c r="N203" s="105"/>
      <c r="O203" s="106">
        <f t="shared" si="67"/>
        <v>1</v>
      </c>
      <c r="P203" s="106"/>
      <c r="Q203" s="111" t="s">
        <v>471</v>
      </c>
      <c r="R203" s="108"/>
      <c r="S203" s="298" t="s">
        <v>997</v>
      </c>
    </row>
    <row r="204" spans="1:19" s="109" customFormat="1" ht="19.149999999999999" customHeight="1" x14ac:dyDescent="0.25">
      <c r="A204" s="3"/>
      <c r="B204" s="204"/>
      <c r="C204" s="7"/>
      <c r="D204" s="101"/>
      <c r="E204" s="600" t="s">
        <v>430</v>
      </c>
      <c r="F204" s="601"/>
      <c r="G204" s="217"/>
      <c r="H204" s="218">
        <v>0</v>
      </c>
      <c r="I204" s="219" t="s">
        <v>21</v>
      </c>
      <c r="J204" s="149">
        <v>0</v>
      </c>
      <c r="K204" s="221">
        <f t="shared" si="66"/>
        <v>0</v>
      </c>
      <c r="L204" s="38"/>
      <c r="M204" s="104"/>
      <c r="N204" s="105"/>
      <c r="O204" s="106">
        <f t="shared" si="67"/>
        <v>1</v>
      </c>
      <c r="P204" s="106"/>
      <c r="Q204" s="111" t="s">
        <v>471</v>
      </c>
      <c r="R204" s="108"/>
      <c r="S204" s="298" t="s">
        <v>997</v>
      </c>
    </row>
    <row r="205" spans="1:19" s="109" customFormat="1" ht="19.149999999999999" customHeight="1" thickBot="1" x14ac:dyDescent="0.3">
      <c r="A205" s="3"/>
      <c r="B205" s="204"/>
      <c r="C205" s="7"/>
      <c r="D205" s="101"/>
      <c r="E205" s="600" t="s">
        <v>126</v>
      </c>
      <c r="F205" s="601"/>
      <c r="G205" s="217"/>
      <c r="H205" s="218">
        <v>0</v>
      </c>
      <c r="I205" s="219" t="s">
        <v>35</v>
      </c>
      <c r="J205" s="149">
        <v>0</v>
      </c>
      <c r="K205" s="221">
        <f t="shared" si="66"/>
        <v>0</v>
      </c>
      <c r="L205" s="38"/>
      <c r="M205" s="104"/>
      <c r="N205" s="105"/>
      <c r="O205" s="106">
        <f t="shared" si="67"/>
        <v>1</v>
      </c>
      <c r="P205" s="106"/>
      <c r="Q205" s="111" t="s">
        <v>471</v>
      </c>
      <c r="R205" s="108"/>
      <c r="S205" s="298" t="s">
        <v>997</v>
      </c>
    </row>
    <row r="206" spans="1:19" ht="7.9" customHeight="1" x14ac:dyDescent="0.2">
      <c r="A206" s="2"/>
      <c r="B206" s="51"/>
      <c r="C206" s="33"/>
      <c r="D206" s="24"/>
      <c r="E206" s="244"/>
      <c r="F206" s="244"/>
      <c r="G206" s="244"/>
      <c r="H206" s="245"/>
      <c r="I206" s="243"/>
      <c r="J206" s="246"/>
      <c r="K206" s="247"/>
      <c r="L206" s="19"/>
      <c r="M206" s="61"/>
      <c r="N206" s="40"/>
      <c r="O206" s="41" t="s">
        <v>270</v>
      </c>
    </row>
    <row r="207" spans="1:19" ht="7.9" customHeight="1" thickBot="1" x14ac:dyDescent="0.25">
      <c r="A207" s="2"/>
      <c r="B207" s="51"/>
      <c r="C207" s="33"/>
      <c r="D207" s="19"/>
      <c r="E207" s="19"/>
      <c r="F207" s="19"/>
      <c r="G207" s="19"/>
      <c r="H207" s="19"/>
      <c r="I207" s="19"/>
      <c r="J207" s="47"/>
      <c r="K207" s="19"/>
      <c r="L207" s="19"/>
      <c r="M207" s="61"/>
      <c r="N207" s="40"/>
    </row>
    <row r="208" spans="1:19" ht="24" customHeight="1" thickBot="1" x14ac:dyDescent="0.25">
      <c r="A208" s="2"/>
      <c r="B208" s="51"/>
      <c r="C208" s="33"/>
      <c r="D208" s="23"/>
      <c r="E208" s="94" t="s">
        <v>127</v>
      </c>
      <c r="F208" s="95"/>
      <c r="G208" s="95"/>
      <c r="H208" s="95"/>
      <c r="I208" s="95"/>
      <c r="J208" s="96"/>
      <c r="K208" s="156">
        <f>SUMIF(O209:O215,1,K209:K215)</f>
        <v>0</v>
      </c>
      <c r="L208" s="19"/>
      <c r="M208" s="61"/>
      <c r="N208" s="40"/>
      <c r="O208" s="41" t="s">
        <v>269</v>
      </c>
    </row>
    <row r="209" spans="1:19" s="109" customFormat="1" ht="19.149999999999999" customHeight="1" x14ac:dyDescent="0.25">
      <c r="A209" s="3"/>
      <c r="B209" s="204"/>
      <c r="C209" s="7"/>
      <c r="D209" s="101"/>
      <c r="E209" s="142" t="s">
        <v>128</v>
      </c>
      <c r="F209" s="174"/>
      <c r="G209" s="103"/>
      <c r="H209" s="143">
        <v>0</v>
      </c>
      <c r="I209" s="146" t="s">
        <v>53</v>
      </c>
      <c r="J209" s="149">
        <v>0</v>
      </c>
      <c r="K209" s="150">
        <f t="shared" ref="K209:K214" si="68">SUM(H209*J209)</f>
        <v>0</v>
      </c>
      <c r="L209" s="38"/>
      <c r="M209" s="104"/>
      <c r="N209" s="105"/>
      <c r="O209" s="106">
        <f>OR(NOT(ISERROR(SEARCH($F$5,Q209))),Q209=0)*OR(NOT(ISERROR(SEARCH($F$6,R209))),R209=0)</f>
        <v>1</v>
      </c>
      <c r="P209" s="106"/>
      <c r="Q209" s="108"/>
      <c r="R209" s="108"/>
      <c r="S209" s="298" t="s">
        <v>996</v>
      </c>
    </row>
    <row r="210" spans="1:19" s="109" customFormat="1" ht="19.149999999999999" customHeight="1" x14ac:dyDescent="0.25">
      <c r="A210" s="3"/>
      <c r="B210" s="204"/>
      <c r="C210" s="7"/>
      <c r="D210" s="101"/>
      <c r="E210" s="600" t="s">
        <v>129</v>
      </c>
      <c r="F210" s="601"/>
      <c r="G210" s="217"/>
      <c r="H210" s="218">
        <v>0</v>
      </c>
      <c r="I210" s="219" t="s">
        <v>21</v>
      </c>
      <c r="J210" s="231">
        <v>0</v>
      </c>
      <c r="K210" s="221">
        <f t="shared" si="68"/>
        <v>0</v>
      </c>
      <c r="L210" s="38"/>
      <c r="M210" s="104"/>
      <c r="N210" s="105"/>
      <c r="O210" s="106">
        <f t="shared" ref="O210:O214" si="69">OR(NOT(ISERROR(SEARCH($F$5,Q210))),Q210=0)*OR(NOT(ISERROR(SEARCH($F$6,R210))),R210=0)</f>
        <v>1</v>
      </c>
      <c r="P210" s="106"/>
      <c r="Q210" s="108"/>
      <c r="R210" s="108"/>
      <c r="S210" s="298" t="s">
        <v>996</v>
      </c>
    </row>
    <row r="211" spans="1:19" s="109" customFormat="1" ht="19.149999999999999" customHeight="1" x14ac:dyDescent="0.25">
      <c r="A211" s="3"/>
      <c r="B211" s="204"/>
      <c r="C211" s="7"/>
      <c r="D211" s="101"/>
      <c r="E211" s="600" t="s">
        <v>130</v>
      </c>
      <c r="F211" s="601"/>
      <c r="G211" s="217"/>
      <c r="H211" s="218">
        <v>0</v>
      </c>
      <c r="I211" s="219" t="s">
        <v>44</v>
      </c>
      <c r="J211" s="231">
        <v>0</v>
      </c>
      <c r="K211" s="221">
        <f t="shared" si="68"/>
        <v>0</v>
      </c>
      <c r="L211" s="38"/>
      <c r="M211" s="104"/>
      <c r="N211" s="105"/>
      <c r="O211" s="106">
        <f t="shared" si="69"/>
        <v>1</v>
      </c>
      <c r="P211" s="106"/>
      <c r="Q211" s="108"/>
      <c r="R211" s="108"/>
      <c r="S211" s="298" t="s">
        <v>996</v>
      </c>
    </row>
    <row r="212" spans="1:19" s="109" customFormat="1" ht="19.149999999999999" customHeight="1" x14ac:dyDescent="0.25">
      <c r="A212" s="3"/>
      <c r="B212" s="204"/>
      <c r="C212" s="7"/>
      <c r="D212" s="101"/>
      <c r="E212" s="600" t="s">
        <v>131</v>
      </c>
      <c r="F212" s="601"/>
      <c r="G212" s="217"/>
      <c r="H212" s="218">
        <v>0</v>
      </c>
      <c r="I212" s="219" t="s">
        <v>53</v>
      </c>
      <c r="J212" s="231">
        <v>0</v>
      </c>
      <c r="K212" s="221">
        <f t="shared" si="68"/>
        <v>0</v>
      </c>
      <c r="L212" s="38"/>
      <c r="M212" s="104"/>
      <c r="N212" s="105"/>
      <c r="O212" s="106">
        <f t="shared" si="69"/>
        <v>1</v>
      </c>
      <c r="P212" s="106"/>
      <c r="Q212" s="108"/>
      <c r="R212" s="108"/>
      <c r="S212" s="298" t="s">
        <v>996</v>
      </c>
    </row>
    <row r="213" spans="1:19" s="109" customFormat="1" ht="19.149999999999999" customHeight="1" x14ac:dyDescent="0.25">
      <c r="A213" s="3"/>
      <c r="B213" s="204"/>
      <c r="C213" s="7"/>
      <c r="D213" s="101"/>
      <c r="E213" s="600" t="s">
        <v>132</v>
      </c>
      <c r="F213" s="601"/>
      <c r="G213" s="217"/>
      <c r="H213" s="218">
        <v>0</v>
      </c>
      <c r="I213" s="219" t="s">
        <v>21</v>
      </c>
      <c r="J213" s="231">
        <v>0</v>
      </c>
      <c r="K213" s="221">
        <f t="shared" si="68"/>
        <v>0</v>
      </c>
      <c r="L213" s="38"/>
      <c r="M213" s="104"/>
      <c r="N213" s="105"/>
      <c r="O213" s="106">
        <f t="shared" si="69"/>
        <v>1</v>
      </c>
      <c r="P213" s="106"/>
      <c r="Q213" s="108"/>
      <c r="R213" s="108"/>
      <c r="S213" s="298" t="s">
        <v>996</v>
      </c>
    </row>
    <row r="214" spans="1:19" s="109" customFormat="1" ht="19.149999999999999" customHeight="1" thickBot="1" x14ac:dyDescent="0.3">
      <c r="A214" s="3"/>
      <c r="B214" s="204"/>
      <c r="C214" s="7"/>
      <c r="D214" s="101"/>
      <c r="E214" s="600" t="s">
        <v>133</v>
      </c>
      <c r="F214" s="601"/>
      <c r="G214" s="217"/>
      <c r="H214" s="218">
        <v>0</v>
      </c>
      <c r="I214" s="219" t="s">
        <v>44</v>
      </c>
      <c r="J214" s="231">
        <v>0</v>
      </c>
      <c r="K214" s="221">
        <f t="shared" si="68"/>
        <v>0</v>
      </c>
      <c r="L214" s="38"/>
      <c r="M214" s="104"/>
      <c r="N214" s="105"/>
      <c r="O214" s="106">
        <f t="shared" si="69"/>
        <v>1</v>
      </c>
      <c r="P214" s="106"/>
      <c r="Q214" s="108"/>
      <c r="R214" s="108"/>
      <c r="S214" s="298" t="s">
        <v>996</v>
      </c>
    </row>
    <row r="215" spans="1:19" ht="7.9" customHeight="1" x14ac:dyDescent="0.2">
      <c r="A215" s="2"/>
      <c r="B215" s="51"/>
      <c r="C215" s="33"/>
      <c r="D215" s="24"/>
      <c r="E215" s="244"/>
      <c r="F215" s="244"/>
      <c r="G215" s="244"/>
      <c r="H215" s="245"/>
      <c r="I215" s="243"/>
      <c r="J215" s="246"/>
      <c r="K215" s="247"/>
      <c r="L215" s="19"/>
      <c r="M215" s="61"/>
      <c r="N215" s="40"/>
      <c r="O215" s="41" t="s">
        <v>270</v>
      </c>
    </row>
    <row r="216" spans="1:19" ht="7.9" customHeight="1" thickBot="1" x14ac:dyDescent="0.25">
      <c r="A216" s="2"/>
      <c r="B216" s="51"/>
      <c r="C216" s="33"/>
      <c r="D216" s="19"/>
      <c r="E216" s="19"/>
      <c r="F216" s="19"/>
      <c r="G216" s="19"/>
      <c r="H216" s="19"/>
      <c r="I216" s="19"/>
      <c r="J216" s="47"/>
      <c r="K216" s="19"/>
      <c r="L216" s="19"/>
      <c r="M216" s="61"/>
      <c r="N216" s="40"/>
    </row>
    <row r="217" spans="1:19" ht="24" customHeight="1" thickBot="1" x14ac:dyDescent="0.25">
      <c r="A217" s="2"/>
      <c r="B217" s="51"/>
      <c r="C217" s="33"/>
      <c r="D217" s="23"/>
      <c r="E217" s="94" t="s">
        <v>134</v>
      </c>
      <c r="F217" s="95"/>
      <c r="G217" s="95"/>
      <c r="H217" s="95"/>
      <c r="I217" s="95"/>
      <c r="J217" s="96"/>
      <c r="K217" s="156">
        <f>SUMIF(O218:O223,1,K218:K223)</f>
        <v>0</v>
      </c>
      <c r="L217" s="19"/>
      <c r="M217" s="61"/>
      <c r="N217" s="40"/>
      <c r="O217" s="41" t="s">
        <v>269</v>
      </c>
      <c r="Q217" s="43"/>
    </row>
    <row r="218" spans="1:19" s="109" customFormat="1" ht="19.149999999999999" customHeight="1" x14ac:dyDescent="0.25">
      <c r="A218" s="3"/>
      <c r="B218" s="204"/>
      <c r="C218" s="7"/>
      <c r="D218" s="101"/>
      <c r="E218" s="142" t="s">
        <v>135</v>
      </c>
      <c r="F218" s="174"/>
      <c r="G218" s="103"/>
      <c r="H218" s="143">
        <v>0</v>
      </c>
      <c r="I218" s="146" t="s">
        <v>53</v>
      </c>
      <c r="J218" s="149">
        <v>0</v>
      </c>
      <c r="K218" s="150">
        <f>SUM(H218*J218)</f>
        <v>0</v>
      </c>
      <c r="L218" s="38"/>
      <c r="M218" s="104"/>
      <c r="N218" s="105"/>
      <c r="O218" s="106">
        <f>OR(NOT(ISERROR(SEARCH($F$5,Q218))),Q218=0)*OR(NOT(ISERROR(SEARCH($F$6,R218))),R218=0)</f>
        <v>1</v>
      </c>
      <c r="P218" s="106"/>
      <c r="Q218" s="111"/>
      <c r="R218" s="108"/>
      <c r="S218" s="298" t="s">
        <v>998</v>
      </c>
    </row>
    <row r="219" spans="1:19" s="109" customFormat="1" ht="19.149999999999999" customHeight="1" x14ac:dyDescent="0.25">
      <c r="A219" s="3"/>
      <c r="B219" s="204"/>
      <c r="C219" s="7"/>
      <c r="D219" s="101"/>
      <c r="E219" s="600" t="s">
        <v>136</v>
      </c>
      <c r="F219" s="601"/>
      <c r="G219" s="217"/>
      <c r="H219" s="218">
        <v>0</v>
      </c>
      <c r="I219" s="219" t="s">
        <v>53</v>
      </c>
      <c r="J219" s="231">
        <v>0</v>
      </c>
      <c r="K219" s="221">
        <f t="shared" ref="K219:K221" si="70">SUM(H219*J219)</f>
        <v>0</v>
      </c>
      <c r="L219" s="38"/>
      <c r="M219" s="104"/>
      <c r="N219" s="105"/>
      <c r="O219" s="106">
        <f t="shared" ref="O219:O221" si="71">OR(NOT(ISERROR(SEARCH($F$5,Q219))),Q219=0)*OR(NOT(ISERROR(SEARCH($F$6,R219))),R219=0)</f>
        <v>1</v>
      </c>
      <c r="P219" s="106"/>
      <c r="Q219" s="111" t="s">
        <v>946</v>
      </c>
      <c r="R219" s="108"/>
      <c r="S219" s="298" t="s">
        <v>998</v>
      </c>
    </row>
    <row r="220" spans="1:19" s="109" customFormat="1" ht="19.149999999999999" customHeight="1" x14ac:dyDescent="0.25">
      <c r="A220" s="3"/>
      <c r="B220" s="204"/>
      <c r="C220" s="7"/>
      <c r="D220" s="101"/>
      <c r="E220" s="600" t="s">
        <v>137</v>
      </c>
      <c r="F220" s="601"/>
      <c r="G220" s="217"/>
      <c r="H220" s="218">
        <v>0</v>
      </c>
      <c r="I220" s="219" t="s">
        <v>53</v>
      </c>
      <c r="J220" s="231">
        <v>0</v>
      </c>
      <c r="K220" s="221">
        <f t="shared" si="70"/>
        <v>0</v>
      </c>
      <c r="L220" s="38"/>
      <c r="M220" s="104"/>
      <c r="N220" s="105"/>
      <c r="O220" s="106">
        <f t="shared" si="71"/>
        <v>1</v>
      </c>
      <c r="P220" s="106"/>
      <c r="Q220" s="111" t="s">
        <v>946</v>
      </c>
      <c r="R220" s="108"/>
      <c r="S220" s="298" t="s">
        <v>998</v>
      </c>
    </row>
    <row r="221" spans="1:19" s="109" customFormat="1" ht="19.149999999999999" customHeight="1" x14ac:dyDescent="0.25">
      <c r="A221" s="3"/>
      <c r="B221" s="204"/>
      <c r="C221" s="7"/>
      <c r="D221" s="101"/>
      <c r="E221" s="600" t="s">
        <v>138</v>
      </c>
      <c r="F221" s="601"/>
      <c r="G221" s="217"/>
      <c r="H221" s="218">
        <v>0</v>
      </c>
      <c r="I221" s="219" t="s">
        <v>53</v>
      </c>
      <c r="J221" s="231">
        <v>0</v>
      </c>
      <c r="K221" s="221">
        <f t="shared" si="70"/>
        <v>0</v>
      </c>
      <c r="L221" s="38"/>
      <c r="M221" s="104"/>
      <c r="N221" s="105"/>
      <c r="O221" s="106">
        <f t="shared" si="71"/>
        <v>1</v>
      </c>
      <c r="P221" s="106"/>
      <c r="Q221" s="111" t="s">
        <v>946</v>
      </c>
      <c r="R221" s="108"/>
      <c r="S221" s="298" t="s">
        <v>998</v>
      </c>
    </row>
    <row r="222" spans="1:19" s="109" customFormat="1" ht="19.149999999999999" customHeight="1" thickBot="1" x14ac:dyDescent="0.3">
      <c r="A222" s="3"/>
      <c r="B222" s="204"/>
      <c r="C222" s="7"/>
      <c r="D222" s="101"/>
      <c r="E222" s="600" t="s">
        <v>139</v>
      </c>
      <c r="F222" s="601"/>
      <c r="G222" s="217"/>
      <c r="H222" s="218">
        <v>0</v>
      </c>
      <c r="I222" s="219" t="s">
        <v>53</v>
      </c>
      <c r="J222" s="220">
        <v>0</v>
      </c>
      <c r="K222" s="221">
        <f>SUM(H222*J222)</f>
        <v>0</v>
      </c>
      <c r="L222" s="38"/>
      <c r="M222" s="104"/>
      <c r="N222" s="105"/>
      <c r="O222" s="106">
        <f>OR(NOT(ISERROR(SEARCH($F$5,Q222))),Q222=0)*OR(NOT(ISERROR(SEARCH($F$6,R222))),R222=0)</f>
        <v>1</v>
      </c>
      <c r="P222" s="106"/>
      <c r="Q222" s="111" t="s">
        <v>946</v>
      </c>
      <c r="R222" s="108"/>
      <c r="S222" s="298" t="s">
        <v>998</v>
      </c>
    </row>
    <row r="223" spans="1:19" ht="7.9" customHeight="1" x14ac:dyDescent="0.2">
      <c r="A223" s="2"/>
      <c r="B223" s="51"/>
      <c r="C223" s="33"/>
      <c r="D223" s="24"/>
      <c r="E223" s="244"/>
      <c r="F223" s="244"/>
      <c r="G223" s="244"/>
      <c r="H223" s="245"/>
      <c r="I223" s="243"/>
      <c r="J223" s="246"/>
      <c r="K223" s="247"/>
      <c r="L223" s="19"/>
      <c r="M223" s="61"/>
      <c r="N223" s="40"/>
      <c r="O223" s="41" t="s">
        <v>270</v>
      </c>
    </row>
    <row r="224" spans="1:19" ht="7.9" customHeight="1" thickBot="1" x14ac:dyDescent="0.25">
      <c r="A224" s="2"/>
      <c r="B224" s="51"/>
      <c r="C224" s="33"/>
      <c r="D224" s="19"/>
      <c r="E224" s="19"/>
      <c r="F224" s="19"/>
      <c r="G224" s="19"/>
      <c r="H224" s="19"/>
      <c r="I224" s="19"/>
      <c r="J224" s="47"/>
      <c r="K224" s="19"/>
      <c r="L224" s="19"/>
      <c r="M224" s="61"/>
      <c r="N224" s="40"/>
    </row>
    <row r="225" spans="1:20" ht="24" customHeight="1" thickBot="1" x14ac:dyDescent="0.25">
      <c r="A225" s="2"/>
      <c r="B225" s="51"/>
      <c r="C225" s="33"/>
      <c r="D225" s="23"/>
      <c r="E225" s="94" t="s">
        <v>987</v>
      </c>
      <c r="F225" s="95"/>
      <c r="G225" s="95"/>
      <c r="H225" s="95"/>
      <c r="I225" s="95"/>
      <c r="J225" s="96"/>
      <c r="K225" s="254">
        <f ca="1">SUMIF(O226:O233,1,K226:K233)</f>
        <v>0</v>
      </c>
      <c r="L225" s="19"/>
      <c r="M225" s="61"/>
      <c r="N225" s="40"/>
      <c r="O225" s="41" t="s">
        <v>269</v>
      </c>
    </row>
    <row r="226" spans="1:20" s="41" customFormat="1" ht="19.350000000000001" customHeight="1" x14ac:dyDescent="0.2">
      <c r="A226" s="241"/>
      <c r="B226" s="51"/>
      <c r="C226" s="7"/>
      <c r="D226" s="101"/>
      <c r="E226" s="598" t="str">
        <f>'Non-Staff Labor'!F11</f>
        <v>Clean-Up Labor</v>
      </c>
      <c r="F226" s="599"/>
      <c r="G226" s="162"/>
      <c r="H226" s="158">
        <v>1</v>
      </c>
      <c r="I226" s="162" t="s">
        <v>18</v>
      </c>
      <c r="J226" s="663">
        <f ca="1">'Non-Staff Labor'!H15</f>
        <v>0</v>
      </c>
      <c r="K226" s="150">
        <f t="shared" ref="K226:K230" ca="1" si="72">SUM(H226*J226)</f>
        <v>0</v>
      </c>
      <c r="L226" s="38"/>
      <c r="M226" s="104"/>
      <c r="N226" s="40"/>
      <c r="O226" s="106">
        <f t="shared" ref="O226:O231" si="73">OR(NOT(ISERROR(SEARCH($F$5,Q226))),Q226=0)*OR(NOT(ISERROR(SEARCH($F$6,R226))),R226=0)</f>
        <v>1</v>
      </c>
      <c r="Q226" s="42"/>
      <c r="R226" s="42"/>
      <c r="S226" s="297"/>
      <c r="T226" s="1"/>
    </row>
    <row r="227" spans="1:20" s="41" customFormat="1" ht="19.350000000000001" customHeight="1" x14ac:dyDescent="0.2">
      <c r="A227" s="241"/>
      <c r="B227" s="51"/>
      <c r="C227" s="7"/>
      <c r="D227" s="101"/>
      <c r="E227" s="598" t="str">
        <f>'Non-Staff Labor'!I11</f>
        <v>Safety (C &amp; L)</v>
      </c>
      <c r="F227" s="599"/>
      <c r="G227" s="162"/>
      <c r="H227" s="158">
        <v>1</v>
      </c>
      <c r="I227" s="162" t="s">
        <v>18</v>
      </c>
      <c r="J227" s="663">
        <f ca="1">'Non-Staff Labor'!K15</f>
        <v>0</v>
      </c>
      <c r="K227" s="150">
        <f t="shared" ca="1" si="72"/>
        <v>0</v>
      </c>
      <c r="L227" s="38"/>
      <c r="M227" s="104"/>
      <c r="N227" s="40"/>
      <c r="O227" s="106">
        <f t="shared" si="73"/>
        <v>1</v>
      </c>
      <c r="Q227" s="42"/>
      <c r="R227" s="42"/>
      <c r="S227" s="297"/>
      <c r="T227" s="1"/>
    </row>
    <row r="228" spans="1:20" s="41" customFormat="1" ht="19.350000000000001" customHeight="1" x14ac:dyDescent="0.2">
      <c r="A228" s="241"/>
      <c r="B228" s="51"/>
      <c r="C228" s="7"/>
      <c r="D228" s="101"/>
      <c r="E228" s="598" t="str">
        <f>'Non-Staff Labor'!L11</f>
        <v>Police</v>
      </c>
      <c r="F228" s="599"/>
      <c r="G228" s="162"/>
      <c r="H228" s="158">
        <v>1</v>
      </c>
      <c r="I228" s="162" t="s">
        <v>18</v>
      </c>
      <c r="J228" s="663">
        <f ca="1">'Non-Staff Labor'!N15</f>
        <v>0</v>
      </c>
      <c r="K228" s="150">
        <f t="shared" ca="1" si="72"/>
        <v>0</v>
      </c>
      <c r="L228" s="38"/>
      <c r="M228" s="104"/>
      <c r="N228" s="40"/>
      <c r="O228" s="106">
        <f t="shared" si="73"/>
        <v>1</v>
      </c>
      <c r="Q228" s="42"/>
      <c r="R228" s="42"/>
      <c r="S228" s="297"/>
      <c r="T228" s="1"/>
    </row>
    <row r="229" spans="1:20" s="41" customFormat="1" ht="19.350000000000001" customHeight="1" x14ac:dyDescent="0.2">
      <c r="A229" s="241"/>
      <c r="B229" s="51"/>
      <c r="C229" s="7"/>
      <c r="D229" s="101"/>
      <c r="E229" s="598" t="str">
        <f>'Non-Staff Labor'!O11</f>
        <v>Labor Steward</v>
      </c>
      <c r="F229" s="599"/>
      <c r="G229" s="162"/>
      <c r="H229" s="158">
        <v>1</v>
      </c>
      <c r="I229" s="162" t="s">
        <v>18</v>
      </c>
      <c r="J229" s="663">
        <f ca="1">'Non-Staff Labor'!Q15</f>
        <v>0</v>
      </c>
      <c r="K229" s="150">
        <f t="shared" ca="1" si="72"/>
        <v>0</v>
      </c>
      <c r="L229" s="38"/>
      <c r="M229" s="104"/>
      <c r="N229" s="40"/>
      <c r="O229" s="106">
        <f t="shared" si="73"/>
        <v>1</v>
      </c>
      <c r="Q229" s="42"/>
      <c r="R229" s="42"/>
      <c r="S229" s="297"/>
      <c r="T229" s="1"/>
    </row>
    <row r="230" spans="1:20" s="41" customFormat="1" ht="19.350000000000001" customHeight="1" x14ac:dyDescent="0.2">
      <c r="A230" s="241"/>
      <c r="B230" s="51"/>
      <c r="C230" s="7"/>
      <c r="D230" s="101"/>
      <c r="E230" s="598" t="str">
        <f>'Non-Staff Labor'!R11</f>
        <v>Carpenter Steward</v>
      </c>
      <c r="F230" s="599"/>
      <c r="G230" s="162"/>
      <c r="H230" s="158">
        <v>1</v>
      </c>
      <c r="I230" s="162" t="s">
        <v>18</v>
      </c>
      <c r="J230" s="663">
        <f ca="1">'Non-Staff Labor'!T15</f>
        <v>0</v>
      </c>
      <c r="K230" s="150">
        <f t="shared" ca="1" si="72"/>
        <v>0</v>
      </c>
      <c r="L230" s="38"/>
      <c r="M230" s="104"/>
      <c r="N230" s="40"/>
      <c r="O230" s="106">
        <f t="shared" si="73"/>
        <v>1</v>
      </c>
      <c r="Q230" s="42"/>
      <c r="R230" s="42"/>
      <c r="S230" s="297"/>
      <c r="T230" s="1"/>
    </row>
    <row r="231" spans="1:20" s="41" customFormat="1" ht="19.350000000000001" customHeight="1" x14ac:dyDescent="0.2">
      <c r="A231" s="241"/>
      <c r="B231" s="51"/>
      <c r="C231" s="7"/>
      <c r="D231" s="101"/>
      <c r="E231" s="598" t="str">
        <f>'Non-Staff Labor'!U11</f>
        <v>Fire Watch</v>
      </c>
      <c r="F231" s="599"/>
      <c r="G231" s="162"/>
      <c r="H231" s="158">
        <v>1</v>
      </c>
      <c r="I231" s="162" t="s">
        <v>18</v>
      </c>
      <c r="J231" s="663">
        <f ca="1">'Non-Staff Labor'!W15</f>
        <v>0</v>
      </c>
      <c r="K231" s="152">
        <f ca="1">SUM(H231*J231)</f>
        <v>0</v>
      </c>
      <c r="L231" s="38"/>
      <c r="M231" s="104"/>
      <c r="N231" s="40"/>
      <c r="O231" s="106">
        <f t="shared" si="73"/>
        <v>1</v>
      </c>
      <c r="Q231" s="42"/>
      <c r="R231" s="42"/>
      <c r="S231" s="297"/>
      <c r="T231" s="1"/>
    </row>
    <row r="232" spans="1:20" s="109" customFormat="1" ht="6.75" customHeight="1" thickBot="1" x14ac:dyDescent="0.3">
      <c r="A232" s="3"/>
      <c r="B232" s="238"/>
      <c r="C232" s="7"/>
      <c r="D232" s="101"/>
      <c r="E232" s="239"/>
      <c r="F232" s="240"/>
      <c r="G232" s="249"/>
      <c r="H232" s="250"/>
      <c r="I232" s="251"/>
      <c r="J232" s="252"/>
      <c r="K232" s="253"/>
      <c r="L232" s="38"/>
      <c r="M232" s="104"/>
      <c r="N232" s="105"/>
      <c r="O232" s="106"/>
      <c r="P232" s="106"/>
      <c r="Q232" s="108"/>
      <c r="R232" s="108"/>
      <c r="S232" s="298"/>
    </row>
    <row r="233" spans="1:20" ht="7.9" customHeight="1" x14ac:dyDescent="0.2">
      <c r="A233" s="2"/>
      <c r="B233" s="51"/>
      <c r="C233" s="33"/>
      <c r="D233" s="24"/>
      <c r="E233" s="25"/>
      <c r="F233" s="25"/>
      <c r="G233" s="25"/>
      <c r="H233" s="26"/>
      <c r="I233" s="27"/>
      <c r="J233" s="28"/>
      <c r="K233" s="29"/>
      <c r="L233" s="19"/>
      <c r="M233" s="61"/>
      <c r="N233" s="40"/>
      <c r="O233" s="41" t="s">
        <v>270</v>
      </c>
    </row>
    <row r="234" spans="1:20" ht="7.9" customHeight="1" x14ac:dyDescent="0.2">
      <c r="A234" s="2"/>
      <c r="B234" s="51"/>
      <c r="C234" s="33"/>
      <c r="D234" s="19"/>
      <c r="E234" s="19"/>
      <c r="F234" s="19"/>
      <c r="G234" s="19"/>
      <c r="H234" s="19"/>
      <c r="I234" s="19"/>
      <c r="J234" s="47"/>
      <c r="K234" s="19"/>
      <c r="L234" s="19"/>
      <c r="M234" s="61"/>
      <c r="N234" s="40"/>
    </row>
    <row r="235" spans="1:20" s="4" customFormat="1" ht="15" hidden="1" x14ac:dyDescent="0.2">
      <c r="A235" s="2"/>
      <c r="B235" s="51"/>
      <c r="C235" s="2"/>
      <c r="D235" s="6"/>
      <c r="E235" s="6"/>
      <c r="F235" s="6"/>
      <c r="G235" s="6"/>
      <c r="H235" s="6"/>
      <c r="I235" s="6"/>
      <c r="J235" s="93"/>
      <c r="K235" s="6"/>
      <c r="L235" s="6"/>
      <c r="M235" s="40"/>
      <c r="N235" s="2"/>
      <c r="O235" s="41"/>
      <c r="P235" s="41"/>
      <c r="Q235" s="42"/>
      <c r="R235" s="42"/>
      <c r="S235" s="297"/>
      <c r="T235" s="1"/>
    </row>
    <row r="236" spans="1:20" s="4" customFormat="1" ht="17.45" hidden="1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92"/>
      <c r="K236" s="2"/>
      <c r="L236" s="2"/>
      <c r="M236" s="40"/>
      <c r="N236" s="2"/>
      <c r="O236" s="41"/>
      <c r="P236" s="41"/>
      <c r="Q236" s="42"/>
      <c r="R236" s="42"/>
      <c r="S236" s="297"/>
      <c r="T236" s="1"/>
    </row>
    <row r="237" spans="1:20" ht="14.25" hidden="1" x14ac:dyDescent="0.2">
      <c r="A237" s="98"/>
      <c r="B237" s="98"/>
      <c r="C237" s="98"/>
      <c r="D237" s="98"/>
      <c r="E237" s="98"/>
      <c r="F237" s="98"/>
      <c r="G237" s="98"/>
      <c r="H237" s="98"/>
      <c r="I237" s="98"/>
      <c r="J237" s="99"/>
      <c r="K237" s="98"/>
      <c r="L237" s="98"/>
      <c r="M237" s="98"/>
      <c r="N237" s="98"/>
    </row>
    <row r="238" spans="1:20" ht="19.149999999999999" hidden="1" customHeight="1" x14ac:dyDescent="0.2"/>
    <row r="239" spans="1:20" ht="14.25" hidden="1" x14ac:dyDescent="0.2"/>
    <row r="240" spans="1:20" ht="14.25" hidden="1" x14ac:dyDescent="0.2"/>
    <row r="241" spans="1:20" ht="14.25" hidden="1" x14ac:dyDescent="0.2"/>
    <row r="242" spans="1:20" ht="14.25" hidden="1" x14ac:dyDescent="0.2"/>
    <row r="243" spans="1:20" ht="15" hidden="1" thickBot="1" x14ac:dyDescent="0.25"/>
    <row r="244" spans="1:20" ht="15" hidden="1" thickBot="1" x14ac:dyDescent="0.25">
      <c r="C244" s="205">
        <f>K244</f>
        <v>0</v>
      </c>
      <c r="D244" s="138"/>
    </row>
    <row r="245" spans="1:20" ht="14.25" hidden="1" x14ac:dyDescent="0.2"/>
    <row r="246" spans="1:20" ht="14.25" hidden="1" x14ac:dyDescent="0.2">
      <c r="C246" s="7"/>
    </row>
    <row r="247" spans="1:20" ht="14.25" hidden="1" x14ac:dyDescent="0.2"/>
    <row r="248" spans="1:20" ht="14.25" hidden="1" x14ac:dyDescent="0.2"/>
    <row r="249" spans="1:20" ht="13.9" hidden="1" customHeight="1" x14ac:dyDescent="0.2"/>
    <row r="250" spans="1:20" ht="13.9" hidden="1" customHeight="1" x14ac:dyDescent="0.2"/>
    <row r="251" spans="1:20" ht="13.9" hidden="1" customHeight="1" x14ac:dyDescent="0.2"/>
    <row r="252" spans="1:20" ht="13.9" hidden="1" customHeight="1" x14ac:dyDescent="0.2"/>
    <row r="253" spans="1:20" ht="13.9" hidden="1" customHeight="1" x14ac:dyDescent="0.2"/>
    <row r="254" spans="1:20" s="41" customFormat="1" ht="13.9" hidden="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48"/>
      <c r="K254" s="1"/>
      <c r="L254" s="1"/>
      <c r="M254" s="1"/>
      <c r="N254" s="1"/>
      <c r="Q254" s="42"/>
      <c r="R254" s="42"/>
      <c r="S254" s="297"/>
      <c r="T254" s="1"/>
    </row>
    <row r="255" spans="1:20" s="41" customFormat="1" ht="13.9" hidden="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48"/>
      <c r="K255" s="1"/>
      <c r="L255" s="1"/>
      <c r="M255" s="1"/>
      <c r="N255" s="1"/>
      <c r="Q255" s="42"/>
      <c r="R255" s="42"/>
      <c r="S255" s="297"/>
      <c r="T255" s="1"/>
    </row>
    <row r="256" spans="1:20" s="41" customFormat="1" ht="19.350000000000001" hidden="1" customHeight="1" x14ac:dyDescent="0.2">
      <c r="A256" s="241"/>
      <c r="B256" s="51"/>
      <c r="C256" s="7"/>
      <c r="D256" s="101"/>
      <c r="E256" s="199"/>
      <c r="F256" s="200"/>
      <c r="G256" s="162"/>
      <c r="H256" s="158">
        <v>1</v>
      </c>
      <c r="I256" s="162" t="s">
        <v>18</v>
      </c>
      <c r="J256" s="663"/>
      <c r="K256" s="152">
        <f>SUM(H256*J256)</f>
        <v>0</v>
      </c>
      <c r="L256" s="38"/>
      <c r="M256" s="104"/>
      <c r="N256" s="40"/>
      <c r="O256" s="106">
        <f t="shared" ref="O256" si="74">OR(NOT(ISERROR(SEARCH($F$5,Q256))),Q256=0)*OR(NOT(ISERROR(SEARCH($F$6,R256))),R256=0)</f>
        <v>1</v>
      </c>
      <c r="Q256" s="42"/>
      <c r="R256" s="42"/>
      <c r="S256" s="297"/>
      <c r="T256" s="1"/>
    </row>
    <row r="257" spans="1:20" s="41" customFormat="1" ht="13.9" hidden="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48"/>
      <c r="K257" s="1"/>
      <c r="L257" s="1"/>
      <c r="M257" s="1"/>
      <c r="N257" s="1"/>
      <c r="Q257" s="42"/>
      <c r="R257" s="42"/>
      <c r="S257" s="297"/>
      <c r="T257" s="1"/>
    </row>
    <row r="258" spans="1:20" s="41" customFormat="1" ht="13.9" hidden="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48"/>
      <c r="K258" s="1"/>
      <c r="L258" s="1"/>
      <c r="M258" s="1"/>
      <c r="N258" s="1"/>
      <c r="Q258" s="42"/>
      <c r="R258" s="42"/>
      <c r="S258" s="297"/>
      <c r="T258" s="1"/>
    </row>
    <row r="259" spans="1:20" s="41" customFormat="1" ht="13.9" hidden="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48"/>
      <c r="K259" s="1"/>
      <c r="L259" s="1"/>
      <c r="M259" s="1"/>
      <c r="N259" s="1"/>
      <c r="Q259" s="42"/>
      <c r="R259" s="42"/>
      <c r="S259" s="297"/>
      <c r="T259" s="1"/>
    </row>
    <row r="260" spans="1:20" s="41" customFormat="1" ht="13.9" hidden="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48"/>
      <c r="K260" s="1"/>
      <c r="L260" s="1"/>
      <c r="M260" s="1"/>
      <c r="N260" s="1"/>
      <c r="Q260" s="42"/>
      <c r="R260" s="42"/>
      <c r="S260" s="297"/>
      <c r="T260" s="1"/>
    </row>
    <row r="261" spans="1:20" s="41" customFormat="1" ht="13.9" hidden="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48"/>
      <c r="K261" s="1"/>
      <c r="L261" s="1"/>
      <c r="M261" s="1"/>
      <c r="N261" s="1"/>
      <c r="Q261" s="42"/>
      <c r="R261" s="42"/>
      <c r="S261" s="297"/>
      <c r="T261" s="1"/>
    </row>
    <row r="262" spans="1:20" s="41" customFormat="1" ht="13.9" hidden="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48"/>
      <c r="K262" s="1"/>
      <c r="L262" s="1"/>
      <c r="M262" s="1"/>
      <c r="N262" s="1"/>
      <c r="Q262" s="42"/>
      <c r="R262" s="42"/>
      <c r="S262" s="297"/>
      <c r="T262" s="1"/>
    </row>
    <row r="263" spans="1:20" ht="13.9" hidden="1" customHeight="1" x14ac:dyDescent="0.2"/>
    <row r="264" spans="1:20" ht="13.9" hidden="1" customHeight="1" x14ac:dyDescent="0.2"/>
    <row r="265" spans="1:20" ht="13.9" hidden="1" customHeight="1" x14ac:dyDescent="0.2"/>
    <row r="266" spans="1:20" ht="13.9" hidden="1" customHeight="1" x14ac:dyDescent="0.2"/>
    <row r="267" spans="1:20" ht="13.9" hidden="1" customHeight="1" x14ac:dyDescent="0.2"/>
    <row r="268" spans="1:20" ht="13.9" hidden="1" customHeight="1" x14ac:dyDescent="0.2"/>
    <row r="269" spans="1:20" ht="13.9" hidden="1" customHeight="1" x14ac:dyDescent="0.2"/>
    <row r="270" spans="1:20" ht="13.9" hidden="1" customHeight="1" x14ac:dyDescent="0.2"/>
    <row r="271" spans="1:20" ht="13.9" hidden="1" customHeight="1" x14ac:dyDescent="0.2"/>
  </sheetData>
  <sheetProtection formatCells="0" formatColumns="0" formatRows="0" insertColumns="0" insertRows="0" insertHyperlinks="0" deleteColumns="0" deleteRows="0" sort="0" autoFilter="0" pivotTables="0"/>
  <mergeCells count="4">
    <mergeCell ref="E2:F2"/>
    <mergeCell ref="J2:K2"/>
    <mergeCell ref="E3:F3"/>
    <mergeCell ref="A14:A15"/>
  </mergeCells>
  <dataValidations count="2">
    <dataValidation type="list" allowBlank="1" showInputMessage="1" showErrorMessage="1" sqref="F6" xr:uid="{4DB696DF-1943-4E99-BFBB-8E180CCF307F}">
      <formula1>sectors</formula1>
    </dataValidation>
    <dataValidation type="list" allowBlank="1" showInputMessage="1" showErrorMessage="1" sqref="F5" xr:uid="{8ADE068F-6532-45DE-A262-3B992C8C378B}">
      <formula1>regions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D051-E188-42E3-92F3-EC976C4BFA97}">
  <sheetPr codeName="Sheet6"/>
  <dimension ref="A1:N556"/>
  <sheetViews>
    <sheetView topLeftCell="D4" zoomScale="85" zoomScaleNormal="85" workbookViewId="0">
      <selection activeCell="D4" sqref="D4:E4"/>
    </sheetView>
  </sheetViews>
  <sheetFormatPr defaultColWidth="0" defaultRowHeight="0" customHeight="1" zeroHeight="1" x14ac:dyDescent="0.25"/>
  <cols>
    <col min="1" max="1" width="1.7109375" style="493" hidden="1" customWidth="1"/>
    <col min="2" max="2" width="29.7109375" style="493" hidden="1" customWidth="1"/>
    <col min="3" max="3" width="2.28515625" style="493" hidden="1" customWidth="1"/>
    <col min="4" max="4" width="4.85546875" style="585" customWidth="1"/>
    <col min="5" max="5" width="36.140625" style="585" customWidth="1"/>
    <col min="6" max="6" width="25.7109375" style="585" hidden="1" customWidth="1"/>
    <col min="7" max="7" width="1.85546875" style="585" customWidth="1"/>
    <col min="8" max="8" width="16.5703125" style="585" customWidth="1"/>
    <col min="9" max="9" width="19.85546875" style="585" bestFit="1" customWidth="1"/>
    <col min="10" max="10" width="14.7109375" style="585" customWidth="1"/>
    <col min="11" max="11" width="9" style="585" bestFit="1" customWidth="1"/>
    <col min="12" max="12" width="28.7109375" style="585" customWidth="1"/>
    <col min="13" max="13" width="4.28515625" style="585" customWidth="1"/>
    <col min="14" max="14" width="18.28515625" style="493" hidden="1" customWidth="1"/>
    <col min="15" max="16384" width="0" style="499" hidden="1"/>
  </cols>
  <sheetData>
    <row r="1" spans="2:14" ht="41.45" hidden="1" customHeight="1" x14ac:dyDescent="0.25">
      <c r="B1" s="548"/>
      <c r="C1" s="548"/>
      <c r="D1" s="549"/>
      <c r="E1" s="550"/>
      <c r="F1" s="550"/>
      <c r="G1" s="550"/>
      <c r="H1" s="550"/>
      <c r="I1" s="550"/>
      <c r="J1" s="550"/>
      <c r="K1" s="550"/>
      <c r="L1" s="550"/>
      <c r="M1" s="550"/>
      <c r="N1" s="548"/>
    </row>
    <row r="2" spans="2:14" ht="6.6" hidden="1" customHeight="1" x14ac:dyDescent="0.25">
      <c r="D2" s="551"/>
      <c r="E2" s="552"/>
      <c r="F2" s="552"/>
      <c r="G2" s="552"/>
      <c r="H2" s="552"/>
      <c r="I2" s="552"/>
      <c r="J2" s="552"/>
      <c r="K2" s="552"/>
      <c r="L2" s="552"/>
      <c r="M2" s="552"/>
    </row>
    <row r="3" spans="2:14" ht="6.6" hidden="1" customHeight="1" thickBot="1" x14ac:dyDescent="0.3">
      <c r="D3" s="553"/>
      <c r="E3" s="554"/>
      <c r="F3" s="554"/>
      <c r="G3" s="554"/>
      <c r="H3" s="554"/>
      <c r="I3" s="554"/>
      <c r="J3" s="554"/>
      <c r="K3" s="554"/>
      <c r="L3" s="554"/>
      <c r="M3" s="554"/>
    </row>
    <row r="4" spans="2:14" ht="24.6" customHeight="1" x14ac:dyDescent="0.25">
      <c r="C4" s="494"/>
      <c r="D4" s="555"/>
      <c r="E4" s="556"/>
      <c r="F4" s="556"/>
      <c r="G4" s="556"/>
      <c r="H4" s="556"/>
      <c r="I4" s="556"/>
      <c r="J4" s="556"/>
      <c r="K4" s="556"/>
      <c r="L4" s="556"/>
      <c r="M4" s="556"/>
      <c r="N4" s="498"/>
    </row>
    <row r="5" spans="2:14" ht="19.5" x14ac:dyDescent="0.25">
      <c r="C5" s="494"/>
      <c r="D5" s="557">
        <f>Settings!D4</f>
        <v>0</v>
      </c>
      <c r="E5" s="558"/>
      <c r="F5" s="558"/>
      <c r="G5" s="558"/>
      <c r="H5" s="558"/>
      <c r="I5" s="558"/>
      <c r="J5" s="558"/>
      <c r="K5" s="558"/>
      <c r="L5" s="558"/>
      <c r="M5" s="558"/>
      <c r="N5" s="498"/>
    </row>
    <row r="6" spans="2:14" ht="19.5" x14ac:dyDescent="0.25">
      <c r="C6" s="494"/>
      <c r="D6" s="559" t="s">
        <v>386</v>
      </c>
      <c r="E6" s="560"/>
      <c r="F6" s="560"/>
      <c r="G6" s="561"/>
      <c r="H6" s="561"/>
      <c r="I6" s="561"/>
      <c r="J6" s="561"/>
      <c r="K6" s="561"/>
      <c r="L6" s="561"/>
      <c r="M6" s="561"/>
      <c r="N6" s="498"/>
    </row>
    <row r="7" spans="2:14" ht="15.75" x14ac:dyDescent="0.25">
      <c r="C7" s="494"/>
      <c r="D7" s="562"/>
      <c r="E7" s="562"/>
      <c r="F7" s="562"/>
      <c r="G7" s="562"/>
      <c r="H7" s="562"/>
      <c r="I7" s="562"/>
      <c r="J7" s="562"/>
      <c r="K7" s="562"/>
      <c r="L7" s="563">
        <f ca="1">Settings!\date</f>
        <v>43325.689186226853</v>
      </c>
      <c r="M7" s="564"/>
      <c r="N7" s="498"/>
    </row>
    <row r="8" spans="2:14" ht="42" customHeight="1" x14ac:dyDescent="0.25">
      <c r="C8" s="494"/>
      <c r="D8" s="562"/>
      <c r="E8" s="562"/>
      <c r="F8" s="562"/>
      <c r="G8" s="562"/>
      <c r="H8" s="562"/>
      <c r="I8" s="562"/>
      <c r="J8" s="562"/>
      <c r="K8" s="562"/>
      <c r="L8" s="565"/>
      <c r="M8" s="565"/>
      <c r="N8" s="498"/>
    </row>
    <row r="9" spans="2:14" ht="21.6" customHeight="1" x14ac:dyDescent="0.25">
      <c r="C9" s="494"/>
      <c r="D9" s="62"/>
      <c r="E9" s="63" t="s">
        <v>387</v>
      </c>
      <c r="F9" s="64"/>
      <c r="G9" s="65"/>
      <c r="H9" s="66" t="s">
        <v>388</v>
      </c>
      <c r="I9" s="66" t="s">
        <v>389</v>
      </c>
      <c r="J9" s="67" t="s">
        <v>390</v>
      </c>
      <c r="K9" s="67" t="s">
        <v>377</v>
      </c>
      <c r="L9" s="68" t="s">
        <v>247</v>
      </c>
      <c r="M9" s="68"/>
      <c r="N9" s="498"/>
    </row>
    <row r="10" spans="2:14" ht="21.6" customHeight="1" x14ac:dyDescent="0.25">
      <c r="C10" s="494"/>
      <c r="D10" s="62"/>
      <c r="E10" s="566" t="str">
        <f>'Staff Detail'!B13</f>
        <v>Precon</v>
      </c>
      <c r="F10" s="567">
        <f>'Staff Detail'!C13</f>
        <v>0</v>
      </c>
      <c r="G10" s="70"/>
      <c r="H10" s="568">
        <f>'Staff Detail'!K13</f>
        <v>0</v>
      </c>
      <c r="I10" s="569">
        <f>'Staff Detail'!P13</f>
        <v>0</v>
      </c>
      <c r="J10" s="570">
        <f>'Staff Detail'!R13</f>
        <v>0</v>
      </c>
      <c r="K10" s="570" t="s">
        <v>35</v>
      </c>
      <c r="L10" s="571">
        <f t="shared" ref="L10:L11" si="0">J10*I10</f>
        <v>0</v>
      </c>
      <c r="M10" s="72"/>
      <c r="N10" s="498"/>
    </row>
    <row r="11" spans="2:14" ht="21.6" customHeight="1" x14ac:dyDescent="0.25">
      <c r="C11" s="494"/>
      <c r="D11" s="62"/>
      <c r="E11" s="566" t="str">
        <f>'Staff Detail'!B15</f>
        <v>Construction</v>
      </c>
      <c r="F11" s="567">
        <f>'Staff Detail'!C15</f>
        <v>0</v>
      </c>
      <c r="G11" s="70"/>
      <c r="H11" s="568">
        <f>'Staff Detail'!K15</f>
        <v>0</v>
      </c>
      <c r="I11" s="569">
        <f>'Staff Detail'!P15</f>
        <v>0</v>
      </c>
      <c r="J11" s="570">
        <f>'Staff Detail'!R15</f>
        <v>0</v>
      </c>
      <c r="K11" s="570" t="s">
        <v>35</v>
      </c>
      <c r="L11" s="571">
        <f t="shared" si="0"/>
        <v>0</v>
      </c>
      <c r="M11" s="72"/>
      <c r="N11" s="498"/>
    </row>
    <row r="12" spans="2:14" ht="18.75" customHeight="1" x14ac:dyDescent="0.25">
      <c r="C12" s="494"/>
      <c r="D12" s="62"/>
      <c r="E12" s="476">
        <f>'Staff Detail'!B16</f>
        <v>0</v>
      </c>
      <c r="F12" s="84"/>
      <c r="G12" s="70"/>
      <c r="H12" s="186"/>
      <c r="I12" s="187"/>
      <c r="J12" s="188"/>
      <c r="K12" s="189"/>
      <c r="L12" s="190"/>
      <c r="M12" s="505"/>
      <c r="N12" s="498"/>
    </row>
    <row r="13" spans="2:14" ht="18.75" customHeight="1" x14ac:dyDescent="0.25">
      <c r="C13" s="494"/>
      <c r="D13" s="62"/>
      <c r="E13" s="506" t="s">
        <v>933</v>
      </c>
      <c r="F13" s="507"/>
      <c r="G13" s="508"/>
      <c r="H13" s="509"/>
      <c r="I13" s="510"/>
      <c r="J13" s="511"/>
      <c r="K13" s="512"/>
      <c r="L13" s="513">
        <f>SUM(L10:L12)</f>
        <v>0</v>
      </c>
      <c r="M13" s="72"/>
      <c r="N13" s="498"/>
    </row>
    <row r="14" spans="2:14" ht="21.6" customHeight="1" x14ac:dyDescent="0.25">
      <c r="C14" s="494"/>
      <c r="D14" s="62"/>
      <c r="E14" s="69"/>
      <c r="F14" s="84"/>
      <c r="G14" s="70"/>
      <c r="H14" s="88"/>
      <c r="I14" s="85"/>
      <c r="J14" s="86"/>
      <c r="K14" s="86"/>
      <c r="L14" s="87"/>
      <c r="M14" s="72"/>
      <c r="N14" s="498"/>
    </row>
    <row r="15" spans="2:14" ht="18.75" customHeight="1" x14ac:dyDescent="0.25">
      <c r="C15" s="494"/>
      <c r="D15" s="62"/>
      <c r="E15" s="63" t="str">
        <f>'GCs Detail'!$E9</f>
        <v>PROJECT STAFFING EXPENSES</v>
      </c>
      <c r="F15" s="500"/>
      <c r="G15" s="479"/>
      <c r="H15" s="479"/>
      <c r="I15" s="480">
        <f>'GCs Detail'!$J9</f>
        <v>0</v>
      </c>
      <c r="J15" s="481">
        <f>'GCs Detail'!$H9</f>
        <v>0</v>
      </c>
      <c r="K15" s="482">
        <f>'GCs Detail'!$I9</f>
        <v>0</v>
      </c>
      <c r="L15" s="483">
        <f t="shared" ref="L15:L46" si="1">$I15*$J15</f>
        <v>0</v>
      </c>
      <c r="M15" s="72"/>
      <c r="N15" s="498"/>
    </row>
    <row r="16" spans="2:14" ht="18.75" customHeight="1" x14ac:dyDescent="0.25">
      <c r="C16" s="494"/>
      <c r="D16" s="62"/>
      <c r="E16" s="69" t="str">
        <f>'GCs Detail'!$E10</f>
        <v>Weekly Parking Fees</v>
      </c>
      <c r="F16" s="84"/>
      <c r="G16" s="70"/>
      <c r="H16" s="186"/>
      <c r="I16" s="187">
        <f>'GCs Detail'!$J10</f>
        <v>300</v>
      </c>
      <c r="J16" s="188" t="e">
        <f ca="1">'GCs Detail'!$H10</f>
        <v>#NAME?</v>
      </c>
      <c r="K16" s="189" t="str">
        <f>'GCs Detail'!$I10</f>
        <v>wks</v>
      </c>
      <c r="L16" s="531" t="e">
        <f t="shared" ca="1" si="1"/>
        <v>#NAME?</v>
      </c>
      <c r="M16" s="72"/>
      <c r="N16" s="498"/>
    </row>
    <row r="17" spans="3:14" ht="18.75" customHeight="1" x14ac:dyDescent="0.25">
      <c r="C17" s="494"/>
      <c r="D17" s="62"/>
      <c r="E17" s="69" t="str">
        <f>'GCs Detail'!$E11</f>
        <v>Recruiting Charges</v>
      </c>
      <c r="F17" s="84"/>
      <c r="G17" s="70"/>
      <c r="H17" s="186"/>
      <c r="I17" s="187">
        <f>'GCs Detail'!$J11</f>
        <v>0</v>
      </c>
      <c r="J17" s="188">
        <f>'GCs Detail'!$H11</f>
        <v>0</v>
      </c>
      <c r="K17" s="189" t="str">
        <f>'GCs Detail'!$I11</f>
        <v>lsum</v>
      </c>
      <c r="L17" s="531">
        <f t="shared" si="1"/>
        <v>0</v>
      </c>
      <c r="M17" s="72"/>
      <c r="N17" s="498"/>
    </row>
    <row r="18" spans="3:14" ht="18.75" customHeight="1" x14ac:dyDescent="0.25">
      <c r="C18" s="494"/>
      <c r="D18" s="62"/>
      <c r="E18" s="69" t="str">
        <f>'GCs Detail'!$E12</f>
        <v>Mileage</v>
      </c>
      <c r="F18" s="84"/>
      <c r="G18" s="70"/>
      <c r="H18" s="186"/>
      <c r="I18" s="187">
        <f>'GCs Detail'!$J12</f>
        <v>0.55000000000000004</v>
      </c>
      <c r="J18" s="188">
        <f>'GCs Detail'!$H12</f>
        <v>0</v>
      </c>
      <c r="K18" s="189" t="str">
        <f>'GCs Detail'!$I12</f>
        <v>miles</v>
      </c>
      <c r="L18" s="531">
        <f t="shared" si="1"/>
        <v>0</v>
      </c>
      <c r="M18" s="72"/>
      <c r="N18" s="498"/>
    </row>
    <row r="19" spans="3:14" ht="18.75" customHeight="1" x14ac:dyDescent="0.25">
      <c r="C19" s="494"/>
      <c r="D19" s="62"/>
      <c r="E19" s="69" t="str">
        <f>'GCs Detail'!$E13</f>
        <v>Airfare</v>
      </c>
      <c r="F19" s="84"/>
      <c r="G19" s="70"/>
      <c r="H19" s="186"/>
      <c r="I19" s="187">
        <f>'GCs Detail'!$J13</f>
        <v>0</v>
      </c>
      <c r="J19" s="188">
        <f>'GCs Detail'!$H13</f>
        <v>0</v>
      </c>
      <c r="K19" s="189" t="str">
        <f>'GCs Detail'!$I13</f>
        <v>flights</v>
      </c>
      <c r="L19" s="531">
        <f t="shared" si="1"/>
        <v>0</v>
      </c>
      <c r="M19" s="72"/>
      <c r="N19" s="498"/>
    </row>
    <row r="20" spans="3:14" ht="18.75" customHeight="1" x14ac:dyDescent="0.25">
      <c r="C20" s="494"/>
      <c r="D20" s="62"/>
      <c r="E20" s="69" t="str">
        <f>'GCs Detail'!$E14</f>
        <v>TBD</v>
      </c>
      <c r="F20" s="84"/>
      <c r="G20" s="70"/>
      <c r="H20" s="186"/>
      <c r="I20" s="187">
        <f>'GCs Detail'!$J14</f>
        <v>0</v>
      </c>
      <c r="J20" s="188">
        <f>'GCs Detail'!$H14</f>
        <v>0</v>
      </c>
      <c r="K20" s="189" t="str">
        <f>'GCs Detail'!$I14</f>
        <v>nights</v>
      </c>
      <c r="L20" s="531">
        <f t="shared" si="1"/>
        <v>0</v>
      </c>
      <c r="M20" s="72"/>
      <c r="N20" s="498"/>
    </row>
    <row r="21" spans="3:14" ht="18.75" customHeight="1" x14ac:dyDescent="0.25">
      <c r="C21" s="494"/>
      <c r="D21" s="62"/>
      <c r="E21" s="69" t="str">
        <f>'GCs Detail'!$E15</f>
        <v>Car Rental</v>
      </c>
      <c r="F21" s="84"/>
      <c r="G21" s="70"/>
      <c r="H21" s="186"/>
      <c r="I21" s="187">
        <f>'GCs Detail'!$J15</f>
        <v>400</v>
      </c>
      <c r="J21" s="188">
        <f>'GCs Detail'!$H15</f>
        <v>0</v>
      </c>
      <c r="K21" s="189" t="str">
        <f>'GCs Detail'!$I15</f>
        <v>days</v>
      </c>
      <c r="L21" s="531">
        <f t="shared" si="1"/>
        <v>0</v>
      </c>
      <c r="M21" s="72"/>
      <c r="N21" s="498"/>
    </row>
    <row r="22" spans="3:14" ht="18.75" customHeight="1" x14ac:dyDescent="0.25">
      <c r="C22" s="494"/>
      <c r="D22" s="62"/>
      <c r="E22" s="69" t="str">
        <f>'GCs Detail'!$E16</f>
        <v>House/Apartment Rental</v>
      </c>
      <c r="F22" s="84"/>
      <c r="G22" s="70"/>
      <c r="H22" s="186"/>
      <c r="I22" s="187">
        <f>'GCs Detail'!$J16</f>
        <v>0</v>
      </c>
      <c r="J22" s="188" t="e">
        <f ca="1">'GCs Detail'!$H16</f>
        <v>#NAME?</v>
      </c>
      <c r="K22" s="189" t="str">
        <f>'GCs Detail'!$I16</f>
        <v>mos</v>
      </c>
      <c r="L22" s="531" t="e">
        <f t="shared" ca="1" si="1"/>
        <v>#NAME?</v>
      </c>
      <c r="M22" s="72"/>
      <c r="N22" s="498"/>
    </row>
    <row r="23" spans="3:14" ht="18.75" customHeight="1" x14ac:dyDescent="0.25">
      <c r="C23" s="494"/>
      <c r="D23" s="62"/>
      <c r="E23" s="69" t="str">
        <f>'GCs Detail'!$E17</f>
        <v>Moving/Relocation</v>
      </c>
      <c r="F23" s="84"/>
      <c r="G23" s="70"/>
      <c r="H23" s="186"/>
      <c r="I23" s="187">
        <f>'GCs Detail'!$J17</f>
        <v>0</v>
      </c>
      <c r="J23" s="188" t="e">
        <f ca="1">'GCs Detail'!$H17</f>
        <v>#NAME?</v>
      </c>
      <c r="K23" s="189" t="str">
        <f>'GCs Detail'!$I17</f>
        <v>wks</v>
      </c>
      <c r="L23" s="531" t="e">
        <f t="shared" ca="1" si="1"/>
        <v>#NAME?</v>
      </c>
      <c r="M23" s="72"/>
      <c r="N23" s="498"/>
    </row>
    <row r="24" spans="3:14" ht="18.75" customHeight="1" x14ac:dyDescent="0.25">
      <c r="C24" s="494"/>
      <c r="D24" s="62"/>
      <c r="E24" s="69" t="str">
        <f>'GCs Detail'!$E18</f>
        <v>Tolls</v>
      </c>
      <c r="F24" s="84"/>
      <c r="G24" s="70"/>
      <c r="H24" s="186"/>
      <c r="I24" s="187">
        <f>'GCs Detail'!$J18</f>
        <v>0</v>
      </c>
      <c r="J24" s="188" t="e">
        <f ca="1">'GCs Detail'!$H18</f>
        <v>#NAME?</v>
      </c>
      <c r="K24" s="189" t="str">
        <f>'GCs Detail'!$I18</f>
        <v>wks</v>
      </c>
      <c r="L24" s="531" t="e">
        <f t="shared" ca="1" si="1"/>
        <v>#NAME?</v>
      </c>
      <c r="M24" s="72"/>
      <c r="N24" s="498"/>
    </row>
    <row r="25" spans="3:14" ht="18.75" customHeight="1" x14ac:dyDescent="0.25">
      <c r="C25" s="494"/>
      <c r="D25" s="62"/>
      <c r="E25" s="69" t="str">
        <f>'GCs Detail'!$E19</f>
        <v>Food Allowance</v>
      </c>
      <c r="F25" s="84"/>
      <c r="G25" s="70"/>
      <c r="H25" s="186"/>
      <c r="I25" s="187">
        <f>'GCs Detail'!$J19</f>
        <v>0</v>
      </c>
      <c r="J25" s="188" t="e">
        <f ca="1">'GCs Detail'!$H19</f>
        <v>#NAME?</v>
      </c>
      <c r="K25" s="189" t="str">
        <f>'GCs Detail'!$I19</f>
        <v>wks</v>
      </c>
      <c r="L25" s="531" t="e">
        <f t="shared" ca="1" si="1"/>
        <v>#NAME?</v>
      </c>
      <c r="M25" s="72"/>
      <c r="N25" s="498"/>
    </row>
    <row r="26" spans="3:14" ht="18.75" customHeight="1" x14ac:dyDescent="0.25">
      <c r="C26" s="494"/>
      <c r="D26" s="62"/>
      <c r="E26" s="478">
        <f>'GCs Detail'!$E20</f>
        <v>0</v>
      </c>
      <c r="F26" s="478"/>
      <c r="G26" s="479"/>
      <c r="H26" s="479"/>
      <c r="I26" s="480">
        <f>'GCs Detail'!$J20</f>
        <v>0</v>
      </c>
      <c r="J26" s="481">
        <f>'GCs Detail'!$H20</f>
        <v>0</v>
      </c>
      <c r="K26" s="482">
        <f>'GCs Detail'!$I20</f>
        <v>0</v>
      </c>
      <c r="L26" s="483">
        <f t="shared" si="1"/>
        <v>0</v>
      </c>
      <c r="M26" s="72"/>
      <c r="N26" s="498"/>
    </row>
    <row r="27" spans="3:14" ht="18.75" customHeight="1" x14ac:dyDescent="0.25">
      <c r="C27" s="494"/>
      <c r="D27" s="62"/>
      <c r="E27" s="63" t="str">
        <f>'GCs Detail'!$E21</f>
        <v>PROJECT TRAILERS</v>
      </c>
      <c r="F27" s="500"/>
      <c r="G27" s="479"/>
      <c r="H27" s="479"/>
      <c r="I27" s="480">
        <f>'GCs Detail'!$J21</f>
        <v>0</v>
      </c>
      <c r="J27" s="481">
        <f>'GCs Detail'!$H21</f>
        <v>0</v>
      </c>
      <c r="K27" s="482">
        <f>'GCs Detail'!$I21</f>
        <v>0</v>
      </c>
      <c r="L27" s="483">
        <f t="shared" si="1"/>
        <v>0</v>
      </c>
      <c r="M27" s="72"/>
      <c r="N27" s="498"/>
    </row>
    <row r="28" spans="3:14" ht="4.5" customHeight="1" x14ac:dyDescent="0.25">
      <c r="C28" s="494"/>
      <c r="D28" s="62"/>
      <c r="E28" s="478">
        <f>'GCs Detail'!$E22</f>
        <v>0</v>
      </c>
      <c r="F28" s="478"/>
      <c r="G28" s="479"/>
      <c r="H28" s="479"/>
      <c r="I28" s="480">
        <f>'GCs Detail'!$J22</f>
        <v>0</v>
      </c>
      <c r="J28" s="481">
        <f>'GCs Detail'!$H22</f>
        <v>0</v>
      </c>
      <c r="K28" s="482">
        <f>'GCs Detail'!$I22</f>
        <v>0</v>
      </c>
      <c r="L28" s="483">
        <f t="shared" si="1"/>
        <v>0</v>
      </c>
      <c r="M28" s="72"/>
      <c r="N28" s="498"/>
    </row>
    <row r="29" spans="3:14" ht="18.75" customHeight="1" x14ac:dyDescent="0.25">
      <c r="C29" s="494"/>
      <c r="D29" s="62"/>
      <c r="E29" s="478">
        <f>'GCs Detail'!$E23</f>
        <v>0</v>
      </c>
      <c r="F29" s="478"/>
      <c r="G29" s="479"/>
      <c r="H29" s="479"/>
      <c r="I29" s="480">
        <f>'GCs Detail'!$J23</f>
        <v>0</v>
      </c>
      <c r="J29" s="481">
        <f>'GCs Detail'!$H23</f>
        <v>0</v>
      </c>
      <c r="K29" s="482">
        <f>'GCs Detail'!$I23</f>
        <v>0</v>
      </c>
      <c r="L29" s="483">
        <f t="shared" si="1"/>
        <v>0</v>
      </c>
      <c r="M29" s="72"/>
      <c r="N29" s="498"/>
    </row>
    <row r="30" spans="3:14" ht="18.75" customHeight="1" x14ac:dyDescent="0.25">
      <c r="C30" s="494"/>
      <c r="D30" s="62"/>
      <c r="E30" s="63" t="str">
        <f>'GCs Detail'!$E25</f>
        <v>TEMPORARY OFFICE RENTAL</v>
      </c>
      <c r="F30" s="500"/>
      <c r="G30" s="479"/>
      <c r="H30" s="479"/>
      <c r="I30" s="480">
        <f>'GCs Detail'!$J25</f>
        <v>0</v>
      </c>
      <c r="J30" s="481">
        <f>'GCs Detail'!$H25</f>
        <v>0</v>
      </c>
      <c r="K30" s="482">
        <f>'GCs Detail'!$I25</f>
        <v>0</v>
      </c>
      <c r="L30" s="483">
        <f t="shared" si="1"/>
        <v>0</v>
      </c>
      <c r="M30" s="72"/>
      <c r="N30" s="498"/>
    </row>
    <row r="31" spans="3:14" ht="18.75" customHeight="1" x14ac:dyDescent="0.25">
      <c r="C31" s="494"/>
      <c r="D31" s="62"/>
      <c r="E31" s="69" t="str">
        <f>'GCs Detail'!$E26</f>
        <v>Rental Fees</v>
      </c>
      <c r="F31" s="84"/>
      <c r="G31" s="70"/>
      <c r="H31" s="186"/>
      <c r="I31" s="187">
        <f>'GCs Detail'!$J26</f>
        <v>0</v>
      </c>
      <c r="J31" s="188" t="e">
        <f ca="1">'GCs Detail'!$H26</f>
        <v>#NAME?</v>
      </c>
      <c r="K31" s="189" t="str">
        <f>'GCs Detail'!$I26</f>
        <v>mos</v>
      </c>
      <c r="L31" s="531" t="e">
        <f t="shared" ca="1" si="1"/>
        <v>#NAME?</v>
      </c>
      <c r="M31" s="72"/>
      <c r="N31" s="498"/>
    </row>
    <row r="32" spans="3:14" ht="18.75" customHeight="1" x14ac:dyDescent="0.25">
      <c r="C32" s="494"/>
      <c r="D32" s="62"/>
      <c r="E32" s="69" t="str">
        <f>'GCs Detail'!$E27</f>
        <v>Build-Out Of Office Space</v>
      </c>
      <c r="F32" s="84"/>
      <c r="G32" s="70"/>
      <c r="H32" s="186"/>
      <c r="I32" s="187">
        <f>'GCs Detail'!$J27</f>
        <v>0</v>
      </c>
      <c r="J32" s="188">
        <f>'GCs Detail'!$H27</f>
        <v>1</v>
      </c>
      <c r="K32" s="189" t="str">
        <f>'GCs Detail'!$I27</f>
        <v>lsum</v>
      </c>
      <c r="L32" s="531">
        <f t="shared" si="1"/>
        <v>0</v>
      </c>
      <c r="M32" s="72"/>
      <c r="N32" s="498"/>
    </row>
    <row r="33" spans="3:14" ht="18.75" customHeight="1" x14ac:dyDescent="0.25">
      <c r="C33" s="494"/>
      <c r="D33" s="62"/>
      <c r="E33" s="69" t="str">
        <f>'GCs Detail'!$E28</f>
        <v>Utilities</v>
      </c>
      <c r="F33" s="84"/>
      <c r="G33" s="70"/>
      <c r="H33" s="186"/>
      <c r="I33" s="187">
        <f>'GCs Detail'!$J28</f>
        <v>0</v>
      </c>
      <c r="J33" s="188" t="e">
        <f ca="1">'GCs Detail'!$H28</f>
        <v>#NAME?</v>
      </c>
      <c r="K33" s="189" t="str">
        <f>'GCs Detail'!$I28</f>
        <v>mos</v>
      </c>
      <c r="L33" s="531" t="e">
        <f t="shared" ca="1" si="1"/>
        <v>#NAME?</v>
      </c>
      <c r="M33" s="72"/>
      <c r="N33" s="498"/>
    </row>
    <row r="34" spans="3:14" ht="18.75" customHeight="1" x14ac:dyDescent="0.25">
      <c r="C34" s="494"/>
      <c r="D34" s="62"/>
      <c r="E34" s="69" t="str">
        <f>'GCs Detail'!$E29</f>
        <v>Demolition &amp; Restore to Original Condition</v>
      </c>
      <c r="F34" s="84"/>
      <c r="G34" s="70"/>
      <c r="H34" s="186"/>
      <c r="I34" s="187">
        <f>'GCs Detail'!$J29</f>
        <v>0</v>
      </c>
      <c r="J34" s="188">
        <f>'GCs Detail'!$H29</f>
        <v>1</v>
      </c>
      <c r="K34" s="189" t="str">
        <f>'GCs Detail'!$I29</f>
        <v>lsum</v>
      </c>
      <c r="L34" s="531">
        <f t="shared" si="1"/>
        <v>0</v>
      </c>
      <c r="M34" s="72"/>
      <c r="N34" s="498"/>
    </row>
    <row r="35" spans="3:14" ht="18.75" customHeight="1" x14ac:dyDescent="0.25">
      <c r="C35" s="494"/>
      <c r="D35" s="62"/>
      <c r="E35" s="478">
        <f>'GCs Detail'!$E30</f>
        <v>0</v>
      </c>
      <c r="F35" s="478"/>
      <c r="G35" s="479"/>
      <c r="H35" s="479"/>
      <c r="I35" s="480">
        <f>'GCs Detail'!$J30</f>
        <v>0</v>
      </c>
      <c r="J35" s="481">
        <f>'GCs Detail'!$H30</f>
        <v>0</v>
      </c>
      <c r="K35" s="482">
        <f>'GCs Detail'!$I30</f>
        <v>0</v>
      </c>
      <c r="L35" s="483">
        <f t="shared" si="1"/>
        <v>0</v>
      </c>
      <c r="M35" s="72"/>
      <c r="N35" s="498"/>
    </row>
    <row r="36" spans="3:14" ht="18.75" customHeight="1" x14ac:dyDescent="0.25">
      <c r="C36" s="494"/>
      <c r="D36" s="62"/>
      <c r="E36" s="63" t="str">
        <f>'GCs Detail'!$E31</f>
        <v xml:space="preserve">SUFFOLK OFFICE FUNITURE &amp; EQUIPMENT </v>
      </c>
      <c r="F36" s="500"/>
      <c r="G36" s="479"/>
      <c r="H36" s="479"/>
      <c r="I36" s="480">
        <f>'GCs Detail'!$J31</f>
        <v>0</v>
      </c>
      <c r="J36" s="481">
        <f>'GCs Detail'!$H31</f>
        <v>0</v>
      </c>
      <c r="K36" s="482">
        <f>'GCs Detail'!$I31</f>
        <v>0</v>
      </c>
      <c r="L36" s="483">
        <f t="shared" si="1"/>
        <v>0</v>
      </c>
      <c r="M36" s="72"/>
      <c r="N36" s="498"/>
    </row>
    <row r="37" spans="3:14" ht="18.75" customHeight="1" x14ac:dyDescent="0.25">
      <c r="C37" s="494"/>
      <c r="D37" s="62"/>
      <c r="E37" s="69" t="str">
        <f>'GCs Detail'!$E32</f>
        <v>Digital Camera</v>
      </c>
      <c r="F37" s="84"/>
      <c r="G37" s="70"/>
      <c r="H37" s="186"/>
      <c r="I37" s="187">
        <f>'GCs Detail'!$J32</f>
        <v>500</v>
      </c>
      <c r="J37" s="188">
        <f>'GCs Detail'!$H32</f>
        <v>0</v>
      </c>
      <c r="K37" s="189" t="str">
        <f>'GCs Detail'!$I32</f>
        <v>ea</v>
      </c>
      <c r="L37" s="531">
        <f t="shared" si="1"/>
        <v>0</v>
      </c>
      <c r="M37" s="72"/>
      <c r="N37" s="498"/>
    </row>
    <row r="38" spans="3:14" ht="18.75" customHeight="1" x14ac:dyDescent="0.25">
      <c r="C38" s="494"/>
      <c r="D38" s="62"/>
      <c r="E38" s="69" t="str">
        <f>'GCs Detail'!$E33</f>
        <v>Jobsite Live Streaming Camera - Earthcam</v>
      </c>
      <c r="F38" s="84"/>
      <c r="G38" s="70"/>
      <c r="H38" s="186"/>
      <c r="I38" s="187">
        <f>'GCs Detail'!$J33</f>
        <v>12000</v>
      </c>
      <c r="J38" s="188">
        <f>'GCs Detail'!$H33</f>
        <v>0</v>
      </c>
      <c r="K38" s="189" t="str">
        <f>'GCs Detail'!$I33</f>
        <v>set-up</v>
      </c>
      <c r="L38" s="531">
        <f t="shared" si="1"/>
        <v>0</v>
      </c>
      <c r="M38" s="72"/>
      <c r="N38" s="498"/>
    </row>
    <row r="39" spans="3:14" ht="18.75" customHeight="1" x14ac:dyDescent="0.25">
      <c r="C39" s="494"/>
      <c r="D39" s="62"/>
      <c r="E39" s="69" t="str">
        <f>'GCs Detail'!$E34</f>
        <v>Jobsite Live Streaming  Camera - Earthcam ($600/mth fee plus $300/mth for internet fee)</v>
      </c>
      <c r="F39" s="84"/>
      <c r="G39" s="70"/>
      <c r="H39" s="186"/>
      <c r="I39" s="187">
        <f>'GCs Detail'!$J34</f>
        <v>900</v>
      </c>
      <c r="J39" s="188" t="e">
        <f ca="1">'GCs Detail'!$H34</f>
        <v>#NAME?</v>
      </c>
      <c r="K39" s="189" t="str">
        <f>'GCs Detail'!$I34</f>
        <v>mos</v>
      </c>
      <c r="L39" s="531" t="e">
        <f t="shared" ca="1" si="1"/>
        <v>#NAME?</v>
      </c>
      <c r="M39" s="72"/>
      <c r="N39" s="498"/>
    </row>
    <row r="40" spans="3:14" ht="18.75" customHeight="1" x14ac:dyDescent="0.25">
      <c r="C40" s="494"/>
      <c r="D40" s="62"/>
      <c r="E40" s="69" t="str">
        <f>'GCs Detail'!$E35</f>
        <v>Cell Phone Charging Stations</v>
      </c>
      <c r="F40" s="84"/>
      <c r="G40" s="70"/>
      <c r="H40" s="186"/>
      <c r="I40" s="187">
        <f>'GCs Detail'!$J35</f>
        <v>1250</v>
      </c>
      <c r="J40" s="188">
        <f>'GCs Detail'!$H35</f>
        <v>0</v>
      </c>
      <c r="K40" s="189" t="str">
        <f>'GCs Detail'!$I35</f>
        <v>ea</v>
      </c>
      <c r="L40" s="531">
        <f t="shared" si="1"/>
        <v>0</v>
      </c>
      <c r="M40" s="72"/>
      <c r="N40" s="498"/>
    </row>
    <row r="41" spans="3:14" ht="18.75" customHeight="1" x14ac:dyDescent="0.25">
      <c r="C41" s="494"/>
      <c r="D41" s="62"/>
      <c r="E41" s="69" t="str">
        <f>'GCs Detail'!$E36</f>
        <v xml:space="preserve">Copiers </v>
      </c>
      <c r="F41" s="84"/>
      <c r="G41" s="70"/>
      <c r="H41" s="186"/>
      <c r="I41" s="187" t="e">
        <f ca="1">'GCs Detail'!$J36</f>
        <v>#NAME?</v>
      </c>
      <c r="J41" s="188">
        <f>'GCs Detail'!$H36</f>
        <v>0</v>
      </c>
      <c r="K41" s="189" t="str">
        <f>'GCs Detail'!$I36</f>
        <v>ea</v>
      </c>
      <c r="L41" s="531" t="e">
        <f t="shared" ca="1" si="1"/>
        <v>#NAME?</v>
      </c>
      <c r="M41" s="72"/>
      <c r="N41" s="498"/>
    </row>
    <row r="42" spans="3:14" ht="18.75" customHeight="1" x14ac:dyDescent="0.25">
      <c r="C42" s="494"/>
      <c r="D42" s="62"/>
      <c r="E42" s="69" t="str">
        <f>'GCs Detail'!$E37</f>
        <v>Copier Maintenance</v>
      </c>
      <c r="F42" s="84"/>
      <c r="G42" s="70"/>
      <c r="H42" s="186"/>
      <c r="I42" s="187">
        <f>'GCs Detail'!$J37</f>
        <v>500</v>
      </c>
      <c r="J42" s="188" t="e">
        <f ca="1">'GCs Detail'!$H37</f>
        <v>#NAME?</v>
      </c>
      <c r="K42" s="189" t="str">
        <f>'GCs Detail'!$I37</f>
        <v>mos</v>
      </c>
      <c r="L42" s="531" t="e">
        <f t="shared" ca="1" si="1"/>
        <v>#NAME?</v>
      </c>
      <c r="M42" s="72"/>
      <c r="N42" s="498"/>
    </row>
    <row r="43" spans="3:14" ht="18.75" customHeight="1" x14ac:dyDescent="0.25">
      <c r="C43" s="494"/>
      <c r="D43" s="62"/>
      <c r="E43" s="69" t="str">
        <f>'GCs Detail'!$E38</f>
        <v>Office Supplies</v>
      </c>
      <c r="F43" s="84"/>
      <c r="G43" s="70"/>
      <c r="H43" s="186"/>
      <c r="I43" s="187">
        <f>'GCs Detail'!$J38</f>
        <v>350</v>
      </c>
      <c r="J43" s="188" t="e">
        <f ca="1">'GCs Detail'!$H38</f>
        <v>#NAME?</v>
      </c>
      <c r="K43" s="189" t="str">
        <f>'GCs Detail'!$I38</f>
        <v>mos</v>
      </c>
      <c r="L43" s="531" t="e">
        <f t="shared" ca="1" si="1"/>
        <v>#NAME?</v>
      </c>
      <c r="M43" s="72"/>
      <c r="N43" s="498"/>
    </row>
    <row r="44" spans="3:14" ht="18.75" customHeight="1" x14ac:dyDescent="0.25">
      <c r="C44" s="494"/>
      <c r="D44" s="62"/>
      <c r="E44" s="69" t="str">
        <f>'GCs Detail'!$E39</f>
        <v xml:space="preserve">Office Furniture for each staff member  (Desks, Chairs, File Cabinet) </v>
      </c>
      <c r="F44" s="84"/>
      <c r="G44" s="70"/>
      <c r="H44" s="186"/>
      <c r="I44" s="187">
        <f>'GCs Detail'!$J39</f>
        <v>600</v>
      </c>
      <c r="J44" s="188">
        <f>'GCs Detail'!$H39</f>
        <v>0</v>
      </c>
      <c r="K44" s="189" t="str">
        <f>'GCs Detail'!$I39</f>
        <v>ea</v>
      </c>
      <c r="L44" s="531">
        <f t="shared" si="1"/>
        <v>0</v>
      </c>
      <c r="M44" s="72"/>
      <c r="N44" s="498"/>
    </row>
    <row r="45" spans="3:14" ht="18.75" customHeight="1" x14ac:dyDescent="0.25">
      <c r="C45" s="494"/>
      <c r="D45" s="62"/>
      <c r="E45" s="69" t="str">
        <f>'GCs Detail'!$E40</f>
        <v xml:space="preserve">Office Furniture (Conf. Tables, Chairs, Plan Tables, Filing Cabinets) </v>
      </c>
      <c r="F45" s="84"/>
      <c r="G45" s="70"/>
      <c r="H45" s="186"/>
      <c r="I45" s="187">
        <f>'GCs Detail'!$J40</f>
        <v>600</v>
      </c>
      <c r="J45" s="188">
        <f>'GCs Detail'!$H40</f>
        <v>0</v>
      </c>
      <c r="K45" s="189" t="str">
        <f>'GCs Detail'!$I40</f>
        <v>ls</v>
      </c>
      <c r="L45" s="531">
        <f t="shared" si="1"/>
        <v>0</v>
      </c>
      <c r="M45" s="72"/>
      <c r="N45" s="498"/>
    </row>
    <row r="46" spans="3:14" ht="18.75" customHeight="1" x14ac:dyDescent="0.25">
      <c r="C46" s="494"/>
      <c r="D46" s="62"/>
      <c r="E46" s="69" t="str">
        <f>'GCs Detail'!$E41</f>
        <v>Consumables</v>
      </c>
      <c r="F46" s="84"/>
      <c r="G46" s="70"/>
      <c r="H46" s="186"/>
      <c r="I46" s="187">
        <f>'GCs Detail'!$J41</f>
        <v>200</v>
      </c>
      <c r="J46" s="188" t="e">
        <f ca="1">'GCs Detail'!$H41</f>
        <v>#NAME?</v>
      </c>
      <c r="K46" s="189" t="str">
        <f>'GCs Detail'!$I41</f>
        <v>mos</v>
      </c>
      <c r="L46" s="531" t="e">
        <f t="shared" ca="1" si="1"/>
        <v>#NAME?</v>
      </c>
      <c r="M46" s="72"/>
      <c r="N46" s="498"/>
    </row>
    <row r="47" spans="3:14" ht="18.75" customHeight="1" x14ac:dyDescent="0.25">
      <c r="C47" s="494"/>
      <c r="D47" s="62"/>
      <c r="E47" s="69" t="str">
        <f>'GCs Detail'!$E42</f>
        <v>Team Lunch (Owner Meetings)</v>
      </c>
      <c r="F47" s="84"/>
      <c r="G47" s="70"/>
      <c r="H47" s="186"/>
      <c r="I47" s="187">
        <f>'GCs Detail'!$J42</f>
        <v>500</v>
      </c>
      <c r="J47" s="188" t="e">
        <f ca="1">'GCs Detail'!$H42</f>
        <v>#NAME?</v>
      </c>
      <c r="K47" s="189" t="str">
        <f>'GCs Detail'!$I42</f>
        <v>mos</v>
      </c>
      <c r="L47" s="531" t="e">
        <f t="shared" ref="L47:L78" ca="1" si="2">$I47*$J47</f>
        <v>#NAME?</v>
      </c>
      <c r="M47" s="72"/>
      <c r="N47" s="498"/>
    </row>
    <row r="48" spans="3:14" ht="18.75" customHeight="1" x14ac:dyDescent="0.25">
      <c r="C48" s="494"/>
      <c r="D48" s="62"/>
      <c r="E48" s="69" t="str">
        <f>'GCs Detail'!$E43</f>
        <v>Bottled Water/Coffee</v>
      </c>
      <c r="F48" s="84"/>
      <c r="G48" s="70"/>
      <c r="H48" s="186"/>
      <c r="I48" s="187">
        <f>'GCs Detail'!$J43</f>
        <v>250</v>
      </c>
      <c r="J48" s="188" t="e">
        <f ca="1">'GCs Detail'!$H43</f>
        <v>#NAME?</v>
      </c>
      <c r="K48" s="189" t="str">
        <f>'GCs Detail'!$I43</f>
        <v>mos</v>
      </c>
      <c r="L48" s="531" t="e">
        <f t="shared" ca="1" si="2"/>
        <v>#NAME?</v>
      </c>
      <c r="M48" s="72"/>
      <c r="N48" s="498"/>
    </row>
    <row r="49" spans="3:14" ht="18.75" customHeight="1" x14ac:dyDescent="0.25">
      <c r="C49" s="494"/>
      <c r="D49" s="62"/>
      <c r="E49" s="478">
        <f>'GCs Detail'!$E44</f>
        <v>0</v>
      </c>
      <c r="F49" s="478"/>
      <c r="G49" s="479"/>
      <c r="H49" s="479"/>
      <c r="I49" s="480">
        <f>'GCs Detail'!$J44</f>
        <v>0</v>
      </c>
      <c r="J49" s="481">
        <f>'GCs Detail'!$H44</f>
        <v>0</v>
      </c>
      <c r="K49" s="482">
        <f>'GCs Detail'!$I44</f>
        <v>0</v>
      </c>
      <c r="L49" s="483">
        <f t="shared" si="2"/>
        <v>0</v>
      </c>
      <c r="M49" s="72"/>
      <c r="N49" s="498"/>
    </row>
    <row r="50" spans="3:14" ht="18.75" customHeight="1" x14ac:dyDescent="0.25">
      <c r="C50" s="494"/>
      <c r="D50" s="62"/>
      <c r="E50" s="63" t="str">
        <f>'GCs Detail'!$E45</f>
        <v>INFORMATION TECHNOLOGY &amp; SUPPORT</v>
      </c>
      <c r="F50" s="500"/>
      <c r="G50" s="479"/>
      <c r="H50" s="479"/>
      <c r="I50" s="480">
        <f>'GCs Detail'!$J45</f>
        <v>0</v>
      </c>
      <c r="J50" s="481">
        <f>'GCs Detail'!$H45</f>
        <v>0</v>
      </c>
      <c r="K50" s="482">
        <f>'GCs Detail'!$I45</f>
        <v>0</v>
      </c>
      <c r="L50" s="483">
        <f t="shared" si="2"/>
        <v>0</v>
      </c>
      <c r="M50" s="72"/>
      <c r="N50" s="498"/>
    </row>
    <row r="51" spans="3:14" ht="18.75" customHeight="1" x14ac:dyDescent="0.25">
      <c r="C51" s="494"/>
      <c r="D51" s="62"/>
      <c r="E51" s="69" t="str">
        <f>'GCs Detail'!$E46</f>
        <v>Internet set-up / job site set up</v>
      </c>
      <c r="F51" s="84"/>
      <c r="G51" s="70"/>
      <c r="H51" s="186"/>
      <c r="I51" s="187">
        <f>'GCs Detail'!$J46</f>
        <v>1000</v>
      </c>
      <c r="J51" s="188">
        <f>'GCs Detail'!$H46</f>
        <v>0</v>
      </c>
      <c r="K51" s="189" t="str">
        <f>'GCs Detail'!$I46</f>
        <v>lines</v>
      </c>
      <c r="L51" s="531">
        <f t="shared" si="2"/>
        <v>0</v>
      </c>
      <c r="M51" s="72"/>
      <c r="N51" s="498"/>
    </row>
    <row r="52" spans="3:14" ht="18.75" customHeight="1" x14ac:dyDescent="0.25">
      <c r="C52" s="494"/>
      <c r="D52" s="62"/>
      <c r="E52" s="69" t="str">
        <f>'GCs Detail'!$E47</f>
        <v>Internet Monthly Cost</v>
      </c>
      <c r="F52" s="84"/>
      <c r="G52" s="70"/>
      <c r="H52" s="186"/>
      <c r="I52" s="187" t="e">
        <f ca="1">'GCs Detail'!$J47</f>
        <v>#NAME?</v>
      </c>
      <c r="J52" s="188" t="e">
        <f ca="1">'GCs Detail'!$H47</f>
        <v>#NAME?</v>
      </c>
      <c r="K52" s="189" t="str">
        <f>'GCs Detail'!$I47</f>
        <v>mos</v>
      </c>
      <c r="L52" s="531" t="e">
        <f t="shared" ca="1" si="2"/>
        <v>#NAME?</v>
      </c>
      <c r="M52" s="72"/>
      <c r="N52" s="498"/>
    </row>
    <row r="53" spans="3:14" ht="18.75" customHeight="1" x14ac:dyDescent="0.25">
      <c r="C53" s="494"/>
      <c r="D53" s="62"/>
      <c r="E53" s="69" t="str">
        <f>'GCs Detail'!$E48</f>
        <v>Mifi Set-up Cost (Cradlepoints)</v>
      </c>
      <c r="F53" s="84"/>
      <c r="G53" s="70"/>
      <c r="H53" s="186"/>
      <c r="I53" s="187">
        <f>'GCs Detail'!$J48</f>
        <v>300</v>
      </c>
      <c r="J53" s="188">
        <f>'GCs Detail'!$H48</f>
        <v>0</v>
      </c>
      <c r="K53" s="189" t="str">
        <f>'GCs Detail'!$I48</f>
        <v>ea</v>
      </c>
      <c r="L53" s="531">
        <f t="shared" si="2"/>
        <v>0</v>
      </c>
      <c r="M53" s="72"/>
      <c r="N53" s="498"/>
    </row>
    <row r="54" spans="3:14" ht="18.75" customHeight="1" x14ac:dyDescent="0.25">
      <c r="C54" s="494"/>
      <c r="D54" s="62"/>
      <c r="E54" s="69" t="str">
        <f>'GCs Detail'!$E49</f>
        <v>Mifi Monthly Cost</v>
      </c>
      <c r="F54" s="84"/>
      <c r="G54" s="70"/>
      <c r="H54" s="186"/>
      <c r="I54" s="187">
        <f>'GCs Detail'!$J49</f>
        <v>265</v>
      </c>
      <c r="J54" s="188" t="e">
        <f ca="1">'GCs Detail'!$H49</f>
        <v>#NAME?</v>
      </c>
      <c r="K54" s="189" t="str">
        <f>'GCs Detail'!$I49</f>
        <v>mos</v>
      </c>
      <c r="L54" s="531" t="e">
        <f t="shared" ca="1" si="2"/>
        <v>#NAME?</v>
      </c>
      <c r="M54" s="72"/>
      <c r="N54" s="498"/>
    </row>
    <row r="55" spans="3:14" ht="18.75" customHeight="1" x14ac:dyDescent="0.25">
      <c r="C55" s="494"/>
      <c r="D55" s="62"/>
      <c r="E55" s="69" t="str">
        <f>'GCs Detail'!$E50</f>
        <v>Cisco PoE Switch (One required for every job) - Good for Up to 20 Users</v>
      </c>
      <c r="F55" s="84"/>
      <c r="G55" s="70"/>
      <c r="H55" s="186"/>
      <c r="I55" s="187">
        <f>'GCs Detail'!$J50</f>
        <v>4600</v>
      </c>
      <c r="J55" s="188">
        <f>'GCs Detail'!$H50</f>
        <v>0</v>
      </c>
      <c r="K55" s="189" t="str">
        <f>'GCs Detail'!$I50</f>
        <v>ea</v>
      </c>
      <c r="L55" s="531">
        <f t="shared" si="2"/>
        <v>0</v>
      </c>
      <c r="M55" s="72"/>
      <c r="N55" s="498"/>
    </row>
    <row r="56" spans="3:14" ht="18.75" customHeight="1" x14ac:dyDescent="0.25">
      <c r="C56" s="494"/>
      <c r="D56" s="62"/>
      <c r="E56" s="69" t="str">
        <f>'GCs Detail'!$E51</f>
        <v>Internal Wireless Access Point (Trailer)</v>
      </c>
      <c r="F56" s="84"/>
      <c r="G56" s="70"/>
      <c r="H56" s="186"/>
      <c r="I56" s="187">
        <f>'GCs Detail'!$J51</f>
        <v>600</v>
      </c>
      <c r="J56" s="188">
        <f>'GCs Detail'!$H51</f>
        <v>0</v>
      </c>
      <c r="K56" s="189" t="str">
        <f>'GCs Detail'!$I51</f>
        <v>ea</v>
      </c>
      <c r="L56" s="531">
        <f t="shared" si="2"/>
        <v>0</v>
      </c>
      <c r="M56" s="72"/>
      <c r="N56" s="498"/>
    </row>
    <row r="57" spans="3:14" ht="18.75" customHeight="1" x14ac:dyDescent="0.25">
      <c r="C57" s="494"/>
      <c r="D57" s="62"/>
      <c r="E57" s="69" t="str">
        <f>'GCs Detail'!$E52</f>
        <v>External Wireless Access Point (Site)</v>
      </c>
      <c r="F57" s="84"/>
      <c r="G57" s="70"/>
      <c r="H57" s="186"/>
      <c r="I57" s="187">
        <f>'GCs Detail'!$J52</f>
        <v>1820</v>
      </c>
      <c r="J57" s="188">
        <f>'GCs Detail'!$H52</f>
        <v>0</v>
      </c>
      <c r="K57" s="189" t="str">
        <f>'GCs Detail'!$I52</f>
        <v>ea</v>
      </c>
      <c r="L57" s="531">
        <f t="shared" si="2"/>
        <v>0</v>
      </c>
      <c r="M57" s="72"/>
      <c r="N57" s="498"/>
    </row>
    <row r="58" spans="3:14" ht="18.75" customHeight="1" x14ac:dyDescent="0.25">
      <c r="C58" s="494"/>
      <c r="D58" s="62"/>
      <c r="E58" s="69" t="str">
        <f>'GCs Detail'!$E53</f>
        <v>Cisco VoiP phone</v>
      </c>
      <c r="F58" s="84"/>
      <c r="G58" s="70"/>
      <c r="H58" s="186"/>
      <c r="I58" s="187">
        <f>'GCs Detail'!$J53</f>
        <v>750</v>
      </c>
      <c r="J58" s="188">
        <f>'GCs Detail'!$H53</f>
        <v>0</v>
      </c>
      <c r="K58" s="189" t="str">
        <f>'GCs Detail'!$I53</f>
        <v>ea</v>
      </c>
      <c r="L58" s="531">
        <f t="shared" si="2"/>
        <v>0</v>
      </c>
      <c r="M58" s="72"/>
      <c r="N58" s="498"/>
    </row>
    <row r="59" spans="3:14" ht="18.75" customHeight="1" x14ac:dyDescent="0.25">
      <c r="C59" s="494"/>
      <c r="D59" s="62"/>
      <c r="E59" s="69" t="str">
        <f>'GCs Detail'!$E54</f>
        <v>Cisco Conference Star phone</v>
      </c>
      <c r="F59" s="84"/>
      <c r="G59" s="70"/>
      <c r="H59" s="186"/>
      <c r="I59" s="187">
        <f>'GCs Detail'!$J54</f>
        <v>1200</v>
      </c>
      <c r="J59" s="188">
        <f>'GCs Detail'!$H54</f>
        <v>0</v>
      </c>
      <c r="K59" s="189" t="str">
        <f>'GCs Detail'!$I54</f>
        <v>ea</v>
      </c>
      <c r="L59" s="531">
        <f t="shared" si="2"/>
        <v>0</v>
      </c>
      <c r="M59" s="72"/>
      <c r="N59" s="498"/>
    </row>
    <row r="60" spans="3:14" ht="18.75" customHeight="1" x14ac:dyDescent="0.25">
      <c r="C60" s="494"/>
      <c r="D60" s="62"/>
      <c r="E60" s="69" t="str">
        <f>'GCs Detail'!$E55</f>
        <v>Red Analog Emergency Phone</v>
      </c>
      <c r="F60" s="84"/>
      <c r="G60" s="70"/>
      <c r="H60" s="186"/>
      <c r="I60" s="187">
        <f>'GCs Detail'!$J55</f>
        <v>50</v>
      </c>
      <c r="J60" s="188">
        <f>'GCs Detail'!$H55</f>
        <v>0</v>
      </c>
      <c r="K60" s="189" t="str">
        <f>'GCs Detail'!$I55</f>
        <v>ea</v>
      </c>
      <c r="L60" s="531">
        <f t="shared" si="2"/>
        <v>0</v>
      </c>
      <c r="M60" s="72"/>
      <c r="N60" s="498"/>
    </row>
    <row r="61" spans="3:14" ht="18.75" customHeight="1" x14ac:dyDescent="0.25">
      <c r="C61" s="494"/>
      <c r="D61" s="62"/>
      <c r="E61" s="69" t="str">
        <f>'GCs Detail'!$E56</f>
        <v>File Server, Rack, UPS, SkySync License</v>
      </c>
      <c r="F61" s="84"/>
      <c r="G61" s="70"/>
      <c r="H61" s="186"/>
      <c r="I61" s="187">
        <f>'GCs Detail'!$J56</f>
        <v>25000</v>
      </c>
      <c r="J61" s="188">
        <f>'GCs Detail'!$H56</f>
        <v>0</v>
      </c>
      <c r="K61" s="189" t="str">
        <f>'GCs Detail'!$I56</f>
        <v>ea</v>
      </c>
      <c r="L61" s="531">
        <f t="shared" si="2"/>
        <v>0</v>
      </c>
      <c r="M61" s="72"/>
      <c r="N61" s="498"/>
    </row>
    <row r="62" spans="3:14" ht="18.75" customHeight="1" x14ac:dyDescent="0.25">
      <c r="C62" s="494"/>
      <c r="D62" s="62"/>
      <c r="E62" s="478">
        <f>'GCs Detail'!$E57</f>
        <v>0</v>
      </c>
      <c r="F62" s="478"/>
      <c r="G62" s="479"/>
      <c r="H62" s="479"/>
      <c r="I62" s="480">
        <f>'GCs Detail'!$J57</f>
        <v>0</v>
      </c>
      <c r="J62" s="481">
        <f>'GCs Detail'!$H57</f>
        <v>0</v>
      </c>
      <c r="K62" s="482">
        <f>'GCs Detail'!$I57</f>
        <v>0</v>
      </c>
      <c r="L62" s="483">
        <f t="shared" si="2"/>
        <v>0</v>
      </c>
      <c r="M62" s="72"/>
      <c r="N62" s="498"/>
    </row>
    <row r="63" spans="3:14" ht="18.75" customHeight="1" x14ac:dyDescent="0.25">
      <c r="C63" s="494"/>
      <c r="D63" s="62"/>
      <c r="E63" s="63" t="str">
        <f>'GCs Detail'!$E58</f>
        <v xml:space="preserve">COMPUTER EQUIPMENT   </v>
      </c>
      <c r="F63" s="500"/>
      <c r="G63" s="479"/>
      <c r="H63" s="479"/>
      <c r="I63" s="480">
        <f>'GCs Detail'!$J58</f>
        <v>0</v>
      </c>
      <c r="J63" s="481">
        <f>'GCs Detail'!$H58</f>
        <v>0</v>
      </c>
      <c r="K63" s="482">
        <f>'GCs Detail'!$I58</f>
        <v>0</v>
      </c>
      <c r="L63" s="483">
        <f t="shared" si="2"/>
        <v>0</v>
      </c>
      <c r="M63" s="72"/>
      <c r="N63" s="498"/>
    </row>
    <row r="64" spans="3:14" ht="18.75" customHeight="1" x14ac:dyDescent="0.25">
      <c r="C64" s="494"/>
      <c r="D64" s="62"/>
      <c r="E64" s="69" t="str">
        <f>'GCs Detail'!$E59</f>
        <v>Printer</v>
      </c>
      <c r="F64" s="84"/>
      <c r="G64" s="70"/>
      <c r="H64" s="186"/>
      <c r="I64" s="187">
        <f>'GCs Detail'!$J59</f>
        <v>450</v>
      </c>
      <c r="J64" s="188">
        <f>'GCs Detail'!$H59</f>
        <v>0</v>
      </c>
      <c r="K64" s="189" t="str">
        <f>'GCs Detail'!$I59</f>
        <v>ea</v>
      </c>
      <c r="L64" s="531">
        <f t="shared" si="2"/>
        <v>0</v>
      </c>
      <c r="M64" s="72"/>
      <c r="N64" s="498"/>
    </row>
    <row r="65" spans="3:14" ht="18.75" customHeight="1" x14ac:dyDescent="0.25">
      <c r="C65" s="494"/>
      <c r="D65" s="62"/>
      <c r="E65" s="69" t="str">
        <f>'GCs Detail'!$E60</f>
        <v>Desktop Computer</v>
      </c>
      <c r="F65" s="84"/>
      <c r="G65" s="70"/>
      <c r="H65" s="186"/>
      <c r="I65" s="187">
        <f>'GCs Detail'!$J60</f>
        <v>2265</v>
      </c>
      <c r="J65" s="188">
        <f>'GCs Detail'!$H60</f>
        <v>0</v>
      </c>
      <c r="K65" s="189" t="str">
        <f>'GCs Detail'!$I60</f>
        <v>ea</v>
      </c>
      <c r="L65" s="531">
        <f t="shared" si="2"/>
        <v>0</v>
      </c>
      <c r="M65" s="72"/>
      <c r="N65" s="498"/>
    </row>
    <row r="66" spans="3:14" ht="18.75" customHeight="1" x14ac:dyDescent="0.25">
      <c r="C66" s="494"/>
      <c r="D66" s="62"/>
      <c r="E66" s="69" t="str">
        <f>'GCs Detail'!$E61</f>
        <v xml:space="preserve">Laptop Standard </v>
      </c>
      <c r="F66" s="84"/>
      <c r="G66" s="70"/>
      <c r="H66" s="186"/>
      <c r="I66" s="187">
        <f>'GCs Detail'!$J61</f>
        <v>1500</v>
      </c>
      <c r="J66" s="188">
        <f>'GCs Detail'!$H61</f>
        <v>0</v>
      </c>
      <c r="K66" s="189" t="str">
        <f>'GCs Detail'!$I61</f>
        <v>ea</v>
      </c>
      <c r="L66" s="531">
        <f t="shared" si="2"/>
        <v>0</v>
      </c>
      <c r="M66" s="72"/>
      <c r="N66" s="498"/>
    </row>
    <row r="67" spans="3:14" ht="18.75" customHeight="1" x14ac:dyDescent="0.25">
      <c r="C67" s="494"/>
      <c r="D67" s="62"/>
      <c r="E67" s="69" t="str">
        <f>'GCs Detail'!$E62</f>
        <v>Laptop BIM High Spec</v>
      </c>
      <c r="F67" s="84"/>
      <c r="G67" s="70"/>
      <c r="H67" s="186"/>
      <c r="I67" s="187">
        <f>'GCs Detail'!$J62</f>
        <v>4500</v>
      </c>
      <c r="J67" s="188">
        <f>'GCs Detail'!$H62</f>
        <v>0</v>
      </c>
      <c r="K67" s="189" t="str">
        <f>'GCs Detail'!$I62</f>
        <v>ea</v>
      </c>
      <c r="L67" s="531">
        <f t="shared" si="2"/>
        <v>0</v>
      </c>
      <c r="M67" s="72"/>
      <c r="N67" s="498"/>
    </row>
    <row r="68" spans="3:14" ht="18.75" customHeight="1" x14ac:dyDescent="0.25">
      <c r="C68" s="494"/>
      <c r="D68" s="62"/>
      <c r="E68" s="69" t="str">
        <f>'GCs Detail'!$E63</f>
        <v>24" Monitor</v>
      </c>
      <c r="F68" s="84"/>
      <c r="G68" s="70"/>
      <c r="H68" s="186"/>
      <c r="I68" s="187">
        <f>'GCs Detail'!$J63</f>
        <v>150</v>
      </c>
      <c r="J68" s="188">
        <f>'GCs Detail'!$H63</f>
        <v>0</v>
      </c>
      <c r="K68" s="189" t="str">
        <f>'GCs Detail'!$I63</f>
        <v>ea</v>
      </c>
      <c r="L68" s="531">
        <f t="shared" si="2"/>
        <v>0</v>
      </c>
      <c r="M68" s="72"/>
      <c r="N68" s="498"/>
    </row>
    <row r="69" spans="3:14" ht="18.75" customHeight="1" x14ac:dyDescent="0.25">
      <c r="C69" s="494"/>
      <c r="D69" s="62"/>
      <c r="E69" s="69" t="str">
        <f>'GCs Detail'!$E64</f>
        <v>27" Monitor</v>
      </c>
      <c r="F69" s="84"/>
      <c r="G69" s="70"/>
      <c r="H69" s="186"/>
      <c r="I69" s="187">
        <f>'GCs Detail'!$J64</f>
        <v>150</v>
      </c>
      <c r="J69" s="188">
        <f>'GCs Detail'!$H64</f>
        <v>0</v>
      </c>
      <c r="K69" s="189" t="str">
        <f>'GCs Detail'!$I64</f>
        <v>ea</v>
      </c>
      <c r="L69" s="531">
        <f t="shared" si="2"/>
        <v>0</v>
      </c>
      <c r="M69" s="72"/>
      <c r="N69" s="498"/>
    </row>
    <row r="70" spans="3:14" ht="18.75" customHeight="1" x14ac:dyDescent="0.25">
      <c r="C70" s="494"/>
      <c r="D70" s="62"/>
      <c r="E70" s="69" t="str">
        <f>'GCs Detail'!$E65</f>
        <v>27" DELL 4K monitor</v>
      </c>
      <c r="F70" s="84"/>
      <c r="G70" s="70"/>
      <c r="H70" s="186"/>
      <c r="I70" s="187">
        <f>'GCs Detail'!$J65</f>
        <v>450</v>
      </c>
      <c r="J70" s="188">
        <f>'GCs Detail'!$H65</f>
        <v>0</v>
      </c>
      <c r="K70" s="189" t="str">
        <f>'GCs Detail'!$I65</f>
        <v>ea</v>
      </c>
      <c r="L70" s="531">
        <f t="shared" si="2"/>
        <v>0</v>
      </c>
      <c r="M70" s="72"/>
      <c r="N70" s="498"/>
    </row>
    <row r="71" spans="3:14" ht="18.75" customHeight="1" x14ac:dyDescent="0.25">
      <c r="C71" s="494"/>
      <c r="D71" s="62"/>
      <c r="E71" s="69" t="str">
        <f>'GCs Detail'!$E66</f>
        <v>Digital Signage</v>
      </c>
      <c r="F71" s="84"/>
      <c r="G71" s="70"/>
      <c r="H71" s="186"/>
      <c r="I71" s="187">
        <f>'GCs Detail'!$J66</f>
        <v>2500</v>
      </c>
      <c r="J71" s="188">
        <f>'GCs Detail'!$H66</f>
        <v>0</v>
      </c>
      <c r="K71" s="189" t="str">
        <f>'GCs Detail'!$I66</f>
        <v>ea</v>
      </c>
      <c r="L71" s="531">
        <f t="shared" si="2"/>
        <v>0</v>
      </c>
      <c r="M71" s="72"/>
      <c r="N71" s="498"/>
    </row>
    <row r="72" spans="3:14" ht="18.75" customHeight="1" x14ac:dyDescent="0.25">
      <c r="C72" s="494"/>
      <c r="D72" s="62"/>
      <c r="E72" s="69" t="str">
        <f>'GCs Detail'!$E67</f>
        <v>Microsoft Surface Hub</v>
      </c>
      <c r="F72" s="84"/>
      <c r="G72" s="70"/>
      <c r="H72" s="186"/>
      <c r="I72" s="187">
        <f>'GCs Detail'!$J67</f>
        <v>1500</v>
      </c>
      <c r="J72" s="188">
        <f>'GCs Detail'!$H67</f>
        <v>0</v>
      </c>
      <c r="K72" s="189" t="str">
        <f>'GCs Detail'!$I67</f>
        <v>ea</v>
      </c>
      <c r="L72" s="531">
        <f t="shared" si="2"/>
        <v>0</v>
      </c>
      <c r="M72" s="72"/>
      <c r="N72" s="498"/>
    </row>
    <row r="73" spans="3:14" ht="18.75" customHeight="1" x14ac:dyDescent="0.25">
      <c r="C73" s="494"/>
      <c r="D73" s="62"/>
      <c r="E73" s="69" t="str">
        <f>'GCs Detail'!$E68</f>
        <v>Apple TV (iPad Screen Mirroring)</v>
      </c>
      <c r="F73" s="84"/>
      <c r="G73" s="70"/>
      <c r="H73" s="186"/>
      <c r="I73" s="187">
        <f>'GCs Detail'!$J68</f>
        <v>70</v>
      </c>
      <c r="J73" s="188">
        <f>'GCs Detail'!$H68</f>
        <v>0</v>
      </c>
      <c r="K73" s="189" t="str">
        <f>'GCs Detail'!$I68</f>
        <v>ea</v>
      </c>
      <c r="L73" s="531">
        <f t="shared" si="2"/>
        <v>0</v>
      </c>
      <c r="M73" s="72"/>
      <c r="N73" s="498"/>
    </row>
    <row r="74" spans="3:14" ht="18.75" customHeight="1" x14ac:dyDescent="0.25">
      <c r="C74" s="494"/>
      <c r="D74" s="62"/>
      <c r="E74" s="69" t="str">
        <f>'GCs Detail'!$E69</f>
        <v>Field iPad</v>
      </c>
      <c r="F74" s="84"/>
      <c r="G74" s="70"/>
      <c r="H74" s="186"/>
      <c r="I74" s="187">
        <f>'GCs Detail'!$J69</f>
        <v>860</v>
      </c>
      <c r="J74" s="188">
        <f>'GCs Detail'!$H69</f>
        <v>0</v>
      </c>
      <c r="K74" s="189" t="str">
        <f>'GCs Detail'!$I69</f>
        <v>ea</v>
      </c>
      <c r="L74" s="531">
        <f t="shared" si="2"/>
        <v>0</v>
      </c>
      <c r="M74" s="72"/>
      <c r="N74" s="498"/>
    </row>
    <row r="75" spans="3:14" ht="18.75" customHeight="1" x14ac:dyDescent="0.25">
      <c r="C75" s="494"/>
      <c r="D75" s="62"/>
      <c r="E75" s="478">
        <f>'GCs Detail'!$E70</f>
        <v>0</v>
      </c>
      <c r="F75" s="478"/>
      <c r="G75" s="479"/>
      <c r="H75" s="479"/>
      <c r="I75" s="480">
        <f>'GCs Detail'!$J70</f>
        <v>0</v>
      </c>
      <c r="J75" s="481">
        <f>'GCs Detail'!$H70</f>
        <v>0</v>
      </c>
      <c r="K75" s="482">
        <f>'GCs Detail'!$I70</f>
        <v>0</v>
      </c>
      <c r="L75" s="483">
        <f t="shared" si="2"/>
        <v>0</v>
      </c>
      <c r="M75" s="72"/>
      <c r="N75" s="498"/>
    </row>
    <row r="76" spans="3:14" ht="18.75" customHeight="1" x14ac:dyDescent="0.25">
      <c r="C76" s="494"/>
      <c r="D76" s="62"/>
      <c r="E76" s="63" t="str">
        <f>'GCs Detail'!$E71</f>
        <v>PROCORE</v>
      </c>
      <c r="F76" s="500"/>
      <c r="G76" s="479"/>
      <c r="H76" s="479"/>
      <c r="I76" s="480">
        <f>'GCs Detail'!$J71</f>
        <v>0</v>
      </c>
      <c r="J76" s="481">
        <f>'GCs Detail'!$H71</f>
        <v>0</v>
      </c>
      <c r="K76" s="482">
        <f>'GCs Detail'!$I71</f>
        <v>0</v>
      </c>
      <c r="L76" s="483">
        <f t="shared" si="2"/>
        <v>0</v>
      </c>
      <c r="M76" s="72"/>
      <c r="N76" s="498"/>
    </row>
    <row r="77" spans="3:14" ht="18.75" customHeight="1" x14ac:dyDescent="0.25">
      <c r="C77" s="494"/>
      <c r="D77" s="62"/>
      <c r="E77" s="69" t="str">
        <f>'GCs Detail'!$E72</f>
        <v>Procore Fee</v>
      </c>
      <c r="F77" s="84"/>
      <c r="G77" s="70"/>
      <c r="H77" s="186"/>
      <c r="I77" s="187">
        <f>'GCs Detail'!$J72</f>
        <v>6.9999999999999999E-4</v>
      </c>
      <c r="J77" s="188">
        <f>'GCs Detail'!$H72</f>
        <v>0</v>
      </c>
      <c r="K77" s="189" t="str">
        <f>'GCs Detail'!$I72</f>
        <v>contract</v>
      </c>
      <c r="L77" s="531">
        <f t="shared" si="2"/>
        <v>0</v>
      </c>
      <c r="M77" s="72"/>
      <c r="N77" s="498"/>
    </row>
    <row r="78" spans="3:14" ht="18.75" customHeight="1" x14ac:dyDescent="0.25">
      <c r="C78" s="494"/>
      <c r="D78" s="62"/>
      <c r="E78" s="478">
        <f>'GCs Detail'!$E73</f>
        <v>0</v>
      </c>
      <c r="F78" s="478"/>
      <c r="G78" s="479"/>
      <c r="H78" s="479"/>
      <c r="I78" s="480">
        <f>'GCs Detail'!$J73</f>
        <v>0</v>
      </c>
      <c r="J78" s="481">
        <f>'GCs Detail'!$H73</f>
        <v>0</v>
      </c>
      <c r="K78" s="482">
        <f>'GCs Detail'!$I73</f>
        <v>0</v>
      </c>
      <c r="L78" s="483">
        <f t="shared" si="2"/>
        <v>0</v>
      </c>
      <c r="M78" s="72"/>
      <c r="N78" s="498"/>
    </row>
    <row r="79" spans="3:14" ht="18.75" customHeight="1" x14ac:dyDescent="0.25">
      <c r="C79" s="494"/>
      <c r="D79" s="62"/>
      <c r="E79" s="63" t="str">
        <f>'GCs Detail'!$E74</f>
        <v>SUFFOLK SAFETY APPLICATION</v>
      </c>
      <c r="F79" s="500"/>
      <c r="G79" s="479"/>
      <c r="H79" s="479"/>
      <c r="I79" s="480">
        <f>'GCs Detail'!$J74</f>
        <v>0</v>
      </c>
      <c r="J79" s="481">
        <f>'GCs Detail'!$H74</f>
        <v>0</v>
      </c>
      <c r="K79" s="482">
        <f>'GCs Detail'!$I74</f>
        <v>0</v>
      </c>
      <c r="L79" s="483">
        <f t="shared" ref="L79:L103" si="3">$I79*$J79</f>
        <v>0</v>
      </c>
      <c r="M79" s="72"/>
      <c r="N79" s="498"/>
    </row>
    <row r="80" spans="3:14" ht="18.75" customHeight="1" x14ac:dyDescent="0.25">
      <c r="C80" s="494"/>
      <c r="D80" s="62"/>
      <c r="E80" s="69" t="str">
        <f>'GCs Detail'!$E75</f>
        <v>Safety Application - per each on site staff</v>
      </c>
      <c r="F80" s="84"/>
      <c r="G80" s="70"/>
      <c r="H80" s="186"/>
      <c r="I80" s="187">
        <f>'GCs Detail'!$J75</f>
        <v>65</v>
      </c>
      <c r="J80" s="188" t="e">
        <f ca="1">'GCs Detail'!$H75</f>
        <v>#NAME?</v>
      </c>
      <c r="K80" s="189" t="str">
        <f>'GCs Detail'!$I75</f>
        <v>mos</v>
      </c>
      <c r="L80" s="531" t="e">
        <f t="shared" ca="1" si="3"/>
        <v>#NAME?</v>
      </c>
      <c r="M80" s="72"/>
      <c r="N80" s="498"/>
    </row>
    <row r="81" spans="3:14" ht="18.75" customHeight="1" x14ac:dyDescent="0.25">
      <c r="C81" s="494"/>
      <c r="D81" s="62"/>
      <c r="E81" s="478">
        <f>'GCs Detail'!$E76</f>
        <v>0</v>
      </c>
      <c r="F81" s="478"/>
      <c r="G81" s="479"/>
      <c r="H81" s="479"/>
      <c r="I81" s="480">
        <f>'GCs Detail'!$J76</f>
        <v>0</v>
      </c>
      <c r="J81" s="481">
        <f>'GCs Detail'!$H76</f>
        <v>0</v>
      </c>
      <c r="K81" s="482">
        <f>'GCs Detail'!$I76</f>
        <v>0</v>
      </c>
      <c r="L81" s="483">
        <f t="shared" si="3"/>
        <v>0</v>
      </c>
      <c r="M81" s="72"/>
      <c r="N81" s="498"/>
    </row>
    <row r="82" spans="3:14" ht="18.75" customHeight="1" x14ac:dyDescent="0.25">
      <c r="C82" s="494"/>
      <c r="D82" s="62"/>
      <c r="E82" s="63" t="str">
        <f>'GCs Detail'!$E77</f>
        <v>BIM 360</v>
      </c>
      <c r="F82" s="500"/>
      <c r="G82" s="479"/>
      <c r="H82" s="479"/>
      <c r="I82" s="480">
        <f>'GCs Detail'!$J77</f>
        <v>0</v>
      </c>
      <c r="J82" s="481">
        <f>'GCs Detail'!$H77</f>
        <v>0</v>
      </c>
      <c r="K82" s="482">
        <f>'GCs Detail'!$I77</f>
        <v>0</v>
      </c>
      <c r="L82" s="483">
        <f t="shared" si="3"/>
        <v>0</v>
      </c>
      <c r="M82" s="72"/>
      <c r="N82" s="498"/>
    </row>
    <row r="83" spans="3:14" ht="18.75" customHeight="1" x14ac:dyDescent="0.25">
      <c r="C83" s="494"/>
      <c r="D83" s="62"/>
      <c r="E83" s="69" t="str">
        <f>'GCs Detail'!$E78</f>
        <v>BIM 360</v>
      </c>
      <c r="F83" s="84"/>
      <c r="G83" s="70"/>
      <c r="H83" s="186"/>
      <c r="I83" s="187">
        <f>'GCs Detail'!$J78</f>
        <v>2.5000000000000001E-4</v>
      </c>
      <c r="J83" s="188">
        <f>'GCs Detail'!$H78</f>
        <v>0</v>
      </c>
      <c r="K83" s="189" t="str">
        <f>'GCs Detail'!$I78</f>
        <v>contract</v>
      </c>
      <c r="L83" s="531">
        <f t="shared" si="3"/>
        <v>0</v>
      </c>
      <c r="M83" s="72"/>
      <c r="N83" s="498"/>
    </row>
    <row r="84" spans="3:14" ht="18.75" customHeight="1" x14ac:dyDescent="0.25">
      <c r="C84" s="494"/>
      <c r="D84" s="62"/>
      <c r="E84" s="478">
        <f>'GCs Detail'!$E79</f>
        <v>0</v>
      </c>
      <c r="F84" s="478"/>
      <c r="G84" s="479"/>
      <c r="H84" s="479"/>
      <c r="I84" s="480">
        <f>'GCs Detail'!$J79</f>
        <v>0</v>
      </c>
      <c r="J84" s="481">
        <f>'GCs Detail'!$H79</f>
        <v>0</v>
      </c>
      <c r="K84" s="482">
        <f>'GCs Detail'!$I79</f>
        <v>0</v>
      </c>
      <c r="L84" s="483">
        <f t="shared" si="3"/>
        <v>0</v>
      </c>
      <c r="M84" s="72"/>
      <c r="N84" s="498"/>
    </row>
    <row r="85" spans="3:14" ht="18.75" customHeight="1" x14ac:dyDescent="0.25">
      <c r="C85" s="494"/>
      <c r="D85" s="62"/>
      <c r="E85" s="63" t="str">
        <f>'GCs Detail'!$E80</f>
        <v>BIM</v>
      </c>
      <c r="F85" s="500"/>
      <c r="G85" s="479"/>
      <c r="H85" s="479"/>
      <c r="I85" s="480">
        <f>'GCs Detail'!$J80</f>
        <v>0</v>
      </c>
      <c r="J85" s="481">
        <f>'GCs Detail'!$H80</f>
        <v>0</v>
      </c>
      <c r="K85" s="482">
        <f>'GCs Detail'!$I80</f>
        <v>0</v>
      </c>
      <c r="L85" s="483">
        <f t="shared" si="3"/>
        <v>0</v>
      </c>
      <c r="M85" s="72"/>
      <c r="N85" s="498"/>
    </row>
    <row r="86" spans="3:14" ht="18.75" customHeight="1" x14ac:dyDescent="0.25">
      <c r="C86" s="494"/>
      <c r="D86" s="62"/>
      <c r="E86" s="69" t="str">
        <f>'GCs Detail'!$E81</f>
        <v>Scanning an Existing Building</v>
      </c>
      <c r="F86" s="84"/>
      <c r="G86" s="70"/>
      <c r="H86" s="186"/>
      <c r="I86" s="187">
        <f>'GCs Detail'!$J81</f>
        <v>0.3</v>
      </c>
      <c r="J86" s="188">
        <f>'GCs Detail'!$H81</f>
        <v>0</v>
      </c>
      <c r="K86" s="189" t="str">
        <f>'GCs Detail'!$I81</f>
        <v>sf</v>
      </c>
      <c r="L86" s="531">
        <f t="shared" si="3"/>
        <v>0</v>
      </c>
      <c r="M86" s="72"/>
      <c r="N86" s="498"/>
    </row>
    <row r="87" spans="3:14" ht="18.75" customHeight="1" x14ac:dyDescent="0.25">
      <c r="C87" s="494"/>
      <c r="D87" s="62"/>
      <c r="E87" s="69" t="str">
        <f>'GCs Detail'!$E82</f>
        <v>QA/QC of a New Building</v>
      </c>
      <c r="F87" s="84"/>
      <c r="G87" s="70"/>
      <c r="H87" s="186"/>
      <c r="I87" s="187">
        <f>'GCs Detail'!$J82</f>
        <v>0.6</v>
      </c>
      <c r="J87" s="188">
        <f>'GCs Detail'!$H82</f>
        <v>0</v>
      </c>
      <c r="K87" s="189" t="str">
        <f>'GCs Detail'!$I82</f>
        <v>sf</v>
      </c>
      <c r="L87" s="531">
        <f t="shared" si="3"/>
        <v>0</v>
      </c>
      <c r="M87" s="72"/>
      <c r="N87" s="498"/>
    </row>
    <row r="88" spans="3:14" ht="18.75" customHeight="1" x14ac:dyDescent="0.25">
      <c r="C88" s="494"/>
      <c r="D88" s="62"/>
      <c r="E88" s="478">
        <f>'GCs Detail'!$E83</f>
        <v>0</v>
      </c>
      <c r="F88" s="478"/>
      <c r="G88" s="479"/>
      <c r="H88" s="479"/>
      <c r="I88" s="480">
        <f>'GCs Detail'!$J83</f>
        <v>0</v>
      </c>
      <c r="J88" s="481">
        <f>'GCs Detail'!$H83</f>
        <v>0</v>
      </c>
      <c r="K88" s="482">
        <f>'GCs Detail'!$I83</f>
        <v>0</v>
      </c>
      <c r="L88" s="483">
        <f t="shared" si="3"/>
        <v>0</v>
      </c>
      <c r="M88" s="72"/>
      <c r="N88" s="498"/>
    </row>
    <row r="89" spans="3:14" ht="18.75" customHeight="1" x14ac:dyDescent="0.25">
      <c r="C89" s="494"/>
      <c r="D89" s="62"/>
      <c r="E89" s="63" t="str">
        <f>'GCs Detail'!$E84</f>
        <v>LEAN CONSULTING</v>
      </c>
      <c r="F89" s="500"/>
      <c r="G89" s="479"/>
      <c r="H89" s="479"/>
      <c r="I89" s="480">
        <f>'GCs Detail'!$J84</f>
        <v>0</v>
      </c>
      <c r="J89" s="481">
        <f>'GCs Detail'!$H84</f>
        <v>0</v>
      </c>
      <c r="K89" s="482">
        <f>'GCs Detail'!$I84</f>
        <v>0</v>
      </c>
      <c r="L89" s="483">
        <f t="shared" si="3"/>
        <v>0</v>
      </c>
      <c r="M89" s="72"/>
      <c r="N89" s="498"/>
    </row>
    <row r="90" spans="3:14" ht="18.75" customHeight="1" x14ac:dyDescent="0.25">
      <c r="C90" s="494"/>
      <c r="D90" s="62"/>
      <c r="E90" s="69" t="str">
        <f>'GCs Detail'!$E85</f>
        <v>Internal Consulting</v>
      </c>
      <c r="F90" s="84"/>
      <c r="G90" s="70"/>
      <c r="H90" s="186"/>
      <c r="I90" s="187" t="e">
        <f ca="1">'GCs Detail'!$J85</f>
        <v>#NAME?</v>
      </c>
      <c r="J90" s="188" t="e">
        <f ca="1">'GCs Detail'!$H85</f>
        <v>#NAME?</v>
      </c>
      <c r="K90" s="189" t="str">
        <f>'GCs Detail'!$I85</f>
        <v>mos</v>
      </c>
      <c r="L90" s="531" t="e">
        <f t="shared" ca="1" si="3"/>
        <v>#NAME?</v>
      </c>
      <c r="M90" s="72"/>
      <c r="N90" s="498"/>
    </row>
    <row r="91" spans="3:14" ht="18.75" customHeight="1" x14ac:dyDescent="0.25">
      <c r="C91" s="494"/>
      <c r="D91" s="62"/>
      <c r="E91" s="69" t="str">
        <f>'GCs Detail'!$E86</f>
        <v>Touchplan Fees, Monthly</v>
      </c>
      <c r="F91" s="84"/>
      <c r="G91" s="70"/>
      <c r="H91" s="186"/>
      <c r="I91" s="187" t="e">
        <f ca="1">'GCs Detail'!$J86</f>
        <v>#NAME?</v>
      </c>
      <c r="J91" s="188" t="e">
        <f ca="1">'GCs Detail'!$H86</f>
        <v>#NAME?</v>
      </c>
      <c r="K91" s="189" t="str">
        <f>'GCs Detail'!$I86</f>
        <v>mos</v>
      </c>
      <c r="L91" s="531" t="e">
        <f t="shared" ca="1" si="3"/>
        <v>#NAME?</v>
      </c>
      <c r="M91" s="72"/>
      <c r="N91" s="498"/>
    </row>
    <row r="92" spans="3:14" ht="18.75" customHeight="1" x14ac:dyDescent="0.25">
      <c r="C92" s="494"/>
      <c r="D92" s="62"/>
      <c r="E92" s="69" t="str">
        <f>'GCs Detail'!$E87</f>
        <v>Touchplan Fees, One Time Fee</v>
      </c>
      <c r="F92" s="84"/>
      <c r="G92" s="70"/>
      <c r="H92" s="186"/>
      <c r="I92" s="187" t="e">
        <f ca="1">'GCs Detail'!$J87</f>
        <v>#NAME?</v>
      </c>
      <c r="J92" s="188">
        <f>'GCs Detail'!$H87</f>
        <v>1</v>
      </c>
      <c r="K92" s="189" t="str">
        <f>'GCs Detail'!$I87</f>
        <v>lsum</v>
      </c>
      <c r="L92" s="531" t="e">
        <f t="shared" ca="1" si="3"/>
        <v>#NAME?</v>
      </c>
      <c r="M92" s="72"/>
      <c r="N92" s="498"/>
    </row>
    <row r="93" spans="3:14" ht="18.75" customHeight="1" x14ac:dyDescent="0.25">
      <c r="C93" s="494"/>
      <c r="D93" s="62"/>
      <c r="E93" s="478">
        <f>'GCs Detail'!$E88</f>
        <v>0</v>
      </c>
      <c r="F93" s="478"/>
      <c r="G93" s="479"/>
      <c r="H93" s="479"/>
      <c r="I93" s="480">
        <f>'GCs Detail'!$J88</f>
        <v>0</v>
      </c>
      <c r="J93" s="481">
        <f>'GCs Detail'!$H88</f>
        <v>0</v>
      </c>
      <c r="K93" s="482">
        <f>'GCs Detail'!$I88</f>
        <v>0</v>
      </c>
      <c r="L93" s="483">
        <f t="shared" si="3"/>
        <v>0</v>
      </c>
      <c r="M93" s="72"/>
      <c r="N93" s="498"/>
    </row>
    <row r="94" spans="3:14" ht="18.75" customHeight="1" x14ac:dyDescent="0.25">
      <c r="C94" s="494"/>
      <c r="D94" s="62"/>
      <c r="E94" s="63" t="str">
        <f>'GCs Detail'!$E89</f>
        <v>MISCELLANEOUS EXPENSES</v>
      </c>
      <c r="F94" s="500"/>
      <c r="G94" s="479"/>
      <c r="H94" s="479"/>
      <c r="I94" s="480">
        <f>'GCs Detail'!$J89</f>
        <v>0</v>
      </c>
      <c r="J94" s="481">
        <f>'GCs Detail'!$H89</f>
        <v>0</v>
      </c>
      <c r="K94" s="482">
        <f>'GCs Detail'!$I89</f>
        <v>0</v>
      </c>
      <c r="L94" s="483">
        <f t="shared" si="3"/>
        <v>0</v>
      </c>
      <c r="M94" s="72"/>
      <c r="N94" s="498"/>
    </row>
    <row r="95" spans="3:14" ht="18.75" customHeight="1" x14ac:dyDescent="0.25">
      <c r="C95" s="494"/>
      <c r="D95" s="62"/>
      <c r="E95" s="69" t="str">
        <f>'GCs Detail'!$E90</f>
        <v>Suffolk Project Sign</v>
      </c>
      <c r="F95" s="84"/>
      <c r="G95" s="70"/>
      <c r="H95" s="186"/>
      <c r="I95" s="187">
        <f>'GCs Detail'!$J90</f>
        <v>3000</v>
      </c>
      <c r="J95" s="188">
        <f>'GCs Detail'!$H90</f>
        <v>1</v>
      </c>
      <c r="K95" s="189" t="str">
        <f>'GCs Detail'!$I90</f>
        <v>lsum</v>
      </c>
      <c r="L95" s="531">
        <f t="shared" si="3"/>
        <v>3000</v>
      </c>
      <c r="M95" s="72"/>
      <c r="N95" s="498"/>
    </row>
    <row r="96" spans="3:14" ht="18.75" customHeight="1" x14ac:dyDescent="0.25">
      <c r="C96" s="494"/>
      <c r="D96" s="62"/>
      <c r="E96" s="69" t="str">
        <f>'GCs Detail'!$E91</f>
        <v>Marketing Photographs</v>
      </c>
      <c r="F96" s="84"/>
      <c r="G96" s="70"/>
      <c r="H96" s="186"/>
      <c r="I96" s="187">
        <f>'GCs Detail'!$J91</f>
        <v>2000</v>
      </c>
      <c r="J96" s="188">
        <f>'GCs Detail'!$H91</f>
        <v>1</v>
      </c>
      <c r="K96" s="189" t="str">
        <f>'GCs Detail'!$I91</f>
        <v>lsum</v>
      </c>
      <c r="L96" s="531">
        <f t="shared" si="3"/>
        <v>2000</v>
      </c>
      <c r="M96" s="72"/>
      <c r="N96" s="498"/>
    </row>
    <row r="97" spans="3:14" ht="18.75" customHeight="1" x14ac:dyDescent="0.25">
      <c r="C97" s="494"/>
      <c r="D97" s="62"/>
      <c r="E97" s="69" t="str">
        <f>'GCs Detail'!$E92</f>
        <v>Aerial Photos</v>
      </c>
      <c r="F97" s="84"/>
      <c r="G97" s="70"/>
      <c r="H97" s="186"/>
      <c r="I97" s="187">
        <f>'GCs Detail'!$J92</f>
        <v>0</v>
      </c>
      <c r="J97" s="188">
        <f>'GCs Detail'!$H92</f>
        <v>1</v>
      </c>
      <c r="K97" s="189" t="str">
        <f>'GCs Detail'!$I92</f>
        <v>lsum</v>
      </c>
      <c r="L97" s="531">
        <f t="shared" si="3"/>
        <v>0</v>
      </c>
      <c r="M97" s="72"/>
      <c r="N97" s="498"/>
    </row>
    <row r="98" spans="3:14" ht="18.75" customHeight="1" x14ac:dyDescent="0.25">
      <c r="C98" s="494"/>
      <c r="D98" s="62"/>
      <c r="E98" s="69" t="str">
        <f>'GCs Detail'!$E93</f>
        <v>Client Entertainment</v>
      </c>
      <c r="F98" s="84"/>
      <c r="G98" s="70"/>
      <c r="H98" s="186"/>
      <c r="I98" s="187">
        <f>'GCs Detail'!$J93</f>
        <v>0</v>
      </c>
      <c r="J98" s="188">
        <f>'GCs Detail'!$H93</f>
        <v>1</v>
      </c>
      <c r="K98" s="189" t="str">
        <f>'GCs Detail'!$I93</f>
        <v>lsum</v>
      </c>
      <c r="L98" s="531">
        <f t="shared" si="3"/>
        <v>0</v>
      </c>
      <c r="M98" s="72"/>
      <c r="N98" s="498"/>
    </row>
    <row r="99" spans="3:14" ht="18.75" customHeight="1" x14ac:dyDescent="0.25">
      <c r="C99" s="494"/>
      <c r="D99" s="62"/>
      <c r="E99" s="69" t="str">
        <f>'GCs Detail'!$E94</f>
        <v>Association Dues - TEXO</v>
      </c>
      <c r="F99" s="84"/>
      <c r="G99" s="70"/>
      <c r="H99" s="186"/>
      <c r="I99" s="187">
        <f>'GCs Detail'!$J94</f>
        <v>0</v>
      </c>
      <c r="J99" s="188">
        <f>'GCs Detail'!$H94</f>
        <v>1</v>
      </c>
      <c r="K99" s="189" t="str">
        <f>'GCs Detail'!$I94</f>
        <v>lsum</v>
      </c>
      <c r="L99" s="531">
        <f t="shared" si="3"/>
        <v>0</v>
      </c>
      <c r="M99" s="72"/>
      <c r="N99" s="498"/>
    </row>
    <row r="100" spans="3:14" ht="18.75" customHeight="1" x14ac:dyDescent="0.25">
      <c r="C100" s="494"/>
      <c r="D100" s="62"/>
      <c r="E100" s="69" t="str">
        <f>'GCs Detail'!$E95</f>
        <v>Groundbreaking Ceremony</v>
      </c>
      <c r="F100" s="84"/>
      <c r="G100" s="70"/>
      <c r="H100" s="186"/>
      <c r="I100" s="187">
        <f>'GCs Detail'!$J95</f>
        <v>0</v>
      </c>
      <c r="J100" s="188">
        <f>'GCs Detail'!$H95</f>
        <v>1</v>
      </c>
      <c r="K100" s="189" t="str">
        <f>'GCs Detail'!$I95</f>
        <v>lsum</v>
      </c>
      <c r="L100" s="531">
        <f t="shared" si="3"/>
        <v>0</v>
      </c>
      <c r="M100" s="72"/>
      <c r="N100" s="498"/>
    </row>
    <row r="101" spans="3:14" ht="18.75" customHeight="1" x14ac:dyDescent="0.25">
      <c r="C101" s="494"/>
      <c r="D101" s="62"/>
      <c r="E101" s="69" t="str">
        <f>'GCs Detail'!$E96</f>
        <v>Topping Off Ceremony</v>
      </c>
      <c r="F101" s="84"/>
      <c r="G101" s="70"/>
      <c r="H101" s="186"/>
      <c r="I101" s="187">
        <f>'GCs Detail'!$J96</f>
        <v>0</v>
      </c>
      <c r="J101" s="188">
        <f>'GCs Detail'!$H96</f>
        <v>1</v>
      </c>
      <c r="K101" s="189" t="str">
        <f>'GCs Detail'!$I96</f>
        <v>lsum</v>
      </c>
      <c r="L101" s="531">
        <f t="shared" si="3"/>
        <v>0</v>
      </c>
      <c r="M101" s="72"/>
      <c r="N101" s="498"/>
    </row>
    <row r="102" spans="3:14" ht="18.75" customHeight="1" x14ac:dyDescent="0.25">
      <c r="C102" s="494"/>
      <c r="D102" s="62"/>
      <c r="E102" s="69" t="str">
        <f>'GCs Detail'!$E97</f>
        <v>Team-Building Event</v>
      </c>
      <c r="F102" s="84"/>
      <c r="G102" s="70"/>
      <c r="H102" s="186"/>
      <c r="I102" s="187">
        <f>'GCs Detail'!$J97</f>
        <v>0</v>
      </c>
      <c r="J102" s="188">
        <f>'GCs Detail'!$H97</f>
        <v>1</v>
      </c>
      <c r="K102" s="189" t="str">
        <f>'GCs Detail'!$I97</f>
        <v>lsum</v>
      </c>
      <c r="L102" s="531">
        <f t="shared" si="3"/>
        <v>0</v>
      </c>
      <c r="M102" s="72"/>
      <c r="N102" s="498"/>
    </row>
    <row r="103" spans="3:14" ht="18.75" customHeight="1" x14ac:dyDescent="0.25">
      <c r="C103" s="494"/>
      <c r="D103" s="62"/>
      <c r="E103" s="478">
        <f>'GCs Detail'!$E98</f>
        <v>0</v>
      </c>
      <c r="F103" s="478"/>
      <c r="G103" s="479"/>
      <c r="H103" s="479"/>
      <c r="I103" s="480">
        <f>'GCs Detail'!$J98</f>
        <v>0</v>
      </c>
      <c r="J103" s="481">
        <f>'GCs Detail'!$H98</f>
        <v>0</v>
      </c>
      <c r="K103" s="482">
        <f>'GCs Detail'!$I98</f>
        <v>0</v>
      </c>
      <c r="L103" s="483">
        <f t="shared" si="3"/>
        <v>0</v>
      </c>
      <c r="M103" s="72"/>
      <c r="N103" s="498"/>
    </row>
    <row r="104" spans="3:14" ht="21.6" customHeight="1" x14ac:dyDescent="0.25">
      <c r="C104" s="494"/>
      <c r="D104" s="556"/>
      <c r="E104" s="572"/>
      <c r="F104" s="572"/>
      <c r="G104" s="495"/>
      <c r="H104" s="495"/>
      <c r="I104" s="496"/>
      <c r="J104" s="531"/>
      <c r="K104" s="497"/>
      <c r="L104" s="573"/>
      <c r="M104" s="573"/>
      <c r="N104" s="498"/>
    </row>
    <row r="105" spans="3:14" ht="21.6" customHeight="1" x14ac:dyDescent="0.25">
      <c r="C105" s="494"/>
      <c r="D105" s="556"/>
      <c r="E105" s="574" t="s">
        <v>385</v>
      </c>
      <c r="F105" s="574"/>
      <c r="G105" s="575"/>
      <c r="H105" s="575"/>
      <c r="I105" s="575"/>
      <c r="J105" s="575"/>
      <c r="K105" s="576"/>
      <c r="L105" s="516" t="e">
        <f ca="1">SUM(L14:L104)</f>
        <v>#NAME?</v>
      </c>
      <c r="M105" s="577"/>
      <c r="N105" s="498"/>
    </row>
    <row r="106" spans="3:14" ht="21.6" customHeight="1" x14ac:dyDescent="0.25">
      <c r="C106" s="494"/>
      <c r="D106" s="556"/>
      <c r="E106" s="556"/>
      <c r="F106" s="556"/>
      <c r="G106" s="556"/>
      <c r="H106" s="556"/>
      <c r="I106" s="556"/>
      <c r="J106" s="556"/>
      <c r="K106" s="578" t="s">
        <v>934</v>
      </c>
      <c r="L106" s="579" t="e">
        <f ca="1">CEILING('GCs Detail'!J2-\gctotal,2)</f>
        <v>#NAME?</v>
      </c>
      <c r="M106" s="556"/>
      <c r="N106" s="498"/>
    </row>
    <row r="107" spans="3:14" ht="15" hidden="1" x14ac:dyDescent="0.25">
      <c r="D107" s="580"/>
      <c r="E107" s="580"/>
      <c r="F107" s="580"/>
      <c r="G107" s="580"/>
      <c r="H107" s="580"/>
      <c r="I107" s="580"/>
      <c r="J107" s="580"/>
      <c r="K107" s="580"/>
      <c r="L107" s="580"/>
      <c r="M107" s="580"/>
    </row>
    <row r="108" spans="3:14" ht="16.5" hidden="1" thickBot="1" x14ac:dyDescent="0.3">
      <c r="C108" s="581"/>
      <c r="D108" s="582" t="s">
        <v>381</v>
      </c>
      <c r="E108" s="581"/>
      <c r="F108" s="581"/>
      <c r="G108" s="581"/>
      <c r="H108" s="581"/>
      <c r="I108" s="581"/>
      <c r="J108" s="581"/>
      <c r="K108" s="581"/>
      <c r="L108" s="581"/>
      <c r="M108" s="581"/>
      <c r="N108" s="581"/>
    </row>
    <row r="109" spans="3:14" ht="15" hidden="1" x14ac:dyDescent="0.25">
      <c r="C109" s="494"/>
      <c r="D109" s="74"/>
      <c r="E109" s="75"/>
      <c r="F109" s="75"/>
      <c r="G109" s="75"/>
      <c r="H109" s="75"/>
      <c r="I109" s="75"/>
      <c r="J109" s="75"/>
      <c r="K109" s="75"/>
      <c r="L109" s="75"/>
      <c r="M109" s="76"/>
      <c r="N109" s="498"/>
    </row>
    <row r="110" spans="3:14" ht="15.75" hidden="1" thickBot="1" x14ac:dyDescent="0.3">
      <c r="C110" s="494"/>
      <c r="D110" s="77"/>
      <c r="E110" s="78"/>
      <c r="F110" s="78"/>
      <c r="G110" s="78"/>
      <c r="H110" s="78"/>
      <c r="I110" s="78"/>
      <c r="J110" s="78"/>
      <c r="K110" s="78"/>
      <c r="L110" s="78"/>
      <c r="M110" s="79"/>
      <c r="N110" s="498"/>
    </row>
    <row r="111" spans="3:14" ht="120.6" hidden="1" customHeight="1" x14ac:dyDescent="0.25">
      <c r="C111" s="581"/>
      <c r="D111" s="581"/>
      <c r="E111" s="581"/>
      <c r="F111" s="581"/>
      <c r="G111" s="581"/>
      <c r="H111" s="581"/>
      <c r="I111" s="581"/>
      <c r="J111" s="581"/>
      <c r="K111" s="581"/>
      <c r="L111" s="581"/>
      <c r="M111" s="581"/>
      <c r="N111" s="581"/>
    </row>
    <row r="112" spans="3:14" ht="15" hidden="1" x14ac:dyDescent="0.25">
      <c r="C112" s="581"/>
      <c r="D112" s="581"/>
      <c r="E112" s="581"/>
      <c r="F112" s="581"/>
      <c r="G112" s="581"/>
      <c r="H112" s="581"/>
      <c r="I112" s="581"/>
      <c r="J112" s="581"/>
      <c r="K112" s="581"/>
      <c r="L112" s="581"/>
      <c r="M112" s="581"/>
    </row>
    <row r="113" spans="1:14" ht="15" hidden="1" x14ac:dyDescent="0.25">
      <c r="D113" s="493"/>
      <c r="E113" s="493"/>
      <c r="F113" s="493"/>
      <c r="G113" s="493"/>
      <c r="H113" s="493"/>
      <c r="I113" s="493"/>
      <c r="J113" s="493"/>
      <c r="K113" s="493"/>
      <c r="L113" s="493"/>
      <c r="M113" s="493"/>
    </row>
    <row r="114" spans="1:14" ht="18.75" hidden="1" customHeight="1" x14ac:dyDescent="0.25">
      <c r="C114" s="494"/>
      <c r="D114" s="62"/>
      <c r="E114" s="69" t="s">
        <v>382</v>
      </c>
      <c r="F114" s="84"/>
      <c r="G114" s="70"/>
      <c r="H114" s="186"/>
      <c r="I114" s="187"/>
      <c r="J114" s="188"/>
      <c r="K114" s="189"/>
      <c r="L114" s="531"/>
      <c r="M114" s="72"/>
      <c r="N114" s="498"/>
    </row>
    <row r="115" spans="1:14" ht="18.75" hidden="1" customHeight="1" x14ac:dyDescent="0.25">
      <c r="C115" s="494"/>
      <c r="D115" s="62"/>
      <c r="E115" s="63" t="s">
        <v>383</v>
      </c>
      <c r="F115" s="500"/>
      <c r="G115" s="479"/>
      <c r="H115" s="479"/>
      <c r="I115" s="480"/>
      <c r="J115" s="481"/>
      <c r="K115" s="482"/>
      <c r="L115" s="483"/>
      <c r="M115" s="72"/>
      <c r="N115" s="498"/>
    </row>
    <row r="116" spans="1:14" ht="18.75" hidden="1" customHeight="1" x14ac:dyDescent="0.25">
      <c r="C116" s="494"/>
      <c r="D116" s="62"/>
      <c r="E116" s="478"/>
      <c r="F116" s="478"/>
      <c r="G116" s="479"/>
      <c r="H116" s="479"/>
      <c r="I116" s="480"/>
      <c r="J116" s="481"/>
      <c r="K116" s="482"/>
      <c r="L116" s="483"/>
      <c r="M116" s="72"/>
      <c r="N116" s="498"/>
    </row>
    <row r="117" spans="1:14" ht="15" hidden="1" x14ac:dyDescent="0.25">
      <c r="A117" s="583"/>
      <c r="B117" s="583"/>
      <c r="C117" s="583"/>
      <c r="D117" s="583"/>
      <c r="E117" s="583"/>
      <c r="F117" s="583"/>
      <c r="G117" s="583"/>
      <c r="H117" s="583"/>
      <c r="I117" s="583"/>
      <c r="J117" s="583"/>
      <c r="K117" s="583"/>
      <c r="L117" s="583"/>
      <c r="M117" s="583"/>
      <c r="N117" s="583"/>
    </row>
    <row r="118" spans="1:14" ht="18.75" hidden="1" customHeight="1" x14ac:dyDescent="0.25">
      <c r="A118" s="493" t="e">
        <f>#REF!</f>
        <v>#REF!</v>
      </c>
      <c r="C118" s="494"/>
      <c r="D118" s="62"/>
      <c r="E118" s="63"/>
      <c r="F118" s="63"/>
      <c r="G118" s="70"/>
      <c r="H118" s="495"/>
      <c r="I118" s="496"/>
      <c r="J118" s="187"/>
      <c r="K118" s="497"/>
      <c r="L118" s="72"/>
      <c r="M118" s="72"/>
      <c r="N118" s="498"/>
    </row>
    <row r="119" spans="1:14" ht="15" hidden="1" x14ac:dyDescent="0.25">
      <c r="A119" s="583"/>
      <c r="B119" s="583"/>
      <c r="C119" s="583"/>
      <c r="D119" s="584"/>
      <c r="E119" s="584"/>
      <c r="F119" s="584"/>
      <c r="G119" s="584"/>
      <c r="H119" s="584"/>
      <c r="I119" s="584"/>
      <c r="J119" s="584"/>
      <c r="K119" s="584"/>
      <c r="L119" s="584"/>
      <c r="M119" s="584"/>
      <c r="N119" s="583"/>
    </row>
    <row r="120" spans="1:14" ht="18.75" hidden="1" customHeight="1" x14ac:dyDescent="0.25"/>
    <row r="121" spans="1:14" ht="18.75" hidden="1" customHeight="1" x14ac:dyDescent="0.25"/>
    <row r="122" spans="1:14" ht="18.75" hidden="1" customHeight="1" x14ac:dyDescent="0.25">
      <c r="C122" s="494"/>
      <c r="D122" s="62"/>
      <c r="E122" s="477" t="s">
        <v>496</v>
      </c>
      <c r="F122" s="478"/>
      <c r="G122" s="479"/>
      <c r="H122" s="479"/>
      <c r="I122" s="480"/>
      <c r="J122" s="481"/>
      <c r="K122" s="482"/>
      <c r="L122" s="483"/>
      <c r="M122" s="483"/>
      <c r="N122" s="498"/>
    </row>
    <row r="123" spans="1:14" ht="18.75" hidden="1" customHeight="1" x14ac:dyDescent="0.25"/>
    <row r="124" spans="1:14" ht="18.75" hidden="1" customHeight="1" x14ac:dyDescent="0.25"/>
    <row r="125" spans="1:14" ht="18.75" hidden="1" customHeight="1" x14ac:dyDescent="0.25"/>
    <row r="126" spans="1:14" ht="18.75" hidden="1" customHeight="1" x14ac:dyDescent="0.25"/>
    <row r="127" spans="1:14" ht="18.75" hidden="1" customHeight="1" x14ac:dyDescent="0.25"/>
    <row r="128" spans="1:14" ht="18.75" hidden="1" customHeight="1" x14ac:dyDescent="0.25"/>
    <row r="129" ht="18.75" hidden="1" customHeight="1" x14ac:dyDescent="0.25"/>
    <row r="130" ht="18.75" hidden="1" customHeight="1" x14ac:dyDescent="0.25"/>
    <row r="131" ht="18.75" hidden="1" customHeight="1" x14ac:dyDescent="0.25"/>
    <row r="132" ht="18.75" hidden="1" customHeight="1" x14ac:dyDescent="0.25"/>
    <row r="133" ht="18.75" hidden="1" customHeight="1" x14ac:dyDescent="0.25"/>
    <row r="134" ht="18.75" hidden="1" customHeight="1" x14ac:dyDescent="0.25"/>
    <row r="135" ht="18.75" hidden="1" customHeight="1" x14ac:dyDescent="0.25"/>
    <row r="136" ht="18.75" hidden="1" customHeight="1" x14ac:dyDescent="0.25"/>
    <row r="137" ht="18.75" hidden="1" customHeight="1" x14ac:dyDescent="0.25"/>
    <row r="138" ht="18.75" hidden="1" customHeight="1" x14ac:dyDescent="0.25"/>
    <row r="139" ht="18.75" hidden="1" customHeight="1" x14ac:dyDescent="0.25"/>
    <row r="140" ht="18.75" hidden="1" customHeight="1" x14ac:dyDescent="0.25"/>
    <row r="141" ht="18.75" hidden="1" customHeight="1" x14ac:dyDescent="0.25"/>
    <row r="142" ht="18.75" hidden="1" customHeight="1" x14ac:dyDescent="0.25"/>
    <row r="143" ht="18.75" hidden="1" customHeight="1" x14ac:dyDescent="0.25"/>
    <row r="144" ht="18.75" hidden="1" customHeight="1" x14ac:dyDescent="0.25"/>
    <row r="145" ht="18.75" hidden="1" customHeight="1" x14ac:dyDescent="0.25"/>
    <row r="146" ht="18.75" hidden="1" customHeight="1" x14ac:dyDescent="0.25"/>
    <row r="147" ht="18.75" hidden="1" customHeight="1" x14ac:dyDescent="0.25"/>
    <row r="148" ht="18.75" hidden="1" customHeight="1" x14ac:dyDescent="0.25"/>
    <row r="149" ht="18.75" hidden="1" customHeight="1" x14ac:dyDescent="0.25"/>
    <row r="150" ht="18.75" hidden="1" customHeight="1" x14ac:dyDescent="0.25"/>
    <row r="151" ht="18.75" hidden="1" customHeight="1" x14ac:dyDescent="0.25"/>
    <row r="152" ht="18.75" hidden="1" customHeight="1" x14ac:dyDescent="0.25"/>
    <row r="153" ht="18.75" hidden="1" customHeight="1" x14ac:dyDescent="0.25"/>
    <row r="154" ht="18.75" hidden="1" customHeight="1" x14ac:dyDescent="0.25"/>
    <row r="155" ht="18.75" hidden="1" customHeight="1" x14ac:dyDescent="0.25"/>
    <row r="156" ht="18.75" hidden="1" customHeight="1" x14ac:dyDescent="0.25"/>
    <row r="157" ht="18.75" hidden="1" customHeight="1" x14ac:dyDescent="0.25"/>
    <row r="158" ht="18.75" hidden="1" customHeight="1" x14ac:dyDescent="0.25"/>
    <row r="159" ht="18.75" hidden="1" customHeight="1" x14ac:dyDescent="0.25"/>
    <row r="160" ht="18.75" hidden="1" customHeight="1" x14ac:dyDescent="0.25"/>
    <row r="161" ht="18.75" hidden="1" customHeight="1" x14ac:dyDescent="0.25"/>
    <row r="162" ht="18.75" hidden="1" customHeight="1" x14ac:dyDescent="0.25"/>
    <row r="163" ht="18.75" hidden="1" customHeight="1" x14ac:dyDescent="0.25"/>
    <row r="164" ht="18.75" hidden="1" customHeight="1" x14ac:dyDescent="0.25"/>
    <row r="165" ht="0" hidden="1" customHeight="1" x14ac:dyDescent="0.25"/>
    <row r="166" ht="0" hidden="1" customHeight="1" x14ac:dyDescent="0.25"/>
    <row r="167" ht="0" hidden="1" customHeight="1" x14ac:dyDescent="0.25"/>
    <row r="168" ht="0" hidden="1" customHeight="1" x14ac:dyDescent="0.25"/>
    <row r="169" ht="0" hidden="1" customHeight="1" x14ac:dyDescent="0.25"/>
    <row r="170" ht="0" hidden="1" customHeight="1" x14ac:dyDescent="0.25"/>
    <row r="171" ht="0" hidden="1" customHeight="1" x14ac:dyDescent="0.25"/>
    <row r="172" ht="0" hidden="1" customHeight="1" x14ac:dyDescent="0.25"/>
    <row r="173" ht="0" hidden="1" customHeight="1" x14ac:dyDescent="0.25"/>
    <row r="174" ht="0" hidden="1" customHeight="1" x14ac:dyDescent="0.25"/>
    <row r="175" ht="0" hidden="1" customHeight="1" x14ac:dyDescent="0.25"/>
    <row r="176" ht="0" hidden="1" customHeight="1" x14ac:dyDescent="0.25"/>
    <row r="177" ht="0" hidden="1" customHeight="1" x14ac:dyDescent="0.25"/>
    <row r="178" ht="0" hidden="1" customHeight="1" x14ac:dyDescent="0.25"/>
    <row r="179" ht="0" hidden="1" customHeight="1" x14ac:dyDescent="0.25"/>
    <row r="180" ht="0" hidden="1" customHeight="1" x14ac:dyDescent="0.25"/>
    <row r="181" ht="0" hidden="1" customHeight="1" x14ac:dyDescent="0.25"/>
    <row r="182" ht="0" hidden="1" customHeight="1" x14ac:dyDescent="0.25"/>
    <row r="183" ht="0" hidden="1" customHeight="1" x14ac:dyDescent="0.25"/>
    <row r="184" ht="0" hidden="1" customHeight="1" x14ac:dyDescent="0.25"/>
    <row r="185" ht="0" hidden="1" customHeight="1" x14ac:dyDescent="0.25"/>
    <row r="186" ht="0" hidden="1" customHeight="1" x14ac:dyDescent="0.25"/>
    <row r="187" ht="0" hidden="1" customHeight="1" x14ac:dyDescent="0.25"/>
    <row r="188" ht="0" hidden="1" customHeight="1" x14ac:dyDescent="0.25"/>
    <row r="189" ht="0" hidden="1" customHeight="1" x14ac:dyDescent="0.25"/>
    <row r="190" ht="0" hidden="1" customHeight="1" x14ac:dyDescent="0.25"/>
    <row r="191" ht="0" hidden="1" customHeight="1" x14ac:dyDescent="0.25"/>
    <row r="192" ht="0" hidden="1" customHeight="1" x14ac:dyDescent="0.25"/>
    <row r="193" ht="0" hidden="1" customHeight="1" x14ac:dyDescent="0.25"/>
    <row r="194" ht="0" hidden="1" customHeight="1" x14ac:dyDescent="0.25"/>
    <row r="195" ht="0" hidden="1" customHeight="1" x14ac:dyDescent="0.25"/>
    <row r="196" ht="0" hidden="1" customHeight="1" x14ac:dyDescent="0.25"/>
    <row r="197" ht="0" hidden="1" customHeight="1" x14ac:dyDescent="0.25"/>
    <row r="198" ht="0" hidden="1" customHeight="1" x14ac:dyDescent="0.25"/>
    <row r="199" ht="0" hidden="1" customHeight="1" x14ac:dyDescent="0.25"/>
    <row r="200" ht="0" hidden="1" customHeight="1" x14ac:dyDescent="0.25"/>
    <row r="201" ht="0" hidden="1" customHeight="1" x14ac:dyDescent="0.25"/>
    <row r="202" ht="0" hidden="1" customHeight="1" x14ac:dyDescent="0.25"/>
    <row r="203" ht="0" hidden="1" customHeight="1" x14ac:dyDescent="0.25"/>
    <row r="204" ht="0" hidden="1" customHeight="1" x14ac:dyDescent="0.25"/>
    <row r="205" ht="0" hidden="1" customHeight="1" x14ac:dyDescent="0.25"/>
    <row r="206" ht="0" hidden="1" customHeight="1" x14ac:dyDescent="0.25"/>
    <row r="207" ht="0" hidden="1" customHeight="1" x14ac:dyDescent="0.25"/>
    <row r="208" ht="0" hidden="1" customHeight="1" x14ac:dyDescent="0.25"/>
    <row r="209" ht="0" hidden="1" customHeight="1" x14ac:dyDescent="0.25"/>
    <row r="210" ht="0" hidden="1" customHeight="1" x14ac:dyDescent="0.25"/>
    <row r="211" ht="0" hidden="1" customHeight="1" x14ac:dyDescent="0.25"/>
    <row r="212" ht="0" hidden="1" customHeight="1" x14ac:dyDescent="0.25"/>
    <row r="213" ht="0" hidden="1" customHeight="1" x14ac:dyDescent="0.25"/>
    <row r="214" ht="0" hidden="1" customHeight="1" x14ac:dyDescent="0.25"/>
    <row r="215" ht="0" hidden="1" customHeight="1" x14ac:dyDescent="0.25"/>
    <row r="216" ht="0" hidden="1" customHeight="1" x14ac:dyDescent="0.25"/>
    <row r="217" ht="0" hidden="1" customHeight="1" x14ac:dyDescent="0.25"/>
    <row r="218" ht="0" hidden="1" customHeight="1" x14ac:dyDescent="0.25"/>
    <row r="219" ht="0" hidden="1" customHeight="1" x14ac:dyDescent="0.25"/>
    <row r="220" ht="0" hidden="1" customHeight="1" x14ac:dyDescent="0.25"/>
    <row r="221" ht="0" hidden="1" customHeight="1" x14ac:dyDescent="0.25"/>
    <row r="222" ht="0" hidden="1" customHeight="1" x14ac:dyDescent="0.25"/>
    <row r="223" ht="0" hidden="1" customHeight="1" x14ac:dyDescent="0.25"/>
    <row r="224" ht="0" hidden="1" customHeight="1" x14ac:dyDescent="0.25"/>
    <row r="225" ht="0" hidden="1" customHeight="1" x14ac:dyDescent="0.25"/>
    <row r="226" ht="0" hidden="1" customHeight="1" x14ac:dyDescent="0.25"/>
    <row r="227" ht="0" hidden="1" customHeight="1" x14ac:dyDescent="0.25"/>
    <row r="228" ht="0" hidden="1" customHeight="1" x14ac:dyDescent="0.25"/>
    <row r="229" ht="0" hidden="1" customHeight="1" x14ac:dyDescent="0.25"/>
    <row r="230" ht="0" hidden="1" customHeight="1" x14ac:dyDescent="0.25"/>
    <row r="231" ht="0" hidden="1" customHeight="1" x14ac:dyDescent="0.25"/>
    <row r="232" ht="0" hidden="1" customHeight="1" x14ac:dyDescent="0.25"/>
    <row r="233" ht="0" hidden="1" customHeight="1" x14ac:dyDescent="0.25"/>
    <row r="234" ht="0" hidden="1" customHeight="1" x14ac:dyDescent="0.25"/>
    <row r="235" ht="0" hidden="1" customHeight="1" x14ac:dyDescent="0.25"/>
    <row r="236" ht="0" hidden="1" customHeight="1" x14ac:dyDescent="0.25"/>
    <row r="237" ht="0" hidden="1" customHeight="1" x14ac:dyDescent="0.25"/>
    <row r="238" ht="0" hidden="1" customHeight="1" x14ac:dyDescent="0.25"/>
    <row r="239" ht="0" hidden="1" customHeight="1" x14ac:dyDescent="0.25"/>
    <row r="240" ht="0" hidden="1" customHeight="1" x14ac:dyDescent="0.25"/>
    <row r="241" ht="0" hidden="1" customHeight="1" x14ac:dyDescent="0.25"/>
    <row r="242" ht="0" hidden="1" customHeight="1" x14ac:dyDescent="0.25"/>
    <row r="243" ht="0" hidden="1" customHeight="1" x14ac:dyDescent="0.25"/>
    <row r="244" ht="0" hidden="1" customHeight="1" x14ac:dyDescent="0.25"/>
    <row r="245" ht="0" hidden="1" customHeight="1" x14ac:dyDescent="0.25"/>
    <row r="246" ht="0" hidden="1" customHeight="1" x14ac:dyDescent="0.25"/>
    <row r="247" ht="0" hidden="1" customHeight="1" x14ac:dyDescent="0.25"/>
    <row r="248" ht="0" hidden="1" customHeight="1" x14ac:dyDescent="0.25"/>
    <row r="249" ht="0" hidden="1" customHeight="1" x14ac:dyDescent="0.25"/>
    <row r="250" ht="0" hidden="1" customHeight="1" x14ac:dyDescent="0.25"/>
    <row r="251" ht="0" hidden="1" customHeight="1" x14ac:dyDescent="0.25"/>
    <row r="252" ht="0" hidden="1" customHeight="1" x14ac:dyDescent="0.25"/>
    <row r="253" ht="0" hidden="1" customHeight="1" x14ac:dyDescent="0.25"/>
    <row r="254" ht="0" hidden="1" customHeight="1" x14ac:dyDescent="0.25"/>
    <row r="255" ht="0" hidden="1" customHeight="1" x14ac:dyDescent="0.25"/>
    <row r="256" ht="0" hidden="1" customHeight="1" x14ac:dyDescent="0.25"/>
    <row r="257" ht="0" hidden="1" customHeight="1" x14ac:dyDescent="0.25"/>
    <row r="258" ht="0" hidden="1" customHeight="1" x14ac:dyDescent="0.25"/>
    <row r="259" ht="0" hidden="1" customHeight="1" x14ac:dyDescent="0.25"/>
    <row r="260" ht="0" hidden="1" customHeight="1" x14ac:dyDescent="0.25"/>
    <row r="261" ht="0" hidden="1" customHeight="1" x14ac:dyDescent="0.25"/>
    <row r="262" ht="0" hidden="1" customHeight="1" x14ac:dyDescent="0.25"/>
    <row r="263" ht="0" hidden="1" customHeight="1" x14ac:dyDescent="0.25"/>
    <row r="264" ht="0" hidden="1" customHeight="1" x14ac:dyDescent="0.25"/>
    <row r="265" ht="0" hidden="1" customHeight="1" x14ac:dyDescent="0.25"/>
    <row r="266" ht="0" hidden="1" customHeight="1" x14ac:dyDescent="0.25"/>
    <row r="267" ht="0" hidden="1" customHeight="1" x14ac:dyDescent="0.25"/>
    <row r="268" ht="0" hidden="1" customHeight="1" x14ac:dyDescent="0.25"/>
    <row r="269" ht="0" hidden="1" customHeight="1" x14ac:dyDescent="0.25"/>
    <row r="270" ht="0" hidden="1" customHeight="1" x14ac:dyDescent="0.25"/>
    <row r="271" ht="0" hidden="1" customHeight="1" x14ac:dyDescent="0.25"/>
    <row r="272" ht="0" hidden="1" customHeight="1" x14ac:dyDescent="0.25"/>
    <row r="273" ht="0" hidden="1" customHeight="1" x14ac:dyDescent="0.25"/>
    <row r="274" ht="0" hidden="1" customHeight="1" x14ac:dyDescent="0.25"/>
    <row r="275" ht="0" hidden="1" customHeight="1" x14ac:dyDescent="0.25"/>
    <row r="276" ht="0" hidden="1" customHeight="1" x14ac:dyDescent="0.25"/>
    <row r="277" ht="0" hidden="1" customHeight="1" x14ac:dyDescent="0.25"/>
    <row r="278" ht="0" hidden="1" customHeight="1" x14ac:dyDescent="0.25"/>
    <row r="279" ht="0" hidden="1" customHeight="1" x14ac:dyDescent="0.25"/>
    <row r="280" ht="0" hidden="1" customHeight="1" x14ac:dyDescent="0.25"/>
    <row r="281" ht="0" hidden="1" customHeight="1" x14ac:dyDescent="0.25"/>
    <row r="282" ht="0" hidden="1" customHeight="1" x14ac:dyDescent="0.25"/>
    <row r="283" ht="0" hidden="1" customHeight="1" x14ac:dyDescent="0.25"/>
    <row r="284" ht="0" hidden="1" customHeight="1" x14ac:dyDescent="0.25"/>
    <row r="285" ht="0" hidden="1" customHeight="1" x14ac:dyDescent="0.25"/>
    <row r="286" ht="0" hidden="1" customHeight="1" x14ac:dyDescent="0.25"/>
    <row r="287" ht="0" hidden="1" customHeight="1" x14ac:dyDescent="0.25"/>
    <row r="288" ht="0" hidden="1" customHeight="1" x14ac:dyDescent="0.25"/>
    <row r="289" ht="0" hidden="1" customHeight="1" x14ac:dyDescent="0.25"/>
    <row r="290" ht="0" hidden="1" customHeight="1" x14ac:dyDescent="0.25"/>
    <row r="291" ht="0" hidden="1" customHeight="1" x14ac:dyDescent="0.25"/>
    <row r="292" ht="0" hidden="1" customHeight="1" x14ac:dyDescent="0.25"/>
    <row r="293" ht="0" hidden="1" customHeight="1" x14ac:dyDescent="0.25"/>
    <row r="294" ht="0" hidden="1" customHeight="1" x14ac:dyDescent="0.25"/>
    <row r="295" ht="0" hidden="1" customHeight="1" x14ac:dyDescent="0.25"/>
    <row r="296" ht="0" hidden="1" customHeight="1" x14ac:dyDescent="0.25"/>
    <row r="297" ht="0" hidden="1" customHeight="1" x14ac:dyDescent="0.25"/>
    <row r="298" ht="0" hidden="1" customHeight="1" x14ac:dyDescent="0.25"/>
    <row r="299" ht="0" hidden="1" customHeight="1" x14ac:dyDescent="0.25"/>
    <row r="300" ht="0" hidden="1" customHeight="1" x14ac:dyDescent="0.25"/>
    <row r="301" ht="0" hidden="1" customHeight="1" x14ac:dyDescent="0.25"/>
    <row r="302" ht="0" hidden="1" customHeight="1" x14ac:dyDescent="0.25"/>
    <row r="303" ht="0" hidden="1" customHeight="1" x14ac:dyDescent="0.25"/>
    <row r="304" ht="0" hidden="1" customHeight="1" x14ac:dyDescent="0.25"/>
    <row r="305" ht="0" hidden="1" customHeight="1" x14ac:dyDescent="0.25"/>
    <row r="306" ht="0" hidden="1" customHeight="1" x14ac:dyDescent="0.25"/>
    <row r="307" ht="0" hidden="1" customHeight="1" x14ac:dyDescent="0.25"/>
    <row r="308" ht="0" hidden="1" customHeight="1" x14ac:dyDescent="0.25"/>
    <row r="309" ht="0" hidden="1" customHeight="1" x14ac:dyDescent="0.25"/>
    <row r="310" ht="0" hidden="1" customHeight="1" x14ac:dyDescent="0.25"/>
    <row r="311" ht="0" hidden="1" customHeight="1" x14ac:dyDescent="0.25"/>
    <row r="312" ht="0" hidden="1" customHeight="1" x14ac:dyDescent="0.25"/>
    <row r="313" ht="0" hidden="1" customHeight="1" x14ac:dyDescent="0.25"/>
    <row r="314" ht="0" hidden="1" customHeight="1" x14ac:dyDescent="0.25"/>
    <row r="315" ht="0" hidden="1" customHeight="1" x14ac:dyDescent="0.25"/>
    <row r="316" ht="0" hidden="1" customHeight="1" x14ac:dyDescent="0.25"/>
    <row r="317" ht="0" hidden="1" customHeight="1" x14ac:dyDescent="0.25"/>
    <row r="318" ht="0" hidden="1" customHeight="1" x14ac:dyDescent="0.25"/>
    <row r="319" ht="0" hidden="1" customHeight="1" x14ac:dyDescent="0.25"/>
    <row r="320" ht="0" hidden="1" customHeight="1" x14ac:dyDescent="0.25"/>
    <row r="321" ht="0" hidden="1" customHeight="1" x14ac:dyDescent="0.25"/>
    <row r="322" ht="0" hidden="1" customHeight="1" x14ac:dyDescent="0.25"/>
    <row r="323" ht="0" hidden="1" customHeight="1" x14ac:dyDescent="0.25"/>
    <row r="324" ht="0" hidden="1" customHeight="1" x14ac:dyDescent="0.25"/>
    <row r="325" ht="0" hidden="1" customHeight="1" x14ac:dyDescent="0.25"/>
    <row r="326" ht="0" hidden="1" customHeight="1" x14ac:dyDescent="0.25"/>
    <row r="327" ht="0" hidden="1" customHeight="1" x14ac:dyDescent="0.25"/>
    <row r="328" ht="0" hidden="1" customHeight="1" x14ac:dyDescent="0.25"/>
    <row r="329" ht="0" hidden="1" customHeight="1" x14ac:dyDescent="0.25"/>
    <row r="330" ht="0" hidden="1" customHeight="1" x14ac:dyDescent="0.25"/>
    <row r="331" ht="0" hidden="1" customHeight="1" x14ac:dyDescent="0.25"/>
    <row r="332" ht="0" hidden="1" customHeight="1" x14ac:dyDescent="0.25"/>
    <row r="333" ht="0" hidden="1" customHeight="1" x14ac:dyDescent="0.25"/>
    <row r="334" ht="0" hidden="1" customHeight="1" x14ac:dyDescent="0.25"/>
    <row r="335" ht="0" hidden="1" customHeight="1" x14ac:dyDescent="0.25"/>
    <row r="336" ht="0" hidden="1" customHeight="1" x14ac:dyDescent="0.25"/>
    <row r="337" ht="0" hidden="1" customHeight="1" x14ac:dyDescent="0.25"/>
    <row r="338" ht="0" hidden="1" customHeight="1" x14ac:dyDescent="0.25"/>
    <row r="339" ht="0" hidden="1" customHeight="1" x14ac:dyDescent="0.25"/>
    <row r="340" ht="0" hidden="1" customHeight="1" x14ac:dyDescent="0.25"/>
    <row r="341" ht="0" hidden="1" customHeight="1" x14ac:dyDescent="0.25"/>
    <row r="342" ht="0" hidden="1" customHeight="1" x14ac:dyDescent="0.25"/>
    <row r="343" ht="0" hidden="1" customHeight="1" x14ac:dyDescent="0.25"/>
    <row r="344" ht="0" hidden="1" customHeight="1" x14ac:dyDescent="0.25"/>
    <row r="345" ht="0" hidden="1" customHeight="1" x14ac:dyDescent="0.25"/>
    <row r="346" ht="0" hidden="1" customHeight="1" x14ac:dyDescent="0.25"/>
    <row r="347" ht="0" hidden="1" customHeight="1" x14ac:dyDescent="0.25"/>
    <row r="348" ht="0" hidden="1" customHeight="1" x14ac:dyDescent="0.25"/>
    <row r="349" ht="0" hidden="1" customHeight="1" x14ac:dyDescent="0.25"/>
    <row r="350" ht="0" hidden="1" customHeight="1" x14ac:dyDescent="0.25"/>
    <row r="351" ht="0" hidden="1" customHeight="1" x14ac:dyDescent="0.25"/>
    <row r="352" ht="0" hidden="1" customHeight="1" x14ac:dyDescent="0.25"/>
    <row r="353" ht="0" hidden="1" customHeight="1" x14ac:dyDescent="0.25"/>
    <row r="354" ht="0" hidden="1" customHeight="1" x14ac:dyDescent="0.25"/>
    <row r="355" ht="0" hidden="1" customHeight="1" x14ac:dyDescent="0.25"/>
    <row r="356" ht="0" hidden="1" customHeight="1" x14ac:dyDescent="0.25"/>
    <row r="357" ht="0" hidden="1" customHeight="1" x14ac:dyDescent="0.25"/>
    <row r="358" ht="0" hidden="1" customHeight="1" x14ac:dyDescent="0.25"/>
    <row r="359" ht="0" hidden="1" customHeight="1" x14ac:dyDescent="0.25"/>
    <row r="360" ht="0" hidden="1" customHeight="1" x14ac:dyDescent="0.25"/>
    <row r="361" ht="0" hidden="1" customHeight="1" x14ac:dyDescent="0.25"/>
    <row r="362" ht="0" hidden="1" customHeight="1" x14ac:dyDescent="0.25"/>
    <row r="363" ht="0" hidden="1" customHeight="1" x14ac:dyDescent="0.25"/>
    <row r="364" ht="0" hidden="1" customHeight="1" x14ac:dyDescent="0.25"/>
    <row r="365" ht="0" hidden="1" customHeight="1" x14ac:dyDescent="0.25"/>
    <row r="366" ht="0" hidden="1" customHeight="1" x14ac:dyDescent="0.25"/>
    <row r="367" ht="0" hidden="1" customHeight="1" x14ac:dyDescent="0.25"/>
    <row r="368" ht="0" hidden="1" customHeight="1" x14ac:dyDescent="0.25"/>
    <row r="369" ht="0" hidden="1" customHeight="1" x14ac:dyDescent="0.25"/>
    <row r="370" ht="0" hidden="1" customHeight="1" x14ac:dyDescent="0.25"/>
    <row r="371" ht="0" hidden="1" customHeight="1" x14ac:dyDescent="0.25"/>
    <row r="372" ht="0" hidden="1" customHeight="1" x14ac:dyDescent="0.25"/>
    <row r="373" ht="0" hidden="1" customHeight="1" x14ac:dyDescent="0.25"/>
    <row r="374" ht="0" hidden="1" customHeight="1" x14ac:dyDescent="0.25"/>
    <row r="375" ht="0" hidden="1" customHeight="1" x14ac:dyDescent="0.25"/>
    <row r="376" ht="0" hidden="1" customHeight="1" x14ac:dyDescent="0.25"/>
    <row r="377" ht="0" hidden="1" customHeight="1" x14ac:dyDescent="0.25"/>
    <row r="378" ht="0" hidden="1" customHeight="1" x14ac:dyDescent="0.25"/>
    <row r="379" ht="0" hidden="1" customHeight="1" x14ac:dyDescent="0.25"/>
    <row r="380" ht="0" hidden="1" customHeight="1" x14ac:dyDescent="0.25"/>
    <row r="381" ht="0" hidden="1" customHeight="1" x14ac:dyDescent="0.25"/>
    <row r="382" ht="0" hidden="1" customHeight="1" x14ac:dyDescent="0.25"/>
    <row r="383" ht="0" hidden="1" customHeight="1" x14ac:dyDescent="0.25"/>
    <row r="384" ht="0" hidden="1" customHeight="1" x14ac:dyDescent="0.25"/>
    <row r="385" ht="0" hidden="1" customHeight="1" x14ac:dyDescent="0.25"/>
    <row r="386" ht="0" hidden="1" customHeight="1" x14ac:dyDescent="0.25"/>
    <row r="387" ht="0" hidden="1" customHeight="1" x14ac:dyDescent="0.25"/>
    <row r="388" ht="0" hidden="1" customHeight="1" x14ac:dyDescent="0.25"/>
    <row r="389" ht="0" hidden="1" customHeight="1" x14ac:dyDescent="0.25"/>
    <row r="390" ht="0" hidden="1" customHeight="1" x14ac:dyDescent="0.25"/>
    <row r="391" ht="0" hidden="1" customHeight="1" x14ac:dyDescent="0.25"/>
    <row r="392" ht="0" hidden="1" customHeight="1" x14ac:dyDescent="0.25"/>
    <row r="393" ht="0" hidden="1" customHeight="1" x14ac:dyDescent="0.25"/>
    <row r="394" ht="0" hidden="1" customHeight="1" x14ac:dyDescent="0.25"/>
    <row r="395" ht="0" hidden="1" customHeight="1" x14ac:dyDescent="0.25"/>
    <row r="396" ht="0" hidden="1" customHeight="1" x14ac:dyDescent="0.25"/>
    <row r="397" ht="0" hidden="1" customHeight="1" x14ac:dyDescent="0.25"/>
    <row r="398" ht="0" hidden="1" customHeight="1" x14ac:dyDescent="0.25"/>
    <row r="399" ht="0" hidden="1" customHeight="1" x14ac:dyDescent="0.25"/>
    <row r="400" ht="0" hidden="1" customHeight="1" x14ac:dyDescent="0.25"/>
    <row r="401" ht="0" hidden="1" customHeight="1" x14ac:dyDescent="0.25"/>
    <row r="402" ht="0" hidden="1" customHeight="1" x14ac:dyDescent="0.25"/>
    <row r="403" ht="0" hidden="1" customHeight="1" x14ac:dyDescent="0.25"/>
    <row r="404" ht="0" hidden="1" customHeight="1" x14ac:dyDescent="0.25"/>
    <row r="405" ht="0" hidden="1" customHeight="1" x14ac:dyDescent="0.25"/>
    <row r="406" ht="0" hidden="1" customHeight="1" x14ac:dyDescent="0.25"/>
    <row r="407" ht="0" hidden="1" customHeight="1" x14ac:dyDescent="0.25"/>
    <row r="408" ht="0" hidden="1" customHeight="1" x14ac:dyDescent="0.25"/>
    <row r="409" ht="0" hidden="1" customHeight="1" x14ac:dyDescent="0.25"/>
    <row r="410" ht="0" hidden="1" customHeight="1" x14ac:dyDescent="0.25"/>
    <row r="411" ht="0" hidden="1" customHeight="1" x14ac:dyDescent="0.25"/>
    <row r="412" ht="0" hidden="1" customHeight="1" x14ac:dyDescent="0.25"/>
    <row r="413" ht="0" hidden="1" customHeight="1" x14ac:dyDescent="0.25"/>
    <row r="414" ht="0" hidden="1" customHeight="1" x14ac:dyDescent="0.25"/>
    <row r="415" ht="0" hidden="1" customHeight="1" x14ac:dyDescent="0.25"/>
    <row r="416" ht="0" hidden="1" customHeight="1" x14ac:dyDescent="0.25"/>
    <row r="417" ht="0" hidden="1" customHeight="1" x14ac:dyDescent="0.25"/>
    <row r="418" ht="0" hidden="1" customHeight="1" x14ac:dyDescent="0.25"/>
    <row r="419" ht="0" hidden="1" customHeight="1" x14ac:dyDescent="0.25"/>
    <row r="420" ht="0" hidden="1" customHeight="1" x14ac:dyDescent="0.25"/>
    <row r="421" ht="0" hidden="1" customHeight="1" x14ac:dyDescent="0.25"/>
    <row r="422" ht="0" hidden="1" customHeight="1" x14ac:dyDescent="0.25"/>
    <row r="423" ht="0" hidden="1" customHeight="1" x14ac:dyDescent="0.25"/>
    <row r="424" ht="0" hidden="1" customHeight="1" x14ac:dyDescent="0.25"/>
    <row r="425" ht="0" hidden="1" customHeight="1" x14ac:dyDescent="0.25"/>
    <row r="426" ht="0" hidden="1" customHeight="1" x14ac:dyDescent="0.25"/>
    <row r="427" ht="0" hidden="1" customHeight="1" x14ac:dyDescent="0.25"/>
    <row r="428" ht="0" hidden="1" customHeight="1" x14ac:dyDescent="0.25"/>
    <row r="429" ht="0" hidden="1" customHeight="1" x14ac:dyDescent="0.25"/>
    <row r="430" ht="0" hidden="1" customHeight="1" x14ac:dyDescent="0.25"/>
    <row r="431" ht="0" hidden="1" customHeight="1" x14ac:dyDescent="0.25"/>
    <row r="432" ht="0" hidden="1" customHeight="1" x14ac:dyDescent="0.25"/>
    <row r="433" ht="0" hidden="1" customHeight="1" x14ac:dyDescent="0.25"/>
    <row r="434" ht="0" hidden="1" customHeight="1" x14ac:dyDescent="0.25"/>
    <row r="435" ht="0" hidden="1" customHeight="1" x14ac:dyDescent="0.25"/>
    <row r="436" ht="0" hidden="1" customHeight="1" x14ac:dyDescent="0.25"/>
    <row r="437" ht="0" hidden="1" customHeight="1" x14ac:dyDescent="0.25"/>
    <row r="438" ht="0" hidden="1" customHeight="1" x14ac:dyDescent="0.25"/>
    <row r="439" ht="0" hidden="1" customHeight="1" x14ac:dyDescent="0.25"/>
    <row r="440" ht="0" hidden="1" customHeight="1" x14ac:dyDescent="0.25"/>
    <row r="441" ht="0" hidden="1" customHeight="1" x14ac:dyDescent="0.25"/>
    <row r="442" ht="0" hidden="1" customHeight="1" x14ac:dyDescent="0.25"/>
    <row r="443" ht="0" hidden="1" customHeight="1" x14ac:dyDescent="0.25"/>
    <row r="444" ht="0" hidden="1" customHeight="1" x14ac:dyDescent="0.25"/>
    <row r="445" ht="0" hidden="1" customHeight="1" x14ac:dyDescent="0.25"/>
    <row r="446" ht="0" hidden="1" customHeight="1" x14ac:dyDescent="0.25"/>
    <row r="447" ht="0" hidden="1" customHeight="1" x14ac:dyDescent="0.25"/>
    <row r="448" ht="0" hidden="1" customHeight="1" x14ac:dyDescent="0.25"/>
    <row r="449" ht="0" hidden="1" customHeight="1" x14ac:dyDescent="0.25"/>
    <row r="450" ht="0" hidden="1" customHeight="1" x14ac:dyDescent="0.25"/>
    <row r="451" ht="0" hidden="1" customHeight="1" x14ac:dyDescent="0.25"/>
    <row r="452" ht="0" hidden="1" customHeight="1" x14ac:dyDescent="0.25"/>
    <row r="453" ht="0" hidden="1" customHeight="1" x14ac:dyDescent="0.25"/>
    <row r="454" ht="0" hidden="1" customHeight="1" x14ac:dyDescent="0.25"/>
    <row r="455" ht="0" hidden="1" customHeight="1" x14ac:dyDescent="0.25"/>
    <row r="456" ht="0" hidden="1" customHeight="1" x14ac:dyDescent="0.25"/>
    <row r="457" ht="0" hidden="1" customHeight="1" x14ac:dyDescent="0.25"/>
    <row r="458" ht="0" hidden="1" customHeight="1" x14ac:dyDescent="0.25"/>
    <row r="459" ht="0" hidden="1" customHeight="1" x14ac:dyDescent="0.25"/>
    <row r="460" ht="0" hidden="1" customHeight="1" x14ac:dyDescent="0.25"/>
    <row r="461" ht="0" hidden="1" customHeight="1" x14ac:dyDescent="0.25"/>
    <row r="462" ht="0" hidden="1" customHeight="1" x14ac:dyDescent="0.25"/>
    <row r="463" ht="0" hidden="1" customHeight="1" x14ac:dyDescent="0.25"/>
    <row r="464" ht="0" hidden="1" customHeight="1" x14ac:dyDescent="0.25"/>
    <row r="465" ht="0" hidden="1" customHeight="1" x14ac:dyDescent="0.25"/>
    <row r="466" ht="0" hidden="1" customHeight="1" x14ac:dyDescent="0.25"/>
    <row r="467" ht="0" hidden="1" customHeight="1" x14ac:dyDescent="0.25"/>
    <row r="468" ht="0" hidden="1" customHeight="1" x14ac:dyDescent="0.25"/>
    <row r="469" ht="0" hidden="1" customHeight="1" x14ac:dyDescent="0.25"/>
    <row r="470" ht="0" hidden="1" customHeight="1" x14ac:dyDescent="0.25"/>
    <row r="471" ht="0" hidden="1" customHeight="1" x14ac:dyDescent="0.25"/>
    <row r="472" ht="0" hidden="1" customHeight="1" x14ac:dyDescent="0.25"/>
    <row r="473" ht="0" hidden="1" customHeight="1" x14ac:dyDescent="0.25"/>
    <row r="474" ht="0" hidden="1" customHeight="1" x14ac:dyDescent="0.25"/>
    <row r="475" ht="0" hidden="1" customHeight="1" x14ac:dyDescent="0.25"/>
    <row r="476" ht="0" hidden="1" customHeight="1" x14ac:dyDescent="0.25"/>
    <row r="477" ht="0" hidden="1" customHeight="1" x14ac:dyDescent="0.25"/>
    <row r="478" ht="0" hidden="1" customHeight="1" x14ac:dyDescent="0.25"/>
    <row r="479" ht="0" hidden="1" customHeight="1" x14ac:dyDescent="0.25"/>
    <row r="480" ht="0" hidden="1" customHeight="1" x14ac:dyDescent="0.25"/>
    <row r="481" ht="0" hidden="1" customHeight="1" x14ac:dyDescent="0.25"/>
    <row r="482" ht="0" hidden="1" customHeight="1" x14ac:dyDescent="0.25"/>
    <row r="483" ht="0" hidden="1" customHeight="1" x14ac:dyDescent="0.25"/>
    <row r="484" ht="0" hidden="1" customHeight="1" x14ac:dyDescent="0.25"/>
    <row r="485" ht="0" hidden="1" customHeight="1" x14ac:dyDescent="0.25"/>
    <row r="486" ht="0" hidden="1" customHeight="1" x14ac:dyDescent="0.25"/>
    <row r="487" ht="0" hidden="1" customHeight="1" x14ac:dyDescent="0.25"/>
    <row r="488" ht="0" hidden="1" customHeight="1" x14ac:dyDescent="0.25"/>
    <row r="489" ht="0" hidden="1" customHeight="1" x14ac:dyDescent="0.25"/>
    <row r="490" ht="0" hidden="1" customHeight="1" x14ac:dyDescent="0.25"/>
    <row r="491" ht="0" hidden="1" customHeight="1" x14ac:dyDescent="0.25"/>
    <row r="492" ht="0" hidden="1" customHeight="1" x14ac:dyDescent="0.25"/>
    <row r="493" ht="0" hidden="1" customHeight="1" x14ac:dyDescent="0.25"/>
    <row r="494" ht="0" hidden="1" customHeight="1" x14ac:dyDescent="0.25"/>
    <row r="495" ht="0" hidden="1" customHeight="1" x14ac:dyDescent="0.25"/>
    <row r="496" ht="0" hidden="1" customHeight="1" x14ac:dyDescent="0.25"/>
    <row r="497" ht="0" hidden="1" customHeight="1" x14ac:dyDescent="0.25"/>
    <row r="498" ht="0" hidden="1" customHeight="1" x14ac:dyDescent="0.25"/>
    <row r="499" ht="0" hidden="1" customHeight="1" x14ac:dyDescent="0.25"/>
    <row r="500" ht="0" hidden="1" customHeight="1" x14ac:dyDescent="0.25"/>
    <row r="501" ht="0" hidden="1" customHeight="1" x14ac:dyDescent="0.25"/>
    <row r="502" ht="0" hidden="1" customHeight="1" x14ac:dyDescent="0.25"/>
    <row r="503" ht="0" hidden="1" customHeight="1" x14ac:dyDescent="0.25"/>
    <row r="504" ht="0" hidden="1" customHeight="1" x14ac:dyDescent="0.25"/>
    <row r="505" ht="0" hidden="1" customHeight="1" x14ac:dyDescent="0.25"/>
    <row r="506" ht="0" hidden="1" customHeight="1" x14ac:dyDescent="0.25"/>
    <row r="507" ht="0" hidden="1" customHeight="1" x14ac:dyDescent="0.25"/>
    <row r="508" ht="0" hidden="1" customHeight="1" x14ac:dyDescent="0.25"/>
    <row r="509" ht="0" hidden="1" customHeight="1" x14ac:dyDescent="0.25"/>
    <row r="510" ht="0" hidden="1" customHeight="1" x14ac:dyDescent="0.25"/>
    <row r="511" ht="0" hidden="1" customHeight="1" x14ac:dyDescent="0.25"/>
    <row r="512" ht="0" hidden="1" customHeight="1" x14ac:dyDescent="0.25"/>
    <row r="513" ht="0" hidden="1" customHeight="1" x14ac:dyDescent="0.25"/>
    <row r="514" ht="0" hidden="1" customHeight="1" x14ac:dyDescent="0.25"/>
    <row r="515" ht="0" hidden="1" customHeight="1" x14ac:dyDescent="0.25"/>
    <row r="516" ht="0" hidden="1" customHeight="1" x14ac:dyDescent="0.25"/>
    <row r="517" ht="0" hidden="1" customHeight="1" x14ac:dyDescent="0.25"/>
    <row r="518" ht="0" hidden="1" customHeight="1" x14ac:dyDescent="0.25"/>
    <row r="519" ht="0" hidden="1" customHeight="1" x14ac:dyDescent="0.25"/>
    <row r="520" ht="0" hidden="1" customHeight="1" x14ac:dyDescent="0.25"/>
    <row r="521" ht="0" hidden="1" customHeight="1" x14ac:dyDescent="0.25"/>
    <row r="522" ht="0" hidden="1" customHeight="1" x14ac:dyDescent="0.25"/>
    <row r="523" ht="0" hidden="1" customHeight="1" x14ac:dyDescent="0.25"/>
    <row r="524" ht="0" hidden="1" customHeight="1" x14ac:dyDescent="0.25"/>
    <row r="525" ht="0" hidden="1" customHeight="1" x14ac:dyDescent="0.25"/>
    <row r="526" ht="0" hidden="1" customHeight="1" x14ac:dyDescent="0.25"/>
    <row r="527" ht="0" hidden="1" customHeight="1" x14ac:dyDescent="0.25"/>
    <row r="528" ht="0" hidden="1" customHeight="1" x14ac:dyDescent="0.25"/>
    <row r="529" ht="0" hidden="1" customHeight="1" x14ac:dyDescent="0.25"/>
    <row r="530" ht="0" hidden="1" customHeight="1" x14ac:dyDescent="0.25"/>
    <row r="531" ht="0" hidden="1" customHeight="1" x14ac:dyDescent="0.25"/>
    <row r="532" ht="0" hidden="1" customHeight="1" x14ac:dyDescent="0.25"/>
    <row r="533" ht="0" hidden="1" customHeight="1" x14ac:dyDescent="0.25"/>
    <row r="534" ht="0" hidden="1" customHeight="1" x14ac:dyDescent="0.25"/>
    <row r="535" ht="0" hidden="1" customHeight="1" x14ac:dyDescent="0.25"/>
    <row r="536" ht="0" hidden="1" customHeight="1" x14ac:dyDescent="0.25"/>
    <row r="537" ht="0" hidden="1" customHeight="1" x14ac:dyDescent="0.25"/>
    <row r="538" ht="0" hidden="1" customHeight="1" x14ac:dyDescent="0.25"/>
    <row r="539" ht="0" hidden="1" customHeight="1" x14ac:dyDescent="0.25"/>
    <row r="540" ht="0" hidden="1" customHeight="1" x14ac:dyDescent="0.25"/>
    <row r="541" ht="0" hidden="1" customHeight="1" x14ac:dyDescent="0.25"/>
    <row r="542" ht="0" hidden="1" customHeight="1" x14ac:dyDescent="0.25"/>
    <row r="543" ht="0" hidden="1" customHeight="1" x14ac:dyDescent="0.25"/>
    <row r="544" ht="0" hidden="1" customHeight="1" x14ac:dyDescent="0.25"/>
    <row r="545" ht="0" hidden="1" customHeight="1" x14ac:dyDescent="0.25"/>
    <row r="546" ht="0" hidden="1" customHeight="1" x14ac:dyDescent="0.25"/>
    <row r="547" ht="0" hidden="1" customHeight="1" x14ac:dyDescent="0.25"/>
    <row r="548" ht="0" hidden="1" customHeight="1" x14ac:dyDescent="0.25"/>
    <row r="549" ht="0" hidden="1" customHeight="1" x14ac:dyDescent="0.25"/>
    <row r="550" ht="0" hidden="1" customHeight="1" x14ac:dyDescent="0.25"/>
    <row r="551" ht="0" hidden="1" customHeight="1" x14ac:dyDescent="0.25"/>
    <row r="552" ht="0" hidden="1" customHeight="1" x14ac:dyDescent="0.25"/>
    <row r="553" ht="0" hidden="1" customHeight="1" x14ac:dyDescent="0.25"/>
    <row r="554" ht="0" hidden="1" customHeight="1" x14ac:dyDescent="0.25"/>
    <row r="555" ht="0" hidden="1" customHeight="1" x14ac:dyDescent="0.25"/>
    <row r="556" ht="0" hidden="1" customHeight="1" x14ac:dyDescent="0.25"/>
  </sheetData>
  <sheetProtection formatCells="0" formatColumns="0" formatRows="0" insertColumns="0" insertRows="0" insertHyperlinks="0" deleteColumns="0" deleteRows="0" sort="0" autoFilter="0" pivotTables="0"/>
  <conditionalFormatting sqref="D5">
    <cfRule type="cellIs" dxfId="7" priority="4" operator="equal">
      <formula>0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A36772-16C8-4427-B5FB-4F3D4BCD48DD}">
            <xm:f>$L$105&lt;&gt;'GCs Detail'!$J$2:$K$2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L105</xm:sqref>
        </x14:conditionalFormatting>
        <x14:conditionalFormatting xmlns:xm="http://schemas.microsoft.com/office/excel/2006/main">
          <x14:cfRule type="expression" priority="2" id="{C902A3B1-F93A-4AB6-98C9-B60A5E8BC07E}">
            <xm:f>$L$105&lt;&gt;'GCs Detail'!$J$2:$K$2</xm:f>
            <x14:dxf>
              <font>
                <b/>
                <i/>
                <color rgb="FFFF0000"/>
              </font>
            </x14:dxf>
          </x14:cfRule>
          <xm:sqref>K106</xm:sqref>
        </x14:conditionalFormatting>
        <x14:conditionalFormatting xmlns:xm="http://schemas.microsoft.com/office/excel/2006/main">
          <x14:cfRule type="expression" priority="1" id="{06912F96-D668-45BD-9914-85C64A638CF4}">
            <xm:f>$L$105&lt;&gt;'GCs Detail'!$J$2:$K$2</xm:f>
            <x14:dxf>
              <font>
                <b/>
                <i/>
                <color rgb="FFFF0000"/>
              </font>
            </x14:dxf>
          </x14:cfRule>
          <xm:sqref>L106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5D38-E32D-4FB1-97FB-0DDFFDE8FA3B}">
  <sheetPr codeName="Sheet4"/>
  <dimension ref="A1:N1074"/>
  <sheetViews>
    <sheetView topLeftCell="D4" zoomScale="85" zoomScaleNormal="85" workbookViewId="0">
      <selection activeCell="D4" sqref="D4:E4"/>
    </sheetView>
  </sheetViews>
  <sheetFormatPr defaultColWidth="0" defaultRowHeight="15" zeroHeight="1" x14ac:dyDescent="0.25"/>
  <cols>
    <col min="1" max="1" width="1.7109375" style="493" hidden="1" customWidth="1"/>
    <col min="2" max="2" width="29.7109375" style="493" hidden="1" customWidth="1"/>
    <col min="3" max="3" width="2.28515625" style="493" hidden="1" customWidth="1"/>
    <col min="4" max="4" width="4.85546875" style="585" customWidth="1"/>
    <col min="5" max="5" width="33.28515625" style="585" customWidth="1"/>
    <col min="6" max="6" width="25.7109375" style="585" customWidth="1"/>
    <col min="7" max="8" width="1.85546875" style="585" customWidth="1"/>
    <col min="9" max="9" width="19.7109375" style="585" customWidth="1"/>
    <col min="10" max="10" width="17.28515625" style="585" bestFit="1" customWidth="1"/>
    <col min="11" max="11" width="9" style="585" bestFit="1" customWidth="1"/>
    <col min="12" max="12" width="26.7109375" style="585" bestFit="1" customWidth="1"/>
    <col min="13" max="13" width="4.28515625" style="585" customWidth="1"/>
    <col min="14" max="14" width="18.28515625" style="493" hidden="1" customWidth="1"/>
    <col min="15" max="16384" width="0" style="499" hidden="1"/>
  </cols>
  <sheetData>
    <row r="1" spans="2:14" ht="41.45" hidden="1" customHeight="1" x14ac:dyDescent="0.25">
      <c r="B1" s="548"/>
      <c r="C1" s="548"/>
      <c r="D1" s="549"/>
      <c r="E1" s="550"/>
      <c r="F1" s="550"/>
      <c r="G1" s="550"/>
      <c r="H1" s="550"/>
      <c r="I1" s="550"/>
      <c r="J1" s="550"/>
      <c r="K1" s="550"/>
      <c r="L1" s="550"/>
      <c r="M1" s="550"/>
      <c r="N1" s="548"/>
    </row>
    <row r="2" spans="2:14" ht="6.6" hidden="1" customHeight="1" x14ac:dyDescent="0.25">
      <c r="D2" s="551"/>
      <c r="E2" s="552"/>
      <c r="F2" s="552"/>
      <c r="G2" s="552"/>
      <c r="H2" s="552"/>
      <c r="I2" s="552"/>
      <c r="J2" s="552"/>
      <c r="K2" s="552"/>
      <c r="L2" s="552"/>
      <c r="M2" s="552"/>
    </row>
    <row r="3" spans="2:14" ht="6.6" hidden="1" customHeight="1" thickBot="1" x14ac:dyDescent="0.3">
      <c r="D3" s="553"/>
      <c r="E3" s="554"/>
      <c r="F3" s="554"/>
      <c r="G3" s="554"/>
      <c r="H3" s="554"/>
      <c r="I3" s="554"/>
      <c r="J3" s="554"/>
      <c r="K3" s="554"/>
      <c r="L3" s="554"/>
      <c r="M3" s="554"/>
    </row>
    <row r="4" spans="2:14" ht="24.6" customHeight="1" x14ac:dyDescent="0.25">
      <c r="C4" s="494"/>
      <c r="D4" s="555"/>
      <c r="E4" s="556"/>
      <c r="F4" s="556"/>
      <c r="G4" s="556"/>
      <c r="H4" s="556"/>
      <c r="I4" s="556"/>
      <c r="J4" s="556"/>
      <c r="K4" s="556"/>
      <c r="L4" s="556"/>
      <c r="M4" s="556"/>
      <c r="N4" s="498"/>
    </row>
    <row r="5" spans="2:14" ht="19.5" x14ac:dyDescent="0.25">
      <c r="C5" s="494"/>
      <c r="D5" s="557">
        <f>Settings!D4</f>
        <v>0</v>
      </c>
      <c r="E5" s="558"/>
      <c r="F5" s="558"/>
      <c r="G5" s="558"/>
      <c r="H5" s="558"/>
      <c r="I5" s="558"/>
      <c r="J5" s="558"/>
      <c r="K5" s="558"/>
      <c r="L5" s="558"/>
      <c r="M5" s="558"/>
      <c r="N5" s="498"/>
    </row>
    <row r="6" spans="2:14" ht="19.5" x14ac:dyDescent="0.25">
      <c r="C6" s="494"/>
      <c r="D6" s="559" t="s">
        <v>376</v>
      </c>
      <c r="E6" s="560"/>
      <c r="F6" s="560"/>
      <c r="G6" s="561"/>
      <c r="H6" s="561"/>
      <c r="I6" s="561"/>
      <c r="J6" s="561"/>
      <c r="K6" s="561"/>
      <c r="L6" s="561"/>
      <c r="M6" s="561"/>
      <c r="N6" s="498"/>
    </row>
    <row r="7" spans="2:14" ht="15.75" x14ac:dyDescent="0.25">
      <c r="C7" s="494"/>
      <c r="D7" s="562"/>
      <c r="E7" s="562"/>
      <c r="F7" s="562"/>
      <c r="G7" s="562"/>
      <c r="H7" s="562"/>
      <c r="I7" s="562"/>
      <c r="J7" s="562"/>
      <c r="K7" s="562"/>
      <c r="L7" s="563">
        <f ca="1">Settings!\date</f>
        <v>43325.689186226853</v>
      </c>
      <c r="M7" s="564"/>
      <c r="N7" s="498"/>
    </row>
    <row r="8" spans="2:14" ht="36.6" customHeight="1" x14ac:dyDescent="0.25">
      <c r="C8" s="494"/>
      <c r="D8" s="562"/>
      <c r="E8" s="562"/>
      <c r="F8" s="562"/>
      <c r="G8" s="562"/>
      <c r="H8" s="562"/>
      <c r="I8" s="562"/>
      <c r="J8" s="562"/>
      <c r="K8" s="562"/>
      <c r="L8" s="565"/>
      <c r="M8" s="565"/>
      <c r="N8" s="498"/>
    </row>
    <row r="9" spans="2:14" ht="25.9" customHeight="1" x14ac:dyDescent="0.25">
      <c r="C9" s="494"/>
      <c r="D9" s="562"/>
      <c r="E9" s="562"/>
      <c r="F9" s="562"/>
      <c r="G9" s="562"/>
      <c r="H9" s="562"/>
      <c r="I9" s="586" t="s">
        <v>498</v>
      </c>
      <c r="J9" s="587" t="s">
        <v>390</v>
      </c>
      <c r="K9" s="586" t="s">
        <v>377</v>
      </c>
      <c r="L9" s="588" t="s">
        <v>497</v>
      </c>
      <c r="M9" s="565"/>
      <c r="N9" s="498"/>
    </row>
    <row r="10" spans="2:14" ht="6" customHeight="1" x14ac:dyDescent="0.25">
      <c r="C10" s="494"/>
      <c r="D10" s="562"/>
      <c r="E10" s="562"/>
      <c r="F10" s="562"/>
      <c r="G10" s="562"/>
      <c r="H10" s="562"/>
      <c r="I10" s="562"/>
      <c r="J10" s="562"/>
      <c r="K10" s="562"/>
      <c r="L10" s="565"/>
      <c r="M10" s="565"/>
      <c r="N10" s="498"/>
    </row>
    <row r="11" spans="2:14" ht="21" customHeight="1" x14ac:dyDescent="0.25">
      <c r="C11" s="494"/>
      <c r="D11" s="62"/>
      <c r="E11" s="63" t="str">
        <f>'GRs Detail'!$E9</f>
        <v>REPROGRAPHICS</v>
      </c>
      <c r="F11" s="500"/>
      <c r="G11" s="479"/>
      <c r="H11" s="479"/>
      <c r="I11" s="480">
        <f>'GRs Detail'!$J9</f>
        <v>0</v>
      </c>
      <c r="J11" s="481">
        <f>'GRs Detail'!$H9</f>
        <v>0</v>
      </c>
      <c r="K11" s="482">
        <f>'GRs Detail'!$I9</f>
        <v>0</v>
      </c>
      <c r="L11" s="483">
        <f t="shared" ref="L11:L74" si="0">$I11*$J11</f>
        <v>0</v>
      </c>
      <c r="M11" s="72"/>
      <c r="N11" s="498"/>
    </row>
    <row r="12" spans="2:14" ht="21" customHeight="1" x14ac:dyDescent="0.25">
      <c r="C12" s="494"/>
      <c r="D12" s="62"/>
      <c r="E12" s="69" t="str">
        <f>'GRs Detail'!$E10</f>
        <v>Pre-Construction</v>
      </c>
      <c r="F12" s="69"/>
      <c r="G12" s="70"/>
      <c r="H12" s="80"/>
      <c r="I12" s="71">
        <f>'GRs Detail'!$J10</f>
        <v>0</v>
      </c>
      <c r="J12" s="81">
        <f>'GRs Detail'!$H10</f>
        <v>1</v>
      </c>
      <c r="K12" s="82" t="str">
        <f>'GRs Detail'!$I10</f>
        <v>lsum</v>
      </c>
      <c r="L12" s="73">
        <f t="shared" si="0"/>
        <v>0</v>
      </c>
      <c r="M12" s="72"/>
      <c r="N12" s="498"/>
    </row>
    <row r="13" spans="2:14" ht="21" customHeight="1" x14ac:dyDescent="0.25">
      <c r="C13" s="494"/>
      <c r="D13" s="62"/>
      <c r="E13" s="69" t="str">
        <f>'GRs Detail'!$E11</f>
        <v>Construction</v>
      </c>
      <c r="F13" s="69"/>
      <c r="G13" s="70"/>
      <c r="H13" s="80"/>
      <c r="I13" s="71">
        <f>'GRs Detail'!$J11</f>
        <v>0</v>
      </c>
      <c r="J13" s="81">
        <f>'GRs Detail'!$H11</f>
        <v>1</v>
      </c>
      <c r="K13" s="82" t="str">
        <f>'GRs Detail'!$I11</f>
        <v>lsum</v>
      </c>
      <c r="L13" s="73">
        <f t="shared" si="0"/>
        <v>0</v>
      </c>
      <c r="M13" s="72"/>
      <c r="N13" s="498"/>
    </row>
    <row r="14" spans="2:14" ht="21" customHeight="1" x14ac:dyDescent="0.25">
      <c r="C14" s="494"/>
      <c r="D14" s="62"/>
      <c r="E14" s="478">
        <f>'GRs Detail'!$E12</f>
        <v>0</v>
      </c>
      <c r="F14" s="478"/>
      <c r="G14" s="479"/>
      <c r="H14" s="479"/>
      <c r="I14" s="480">
        <f>'GRs Detail'!$J12</f>
        <v>0</v>
      </c>
      <c r="J14" s="481">
        <f>'GRs Detail'!$H12</f>
        <v>0</v>
      </c>
      <c r="K14" s="482">
        <f>'GRs Detail'!$I12</f>
        <v>0</v>
      </c>
      <c r="L14" s="483">
        <f t="shared" si="0"/>
        <v>0</v>
      </c>
      <c r="M14" s="72"/>
      <c r="N14" s="498"/>
    </row>
    <row r="15" spans="2:14" ht="21" customHeight="1" x14ac:dyDescent="0.25">
      <c r="C15" s="494"/>
      <c r="D15" s="62"/>
      <c r="E15" s="63" t="str">
        <f>'GRs Detail'!$E13</f>
        <v>POSTAGE &amp; COURIER</v>
      </c>
      <c r="F15" s="500"/>
      <c r="G15" s="479"/>
      <c r="H15" s="479"/>
      <c r="I15" s="480">
        <f>'GRs Detail'!$J13</f>
        <v>0</v>
      </c>
      <c r="J15" s="481">
        <f>'GRs Detail'!$H13</f>
        <v>0</v>
      </c>
      <c r="K15" s="482">
        <f>'GRs Detail'!$I13</f>
        <v>0</v>
      </c>
      <c r="L15" s="483">
        <f t="shared" si="0"/>
        <v>0</v>
      </c>
      <c r="M15" s="72"/>
      <c r="N15" s="498"/>
    </row>
    <row r="16" spans="2:14" ht="21" customHeight="1" x14ac:dyDescent="0.25">
      <c r="C16" s="494"/>
      <c r="D16" s="62"/>
      <c r="E16" s="69" t="str">
        <f>'GRs Detail'!$E14</f>
        <v>Pre-Construction</v>
      </c>
      <c r="F16" s="69"/>
      <c r="G16" s="70"/>
      <c r="H16" s="80"/>
      <c r="I16" s="71">
        <f>'GRs Detail'!$J14</f>
        <v>0</v>
      </c>
      <c r="J16" s="81">
        <f>'GRs Detail'!$H14</f>
        <v>1</v>
      </c>
      <c r="K16" s="82" t="str">
        <f>'GRs Detail'!$I14</f>
        <v>lsum</v>
      </c>
      <c r="L16" s="73">
        <f t="shared" si="0"/>
        <v>0</v>
      </c>
      <c r="M16" s="72"/>
      <c r="N16" s="498"/>
    </row>
    <row r="17" spans="3:14" ht="21" customHeight="1" x14ac:dyDescent="0.25">
      <c r="C17" s="494"/>
      <c r="D17" s="62"/>
      <c r="E17" s="69" t="str">
        <f>'GRs Detail'!$E15</f>
        <v>Construction</v>
      </c>
      <c r="F17" s="69"/>
      <c r="G17" s="70"/>
      <c r="H17" s="80"/>
      <c r="I17" s="71">
        <f>'GRs Detail'!$J15</f>
        <v>0</v>
      </c>
      <c r="J17" s="81">
        <f>'GRs Detail'!$H15</f>
        <v>1</v>
      </c>
      <c r="K17" s="82" t="str">
        <f>'GRs Detail'!$I15</f>
        <v>lsum</v>
      </c>
      <c r="L17" s="73">
        <f t="shared" si="0"/>
        <v>0</v>
      </c>
      <c r="M17" s="72"/>
      <c r="N17" s="498"/>
    </row>
    <row r="18" spans="3:14" ht="21" customHeight="1" x14ac:dyDescent="0.25">
      <c r="C18" s="494"/>
      <c r="D18" s="62"/>
      <c r="E18" s="478">
        <f>'GRs Detail'!$E16</f>
        <v>0</v>
      </c>
      <c r="F18" s="478"/>
      <c r="G18" s="479"/>
      <c r="H18" s="479"/>
      <c r="I18" s="480">
        <f>'GRs Detail'!$J16</f>
        <v>0</v>
      </c>
      <c r="J18" s="481">
        <f>'GRs Detail'!$H16</f>
        <v>0</v>
      </c>
      <c r="K18" s="482">
        <f>'GRs Detail'!$I16</f>
        <v>0</v>
      </c>
      <c r="L18" s="483">
        <f t="shared" si="0"/>
        <v>0</v>
      </c>
      <c r="M18" s="72"/>
      <c r="N18" s="498"/>
    </row>
    <row r="19" spans="3:14" ht="21" customHeight="1" x14ac:dyDescent="0.25">
      <c r="C19" s="494"/>
      <c r="D19" s="62"/>
      <c r="E19" s="63" t="str">
        <f>'GRs Detail'!$E17</f>
        <v>EXPLORITORY &amp; SURVEYING SERVICES</v>
      </c>
      <c r="F19" s="500"/>
      <c r="G19" s="479"/>
      <c r="H19" s="479"/>
      <c r="I19" s="480">
        <f>'GRs Detail'!$J17</f>
        <v>0</v>
      </c>
      <c r="J19" s="481">
        <f>'GRs Detail'!$H17</f>
        <v>0</v>
      </c>
      <c r="K19" s="482">
        <f>'GRs Detail'!$I17</f>
        <v>0</v>
      </c>
      <c r="L19" s="483">
        <f t="shared" si="0"/>
        <v>0</v>
      </c>
      <c r="M19" s="72"/>
      <c r="N19" s="498"/>
    </row>
    <row r="20" spans="3:14" ht="21" customHeight="1" x14ac:dyDescent="0.25">
      <c r="C20" s="494"/>
      <c r="D20" s="62"/>
      <c r="E20" s="69" t="str">
        <f>'GRs Detail'!$E18</f>
        <v>Exploratory Investigations</v>
      </c>
      <c r="F20" s="69"/>
      <c r="G20" s="70"/>
      <c r="H20" s="80"/>
      <c r="I20" s="71">
        <f>'GRs Detail'!$J18</f>
        <v>0</v>
      </c>
      <c r="J20" s="81">
        <f>'GRs Detail'!$H18</f>
        <v>1</v>
      </c>
      <c r="K20" s="82" t="str">
        <f>'GRs Detail'!$I18</f>
        <v>lsum</v>
      </c>
      <c r="L20" s="73">
        <f t="shared" si="0"/>
        <v>0</v>
      </c>
      <c r="M20" s="72"/>
      <c r="N20" s="498"/>
    </row>
    <row r="21" spans="3:14" ht="21" customHeight="1" x14ac:dyDescent="0.25">
      <c r="C21" s="494"/>
      <c r="D21" s="62"/>
      <c r="E21" s="69" t="str">
        <f>'GRs Detail'!$E19</f>
        <v>Surveying Equipment</v>
      </c>
      <c r="F21" s="69"/>
      <c r="G21" s="70"/>
      <c r="H21" s="80"/>
      <c r="I21" s="71">
        <f>'GRs Detail'!$J19</f>
        <v>0</v>
      </c>
      <c r="J21" s="81">
        <f>'GRs Detail'!$H19</f>
        <v>1</v>
      </c>
      <c r="K21" s="82" t="str">
        <f>'GRs Detail'!$I19</f>
        <v>lsum</v>
      </c>
      <c r="L21" s="73">
        <f t="shared" si="0"/>
        <v>0</v>
      </c>
      <c r="M21" s="72"/>
      <c r="N21" s="498"/>
    </row>
    <row r="22" spans="3:14" ht="21" customHeight="1" x14ac:dyDescent="0.25">
      <c r="C22" s="494"/>
      <c r="D22" s="62"/>
      <c r="E22" s="69" t="str">
        <f>'GRs Detail'!$E20</f>
        <v>Surveying Services</v>
      </c>
      <c r="F22" s="69"/>
      <c r="G22" s="70"/>
      <c r="H22" s="80"/>
      <c r="I22" s="71">
        <f>'GRs Detail'!$J20</f>
        <v>1600</v>
      </c>
      <c r="J22" s="81">
        <f>'GRs Detail'!$H20</f>
        <v>0</v>
      </c>
      <c r="K22" s="82" t="str">
        <f>'GRs Detail'!$I20</f>
        <v>day</v>
      </c>
      <c r="L22" s="73">
        <f t="shared" si="0"/>
        <v>0</v>
      </c>
      <c r="M22" s="72"/>
      <c r="N22" s="498"/>
    </row>
    <row r="23" spans="3:14" ht="21" customHeight="1" x14ac:dyDescent="0.25">
      <c r="C23" s="494"/>
      <c r="D23" s="62"/>
      <c r="E23" s="69" t="str">
        <f>'GRs Detail'!$E21</f>
        <v>Survey Exist. Cond. / As-Builts</v>
      </c>
      <c r="F23" s="69"/>
      <c r="G23" s="70"/>
      <c r="H23" s="80"/>
      <c r="I23" s="71">
        <f>'GRs Detail'!$J21</f>
        <v>0</v>
      </c>
      <c r="J23" s="81">
        <f>'GRs Detail'!$H21</f>
        <v>1</v>
      </c>
      <c r="K23" s="82" t="str">
        <f>'GRs Detail'!$I21</f>
        <v>lsum</v>
      </c>
      <c r="L23" s="73">
        <f t="shared" si="0"/>
        <v>0</v>
      </c>
      <c r="M23" s="72"/>
      <c r="N23" s="498"/>
    </row>
    <row r="24" spans="3:14" ht="21" customHeight="1" x14ac:dyDescent="0.25">
      <c r="C24" s="494"/>
      <c r="D24" s="62"/>
      <c r="E24" s="478">
        <f>'GRs Detail'!$E22</f>
        <v>0</v>
      </c>
      <c r="F24" s="478"/>
      <c r="G24" s="479"/>
      <c r="H24" s="479"/>
      <c r="I24" s="480">
        <f>'GRs Detail'!$J22</f>
        <v>0</v>
      </c>
      <c r="J24" s="481">
        <f>'GRs Detail'!$H22</f>
        <v>0</v>
      </c>
      <c r="K24" s="482">
        <f>'GRs Detail'!$I22</f>
        <v>0</v>
      </c>
      <c r="L24" s="483">
        <f t="shared" si="0"/>
        <v>0</v>
      </c>
      <c r="M24" s="72"/>
      <c r="N24" s="498"/>
    </row>
    <row r="25" spans="3:14" ht="21" customHeight="1" x14ac:dyDescent="0.25">
      <c r="C25" s="494"/>
      <c r="D25" s="62"/>
      <c r="E25" s="63" t="str">
        <f>'GRs Detail'!$E23</f>
        <v>CONSTRUCTION PARKING &amp; TRANSPORTATION</v>
      </c>
      <c r="F25" s="500"/>
      <c r="G25" s="479"/>
      <c r="H25" s="479"/>
      <c r="I25" s="480">
        <f>'GRs Detail'!$J23</f>
        <v>0</v>
      </c>
      <c r="J25" s="481">
        <f>'GRs Detail'!$H23</f>
        <v>0</v>
      </c>
      <c r="K25" s="482">
        <f>'GRs Detail'!$I23</f>
        <v>0</v>
      </c>
      <c r="L25" s="483">
        <f t="shared" si="0"/>
        <v>0</v>
      </c>
      <c r="M25" s="72"/>
      <c r="N25" s="498"/>
    </row>
    <row r="26" spans="3:14" ht="21" customHeight="1" x14ac:dyDescent="0.25">
      <c r="C26" s="494"/>
      <c r="D26" s="62"/>
      <c r="E26" s="69" t="str">
        <f>'GRs Detail'!$E24</f>
        <v>Rental of Offsite Parking Lot</v>
      </c>
      <c r="F26" s="69"/>
      <c r="G26" s="70"/>
      <c r="H26" s="80"/>
      <c r="I26" s="71">
        <f>'GRs Detail'!$J24</f>
        <v>0</v>
      </c>
      <c r="J26" s="81">
        <f>'GRs Detail'!$H24</f>
        <v>1</v>
      </c>
      <c r="K26" s="82" t="str">
        <f>'GRs Detail'!$I24</f>
        <v>lsum</v>
      </c>
      <c r="L26" s="73">
        <f t="shared" si="0"/>
        <v>0</v>
      </c>
      <c r="M26" s="72"/>
      <c r="N26" s="498"/>
    </row>
    <row r="27" spans="3:14" ht="21" customHeight="1" x14ac:dyDescent="0.25">
      <c r="C27" s="494"/>
      <c r="D27" s="62"/>
      <c r="E27" s="69" t="str">
        <f>'GRs Detail'!$E25</f>
        <v>Parking Shuttle Van</v>
      </c>
      <c r="F27" s="69"/>
      <c r="G27" s="70"/>
      <c r="H27" s="80"/>
      <c r="I27" s="71">
        <f>'GRs Detail'!$J25</f>
        <v>0</v>
      </c>
      <c r="J27" s="81">
        <f>'GRs Detail'!$H25</f>
        <v>1</v>
      </c>
      <c r="K27" s="82" t="str">
        <f>'GRs Detail'!$I25</f>
        <v>lsum</v>
      </c>
      <c r="L27" s="73">
        <f t="shared" si="0"/>
        <v>0</v>
      </c>
      <c r="M27" s="72"/>
      <c r="N27" s="498"/>
    </row>
    <row r="28" spans="3:14" ht="21" customHeight="1" x14ac:dyDescent="0.25">
      <c r="C28" s="494"/>
      <c r="D28" s="62"/>
      <c r="E28" s="69" t="str">
        <f>'GRs Detail'!$E26</f>
        <v>Parking Shuttle Van Driver</v>
      </c>
      <c r="F28" s="69"/>
      <c r="G28" s="70"/>
      <c r="H28" s="80"/>
      <c r="I28" s="71">
        <f>'GRs Detail'!$J26</f>
        <v>280</v>
      </c>
      <c r="J28" s="81">
        <f>'GRs Detail'!$H26</f>
        <v>0</v>
      </c>
      <c r="K28" s="82" t="str">
        <f>'GRs Detail'!$I26</f>
        <v>day</v>
      </c>
      <c r="L28" s="73">
        <f t="shared" si="0"/>
        <v>0</v>
      </c>
      <c r="M28" s="72"/>
      <c r="N28" s="498"/>
    </row>
    <row r="29" spans="3:14" ht="21" customHeight="1" x14ac:dyDescent="0.25">
      <c r="C29" s="494"/>
      <c r="D29" s="62"/>
      <c r="E29" s="478">
        <f>'GRs Detail'!$E27</f>
        <v>0</v>
      </c>
      <c r="F29" s="478"/>
      <c r="G29" s="479"/>
      <c r="H29" s="479"/>
      <c r="I29" s="480">
        <f>'GRs Detail'!$J27</f>
        <v>0</v>
      </c>
      <c r="J29" s="481">
        <f>'GRs Detail'!$H27</f>
        <v>0</v>
      </c>
      <c r="K29" s="482">
        <f>'GRs Detail'!$I27</f>
        <v>0</v>
      </c>
      <c r="L29" s="483">
        <f t="shared" si="0"/>
        <v>0</v>
      </c>
      <c r="M29" s="72"/>
      <c r="N29" s="498"/>
    </row>
    <row r="30" spans="3:14" ht="21" customHeight="1" x14ac:dyDescent="0.25">
      <c r="C30" s="494"/>
      <c r="D30" s="62"/>
      <c r="E30" s="63" t="str">
        <f>'GRs Detail'!$E28</f>
        <v>CONSULTING SERVICES</v>
      </c>
      <c r="F30" s="500"/>
      <c r="G30" s="479"/>
      <c r="H30" s="479"/>
      <c r="I30" s="480">
        <f>'GRs Detail'!$J28</f>
        <v>0</v>
      </c>
      <c r="J30" s="481">
        <f>'GRs Detail'!$H28</f>
        <v>0</v>
      </c>
      <c r="K30" s="482">
        <f>'GRs Detail'!$I28</f>
        <v>0</v>
      </c>
      <c r="L30" s="483">
        <f t="shared" si="0"/>
        <v>0</v>
      </c>
      <c r="M30" s="72"/>
      <c r="N30" s="498"/>
    </row>
    <row r="31" spans="3:14" ht="21" customHeight="1" x14ac:dyDescent="0.25">
      <c r="C31" s="494"/>
      <c r="D31" s="62"/>
      <c r="E31" s="69" t="str">
        <f>'GRs Detail'!$E29</f>
        <v>Misc. Consulting Services</v>
      </c>
      <c r="F31" s="69"/>
      <c r="G31" s="70"/>
      <c r="H31" s="80"/>
      <c r="I31" s="71">
        <f>'GRs Detail'!$J29</f>
        <v>0</v>
      </c>
      <c r="J31" s="81">
        <f>'GRs Detail'!$H29</f>
        <v>1</v>
      </c>
      <c r="K31" s="82" t="str">
        <f>'GRs Detail'!$I29</f>
        <v>lsum</v>
      </c>
      <c r="L31" s="73">
        <f t="shared" si="0"/>
        <v>0</v>
      </c>
      <c r="M31" s="72"/>
      <c r="N31" s="498"/>
    </row>
    <row r="32" spans="3:14" ht="21" customHeight="1" x14ac:dyDescent="0.25">
      <c r="C32" s="494"/>
      <c r="D32" s="62"/>
      <c r="E32" s="69" t="str">
        <f>'GRs Detail'!$E30</f>
        <v>Envelope Consulting Services</v>
      </c>
      <c r="F32" s="69"/>
      <c r="G32" s="70"/>
      <c r="H32" s="80"/>
      <c r="I32" s="71">
        <f>'GRs Detail'!$J30</f>
        <v>0</v>
      </c>
      <c r="J32" s="81">
        <f>'GRs Detail'!$H30</f>
        <v>1</v>
      </c>
      <c r="K32" s="82" t="str">
        <f>'GRs Detail'!$I30</f>
        <v>lsum</v>
      </c>
      <c r="L32" s="73">
        <f t="shared" si="0"/>
        <v>0</v>
      </c>
      <c r="M32" s="72"/>
      <c r="N32" s="498"/>
    </row>
    <row r="33" spans="3:14" ht="21" customHeight="1" x14ac:dyDescent="0.25">
      <c r="C33" s="494"/>
      <c r="D33" s="62"/>
      <c r="E33" s="69" t="str">
        <f>'GRs Detail'!$E31</f>
        <v>Structural Consulting Services</v>
      </c>
      <c r="F33" s="69"/>
      <c r="G33" s="70"/>
      <c r="H33" s="80"/>
      <c r="I33" s="71">
        <f>'GRs Detail'!$J31</f>
        <v>0</v>
      </c>
      <c r="J33" s="81">
        <f>'GRs Detail'!$H31</f>
        <v>1</v>
      </c>
      <c r="K33" s="82" t="str">
        <f>'GRs Detail'!$I31</f>
        <v>lsum</v>
      </c>
      <c r="L33" s="73">
        <f t="shared" si="0"/>
        <v>0</v>
      </c>
      <c r="M33" s="72"/>
      <c r="N33" s="498"/>
    </row>
    <row r="34" spans="3:14" ht="21" customHeight="1" x14ac:dyDescent="0.25">
      <c r="C34" s="494"/>
      <c r="D34" s="62"/>
      <c r="E34" s="69" t="str">
        <f>'GRs Detail'!$E32</f>
        <v>Equipment Consulting Services</v>
      </c>
      <c r="F34" s="69"/>
      <c r="G34" s="70"/>
      <c r="H34" s="80"/>
      <c r="I34" s="71">
        <f>'GRs Detail'!$J32</f>
        <v>0</v>
      </c>
      <c r="J34" s="81">
        <f>'GRs Detail'!$H32</f>
        <v>1</v>
      </c>
      <c r="K34" s="82" t="str">
        <f>'GRs Detail'!$I32</f>
        <v>lsum</v>
      </c>
      <c r="L34" s="73">
        <f t="shared" si="0"/>
        <v>0</v>
      </c>
      <c r="M34" s="72"/>
      <c r="N34" s="498"/>
    </row>
    <row r="35" spans="3:14" ht="21" customHeight="1" x14ac:dyDescent="0.25">
      <c r="C35" s="494"/>
      <c r="D35" s="62"/>
      <c r="E35" s="69" t="str">
        <f>'GRs Detail'!$E33</f>
        <v>Minority / HUB Consulting Services</v>
      </c>
      <c r="F35" s="69"/>
      <c r="G35" s="70"/>
      <c r="H35" s="80"/>
      <c r="I35" s="71">
        <f>'GRs Detail'!$J33</f>
        <v>0</v>
      </c>
      <c r="J35" s="81">
        <f>'GRs Detail'!$H33</f>
        <v>1</v>
      </c>
      <c r="K35" s="82" t="str">
        <f>'GRs Detail'!$I33</f>
        <v>lsum</v>
      </c>
      <c r="L35" s="73">
        <f t="shared" si="0"/>
        <v>0</v>
      </c>
      <c r="M35" s="72"/>
      <c r="N35" s="498"/>
    </row>
    <row r="36" spans="3:14" ht="21" customHeight="1" x14ac:dyDescent="0.25">
      <c r="C36" s="494"/>
      <c r="D36" s="62"/>
      <c r="E36" s="69" t="str">
        <f>'GRs Detail'!$E34</f>
        <v>LEED / Dallas Green Consulting Services</v>
      </c>
      <c r="F36" s="69"/>
      <c r="G36" s="70"/>
      <c r="H36" s="80"/>
      <c r="I36" s="71">
        <f>'GRs Detail'!$J34</f>
        <v>0</v>
      </c>
      <c r="J36" s="81">
        <f>'GRs Detail'!$H34</f>
        <v>1</v>
      </c>
      <c r="K36" s="82" t="str">
        <f>'GRs Detail'!$I34</f>
        <v>lsum</v>
      </c>
      <c r="L36" s="73">
        <f t="shared" si="0"/>
        <v>0</v>
      </c>
      <c r="M36" s="72"/>
      <c r="N36" s="498"/>
    </row>
    <row r="37" spans="3:14" ht="21" customHeight="1" x14ac:dyDescent="0.25">
      <c r="C37" s="494"/>
      <c r="D37" s="62"/>
      <c r="E37" s="69" t="str">
        <f>'GRs Detail'!$E35</f>
        <v>Legal Services</v>
      </c>
      <c r="F37" s="69"/>
      <c r="G37" s="70"/>
      <c r="H37" s="80"/>
      <c r="I37" s="71">
        <f>'GRs Detail'!$J35</f>
        <v>0</v>
      </c>
      <c r="J37" s="81">
        <f>'GRs Detail'!$H35</f>
        <v>1</v>
      </c>
      <c r="K37" s="82" t="str">
        <f>'GRs Detail'!$I35</f>
        <v>lsum</v>
      </c>
      <c r="L37" s="73">
        <f t="shared" si="0"/>
        <v>0</v>
      </c>
      <c r="M37" s="72"/>
      <c r="N37" s="498"/>
    </row>
    <row r="38" spans="3:14" ht="21" customHeight="1" x14ac:dyDescent="0.25">
      <c r="C38" s="494"/>
      <c r="D38" s="62"/>
      <c r="E38" s="69" t="str">
        <f>'GRs Detail'!$E36</f>
        <v>Smoke Control</v>
      </c>
      <c r="F38" s="69"/>
      <c r="G38" s="70"/>
      <c r="H38" s="80"/>
      <c r="I38" s="71">
        <f>'GRs Detail'!$J36</f>
        <v>0</v>
      </c>
      <c r="J38" s="81">
        <f>'GRs Detail'!$H36</f>
        <v>1</v>
      </c>
      <c r="K38" s="82" t="str">
        <f>'GRs Detail'!$I36</f>
        <v>lsum</v>
      </c>
      <c r="L38" s="73">
        <f t="shared" si="0"/>
        <v>0</v>
      </c>
      <c r="M38" s="72"/>
      <c r="N38" s="498"/>
    </row>
    <row r="39" spans="3:14" ht="21" customHeight="1" x14ac:dyDescent="0.25">
      <c r="C39" s="494"/>
      <c r="D39" s="62"/>
      <c r="E39" s="69" t="str">
        <f>'GRs Detail'!$E37</f>
        <v>Small Business/Work Force Compliance Consultant</v>
      </c>
      <c r="F39" s="69"/>
      <c r="G39" s="70"/>
      <c r="H39" s="80"/>
      <c r="I39" s="71">
        <f>'GRs Detail'!$J37</f>
        <v>0</v>
      </c>
      <c r="J39" s="81">
        <f>'GRs Detail'!$H37</f>
        <v>1</v>
      </c>
      <c r="K39" s="82" t="str">
        <f>'GRs Detail'!$I37</f>
        <v>lsum</v>
      </c>
      <c r="L39" s="73">
        <f t="shared" si="0"/>
        <v>0</v>
      </c>
      <c r="M39" s="72"/>
      <c r="N39" s="498"/>
    </row>
    <row r="40" spans="3:14" ht="21" customHeight="1" x14ac:dyDescent="0.25">
      <c r="C40" s="494"/>
      <c r="D40" s="62"/>
      <c r="E40" s="69" t="str">
        <f>'GRs Detail'!$E38</f>
        <v>Lean Consulting Services</v>
      </c>
      <c r="F40" s="69"/>
      <c r="G40" s="70"/>
      <c r="H40" s="80"/>
      <c r="I40" s="71">
        <f>'GRs Detail'!$J38</f>
        <v>0</v>
      </c>
      <c r="J40" s="81">
        <f>'GRs Detail'!$H38</f>
        <v>1</v>
      </c>
      <c r="K40" s="82" t="str">
        <f>'GRs Detail'!$I38</f>
        <v>lsum</v>
      </c>
      <c r="L40" s="73">
        <f t="shared" si="0"/>
        <v>0</v>
      </c>
      <c r="M40" s="72"/>
      <c r="N40" s="498"/>
    </row>
    <row r="41" spans="3:14" ht="21" customHeight="1" x14ac:dyDescent="0.25">
      <c r="C41" s="494"/>
      <c r="D41" s="62"/>
      <c r="E41" s="69" t="str">
        <f>'GRs Detail'!$E39</f>
        <v>Partnering Session</v>
      </c>
      <c r="F41" s="69"/>
      <c r="G41" s="70"/>
      <c r="H41" s="80"/>
      <c r="I41" s="71">
        <f>'GRs Detail'!$J39</f>
        <v>0</v>
      </c>
      <c r="J41" s="81">
        <f>'GRs Detail'!$H39</f>
        <v>1</v>
      </c>
      <c r="K41" s="82" t="str">
        <f>'GRs Detail'!$I39</f>
        <v>lsum</v>
      </c>
      <c r="L41" s="73">
        <f t="shared" si="0"/>
        <v>0</v>
      </c>
      <c r="M41" s="72"/>
      <c r="N41" s="498"/>
    </row>
    <row r="42" spans="3:14" ht="21" customHeight="1" x14ac:dyDescent="0.25">
      <c r="C42" s="494"/>
      <c r="D42" s="62"/>
      <c r="E42" s="478">
        <f>'GRs Detail'!$E40</f>
        <v>0</v>
      </c>
      <c r="F42" s="478"/>
      <c r="G42" s="479"/>
      <c r="H42" s="479"/>
      <c r="I42" s="480">
        <f>'GRs Detail'!$J40</f>
        <v>0</v>
      </c>
      <c r="J42" s="481">
        <f>'GRs Detail'!$H40</f>
        <v>0</v>
      </c>
      <c r="K42" s="482">
        <f>'GRs Detail'!$I40</f>
        <v>0</v>
      </c>
      <c r="L42" s="483">
        <f t="shared" si="0"/>
        <v>0</v>
      </c>
      <c r="M42" s="72"/>
      <c r="N42" s="498"/>
    </row>
    <row r="43" spans="3:14" ht="21" customHeight="1" x14ac:dyDescent="0.25">
      <c r="C43" s="494"/>
      <c r="D43" s="62"/>
      <c r="E43" s="63" t="str">
        <f>'GRs Detail'!$E41</f>
        <v>MISCELLANEOUS SUPPORT &amp; EQUIPMENT</v>
      </c>
      <c r="F43" s="500"/>
      <c r="G43" s="479"/>
      <c r="H43" s="479"/>
      <c r="I43" s="480">
        <f>'GRs Detail'!$J41</f>
        <v>0</v>
      </c>
      <c r="J43" s="481">
        <f>'GRs Detail'!$H41</f>
        <v>0</v>
      </c>
      <c r="K43" s="482">
        <f>'GRs Detail'!$I41</f>
        <v>0</v>
      </c>
      <c r="L43" s="483">
        <f t="shared" si="0"/>
        <v>0</v>
      </c>
      <c r="M43" s="72"/>
      <c r="N43" s="498"/>
    </row>
    <row r="44" spans="3:14" ht="21" customHeight="1" x14ac:dyDescent="0.25">
      <c r="C44" s="494"/>
      <c r="D44" s="62"/>
      <c r="E44" s="69" t="str">
        <f>'GRs Detail'!$E42</f>
        <v>Mock Ups (include removal)</v>
      </c>
      <c r="F44" s="69"/>
      <c r="G44" s="70"/>
      <c r="H44" s="80"/>
      <c r="I44" s="71">
        <f>'GRs Detail'!$J42</f>
        <v>0</v>
      </c>
      <c r="J44" s="81">
        <f>'GRs Detail'!$H42</f>
        <v>1</v>
      </c>
      <c r="K44" s="82" t="str">
        <f>'GRs Detail'!$I42</f>
        <v>lsum</v>
      </c>
      <c r="L44" s="73">
        <f t="shared" si="0"/>
        <v>0</v>
      </c>
      <c r="M44" s="72"/>
      <c r="N44" s="498"/>
    </row>
    <row r="45" spans="3:14" ht="21" customHeight="1" x14ac:dyDescent="0.25">
      <c r="C45" s="494"/>
      <c r="D45" s="62"/>
      <c r="E45" s="69" t="str">
        <f>'GRs Detail'!$E43</f>
        <v>SkyTrak</v>
      </c>
      <c r="F45" s="69"/>
      <c r="G45" s="70"/>
      <c r="H45" s="80"/>
      <c r="I45" s="71">
        <f>'GRs Detail'!$J43</f>
        <v>0</v>
      </c>
      <c r="J45" s="81">
        <f>'GRs Detail'!$H43</f>
        <v>1</v>
      </c>
      <c r="K45" s="82" t="str">
        <f>'GRs Detail'!$I43</f>
        <v>lsum</v>
      </c>
      <c r="L45" s="73">
        <f t="shared" si="0"/>
        <v>0</v>
      </c>
      <c r="M45" s="72"/>
      <c r="N45" s="498"/>
    </row>
    <row r="46" spans="3:14" ht="21" customHeight="1" x14ac:dyDescent="0.25">
      <c r="C46" s="494"/>
      <c r="D46" s="62"/>
      <c r="E46" s="69" t="str">
        <f>'GRs Detail'!$E44</f>
        <v>Forklift</v>
      </c>
      <c r="F46" s="69"/>
      <c r="G46" s="70"/>
      <c r="H46" s="80"/>
      <c r="I46" s="71">
        <f>'GRs Detail'!$J44</f>
        <v>0</v>
      </c>
      <c r="J46" s="81">
        <f>'GRs Detail'!$H44</f>
        <v>1</v>
      </c>
      <c r="K46" s="82" t="str">
        <f>'GRs Detail'!$I44</f>
        <v>lsum</v>
      </c>
      <c r="L46" s="73">
        <f t="shared" si="0"/>
        <v>0</v>
      </c>
      <c r="M46" s="72"/>
      <c r="N46" s="498"/>
    </row>
    <row r="47" spans="3:14" ht="21" customHeight="1" x14ac:dyDescent="0.25">
      <c r="C47" s="494"/>
      <c r="D47" s="62"/>
      <c r="E47" s="69" t="str">
        <f>'GRs Detail'!$E45</f>
        <v>Scissor Lift</v>
      </c>
      <c r="F47" s="69"/>
      <c r="G47" s="70"/>
      <c r="H47" s="80"/>
      <c r="I47" s="71">
        <f>'GRs Detail'!$J45</f>
        <v>0</v>
      </c>
      <c r="J47" s="81">
        <f>'GRs Detail'!$H45</f>
        <v>1</v>
      </c>
      <c r="K47" s="82" t="str">
        <f>'GRs Detail'!$I45</f>
        <v>lsum</v>
      </c>
      <c r="L47" s="73">
        <f t="shared" si="0"/>
        <v>0</v>
      </c>
      <c r="M47" s="72"/>
      <c r="N47" s="498"/>
    </row>
    <row r="48" spans="3:14" ht="21" customHeight="1" x14ac:dyDescent="0.25">
      <c r="C48" s="494"/>
      <c r="D48" s="62"/>
      <c r="E48" s="69" t="str">
        <f>'GRs Detail'!$E46</f>
        <v>Teamster</v>
      </c>
      <c r="F48" s="69"/>
      <c r="G48" s="70"/>
      <c r="H48" s="80"/>
      <c r="I48" s="71">
        <f>'GRs Detail'!$J46</f>
        <v>5000</v>
      </c>
      <c r="J48" s="81">
        <f>'GRs Detail'!$H46</f>
        <v>0</v>
      </c>
      <c r="K48" s="82" t="str">
        <f>'GRs Detail'!$I46</f>
        <v>wks</v>
      </c>
      <c r="L48" s="73">
        <f t="shared" si="0"/>
        <v>0</v>
      </c>
      <c r="M48" s="72"/>
      <c r="N48" s="498"/>
    </row>
    <row r="49" spans="3:14" ht="21" customHeight="1" x14ac:dyDescent="0.25">
      <c r="C49" s="494"/>
      <c r="D49" s="62"/>
      <c r="E49" s="69" t="str">
        <f>'GRs Detail'!$E47</f>
        <v>Trucking/Transportation</v>
      </c>
      <c r="F49" s="69"/>
      <c r="G49" s="70"/>
      <c r="H49" s="80"/>
      <c r="I49" s="71">
        <f>'GRs Detail'!$J47</f>
        <v>0</v>
      </c>
      <c r="J49" s="81">
        <f>'GRs Detail'!$H47</f>
        <v>1</v>
      </c>
      <c r="K49" s="82" t="str">
        <f>'GRs Detail'!$I47</f>
        <v>lsum</v>
      </c>
      <c r="L49" s="73">
        <f t="shared" si="0"/>
        <v>0</v>
      </c>
      <c r="M49" s="72"/>
      <c r="N49" s="498"/>
    </row>
    <row r="50" spans="3:14" ht="21" customHeight="1" x14ac:dyDescent="0.25">
      <c r="C50" s="494"/>
      <c r="D50" s="62"/>
      <c r="E50" s="69" t="str">
        <f>'GRs Detail'!$E48</f>
        <v>Storage Trailer</v>
      </c>
      <c r="F50" s="69"/>
      <c r="G50" s="70"/>
      <c r="H50" s="80"/>
      <c r="I50" s="71">
        <f>'GRs Detail'!$J48</f>
        <v>165</v>
      </c>
      <c r="J50" s="81" t="e">
        <f ca="1">'GRs Detail'!$H48</f>
        <v>#NAME?</v>
      </c>
      <c r="K50" s="82" t="str">
        <f>'GRs Detail'!$I48</f>
        <v>mos</v>
      </c>
      <c r="L50" s="73" t="e">
        <f t="shared" ca="1" si="0"/>
        <v>#NAME?</v>
      </c>
      <c r="M50" s="72"/>
      <c r="N50" s="498"/>
    </row>
    <row r="51" spans="3:14" ht="21" customHeight="1" x14ac:dyDescent="0.25">
      <c r="C51" s="494"/>
      <c r="D51" s="62"/>
      <c r="E51" s="69" t="str">
        <f>'GRs Detail'!$E49</f>
        <v>Master Mechanic</v>
      </c>
      <c r="F51" s="69"/>
      <c r="G51" s="70"/>
      <c r="H51" s="80"/>
      <c r="I51" s="71">
        <f>'GRs Detail'!$J49</f>
        <v>6000</v>
      </c>
      <c r="J51" s="81">
        <f>'GRs Detail'!$H49</f>
        <v>0</v>
      </c>
      <c r="K51" s="82" t="str">
        <f>'GRs Detail'!$I49</f>
        <v>wks</v>
      </c>
      <c r="L51" s="73">
        <f t="shared" si="0"/>
        <v>0</v>
      </c>
      <c r="M51" s="72"/>
      <c r="N51" s="498"/>
    </row>
    <row r="52" spans="3:14" ht="21" customHeight="1" x14ac:dyDescent="0.25">
      <c r="C52" s="494"/>
      <c r="D52" s="62"/>
      <c r="E52" s="69" t="str">
        <f>'GRs Detail'!$E50</f>
        <v>Tools &amp; Equipment</v>
      </c>
      <c r="F52" s="69"/>
      <c r="G52" s="70"/>
      <c r="H52" s="80"/>
      <c r="I52" s="71">
        <f>'GRs Detail'!$J50</f>
        <v>1000</v>
      </c>
      <c r="J52" s="81" t="e">
        <f ca="1">'GRs Detail'!$H50</f>
        <v>#NAME?</v>
      </c>
      <c r="K52" s="82" t="str">
        <f>'GRs Detail'!$I50</f>
        <v>mos</v>
      </c>
      <c r="L52" s="73" t="e">
        <f t="shared" ca="1" si="0"/>
        <v>#NAME?</v>
      </c>
      <c r="M52" s="72"/>
      <c r="N52" s="498"/>
    </row>
    <row r="53" spans="3:14" ht="21" customHeight="1" x14ac:dyDescent="0.25">
      <c r="C53" s="494"/>
      <c r="D53" s="62"/>
      <c r="E53" s="69" t="str">
        <f>'GRs Detail'!$E51</f>
        <v>Radios</v>
      </c>
      <c r="F53" s="69"/>
      <c r="G53" s="70"/>
      <c r="H53" s="80"/>
      <c r="I53" s="71">
        <f>'GRs Detail'!$J51</f>
        <v>0</v>
      </c>
      <c r="J53" s="81">
        <f>'GRs Detail'!$H51</f>
        <v>0</v>
      </c>
      <c r="K53" s="82" t="str">
        <f>'GRs Detail'!$I51</f>
        <v>ea</v>
      </c>
      <c r="L53" s="73">
        <f t="shared" si="0"/>
        <v>0</v>
      </c>
      <c r="M53" s="72"/>
      <c r="N53" s="498"/>
    </row>
    <row r="54" spans="3:14" ht="21" customHeight="1" x14ac:dyDescent="0.25">
      <c r="C54" s="494"/>
      <c r="D54" s="62"/>
      <c r="E54" s="69" t="str">
        <f>'GRs Detail'!$E52</f>
        <v>Rodent Control</v>
      </c>
      <c r="F54" s="69"/>
      <c r="G54" s="70"/>
      <c r="H54" s="80"/>
      <c r="I54" s="71">
        <f>'GRs Detail'!$J52</f>
        <v>300</v>
      </c>
      <c r="J54" s="81">
        <f>'GRs Detail'!$H52</f>
        <v>0</v>
      </c>
      <c r="K54" s="82" t="str">
        <f>'GRs Detail'!$I52</f>
        <v>mos</v>
      </c>
      <c r="L54" s="73">
        <f t="shared" si="0"/>
        <v>0</v>
      </c>
      <c r="M54" s="72"/>
      <c r="N54" s="498"/>
    </row>
    <row r="55" spans="3:14" ht="21" customHeight="1" x14ac:dyDescent="0.25">
      <c r="C55" s="494"/>
      <c r="D55" s="62"/>
      <c r="E55" s="69" t="str">
        <f>'GRs Detail'!$E53</f>
        <v>Mock Ups (include removal)</v>
      </c>
      <c r="F55" s="69"/>
      <c r="G55" s="70"/>
      <c r="H55" s="80"/>
      <c r="I55" s="71">
        <f>'GRs Detail'!$J53</f>
        <v>0</v>
      </c>
      <c r="J55" s="81">
        <f>'GRs Detail'!$H53</f>
        <v>1</v>
      </c>
      <c r="K55" s="82" t="str">
        <f>'GRs Detail'!$I53</f>
        <v>lsum</v>
      </c>
      <c r="L55" s="73">
        <f t="shared" si="0"/>
        <v>0</v>
      </c>
      <c r="M55" s="72"/>
      <c r="N55" s="498"/>
    </row>
    <row r="56" spans="3:14" ht="21" customHeight="1" x14ac:dyDescent="0.25">
      <c r="C56" s="494"/>
      <c r="D56" s="62"/>
      <c r="E56" s="69" t="str">
        <f>'GRs Detail'!$E54</f>
        <v>Off Hours Work Permit</v>
      </c>
      <c r="F56" s="69"/>
      <c r="G56" s="70"/>
      <c r="H56" s="80"/>
      <c r="I56" s="71">
        <f>'GRs Detail'!$J54</f>
        <v>100</v>
      </c>
      <c r="J56" s="81">
        <f>'GRs Detail'!$H54</f>
        <v>0</v>
      </c>
      <c r="K56" s="82" t="str">
        <f>'GRs Detail'!$I54</f>
        <v>days</v>
      </c>
      <c r="L56" s="73">
        <f t="shared" si="0"/>
        <v>0</v>
      </c>
      <c r="M56" s="72"/>
      <c r="N56" s="498"/>
    </row>
    <row r="57" spans="3:14" ht="21" customHeight="1" x14ac:dyDescent="0.25">
      <c r="C57" s="494"/>
      <c r="D57" s="62"/>
      <c r="E57" s="69" t="str">
        <f>'GRs Detail'!$E55</f>
        <v>Punch List</v>
      </c>
      <c r="F57" s="69"/>
      <c r="G57" s="70"/>
      <c r="H57" s="80"/>
      <c r="I57" s="71">
        <f>'GRs Detail'!$J55</f>
        <v>0</v>
      </c>
      <c r="J57" s="81">
        <f>'GRs Detail'!$H55</f>
        <v>1</v>
      </c>
      <c r="K57" s="82" t="str">
        <f>'GRs Detail'!$I55</f>
        <v>lsum</v>
      </c>
      <c r="L57" s="73">
        <f t="shared" si="0"/>
        <v>0</v>
      </c>
      <c r="M57" s="72"/>
      <c r="N57" s="498"/>
    </row>
    <row r="58" spans="3:14" ht="21" customHeight="1" x14ac:dyDescent="0.25">
      <c r="C58" s="494"/>
      <c r="D58" s="62"/>
      <c r="E58" s="69" t="str">
        <f>'GRs Detail'!$E56</f>
        <v>Cut &amp; Patch</v>
      </c>
      <c r="F58" s="69"/>
      <c r="G58" s="70"/>
      <c r="H58" s="80"/>
      <c r="I58" s="71">
        <f>'GRs Detail'!$J56</f>
        <v>0</v>
      </c>
      <c r="J58" s="81">
        <f>'GRs Detail'!$H56</f>
        <v>1</v>
      </c>
      <c r="K58" s="82" t="str">
        <f>'GRs Detail'!$I56</f>
        <v>lsum</v>
      </c>
      <c r="L58" s="73">
        <f t="shared" si="0"/>
        <v>0</v>
      </c>
      <c r="M58" s="72"/>
      <c r="N58" s="498"/>
    </row>
    <row r="59" spans="3:14" ht="21" customHeight="1" x14ac:dyDescent="0.25">
      <c r="C59" s="494"/>
      <c r="D59" s="62"/>
      <c r="E59" s="478">
        <f>'GRs Detail'!$E57</f>
        <v>0</v>
      </c>
      <c r="F59" s="478"/>
      <c r="G59" s="479"/>
      <c r="H59" s="479"/>
      <c r="I59" s="480">
        <f>'GRs Detail'!$J57</f>
        <v>0</v>
      </c>
      <c r="J59" s="481">
        <f>'GRs Detail'!$H57</f>
        <v>0</v>
      </c>
      <c r="K59" s="482">
        <f>'GRs Detail'!$I57</f>
        <v>0</v>
      </c>
      <c r="L59" s="483">
        <f t="shared" si="0"/>
        <v>0</v>
      </c>
      <c r="M59" s="72"/>
      <c r="N59" s="498"/>
    </row>
    <row r="60" spans="3:14" ht="21" customHeight="1" x14ac:dyDescent="0.25">
      <c r="C60" s="494"/>
      <c r="D60" s="62"/>
      <c r="E60" s="63" t="str">
        <f>'GRs Detail'!$E58</f>
        <v>WATER CONSUMPTION</v>
      </c>
      <c r="F60" s="500"/>
      <c r="G60" s="479"/>
      <c r="H60" s="479"/>
      <c r="I60" s="480">
        <f>'GRs Detail'!$J58</f>
        <v>0</v>
      </c>
      <c r="J60" s="481">
        <f>'GRs Detail'!$H58</f>
        <v>0</v>
      </c>
      <c r="K60" s="482">
        <f>'GRs Detail'!$I58</f>
        <v>0</v>
      </c>
      <c r="L60" s="483">
        <f t="shared" si="0"/>
        <v>0</v>
      </c>
      <c r="M60" s="72"/>
      <c r="N60" s="498"/>
    </row>
    <row r="61" spans="3:14" ht="21" customHeight="1" x14ac:dyDescent="0.25">
      <c r="C61" s="494"/>
      <c r="D61" s="62"/>
      <c r="E61" s="69" t="str">
        <f>'GRs Detail'!$E59</f>
        <v>Water Consumption</v>
      </c>
      <c r="F61" s="69"/>
      <c r="G61" s="70"/>
      <c r="H61" s="80"/>
      <c r="I61" s="71">
        <f>'GRs Detail'!$J59</f>
        <v>0</v>
      </c>
      <c r="J61" s="81" t="e">
        <f ca="1">'GRs Detail'!$H59</f>
        <v>#NAME?</v>
      </c>
      <c r="K61" s="82" t="str">
        <f>'GRs Detail'!$I59</f>
        <v>mos</v>
      </c>
      <c r="L61" s="73" t="e">
        <f t="shared" ca="1" si="0"/>
        <v>#NAME?</v>
      </c>
      <c r="M61" s="72"/>
      <c r="N61" s="498"/>
    </row>
    <row r="62" spans="3:14" ht="21" customHeight="1" x14ac:dyDescent="0.25">
      <c r="C62" s="494"/>
      <c r="D62" s="62"/>
      <c r="E62" s="478">
        <f>'GRs Detail'!$E60</f>
        <v>0</v>
      </c>
      <c r="F62" s="478"/>
      <c r="G62" s="479"/>
      <c r="H62" s="479"/>
      <c r="I62" s="480">
        <f>'GRs Detail'!$J60</f>
        <v>0</v>
      </c>
      <c r="J62" s="481">
        <f>'GRs Detail'!$H60</f>
        <v>0</v>
      </c>
      <c r="K62" s="482">
        <f>'GRs Detail'!$I60</f>
        <v>0</v>
      </c>
      <c r="L62" s="483">
        <f t="shared" si="0"/>
        <v>0</v>
      </c>
      <c r="M62" s="72"/>
      <c r="N62" s="498"/>
    </row>
    <row r="63" spans="3:14" ht="21" customHeight="1" x14ac:dyDescent="0.25">
      <c r="C63" s="494"/>
      <c r="D63" s="62"/>
      <c r="E63" s="63" t="str">
        <f>'GRs Detail'!$E61</f>
        <v>ELECTRICITY CONSUMPTION</v>
      </c>
      <c r="F63" s="500"/>
      <c r="G63" s="479"/>
      <c r="H63" s="479"/>
      <c r="I63" s="480">
        <f>'GRs Detail'!$J61</f>
        <v>0</v>
      </c>
      <c r="J63" s="481">
        <f>'GRs Detail'!$H61</f>
        <v>0</v>
      </c>
      <c r="K63" s="482">
        <f>'GRs Detail'!$I61</f>
        <v>0</v>
      </c>
      <c r="L63" s="483">
        <f t="shared" si="0"/>
        <v>0</v>
      </c>
      <c r="M63" s="72"/>
      <c r="N63" s="498"/>
    </row>
    <row r="64" spans="3:14" ht="21" customHeight="1" x14ac:dyDescent="0.25">
      <c r="C64" s="494"/>
      <c r="D64" s="62"/>
      <c r="E64" s="69" t="str">
        <f>'GRs Detail'!$E62</f>
        <v>Electric Consumption</v>
      </c>
      <c r="F64" s="69"/>
      <c r="G64" s="70"/>
      <c r="H64" s="80"/>
      <c r="I64" s="71">
        <f>'GRs Detail'!$J62</f>
        <v>0</v>
      </c>
      <c r="J64" s="81" t="e">
        <f ca="1">'GRs Detail'!$H62</f>
        <v>#NAME?</v>
      </c>
      <c r="K64" s="82" t="str">
        <f>'GRs Detail'!$I62</f>
        <v>mos</v>
      </c>
      <c r="L64" s="73" t="e">
        <f t="shared" ca="1" si="0"/>
        <v>#NAME?</v>
      </c>
      <c r="M64" s="72"/>
      <c r="N64" s="498"/>
    </row>
    <row r="65" spans="3:14" ht="21" customHeight="1" x14ac:dyDescent="0.25">
      <c r="C65" s="494"/>
      <c r="D65" s="62"/>
      <c r="E65" s="69" t="str">
        <f>'GRs Detail'!$E63</f>
        <v>Temp. Electric Vault &amp; Service</v>
      </c>
      <c r="F65" s="69"/>
      <c r="G65" s="70"/>
      <c r="H65" s="80"/>
      <c r="I65" s="71">
        <f>'GRs Detail'!$J63</f>
        <v>0</v>
      </c>
      <c r="J65" s="81">
        <f>'GRs Detail'!$H63</f>
        <v>1</v>
      </c>
      <c r="K65" s="82" t="str">
        <f>'GRs Detail'!$I63</f>
        <v>lsum</v>
      </c>
      <c r="L65" s="73">
        <f t="shared" si="0"/>
        <v>0</v>
      </c>
      <c r="M65" s="72"/>
      <c r="N65" s="498"/>
    </row>
    <row r="66" spans="3:14" ht="21" customHeight="1" x14ac:dyDescent="0.25">
      <c r="C66" s="494"/>
      <c r="D66" s="62"/>
      <c r="E66" s="478">
        <f>'GRs Detail'!$E64</f>
        <v>0</v>
      </c>
      <c r="F66" s="478"/>
      <c r="G66" s="479"/>
      <c r="H66" s="479"/>
      <c r="I66" s="480">
        <f>'GRs Detail'!$J64</f>
        <v>0</v>
      </c>
      <c r="J66" s="481">
        <f>'GRs Detail'!$H64</f>
        <v>0</v>
      </c>
      <c r="K66" s="482">
        <f>'GRs Detail'!$I64</f>
        <v>0</v>
      </c>
      <c r="L66" s="483">
        <f t="shared" si="0"/>
        <v>0</v>
      </c>
      <c r="M66" s="72"/>
      <c r="N66" s="498"/>
    </row>
    <row r="67" spans="3:14" ht="21" customHeight="1" x14ac:dyDescent="0.25">
      <c r="C67" s="494"/>
      <c r="D67" s="62"/>
      <c r="E67" s="63" t="str">
        <f>'GRs Detail'!$E65</f>
        <v xml:space="preserve">TEMPORARY TOILETS </v>
      </c>
      <c r="F67" s="500"/>
      <c r="G67" s="479"/>
      <c r="H67" s="479"/>
      <c r="I67" s="480">
        <f>'GRs Detail'!$J65</f>
        <v>0</v>
      </c>
      <c r="J67" s="481">
        <f>'GRs Detail'!$H65</f>
        <v>0</v>
      </c>
      <c r="K67" s="482">
        <f>'GRs Detail'!$I65</f>
        <v>0</v>
      </c>
      <c r="L67" s="483">
        <f t="shared" si="0"/>
        <v>0</v>
      </c>
      <c r="M67" s="72"/>
      <c r="N67" s="498"/>
    </row>
    <row r="68" spans="3:14" ht="21" customHeight="1" x14ac:dyDescent="0.25">
      <c r="C68" s="494"/>
      <c r="D68" s="62"/>
      <c r="E68" s="69" t="str">
        <f>'GRs Detail'!$E66</f>
        <v>Portables</v>
      </c>
      <c r="F68" s="69"/>
      <c r="G68" s="70"/>
      <c r="H68" s="80"/>
      <c r="I68" s="71">
        <f>'GRs Detail'!$J66</f>
        <v>0</v>
      </c>
      <c r="J68" s="81">
        <f>'GRs Detail'!$H66</f>
        <v>0</v>
      </c>
      <c r="K68" s="82" t="str">
        <f>'GRs Detail'!$I66</f>
        <v>ea</v>
      </c>
      <c r="L68" s="73">
        <f t="shared" si="0"/>
        <v>0</v>
      </c>
      <c r="M68" s="72"/>
      <c r="N68" s="498"/>
    </row>
    <row r="69" spans="3:14" ht="21" customHeight="1" x14ac:dyDescent="0.25">
      <c r="C69" s="494"/>
      <c r="D69" s="62"/>
      <c r="E69" s="69" t="str">
        <f>'GRs Detail'!$E67</f>
        <v>Portable Unit Delivery Fee</v>
      </c>
      <c r="F69" s="69"/>
      <c r="G69" s="70"/>
      <c r="H69" s="80"/>
      <c r="I69" s="71">
        <f>'GRs Detail'!$J67</f>
        <v>0</v>
      </c>
      <c r="J69" s="81">
        <f>'GRs Detail'!$H67</f>
        <v>1</v>
      </c>
      <c r="K69" s="82" t="str">
        <f>'GRs Detail'!$I67</f>
        <v>lsum</v>
      </c>
      <c r="L69" s="73">
        <f t="shared" si="0"/>
        <v>0</v>
      </c>
      <c r="M69" s="72"/>
      <c r="N69" s="498"/>
    </row>
    <row r="70" spans="3:14" ht="21" customHeight="1" x14ac:dyDescent="0.25">
      <c r="C70" s="494"/>
      <c r="D70" s="62"/>
      <c r="E70" s="69" t="str">
        <f>'GRs Detail'!$E68</f>
        <v>Temp Bathroom Install</v>
      </c>
      <c r="F70" s="69"/>
      <c r="G70" s="70"/>
      <c r="H70" s="80"/>
      <c r="I70" s="71">
        <f>'GRs Detail'!$J68</f>
        <v>100</v>
      </c>
      <c r="J70" s="81">
        <f>'GRs Detail'!$H68</f>
        <v>0</v>
      </c>
      <c r="K70" s="82" t="str">
        <f>'GRs Detail'!$I68</f>
        <v>ea</v>
      </c>
      <c r="L70" s="73">
        <f t="shared" si="0"/>
        <v>0</v>
      </c>
      <c r="M70" s="72"/>
      <c r="N70" s="498"/>
    </row>
    <row r="71" spans="3:14" ht="21" customHeight="1" x14ac:dyDescent="0.25">
      <c r="C71" s="494"/>
      <c r="D71" s="62"/>
      <c r="E71" s="69" t="str">
        <f>'GRs Detail'!$E69</f>
        <v>Temp Bathroom Remove</v>
      </c>
      <c r="F71" s="69"/>
      <c r="G71" s="70"/>
      <c r="H71" s="80"/>
      <c r="I71" s="71">
        <f>'GRs Detail'!$J69</f>
        <v>100</v>
      </c>
      <c r="J71" s="81">
        <f>'GRs Detail'!$H69</f>
        <v>0</v>
      </c>
      <c r="K71" s="82" t="str">
        <f>'GRs Detail'!$I69</f>
        <v>ea</v>
      </c>
      <c r="L71" s="73">
        <f t="shared" si="0"/>
        <v>0</v>
      </c>
      <c r="M71" s="72"/>
      <c r="N71" s="498"/>
    </row>
    <row r="72" spans="3:14" ht="21" customHeight="1" x14ac:dyDescent="0.25">
      <c r="C72" s="494"/>
      <c r="D72" s="62"/>
      <c r="E72" s="69" t="str">
        <f>'GRs Detail'!$E70</f>
        <v>Temp Bathroom Cleaning</v>
      </c>
      <c r="F72" s="69"/>
      <c r="G72" s="70"/>
      <c r="H72" s="80"/>
      <c r="I72" s="71">
        <f>'GRs Detail'!$J70</f>
        <v>0</v>
      </c>
      <c r="J72" s="81" t="e">
        <f ca="1">'GRs Detail'!$H70</f>
        <v>#NAME?</v>
      </c>
      <c r="K72" s="82" t="str">
        <f>'GRs Detail'!$I70</f>
        <v>wks</v>
      </c>
      <c r="L72" s="73" t="e">
        <f t="shared" ca="1" si="0"/>
        <v>#NAME?</v>
      </c>
      <c r="M72" s="72"/>
      <c r="N72" s="498"/>
    </row>
    <row r="73" spans="3:14" ht="21" customHeight="1" x14ac:dyDescent="0.25">
      <c r="C73" s="494"/>
      <c r="D73" s="62"/>
      <c r="E73" s="69" t="str">
        <f>'GRs Detail'!$E71</f>
        <v>Hand Sanitizer</v>
      </c>
      <c r="F73" s="69"/>
      <c r="G73" s="70"/>
      <c r="H73" s="80"/>
      <c r="I73" s="71">
        <f>'GRs Detail'!$J71</f>
        <v>0</v>
      </c>
      <c r="J73" s="81">
        <f>'GRs Detail'!$H71</f>
        <v>0</v>
      </c>
      <c r="K73" s="82" t="str">
        <f>'GRs Detail'!$I71</f>
        <v>ea</v>
      </c>
      <c r="L73" s="73">
        <f t="shared" si="0"/>
        <v>0</v>
      </c>
      <c r="M73" s="72"/>
      <c r="N73" s="498"/>
    </row>
    <row r="74" spans="3:14" ht="21" customHeight="1" x14ac:dyDescent="0.25">
      <c r="C74" s="494"/>
      <c r="D74" s="62"/>
      <c r="E74" s="69" t="str">
        <f>'GRs Detail'!$E72</f>
        <v>Hand Wash Stations</v>
      </c>
      <c r="F74" s="69"/>
      <c r="G74" s="70"/>
      <c r="H74" s="80"/>
      <c r="I74" s="71">
        <f>'GRs Detail'!$J72</f>
        <v>0</v>
      </c>
      <c r="J74" s="81">
        <f>'GRs Detail'!$H72</f>
        <v>0</v>
      </c>
      <c r="K74" s="82" t="str">
        <f>'GRs Detail'!$I72</f>
        <v>ea</v>
      </c>
      <c r="L74" s="73">
        <f t="shared" si="0"/>
        <v>0</v>
      </c>
      <c r="M74" s="72"/>
      <c r="N74" s="498"/>
    </row>
    <row r="75" spans="3:14" ht="21" customHeight="1" x14ac:dyDescent="0.25">
      <c r="C75" s="494"/>
      <c r="D75" s="62"/>
      <c r="E75" s="69" t="str">
        <f>'GRs Detail'!$E73</f>
        <v>Gel Pak</v>
      </c>
      <c r="F75" s="69"/>
      <c r="G75" s="70"/>
      <c r="H75" s="80"/>
      <c r="I75" s="71">
        <f>'GRs Detail'!$J73</f>
        <v>0</v>
      </c>
      <c r="J75" s="81">
        <f>'GRs Detail'!$H73</f>
        <v>0</v>
      </c>
      <c r="K75" s="82" t="str">
        <f>'GRs Detail'!$I73</f>
        <v>ea</v>
      </c>
      <c r="L75" s="73">
        <f t="shared" ref="L75:L137" si="1">$I75*$J75</f>
        <v>0</v>
      </c>
      <c r="M75" s="72"/>
      <c r="N75" s="498"/>
    </row>
    <row r="76" spans="3:14" ht="21" customHeight="1" x14ac:dyDescent="0.25">
      <c r="C76" s="494"/>
      <c r="D76" s="62"/>
      <c r="E76" s="69" t="str">
        <f>'GRs Detail'!$E74</f>
        <v>Holding Tanks</v>
      </c>
      <c r="F76" s="69"/>
      <c r="G76" s="70"/>
      <c r="H76" s="80"/>
      <c r="I76" s="71">
        <f>'GRs Detail'!$J74</f>
        <v>0</v>
      </c>
      <c r="J76" s="81">
        <f>'GRs Detail'!$H74</f>
        <v>0</v>
      </c>
      <c r="K76" s="82" t="str">
        <f>'GRs Detail'!$I74</f>
        <v>ea</v>
      </c>
      <c r="L76" s="73">
        <f t="shared" si="1"/>
        <v>0</v>
      </c>
      <c r="M76" s="72"/>
      <c r="N76" s="498"/>
    </row>
    <row r="77" spans="3:14" ht="21" customHeight="1" x14ac:dyDescent="0.25">
      <c r="C77" s="494"/>
      <c r="D77" s="62"/>
      <c r="E77" s="478">
        <f>'GRs Detail'!$E75</f>
        <v>0</v>
      </c>
      <c r="F77" s="478"/>
      <c r="G77" s="479"/>
      <c r="H77" s="479"/>
      <c r="I77" s="480">
        <f>'GRs Detail'!$J75</f>
        <v>0</v>
      </c>
      <c r="J77" s="481">
        <f>'GRs Detail'!$H75</f>
        <v>0</v>
      </c>
      <c r="K77" s="482">
        <f>'GRs Detail'!$I75</f>
        <v>0</v>
      </c>
      <c r="L77" s="483">
        <f t="shared" si="1"/>
        <v>0</v>
      </c>
      <c r="M77" s="72"/>
      <c r="N77" s="498"/>
    </row>
    <row r="78" spans="3:14" ht="21" customHeight="1" x14ac:dyDescent="0.25">
      <c r="C78" s="494"/>
      <c r="D78" s="62"/>
      <c r="E78" s="63" t="str">
        <f>'GRs Detail'!$E76</f>
        <v>CONSTRUCTION MANAGEMENT PLAN</v>
      </c>
      <c r="F78" s="500"/>
      <c r="G78" s="479"/>
      <c r="H78" s="479"/>
      <c r="I78" s="480">
        <f>'GRs Detail'!$J76</f>
        <v>0</v>
      </c>
      <c r="J78" s="481">
        <f>'GRs Detail'!$H76</f>
        <v>0</v>
      </c>
      <c r="K78" s="482">
        <f>'GRs Detail'!$I76</f>
        <v>0</v>
      </c>
      <c r="L78" s="483">
        <f t="shared" si="1"/>
        <v>0</v>
      </c>
      <c r="M78" s="72"/>
      <c r="N78" s="498"/>
    </row>
    <row r="79" spans="3:14" ht="21" customHeight="1" x14ac:dyDescent="0.25">
      <c r="C79" s="494"/>
      <c r="D79" s="62"/>
      <c r="E79" s="69" t="str">
        <f>'GRs Detail'!$E77</f>
        <v>Sidewalk Bridge</v>
      </c>
      <c r="F79" s="69"/>
      <c r="G79" s="70"/>
      <c r="H79" s="80"/>
      <c r="I79" s="71">
        <f>'GRs Detail'!$J77</f>
        <v>175</v>
      </c>
      <c r="J79" s="81">
        <f>'GRs Detail'!$H77</f>
        <v>0</v>
      </c>
      <c r="K79" s="82" t="str">
        <f>'GRs Detail'!$I77</f>
        <v>lf</v>
      </c>
      <c r="L79" s="73">
        <f t="shared" si="1"/>
        <v>0</v>
      </c>
      <c r="M79" s="72"/>
      <c r="N79" s="498"/>
    </row>
    <row r="80" spans="3:14" ht="21" customHeight="1" x14ac:dyDescent="0.25">
      <c r="C80" s="494"/>
      <c r="D80" s="62"/>
      <c r="E80" s="69" t="str">
        <f>'GRs Detail'!$E78</f>
        <v>New Traffic Markings</v>
      </c>
      <c r="F80" s="69"/>
      <c r="G80" s="70"/>
      <c r="H80" s="80"/>
      <c r="I80" s="71">
        <f>'GRs Detail'!$J78</f>
        <v>0</v>
      </c>
      <c r="J80" s="81">
        <f>'GRs Detail'!$H78</f>
        <v>1</v>
      </c>
      <c r="K80" s="82" t="str">
        <f>'GRs Detail'!$I78</f>
        <v>lsum</v>
      </c>
      <c r="L80" s="73">
        <f t="shared" si="1"/>
        <v>0</v>
      </c>
      <c r="M80" s="72"/>
      <c r="N80" s="498"/>
    </row>
    <row r="81" spans="3:14" ht="21" customHeight="1" x14ac:dyDescent="0.25">
      <c r="C81" s="494"/>
      <c r="D81" s="62"/>
      <c r="E81" s="69" t="str">
        <f>'GRs Detail'!$E79</f>
        <v>Remove Old/Existing Traffic Markings</v>
      </c>
      <c r="F81" s="69"/>
      <c r="G81" s="70"/>
      <c r="H81" s="80"/>
      <c r="I81" s="71">
        <f>'GRs Detail'!$J79</f>
        <v>0</v>
      </c>
      <c r="J81" s="81">
        <f>'GRs Detail'!$H79</f>
        <v>1</v>
      </c>
      <c r="K81" s="82" t="str">
        <f>'GRs Detail'!$I79</f>
        <v>lsum</v>
      </c>
      <c r="L81" s="73">
        <f t="shared" si="1"/>
        <v>0</v>
      </c>
      <c r="M81" s="72"/>
      <c r="N81" s="498"/>
    </row>
    <row r="82" spans="3:14" ht="21" customHeight="1" x14ac:dyDescent="0.25">
      <c r="C82" s="494"/>
      <c r="D82" s="62"/>
      <c r="E82" s="69" t="str">
        <f>'GRs Detail'!$E80</f>
        <v>Temporary Road Signs</v>
      </c>
      <c r="F82" s="69"/>
      <c r="G82" s="70"/>
      <c r="H82" s="80"/>
      <c r="I82" s="71">
        <f>'GRs Detail'!$J80</f>
        <v>0</v>
      </c>
      <c r="J82" s="81">
        <f>'GRs Detail'!$H80</f>
        <v>1</v>
      </c>
      <c r="K82" s="82" t="str">
        <f>'GRs Detail'!$I80</f>
        <v>lsum</v>
      </c>
      <c r="L82" s="73">
        <f t="shared" si="1"/>
        <v>0</v>
      </c>
      <c r="M82" s="72"/>
      <c r="N82" s="498"/>
    </row>
    <row r="83" spans="3:14" ht="21" customHeight="1" x14ac:dyDescent="0.25">
      <c r="C83" s="494"/>
      <c r="D83" s="62"/>
      <c r="E83" s="69" t="str">
        <f>'GRs Detail'!$E81</f>
        <v>Sidewalk Rental</v>
      </c>
      <c r="F83" s="69"/>
      <c r="G83" s="70"/>
      <c r="H83" s="80"/>
      <c r="I83" s="71">
        <f>'GRs Detail'!$J81</f>
        <v>0</v>
      </c>
      <c r="J83" s="81" t="e">
        <f ca="1">'GRs Detail'!$H81</f>
        <v>#NAME?</v>
      </c>
      <c r="K83" s="82" t="str">
        <f>'GRs Detail'!$I81</f>
        <v>mos</v>
      </c>
      <c r="L83" s="73" t="e">
        <f t="shared" ca="1" si="1"/>
        <v>#NAME?</v>
      </c>
      <c r="M83" s="72"/>
      <c r="N83" s="498"/>
    </row>
    <row r="84" spans="3:14" ht="21" customHeight="1" x14ac:dyDescent="0.25">
      <c r="C84" s="494"/>
      <c r="D84" s="62"/>
      <c r="E84" s="69" t="str">
        <f>'GRs Detail'!$E82</f>
        <v>Street Rental</v>
      </c>
      <c r="F84" s="69"/>
      <c r="G84" s="70"/>
      <c r="H84" s="80"/>
      <c r="I84" s="71">
        <f>'GRs Detail'!$J82</f>
        <v>0</v>
      </c>
      <c r="J84" s="81" t="e">
        <f ca="1">'GRs Detail'!$H82</f>
        <v>#NAME?</v>
      </c>
      <c r="K84" s="82" t="str">
        <f>'GRs Detail'!$I82</f>
        <v>mos</v>
      </c>
      <c r="L84" s="73" t="e">
        <f t="shared" ca="1" si="1"/>
        <v>#NAME?</v>
      </c>
      <c r="M84" s="72"/>
      <c r="N84" s="498"/>
    </row>
    <row r="85" spans="3:14" ht="21" customHeight="1" x14ac:dyDescent="0.25">
      <c r="C85" s="494"/>
      <c r="D85" s="62"/>
      <c r="E85" s="69" t="str">
        <f>'GRs Detail'!$E83</f>
        <v>Covered Pedestrian Walkways</v>
      </c>
      <c r="F85" s="69"/>
      <c r="G85" s="70"/>
      <c r="H85" s="80"/>
      <c r="I85" s="71">
        <f>'GRs Detail'!$J83</f>
        <v>0</v>
      </c>
      <c r="J85" s="81" t="e">
        <f ca="1">'GRs Detail'!$H83</f>
        <v>#NAME?</v>
      </c>
      <c r="K85" s="82" t="str">
        <f>'GRs Detail'!$I83</f>
        <v>mos</v>
      </c>
      <c r="L85" s="73" t="e">
        <f t="shared" ca="1" si="1"/>
        <v>#NAME?</v>
      </c>
      <c r="M85" s="72"/>
      <c r="N85" s="498"/>
    </row>
    <row r="86" spans="3:14" ht="21" customHeight="1" x14ac:dyDescent="0.25">
      <c r="C86" s="494"/>
      <c r="D86" s="62"/>
      <c r="E86" s="69" t="str">
        <f>'GRs Detail'!$E84</f>
        <v>Car Washes</v>
      </c>
      <c r="F86" s="69"/>
      <c r="G86" s="70"/>
      <c r="H86" s="80"/>
      <c r="I86" s="71">
        <f>'GRs Detail'!$J84</f>
        <v>0</v>
      </c>
      <c r="J86" s="81">
        <f>'GRs Detail'!$H84</f>
        <v>1</v>
      </c>
      <c r="K86" s="82" t="str">
        <f>'GRs Detail'!$I84</f>
        <v>lsum</v>
      </c>
      <c r="L86" s="73">
        <f t="shared" si="1"/>
        <v>0</v>
      </c>
      <c r="M86" s="72"/>
      <c r="N86" s="498"/>
    </row>
    <row r="87" spans="3:14" ht="21" customHeight="1" x14ac:dyDescent="0.25">
      <c r="C87" s="494"/>
      <c r="D87" s="62"/>
      <c r="E87" s="69" t="str">
        <f>'GRs Detail'!$E85</f>
        <v>Turnstiles</v>
      </c>
      <c r="F87" s="69"/>
      <c r="G87" s="70"/>
      <c r="H87" s="80"/>
      <c r="I87" s="71">
        <f>'GRs Detail'!$J85</f>
        <v>0</v>
      </c>
      <c r="J87" s="81">
        <f>'GRs Detail'!$H85</f>
        <v>1</v>
      </c>
      <c r="K87" s="82" t="str">
        <f>'GRs Detail'!$I85</f>
        <v>lsum</v>
      </c>
      <c r="L87" s="73">
        <f t="shared" si="1"/>
        <v>0</v>
      </c>
      <c r="M87" s="72"/>
      <c r="N87" s="498"/>
    </row>
    <row r="88" spans="3:14" ht="21" customHeight="1" x14ac:dyDescent="0.25">
      <c r="C88" s="494"/>
      <c r="D88" s="62"/>
      <c r="E88" s="69" t="str">
        <f>'GRs Detail'!$E86</f>
        <v>Guard Shack/s</v>
      </c>
      <c r="F88" s="69"/>
      <c r="G88" s="70"/>
      <c r="H88" s="80"/>
      <c r="I88" s="71">
        <f>'GRs Detail'!$J86</f>
        <v>0</v>
      </c>
      <c r="J88" s="81">
        <f>'GRs Detail'!$H86</f>
        <v>1</v>
      </c>
      <c r="K88" s="82" t="str">
        <f>'GRs Detail'!$I86</f>
        <v>lsum</v>
      </c>
      <c r="L88" s="73">
        <f t="shared" si="1"/>
        <v>0</v>
      </c>
      <c r="M88" s="72"/>
      <c r="N88" s="498"/>
    </row>
    <row r="89" spans="3:14" ht="21" customHeight="1" x14ac:dyDescent="0.25">
      <c r="C89" s="494"/>
      <c r="D89" s="62"/>
      <c r="E89" s="69" t="str">
        <f>'GRs Detail'!$E87</f>
        <v>Security</v>
      </c>
      <c r="F89" s="69"/>
      <c r="G89" s="70"/>
      <c r="H89" s="80"/>
      <c r="I89" s="71">
        <f>'GRs Detail'!$J87</f>
        <v>0</v>
      </c>
      <c r="J89" s="81" t="e">
        <f ca="1">'GRs Detail'!$H87</f>
        <v>#NAME?</v>
      </c>
      <c r="K89" s="82" t="str">
        <f>'GRs Detail'!$I87</f>
        <v>mos</v>
      </c>
      <c r="L89" s="73" t="e">
        <f t="shared" ca="1" si="1"/>
        <v>#NAME?</v>
      </c>
      <c r="M89" s="72"/>
      <c r="N89" s="498"/>
    </row>
    <row r="90" spans="3:14" ht="21" customHeight="1" x14ac:dyDescent="0.25">
      <c r="C90" s="494"/>
      <c r="D90" s="62"/>
      <c r="E90" s="69" t="str">
        <f>'GRs Detail'!$E88</f>
        <v>Site Security System</v>
      </c>
      <c r="F90" s="69"/>
      <c r="G90" s="70"/>
      <c r="H90" s="80"/>
      <c r="I90" s="71">
        <f>'GRs Detail'!$J88</f>
        <v>0</v>
      </c>
      <c r="J90" s="81" t="e">
        <f ca="1">'GRs Detail'!$H88</f>
        <v>#NAME?</v>
      </c>
      <c r="K90" s="82" t="str">
        <f>'GRs Detail'!$I88</f>
        <v>mos</v>
      </c>
      <c r="L90" s="73" t="e">
        <f t="shared" ca="1" si="1"/>
        <v>#NAME?</v>
      </c>
      <c r="M90" s="72"/>
      <c r="N90" s="498"/>
    </row>
    <row r="91" spans="3:14" ht="21" customHeight="1" x14ac:dyDescent="0.25">
      <c r="C91" s="494"/>
      <c r="D91" s="62"/>
      <c r="E91" s="69" t="str">
        <f>'GRs Detail'!$E89</f>
        <v>Progress Photos</v>
      </c>
      <c r="F91" s="69"/>
      <c r="G91" s="70"/>
      <c r="H91" s="80"/>
      <c r="I91" s="71">
        <f>'GRs Detail'!$J89</f>
        <v>0</v>
      </c>
      <c r="J91" s="81">
        <f>'GRs Detail'!$H89</f>
        <v>1</v>
      </c>
      <c r="K91" s="82" t="str">
        <f>'GRs Detail'!$I89</f>
        <v>lsum</v>
      </c>
      <c r="L91" s="73">
        <f t="shared" si="1"/>
        <v>0</v>
      </c>
      <c r="M91" s="72"/>
      <c r="N91" s="498"/>
    </row>
    <row r="92" spans="3:14" ht="21" customHeight="1" x14ac:dyDescent="0.25">
      <c r="C92" s="494"/>
      <c r="D92" s="62"/>
      <c r="E92" s="69" t="str">
        <f>'GRs Detail'!$E90</f>
        <v>Aerial Photos</v>
      </c>
      <c r="F92" s="69"/>
      <c r="G92" s="70"/>
      <c r="H92" s="80"/>
      <c r="I92" s="71">
        <f>'GRs Detail'!$J90</f>
        <v>0</v>
      </c>
      <c r="J92" s="81">
        <f>'GRs Detail'!$H90</f>
        <v>1</v>
      </c>
      <c r="K92" s="82" t="str">
        <f>'GRs Detail'!$I90</f>
        <v>lsum</v>
      </c>
      <c r="L92" s="73">
        <f t="shared" si="1"/>
        <v>0</v>
      </c>
      <c r="M92" s="72"/>
      <c r="N92" s="498"/>
    </row>
    <row r="93" spans="3:14" ht="21" customHeight="1" x14ac:dyDescent="0.25">
      <c r="C93" s="494"/>
      <c r="D93" s="62"/>
      <c r="E93" s="69" t="str">
        <f>'GRs Detail'!$E91</f>
        <v>MultiVista</v>
      </c>
      <c r="F93" s="69"/>
      <c r="G93" s="70"/>
      <c r="H93" s="80"/>
      <c r="I93" s="71">
        <f>'GRs Detail'!$J91</f>
        <v>0</v>
      </c>
      <c r="J93" s="81">
        <f>'GRs Detail'!$H91</f>
        <v>1</v>
      </c>
      <c r="K93" s="82" t="str">
        <f>'GRs Detail'!$I91</f>
        <v>lsum</v>
      </c>
      <c r="L93" s="73">
        <f t="shared" si="1"/>
        <v>0</v>
      </c>
      <c r="M93" s="72"/>
      <c r="N93" s="498"/>
    </row>
    <row r="94" spans="3:14" ht="21" customHeight="1" x14ac:dyDescent="0.25">
      <c r="C94" s="494"/>
      <c r="D94" s="62"/>
      <c r="E94" s="69" t="str">
        <f>'GRs Detail'!$E92</f>
        <v>Railway Spotter</v>
      </c>
      <c r="F94" s="69"/>
      <c r="G94" s="70"/>
      <c r="H94" s="80"/>
      <c r="I94" s="71">
        <f>'GRs Detail'!$J92</f>
        <v>0</v>
      </c>
      <c r="J94" s="81" t="e">
        <f ca="1">'GRs Detail'!$H92</f>
        <v>#NAME?</v>
      </c>
      <c r="K94" s="82" t="str">
        <f>'GRs Detail'!$I92</f>
        <v>mos</v>
      </c>
      <c r="L94" s="73" t="e">
        <f t="shared" ca="1" si="1"/>
        <v>#NAME?</v>
      </c>
      <c r="M94" s="72"/>
      <c r="N94" s="498"/>
    </row>
    <row r="95" spans="3:14" ht="21" customHeight="1" x14ac:dyDescent="0.25">
      <c r="C95" s="494"/>
      <c r="D95" s="62"/>
      <c r="E95" s="69" t="str">
        <f>'GRs Detail'!$E93</f>
        <v>Car/Boat Detailing</v>
      </c>
      <c r="F95" s="69"/>
      <c r="G95" s="70"/>
      <c r="H95" s="80"/>
      <c r="I95" s="71">
        <f>'GRs Detail'!$J93</f>
        <v>0</v>
      </c>
      <c r="J95" s="81">
        <f>'GRs Detail'!$H93</f>
        <v>1</v>
      </c>
      <c r="K95" s="82" t="str">
        <f>'GRs Detail'!$I93</f>
        <v>lsum</v>
      </c>
      <c r="L95" s="73">
        <f t="shared" si="1"/>
        <v>0</v>
      </c>
      <c r="M95" s="72"/>
      <c r="N95" s="498"/>
    </row>
    <row r="96" spans="3:14" ht="21" customHeight="1" x14ac:dyDescent="0.25">
      <c r="C96" s="494"/>
      <c r="D96" s="62"/>
      <c r="E96" s="69" t="str">
        <f>'GRs Detail'!$E94</f>
        <v>Clean Adjacent Building</v>
      </c>
      <c r="F96" s="69"/>
      <c r="G96" s="70"/>
      <c r="H96" s="80"/>
      <c r="I96" s="71">
        <f>'GRs Detail'!$J94</f>
        <v>0</v>
      </c>
      <c r="J96" s="81">
        <f>'GRs Detail'!$H94</f>
        <v>1</v>
      </c>
      <c r="K96" s="82" t="str">
        <f>'GRs Detail'!$I94</f>
        <v>lsum</v>
      </c>
      <c r="L96" s="73">
        <f t="shared" si="1"/>
        <v>0</v>
      </c>
      <c r="M96" s="72"/>
      <c r="N96" s="498"/>
    </row>
    <row r="97" spans="3:14" ht="21" customHeight="1" x14ac:dyDescent="0.25">
      <c r="C97" s="494"/>
      <c r="D97" s="62"/>
      <c r="E97" s="69" t="str">
        <f>'GRs Detail'!$E95</f>
        <v>MOT Plan</v>
      </c>
      <c r="F97" s="69"/>
      <c r="G97" s="70"/>
      <c r="H97" s="80"/>
      <c r="I97" s="71">
        <f>'GRs Detail'!$J95</f>
        <v>0</v>
      </c>
      <c r="J97" s="81">
        <f>'GRs Detail'!$H95</f>
        <v>1</v>
      </c>
      <c r="K97" s="82" t="str">
        <f>'GRs Detail'!$I95</f>
        <v>lsum</v>
      </c>
      <c r="L97" s="73">
        <f t="shared" si="1"/>
        <v>0</v>
      </c>
      <c r="M97" s="72"/>
      <c r="N97" s="498"/>
    </row>
    <row r="98" spans="3:14" ht="21" customHeight="1" x14ac:dyDescent="0.25">
      <c r="C98" s="494"/>
      <c r="D98" s="62"/>
      <c r="E98" s="69" t="str">
        <f>'GRs Detail'!$E96</f>
        <v>Miscellaneous Permits</v>
      </c>
      <c r="F98" s="69"/>
      <c r="G98" s="70"/>
      <c r="H98" s="80"/>
      <c r="I98" s="71">
        <f>'GRs Detail'!$J96</f>
        <v>0</v>
      </c>
      <c r="J98" s="81">
        <f>'GRs Detail'!$H96</f>
        <v>1</v>
      </c>
      <c r="K98" s="82" t="str">
        <f>'GRs Detail'!$I96</f>
        <v>lsum</v>
      </c>
      <c r="L98" s="73">
        <f t="shared" si="1"/>
        <v>0</v>
      </c>
      <c r="M98" s="72"/>
      <c r="N98" s="498"/>
    </row>
    <row r="99" spans="3:14" ht="21" customHeight="1" x14ac:dyDescent="0.25">
      <c r="C99" s="494"/>
      <c r="D99" s="62"/>
      <c r="E99" s="69" t="str">
        <f>'GRs Detail'!$E97</f>
        <v>Overtime Inspection Costs</v>
      </c>
      <c r="F99" s="69"/>
      <c r="G99" s="70"/>
      <c r="H99" s="80"/>
      <c r="I99" s="71">
        <f>'GRs Detail'!$J97</f>
        <v>0</v>
      </c>
      <c r="J99" s="81">
        <f>'GRs Detail'!$H97</f>
        <v>1</v>
      </c>
      <c r="K99" s="82" t="str">
        <f>'GRs Detail'!$I97</f>
        <v>lsum</v>
      </c>
      <c r="L99" s="73">
        <f t="shared" si="1"/>
        <v>0</v>
      </c>
      <c r="M99" s="72"/>
      <c r="N99" s="498"/>
    </row>
    <row r="100" spans="3:14" ht="21" customHeight="1" x14ac:dyDescent="0.25">
      <c r="C100" s="494"/>
      <c r="D100" s="62"/>
      <c r="E100" s="69" t="str">
        <f>'GRs Detail'!$E98</f>
        <v>Access Point Turnstiles</v>
      </c>
      <c r="F100" s="69"/>
      <c r="G100" s="70"/>
      <c r="H100" s="80"/>
      <c r="I100" s="71">
        <f>'GRs Detail'!$J98</f>
        <v>0</v>
      </c>
      <c r="J100" s="81">
        <f>'GRs Detail'!$H98</f>
        <v>1</v>
      </c>
      <c r="K100" s="82" t="str">
        <f>'GRs Detail'!$I98</f>
        <v>lsum</v>
      </c>
      <c r="L100" s="73">
        <f t="shared" si="1"/>
        <v>0</v>
      </c>
      <c r="M100" s="72"/>
      <c r="N100" s="498"/>
    </row>
    <row r="101" spans="3:14" ht="21" customHeight="1" x14ac:dyDescent="0.25">
      <c r="C101" s="494"/>
      <c r="D101" s="62"/>
      <c r="E101" s="69" t="str">
        <f>'GRs Detail'!$E99</f>
        <v>Hurricane Preparation</v>
      </c>
      <c r="F101" s="69"/>
      <c r="G101" s="70"/>
      <c r="H101" s="80"/>
      <c r="I101" s="71">
        <f>'GRs Detail'!$J99</f>
        <v>0</v>
      </c>
      <c r="J101" s="81">
        <f>'GRs Detail'!$H99</f>
        <v>1</v>
      </c>
      <c r="K101" s="82" t="str">
        <f>'GRs Detail'!$I99</f>
        <v>lsum</v>
      </c>
      <c r="L101" s="73">
        <f t="shared" si="1"/>
        <v>0</v>
      </c>
      <c r="M101" s="72"/>
      <c r="N101" s="498"/>
    </row>
    <row r="102" spans="3:14" ht="21" customHeight="1" x14ac:dyDescent="0.25">
      <c r="C102" s="494"/>
      <c r="D102" s="62"/>
      <c r="E102" s="69" t="str">
        <f>'GRs Detail'!$E100</f>
        <v>Parking Meter Fees</v>
      </c>
      <c r="F102" s="69"/>
      <c r="G102" s="70"/>
      <c r="H102" s="80"/>
      <c r="I102" s="71">
        <f>'GRs Detail'!$J100</f>
        <v>0</v>
      </c>
      <c r="J102" s="81" t="e">
        <f ca="1">'GRs Detail'!$H100</f>
        <v>#NAME?</v>
      </c>
      <c r="K102" s="82" t="str">
        <f>'GRs Detail'!$I100</f>
        <v>mos</v>
      </c>
      <c r="L102" s="73" t="e">
        <f t="shared" ca="1" si="1"/>
        <v>#NAME?</v>
      </c>
      <c r="M102" s="72"/>
      <c r="N102" s="498"/>
    </row>
    <row r="103" spans="3:14" ht="21" customHeight="1" x14ac:dyDescent="0.25">
      <c r="C103" s="494"/>
      <c r="D103" s="62"/>
      <c r="E103" s="69" t="str">
        <f>'GRs Detail'!$E101</f>
        <v>Off Hours Permit</v>
      </c>
      <c r="F103" s="69"/>
      <c r="G103" s="70"/>
      <c r="H103" s="80"/>
      <c r="I103" s="71">
        <f>'GRs Detail'!$J101</f>
        <v>100</v>
      </c>
      <c r="J103" s="81">
        <f>'GRs Detail'!$H101</f>
        <v>0</v>
      </c>
      <c r="K103" s="82" t="str">
        <f>'GRs Detail'!$I101</f>
        <v>events</v>
      </c>
      <c r="L103" s="73">
        <f t="shared" si="1"/>
        <v>0</v>
      </c>
      <c r="M103" s="72"/>
      <c r="N103" s="498"/>
    </row>
    <row r="104" spans="3:14" ht="21" customHeight="1" x14ac:dyDescent="0.25">
      <c r="C104" s="494"/>
      <c r="D104" s="62"/>
      <c r="E104" s="478">
        <f>'GRs Detail'!$E102</f>
        <v>0</v>
      </c>
      <c r="F104" s="478"/>
      <c r="G104" s="479"/>
      <c r="H104" s="479"/>
      <c r="I104" s="480">
        <f>'GRs Detail'!$J102</f>
        <v>0</v>
      </c>
      <c r="J104" s="481">
        <f>'GRs Detail'!$H102</f>
        <v>0</v>
      </c>
      <c r="K104" s="482">
        <f>'GRs Detail'!$I102</f>
        <v>0</v>
      </c>
      <c r="L104" s="483">
        <f t="shared" si="1"/>
        <v>0</v>
      </c>
      <c r="M104" s="72"/>
      <c r="N104" s="498"/>
    </row>
    <row r="105" spans="3:14" ht="21" customHeight="1" x14ac:dyDescent="0.25">
      <c r="C105" s="494"/>
      <c r="D105" s="62"/>
      <c r="E105" s="63" t="str">
        <f>'GRs Detail'!$E103</f>
        <v>CONSTRUCTION FENCE</v>
      </c>
      <c r="F105" s="500"/>
      <c r="G105" s="479"/>
      <c r="H105" s="479"/>
      <c r="I105" s="480">
        <f>'GRs Detail'!$J103</f>
        <v>0</v>
      </c>
      <c r="J105" s="481">
        <f>'GRs Detail'!$H103</f>
        <v>0</v>
      </c>
      <c r="K105" s="482">
        <f>'GRs Detail'!$I103</f>
        <v>0</v>
      </c>
      <c r="L105" s="483">
        <f t="shared" si="1"/>
        <v>0</v>
      </c>
      <c r="M105" s="72"/>
      <c r="N105" s="498"/>
    </row>
    <row r="106" spans="3:14" ht="21" customHeight="1" x14ac:dyDescent="0.25">
      <c r="C106" s="494"/>
      <c r="D106" s="62"/>
      <c r="E106" s="69" t="str">
        <f>'GRs Detail'!$E104</f>
        <v>Jersey Barriers</v>
      </c>
      <c r="F106" s="69"/>
      <c r="G106" s="70"/>
      <c r="H106" s="80"/>
      <c r="I106" s="71">
        <f>'GRs Detail'!$J104</f>
        <v>12</v>
      </c>
      <c r="J106" s="81">
        <f>'GRs Detail'!$H104</f>
        <v>0</v>
      </c>
      <c r="K106" s="82" t="str">
        <f>'GRs Detail'!$I104</f>
        <v>lf/month</v>
      </c>
      <c r="L106" s="73">
        <f t="shared" si="1"/>
        <v>0</v>
      </c>
      <c r="M106" s="72"/>
      <c r="N106" s="498"/>
    </row>
    <row r="107" spans="3:14" ht="21" customHeight="1" x14ac:dyDescent="0.25">
      <c r="C107" s="494"/>
      <c r="D107" s="62"/>
      <c r="E107" s="69" t="str">
        <f>'GRs Detail'!$E105</f>
        <v>Fence on top of Jersey Barriers</v>
      </c>
      <c r="F107" s="69"/>
      <c r="G107" s="70"/>
      <c r="H107" s="80"/>
      <c r="I107" s="71">
        <f>'GRs Detail'!$J105</f>
        <v>10</v>
      </c>
      <c r="J107" s="81">
        <f>'GRs Detail'!$H105</f>
        <v>0</v>
      </c>
      <c r="K107" s="82" t="str">
        <f>'GRs Detail'!$I105</f>
        <v>lf</v>
      </c>
      <c r="L107" s="73">
        <f t="shared" si="1"/>
        <v>0</v>
      </c>
      <c r="M107" s="72"/>
      <c r="N107" s="498"/>
    </row>
    <row r="108" spans="3:14" ht="21" customHeight="1" x14ac:dyDescent="0.25">
      <c r="C108" s="494"/>
      <c r="D108" s="62"/>
      <c r="E108" s="69" t="str">
        <f>'GRs Detail'!$E106</f>
        <v>Chain Link Fence</v>
      </c>
      <c r="F108" s="69"/>
      <c r="G108" s="70"/>
      <c r="H108" s="80"/>
      <c r="I108" s="71">
        <f>'GRs Detail'!$J106</f>
        <v>18</v>
      </c>
      <c r="J108" s="81">
        <f>'GRs Detail'!$H106</f>
        <v>0</v>
      </c>
      <c r="K108" s="82" t="str">
        <f>'GRs Detail'!$I106</f>
        <v>lf</v>
      </c>
      <c r="L108" s="73">
        <f t="shared" si="1"/>
        <v>0</v>
      </c>
      <c r="M108" s="72"/>
      <c r="N108" s="498"/>
    </row>
    <row r="109" spans="3:14" ht="21" customHeight="1" x14ac:dyDescent="0.25">
      <c r="C109" s="494"/>
      <c r="D109" s="62"/>
      <c r="E109" s="69" t="str">
        <f>'GRs Detail'!$E107</f>
        <v>Windscreen/Scrim/Red Ribbon</v>
      </c>
      <c r="F109" s="69"/>
      <c r="G109" s="70"/>
      <c r="H109" s="80"/>
      <c r="I109" s="71">
        <f>'GRs Detail'!$J107</f>
        <v>0</v>
      </c>
      <c r="J109" s="81">
        <f>'GRs Detail'!$H107</f>
        <v>0</v>
      </c>
      <c r="K109" s="82" t="str">
        <f>'GRs Detail'!$I107</f>
        <v>lf</v>
      </c>
      <c r="L109" s="73">
        <f t="shared" si="1"/>
        <v>0</v>
      </c>
      <c r="M109" s="72"/>
      <c r="N109" s="498"/>
    </row>
    <row r="110" spans="3:14" ht="21" customHeight="1" x14ac:dyDescent="0.25">
      <c r="C110" s="494"/>
      <c r="D110" s="62"/>
      <c r="E110" s="69" t="str">
        <f>'GRs Detail'!$E108</f>
        <v>Water Barriers</v>
      </c>
      <c r="F110" s="69"/>
      <c r="G110" s="70"/>
      <c r="H110" s="80"/>
      <c r="I110" s="71">
        <f>'GRs Detail'!$J108</f>
        <v>0</v>
      </c>
      <c r="J110" s="81">
        <f>'GRs Detail'!$H108</f>
        <v>0</v>
      </c>
      <c r="K110" s="82" t="str">
        <f>'GRs Detail'!$I108</f>
        <v>lf</v>
      </c>
      <c r="L110" s="73">
        <f t="shared" si="1"/>
        <v>0</v>
      </c>
      <c r="M110" s="72"/>
      <c r="N110" s="498"/>
    </row>
    <row r="111" spans="3:14" ht="21" customHeight="1" x14ac:dyDescent="0.25">
      <c r="C111" s="494"/>
      <c r="D111" s="62"/>
      <c r="E111" s="69" t="str">
        <f>'GRs Detail'!$E109</f>
        <v>Gates</v>
      </c>
      <c r="F111" s="69"/>
      <c r="G111" s="70"/>
      <c r="H111" s="80"/>
      <c r="I111" s="71">
        <f>'GRs Detail'!$J109</f>
        <v>500</v>
      </c>
      <c r="J111" s="81">
        <f>'GRs Detail'!$H109</f>
        <v>0</v>
      </c>
      <c r="K111" s="82" t="str">
        <f>'GRs Detail'!$I109</f>
        <v>ea</v>
      </c>
      <c r="L111" s="73">
        <f t="shared" si="1"/>
        <v>0</v>
      </c>
      <c r="M111" s="72"/>
      <c r="N111" s="498"/>
    </row>
    <row r="112" spans="3:14" ht="21" customHeight="1" x14ac:dyDescent="0.25">
      <c r="C112" s="494"/>
      <c r="D112" s="62"/>
      <c r="E112" s="69" t="str">
        <f>'GRs Detail'!$E110</f>
        <v>Maintenance &amp; Relocations</v>
      </c>
      <c r="F112" s="69"/>
      <c r="G112" s="70"/>
      <c r="H112" s="80"/>
      <c r="I112" s="71">
        <f>'GRs Detail'!$J110</f>
        <v>0</v>
      </c>
      <c r="J112" s="81" t="e">
        <f ca="1">'GRs Detail'!$H110</f>
        <v>#NAME?</v>
      </c>
      <c r="K112" s="82" t="str">
        <f>'GRs Detail'!$I110</f>
        <v>wks</v>
      </c>
      <c r="L112" s="73" t="e">
        <f t="shared" ca="1" si="1"/>
        <v>#NAME?</v>
      </c>
      <c r="M112" s="72"/>
      <c r="N112" s="498"/>
    </row>
    <row r="113" spans="3:14" ht="21" customHeight="1" x14ac:dyDescent="0.25">
      <c r="C113" s="494"/>
      <c r="D113" s="62"/>
      <c r="E113" s="69" t="str">
        <f>'GRs Detail'!$E111</f>
        <v>Fence Removal</v>
      </c>
      <c r="F113" s="69"/>
      <c r="G113" s="70"/>
      <c r="H113" s="80"/>
      <c r="I113" s="71">
        <f>'GRs Detail'!$J111</f>
        <v>0</v>
      </c>
      <c r="J113" s="81">
        <f>'GRs Detail'!$H111</f>
        <v>0</v>
      </c>
      <c r="K113" s="82" t="str">
        <f>'GRs Detail'!$I111</f>
        <v>lf</v>
      </c>
      <c r="L113" s="73">
        <f t="shared" si="1"/>
        <v>0</v>
      </c>
      <c r="M113" s="72"/>
      <c r="N113" s="498"/>
    </row>
    <row r="114" spans="3:14" ht="21" customHeight="1" x14ac:dyDescent="0.25">
      <c r="C114" s="494"/>
      <c r="D114" s="62"/>
      <c r="E114" s="69" t="str">
        <f>'GRs Detail'!$E112</f>
        <v>Laborer to Open &amp; Close Gates</v>
      </c>
      <c r="F114" s="69"/>
      <c r="G114" s="70"/>
      <c r="H114" s="80"/>
      <c r="I114" s="71">
        <f>'GRs Detail'!$J112</f>
        <v>0</v>
      </c>
      <c r="J114" s="81">
        <f>'GRs Detail'!$H112</f>
        <v>0</v>
      </c>
      <c r="K114" s="82" t="str">
        <f>'GRs Detail'!$I112</f>
        <v>hrs</v>
      </c>
      <c r="L114" s="73">
        <f t="shared" si="1"/>
        <v>0</v>
      </c>
      <c r="M114" s="72"/>
      <c r="N114" s="498"/>
    </row>
    <row r="115" spans="3:14" ht="21" customHeight="1" x14ac:dyDescent="0.25">
      <c r="C115" s="494"/>
      <c r="D115" s="62"/>
      <c r="E115" s="478">
        <f>'GRs Detail'!$E113</f>
        <v>0</v>
      </c>
      <c r="F115" s="478"/>
      <c r="G115" s="479"/>
      <c r="H115" s="479"/>
      <c r="I115" s="480">
        <f>'GRs Detail'!$J113</f>
        <v>0</v>
      </c>
      <c r="J115" s="481">
        <f>'GRs Detail'!$H113</f>
        <v>0</v>
      </c>
      <c r="K115" s="482">
        <f>'GRs Detail'!$I113</f>
        <v>0</v>
      </c>
      <c r="L115" s="483">
        <f t="shared" si="1"/>
        <v>0</v>
      </c>
      <c r="M115" s="72"/>
      <c r="N115" s="498"/>
    </row>
    <row r="116" spans="3:14" ht="21" customHeight="1" x14ac:dyDescent="0.25">
      <c r="C116" s="494"/>
      <c r="D116" s="62"/>
      <c r="E116" s="63" t="str">
        <f>'GRs Detail'!$E114</f>
        <v>SAFETY SUPPLIES &amp; EQUIPMENT</v>
      </c>
      <c r="F116" s="500"/>
      <c r="G116" s="479"/>
      <c r="H116" s="479"/>
      <c r="I116" s="480">
        <f>'GRs Detail'!$J114</f>
        <v>0</v>
      </c>
      <c r="J116" s="481">
        <f>'GRs Detail'!$H114</f>
        <v>0</v>
      </c>
      <c r="K116" s="482">
        <f>'GRs Detail'!$I114</f>
        <v>0</v>
      </c>
      <c r="L116" s="483">
        <f t="shared" si="1"/>
        <v>0</v>
      </c>
      <c r="M116" s="72"/>
      <c r="N116" s="498"/>
    </row>
    <row r="117" spans="3:14" ht="21" customHeight="1" x14ac:dyDescent="0.25">
      <c r="C117" s="494"/>
      <c r="D117" s="62"/>
      <c r="E117" s="69" t="str">
        <f>'GRs Detail'!$E115</f>
        <v>Temporary Fire Extinguishers &amp; Stands</v>
      </c>
      <c r="F117" s="69"/>
      <c r="G117" s="70"/>
      <c r="H117" s="80"/>
      <c r="I117" s="71">
        <f>'GRs Detail'!$J115</f>
        <v>200</v>
      </c>
      <c r="J117" s="81">
        <f>'GRs Detail'!$H115</f>
        <v>0</v>
      </c>
      <c r="K117" s="82" t="str">
        <f>'GRs Detail'!$I115</f>
        <v>ea</v>
      </c>
      <c r="L117" s="73">
        <f t="shared" si="1"/>
        <v>0</v>
      </c>
      <c r="M117" s="72"/>
      <c r="N117" s="498"/>
    </row>
    <row r="118" spans="3:14" ht="21" customHeight="1" x14ac:dyDescent="0.25">
      <c r="C118" s="494"/>
      <c r="D118" s="62"/>
      <c r="E118" s="69" t="str">
        <f>'GRs Detail'!$E116</f>
        <v>Temporary Signage</v>
      </c>
      <c r="F118" s="69"/>
      <c r="G118" s="70"/>
      <c r="H118" s="80"/>
      <c r="I118" s="71">
        <f>'GRs Detail'!$J116</f>
        <v>0</v>
      </c>
      <c r="J118" s="81">
        <f>'GRs Detail'!$H116</f>
        <v>1</v>
      </c>
      <c r="K118" s="82" t="str">
        <f>'GRs Detail'!$I116</f>
        <v>lsum</v>
      </c>
      <c r="L118" s="73">
        <f t="shared" si="1"/>
        <v>0</v>
      </c>
      <c r="M118" s="72"/>
      <c r="N118" s="498"/>
    </row>
    <row r="119" spans="3:14" ht="21" customHeight="1" x14ac:dyDescent="0.25">
      <c r="C119" s="494"/>
      <c r="D119" s="62"/>
      <c r="E119" s="69" t="str">
        <f>'GRs Detail'!$E117</f>
        <v>First Aid Supplies</v>
      </c>
      <c r="F119" s="69"/>
      <c r="G119" s="70"/>
      <c r="H119" s="80"/>
      <c r="I119" s="71">
        <f>'GRs Detail'!$J117</f>
        <v>0</v>
      </c>
      <c r="J119" s="81" t="e">
        <f ca="1">'GRs Detail'!$H117</f>
        <v>#NAME?</v>
      </c>
      <c r="K119" s="82" t="str">
        <f>'GRs Detail'!$I117</f>
        <v>mos</v>
      </c>
      <c r="L119" s="73" t="e">
        <f t="shared" ca="1" si="1"/>
        <v>#NAME?</v>
      </c>
      <c r="M119" s="72"/>
      <c r="N119" s="498"/>
    </row>
    <row r="120" spans="3:14" ht="21" customHeight="1" x14ac:dyDescent="0.25">
      <c r="C120" s="494"/>
      <c r="D120" s="62"/>
      <c r="E120" s="69" t="str">
        <f>'GRs Detail'!$E118</f>
        <v>Shanty Protection - smoke detector &amp; fire extinguisher</v>
      </c>
      <c r="F120" s="69"/>
      <c r="G120" s="70"/>
      <c r="H120" s="80"/>
      <c r="I120" s="71">
        <f>'GRs Detail'!$J118</f>
        <v>200</v>
      </c>
      <c r="J120" s="81">
        <f>'GRs Detail'!$H118</f>
        <v>0</v>
      </c>
      <c r="K120" s="82" t="str">
        <f>'GRs Detail'!$I118</f>
        <v>ea</v>
      </c>
      <c r="L120" s="73">
        <f t="shared" si="1"/>
        <v>0</v>
      </c>
      <c r="M120" s="72"/>
      <c r="N120" s="498"/>
    </row>
    <row r="121" spans="3:14" ht="21" customHeight="1" x14ac:dyDescent="0.25">
      <c r="C121" s="494"/>
      <c r="D121" s="62"/>
      <c r="E121" s="69" t="str">
        <f>'GRs Detail'!$E119</f>
        <v>Shanty Protection - NYC Sprinkler Kit (not required yet - over 40 stories only)</v>
      </c>
      <c r="F121" s="69"/>
      <c r="G121" s="70"/>
      <c r="H121" s="80"/>
      <c r="I121" s="71">
        <f>'GRs Detail'!$J119</f>
        <v>750</v>
      </c>
      <c r="J121" s="81">
        <f>'GRs Detail'!$H119</f>
        <v>0</v>
      </c>
      <c r="K121" s="82" t="str">
        <f>'GRs Detail'!$I119</f>
        <v>ea</v>
      </c>
      <c r="L121" s="73">
        <f t="shared" si="1"/>
        <v>0</v>
      </c>
      <c r="M121" s="72"/>
      <c r="N121" s="498"/>
    </row>
    <row r="122" spans="3:14" ht="21" customHeight="1" x14ac:dyDescent="0.25">
      <c r="C122" s="494"/>
      <c r="D122" s="62"/>
      <c r="E122" s="69" t="str">
        <f>'GRs Detail'!$E120</f>
        <v>Fire Department Post (signage, gang box, keys, plans, etc. - over 40 stories only)</v>
      </c>
      <c r="F122" s="69"/>
      <c r="G122" s="70"/>
      <c r="H122" s="80"/>
      <c r="I122" s="71">
        <f>'GRs Detail'!$J120</f>
        <v>5000</v>
      </c>
      <c r="J122" s="81">
        <f>'GRs Detail'!$H120</f>
        <v>0</v>
      </c>
      <c r="K122" s="82" t="str">
        <f>'GRs Detail'!$I120</f>
        <v>ea</v>
      </c>
      <c r="L122" s="73">
        <f t="shared" si="1"/>
        <v>0</v>
      </c>
      <c r="M122" s="72"/>
      <c r="N122" s="498"/>
    </row>
    <row r="123" spans="3:14" ht="21" customHeight="1" x14ac:dyDescent="0.25">
      <c r="C123" s="494"/>
      <c r="D123" s="62"/>
      <c r="E123" s="69" t="str">
        <f>'GRs Detail'!$E121</f>
        <v>Creation of Temp. Fire Protection Plan (over 40 stories only)</v>
      </c>
      <c r="F123" s="69"/>
      <c r="G123" s="70"/>
      <c r="H123" s="80"/>
      <c r="I123" s="71">
        <f>'GRs Detail'!$J121</f>
        <v>25000</v>
      </c>
      <c r="J123" s="81">
        <f>'GRs Detail'!$H121</f>
        <v>0</v>
      </c>
      <c r="K123" s="82" t="str">
        <f>'GRs Detail'!$I121</f>
        <v>ea</v>
      </c>
      <c r="L123" s="73">
        <f t="shared" si="1"/>
        <v>0</v>
      </c>
      <c r="M123" s="72"/>
      <c r="N123" s="498"/>
    </row>
    <row r="124" spans="3:14" ht="21" customHeight="1" x14ac:dyDescent="0.25">
      <c r="C124" s="494"/>
      <c r="D124" s="62"/>
      <c r="E124" s="69" t="str">
        <f>'GRs Detail'!$E122</f>
        <v>Misc. Safety Supplies (hard hats, safety glasses, harnesses, etc)</v>
      </c>
      <c r="F124" s="69"/>
      <c r="G124" s="70"/>
      <c r="H124" s="80"/>
      <c r="I124" s="71">
        <f>'GRs Detail'!$J122</f>
        <v>0</v>
      </c>
      <c r="J124" s="81" t="e">
        <f ca="1">'GRs Detail'!$H122</f>
        <v>#NAME?</v>
      </c>
      <c r="K124" s="82" t="str">
        <f>'GRs Detail'!$I122</f>
        <v>mos</v>
      </c>
      <c r="L124" s="73" t="e">
        <f t="shared" ca="1" si="1"/>
        <v>#NAME?</v>
      </c>
      <c r="M124" s="72"/>
      <c r="N124" s="498"/>
    </row>
    <row r="125" spans="3:14" ht="21" customHeight="1" x14ac:dyDescent="0.25">
      <c r="C125" s="494"/>
      <c r="D125" s="62"/>
      <c r="E125" s="478">
        <f>'GRs Detail'!$E123</f>
        <v>0</v>
      </c>
      <c r="F125" s="478"/>
      <c r="G125" s="479"/>
      <c r="H125" s="479"/>
      <c r="I125" s="480">
        <f>'GRs Detail'!$J123</f>
        <v>0</v>
      </c>
      <c r="J125" s="481">
        <f>'GRs Detail'!$H123</f>
        <v>0</v>
      </c>
      <c r="K125" s="482">
        <f>'GRs Detail'!$I123</f>
        <v>0</v>
      </c>
      <c r="L125" s="483">
        <f t="shared" si="1"/>
        <v>0</v>
      </c>
      <c r="M125" s="72"/>
      <c r="N125" s="498"/>
    </row>
    <row r="126" spans="3:14" ht="21" customHeight="1" x14ac:dyDescent="0.25">
      <c r="C126" s="494"/>
      <c r="D126" s="62"/>
      <c r="E126" s="63" t="str">
        <f>'GRs Detail'!$E125</f>
        <v>MISC LABOR &amp; CLEANING</v>
      </c>
      <c r="F126" s="500"/>
      <c r="G126" s="479"/>
      <c r="H126" s="479"/>
      <c r="I126" s="480">
        <f>'GRs Detail'!$J125</f>
        <v>0</v>
      </c>
      <c r="J126" s="481">
        <f>'GRs Detail'!$H125</f>
        <v>0</v>
      </c>
      <c r="K126" s="482">
        <f>'GRs Detail'!$I125</f>
        <v>0</v>
      </c>
      <c r="L126" s="483">
        <f t="shared" si="1"/>
        <v>0</v>
      </c>
      <c r="M126" s="72"/>
      <c r="N126" s="498"/>
    </row>
    <row r="127" spans="3:14" ht="21" customHeight="1" x14ac:dyDescent="0.25">
      <c r="C127" s="494"/>
      <c r="D127" s="62"/>
      <c r="E127" s="69" t="str">
        <f>'GRs Detail'!$E126</f>
        <v>Materials</v>
      </c>
      <c r="F127" s="69"/>
      <c r="G127" s="70"/>
      <c r="H127" s="80"/>
      <c r="I127" s="71">
        <f>'GRs Detail'!$J126</f>
        <v>0</v>
      </c>
      <c r="J127" s="81" t="e">
        <f ca="1">'GRs Detail'!$H126</f>
        <v>#NAME?</v>
      </c>
      <c r="K127" s="82" t="str">
        <f>'GRs Detail'!$I126</f>
        <v>mos</v>
      </c>
      <c r="L127" s="73" t="e">
        <f t="shared" ca="1" si="1"/>
        <v>#NAME?</v>
      </c>
      <c r="M127" s="72"/>
      <c r="N127" s="498"/>
    </row>
    <row r="128" spans="3:14" ht="21" customHeight="1" x14ac:dyDescent="0.25">
      <c r="C128" s="494"/>
      <c r="D128" s="62"/>
      <c r="E128" s="69" t="str">
        <f>'GRs Detail'!$E127</f>
        <v>Cleaning Supplies</v>
      </c>
      <c r="F128" s="69"/>
      <c r="G128" s="70"/>
      <c r="H128" s="80"/>
      <c r="I128" s="71">
        <f>'GRs Detail'!$J127</f>
        <v>0</v>
      </c>
      <c r="J128" s="81" t="e">
        <f ca="1">'GRs Detail'!$H127</f>
        <v>#NAME?</v>
      </c>
      <c r="K128" s="82" t="str">
        <f>'GRs Detail'!$I127</f>
        <v>mos</v>
      </c>
      <c r="L128" s="73" t="e">
        <f t="shared" ca="1" si="1"/>
        <v>#NAME?</v>
      </c>
      <c r="M128" s="72"/>
      <c r="N128" s="498"/>
    </row>
    <row r="129" spans="3:14" ht="21" customHeight="1" x14ac:dyDescent="0.25">
      <c r="C129" s="494"/>
      <c r="D129" s="62"/>
      <c r="E129" s="69" t="str">
        <f>'GRs Detail'!$E128</f>
        <v>Cleaning Site</v>
      </c>
      <c r="F129" s="69"/>
      <c r="G129" s="70"/>
      <c r="H129" s="80"/>
      <c r="I129" s="71">
        <f>'GRs Detail'!$J128</f>
        <v>0</v>
      </c>
      <c r="J129" s="81">
        <f>'GRs Detail'!$H128</f>
        <v>0</v>
      </c>
      <c r="K129" s="82" t="str">
        <f>'GRs Detail'!$I128</f>
        <v>hrs</v>
      </c>
      <c r="L129" s="73">
        <f t="shared" si="1"/>
        <v>0</v>
      </c>
      <c r="M129" s="72"/>
      <c r="N129" s="498"/>
    </row>
    <row r="130" spans="3:14" ht="21" customHeight="1" x14ac:dyDescent="0.25">
      <c r="C130" s="494"/>
      <c r="D130" s="62"/>
      <c r="E130" s="69" t="str">
        <f>'GRs Detail'!$E129</f>
        <v>Cleaning Trailers/Office</v>
      </c>
      <c r="F130" s="69"/>
      <c r="G130" s="70"/>
      <c r="H130" s="80"/>
      <c r="I130" s="71">
        <f>'GRs Detail'!$J129</f>
        <v>0</v>
      </c>
      <c r="J130" s="81">
        <f>'GRs Detail'!$H129</f>
        <v>0</v>
      </c>
      <c r="K130" s="82" t="str">
        <f>'GRs Detail'!$I129</f>
        <v>hrs</v>
      </c>
      <c r="L130" s="73">
        <f t="shared" si="1"/>
        <v>0</v>
      </c>
      <c r="M130" s="72"/>
      <c r="N130" s="498"/>
    </row>
    <row r="131" spans="3:14" ht="21" customHeight="1" x14ac:dyDescent="0.25">
      <c r="C131" s="494"/>
      <c r="D131" s="62"/>
      <c r="E131" s="69" t="str">
        <f>'GRs Detail'!$E130</f>
        <v>Rubbish Chute</v>
      </c>
      <c r="F131" s="69"/>
      <c r="G131" s="70"/>
      <c r="H131" s="80"/>
      <c r="I131" s="71">
        <f>'GRs Detail'!$J130</f>
        <v>2000</v>
      </c>
      <c r="J131" s="81">
        <f>'GRs Detail'!$H130</f>
        <v>0</v>
      </c>
      <c r="K131" s="82" t="str">
        <f>'GRs Detail'!$I130</f>
        <v>floors</v>
      </c>
      <c r="L131" s="73">
        <f t="shared" si="1"/>
        <v>0</v>
      </c>
      <c r="M131" s="72"/>
      <c r="N131" s="498"/>
    </row>
    <row r="132" spans="3:14" ht="21" customHeight="1" x14ac:dyDescent="0.25">
      <c r="C132" s="494"/>
      <c r="D132" s="62"/>
      <c r="E132" s="69" t="str">
        <f>'GRs Detail'!$E131</f>
        <v>Waste Management Plan</v>
      </c>
      <c r="F132" s="69"/>
      <c r="G132" s="70"/>
      <c r="H132" s="80"/>
      <c r="I132" s="71">
        <f>'GRs Detail'!$J131</f>
        <v>2000</v>
      </c>
      <c r="J132" s="81">
        <f>'GRs Detail'!$H131</f>
        <v>1</v>
      </c>
      <c r="K132" s="82" t="str">
        <f>'GRs Detail'!$I131</f>
        <v>lsum</v>
      </c>
      <c r="L132" s="73">
        <f t="shared" si="1"/>
        <v>2000</v>
      </c>
      <c r="M132" s="72"/>
      <c r="N132" s="498"/>
    </row>
    <row r="133" spans="3:14" ht="21" customHeight="1" x14ac:dyDescent="0.25">
      <c r="C133" s="494"/>
      <c r="D133" s="62"/>
      <c r="E133" s="69" t="str">
        <f>'GRs Detail'!$E132</f>
        <v>Final Cleaning - Building</v>
      </c>
      <c r="F133" s="69"/>
      <c r="G133" s="70"/>
      <c r="H133" s="80"/>
      <c r="I133" s="71">
        <f>'GRs Detail'!$J132</f>
        <v>0</v>
      </c>
      <c r="J133" s="81">
        <f>'GRs Detail'!$H132</f>
        <v>0</v>
      </c>
      <c r="K133" s="82" t="str">
        <f>'GRs Detail'!$I132</f>
        <v>sf</v>
      </c>
      <c r="L133" s="73">
        <f t="shared" si="1"/>
        <v>0</v>
      </c>
      <c r="M133" s="72"/>
      <c r="N133" s="498"/>
    </row>
    <row r="134" spans="3:14" ht="21" customHeight="1" x14ac:dyDescent="0.25">
      <c r="C134" s="494"/>
      <c r="D134" s="62"/>
      <c r="E134" s="69" t="str">
        <f>'GRs Detail'!$E133</f>
        <v>Final Cleaning - Parking</v>
      </c>
      <c r="F134" s="69"/>
      <c r="G134" s="70"/>
      <c r="H134" s="80"/>
      <c r="I134" s="71">
        <f>'GRs Detail'!$J133</f>
        <v>0</v>
      </c>
      <c r="J134" s="81">
        <f>'GRs Detail'!$H133</f>
        <v>0</v>
      </c>
      <c r="K134" s="82" t="str">
        <f>'GRs Detail'!$I133</f>
        <v>sf</v>
      </c>
      <c r="L134" s="73">
        <f t="shared" si="1"/>
        <v>0</v>
      </c>
      <c r="M134" s="72"/>
      <c r="N134" s="498"/>
    </row>
    <row r="135" spans="3:14" ht="21" customHeight="1" x14ac:dyDescent="0.25">
      <c r="C135" s="494"/>
      <c r="D135" s="62"/>
      <c r="E135" s="69" t="str">
        <f>'GRs Detail'!$E134</f>
        <v>Final Clean - Exterior Windows</v>
      </c>
      <c r="F135" s="69"/>
      <c r="G135" s="70"/>
      <c r="H135" s="80"/>
      <c r="I135" s="71">
        <f>'GRs Detail'!$J134</f>
        <v>0</v>
      </c>
      <c r="J135" s="81">
        <f>'GRs Detail'!$H134</f>
        <v>0</v>
      </c>
      <c r="K135" s="82" t="str">
        <f>'GRs Detail'!$I134</f>
        <v>sf</v>
      </c>
      <c r="L135" s="73">
        <f t="shared" si="1"/>
        <v>0</v>
      </c>
      <c r="M135" s="72"/>
      <c r="N135" s="498"/>
    </row>
    <row r="136" spans="3:14" ht="21" customHeight="1" x14ac:dyDescent="0.25">
      <c r="C136" s="494"/>
      <c r="D136" s="62"/>
      <c r="E136" s="69" t="str">
        <f>'GRs Detail'!$E135</f>
        <v>Pre-Clean - Exterior Windows</v>
      </c>
      <c r="F136" s="69"/>
      <c r="G136" s="70"/>
      <c r="H136" s="80"/>
      <c r="I136" s="71">
        <f>'GRs Detail'!$J135</f>
        <v>0</v>
      </c>
      <c r="J136" s="81">
        <f>'GRs Detail'!$H135</f>
        <v>0</v>
      </c>
      <c r="K136" s="82" t="str">
        <f>'GRs Detail'!$I135</f>
        <v>sf</v>
      </c>
      <c r="L136" s="73">
        <f t="shared" si="1"/>
        <v>0</v>
      </c>
      <c r="M136" s="72"/>
      <c r="N136" s="498"/>
    </row>
    <row r="137" spans="3:14" ht="21" customHeight="1" x14ac:dyDescent="0.25">
      <c r="C137" s="494"/>
      <c r="D137" s="62"/>
      <c r="E137" s="69" t="str">
        <f>'GRs Detail'!$E136</f>
        <v>Final Clean - Interiors</v>
      </c>
      <c r="F137" s="69"/>
      <c r="G137" s="70"/>
      <c r="H137" s="80"/>
      <c r="I137" s="71">
        <f>'GRs Detail'!$J136</f>
        <v>0</v>
      </c>
      <c r="J137" s="81">
        <f>'GRs Detail'!$H136</f>
        <v>0</v>
      </c>
      <c r="K137" s="82" t="str">
        <f>'GRs Detail'!$I136</f>
        <v>sf</v>
      </c>
      <c r="L137" s="73">
        <f t="shared" si="1"/>
        <v>0</v>
      </c>
      <c r="M137" s="72"/>
      <c r="N137" s="498"/>
    </row>
    <row r="138" spans="3:14" ht="21" customHeight="1" x14ac:dyDescent="0.25">
      <c r="C138" s="494"/>
      <c r="D138" s="62"/>
      <c r="E138" s="69" t="str">
        <f>'GRs Detail'!$E137</f>
        <v>Pre-Clean - Interiors</v>
      </c>
      <c r="F138" s="69"/>
      <c r="G138" s="70"/>
      <c r="H138" s="80"/>
      <c r="I138" s="71">
        <f>'GRs Detail'!$J137</f>
        <v>0</v>
      </c>
      <c r="J138" s="81">
        <f>'GRs Detail'!$H137</f>
        <v>0</v>
      </c>
      <c r="K138" s="82" t="str">
        <f>'GRs Detail'!$I137</f>
        <v>sf</v>
      </c>
      <c r="L138" s="73">
        <f t="shared" ref="L138:L200" si="2">$I138*$J138</f>
        <v>0</v>
      </c>
      <c r="M138" s="72"/>
      <c r="N138" s="498"/>
    </row>
    <row r="139" spans="3:14" ht="21" customHeight="1" x14ac:dyDescent="0.25">
      <c r="C139" s="494"/>
      <c r="D139" s="62"/>
      <c r="E139" s="478">
        <f>'GRs Detail'!$E138</f>
        <v>0</v>
      </c>
      <c r="F139" s="478"/>
      <c r="G139" s="479"/>
      <c r="H139" s="479"/>
      <c r="I139" s="480">
        <f>'GRs Detail'!$J138</f>
        <v>0</v>
      </c>
      <c r="J139" s="481">
        <f>'GRs Detail'!$H138</f>
        <v>0</v>
      </c>
      <c r="K139" s="482">
        <f>'GRs Detail'!$I138</f>
        <v>0</v>
      </c>
      <c r="L139" s="483">
        <f t="shared" si="2"/>
        <v>0</v>
      </c>
      <c r="M139" s="72"/>
      <c r="N139" s="498"/>
    </row>
    <row r="140" spans="3:14" ht="21" customHeight="1" x14ac:dyDescent="0.25">
      <c r="C140" s="494"/>
      <c r="D140" s="62"/>
      <c r="E140" s="63" t="str">
        <f>'GRs Detail'!$E139</f>
        <v>TEMPORARY SAFETY &amp; PROTECTION</v>
      </c>
      <c r="F140" s="500"/>
      <c r="G140" s="479"/>
      <c r="H140" s="479"/>
      <c r="I140" s="480">
        <f>'GRs Detail'!$J139</f>
        <v>0</v>
      </c>
      <c r="J140" s="481">
        <f>'GRs Detail'!$H139</f>
        <v>0</v>
      </c>
      <c r="K140" s="482">
        <f>'GRs Detail'!$I139</f>
        <v>0</v>
      </c>
      <c r="L140" s="483">
        <f t="shared" si="2"/>
        <v>0</v>
      </c>
      <c r="M140" s="72"/>
      <c r="N140" s="498"/>
    </row>
    <row r="141" spans="3:14" ht="21" customHeight="1" x14ac:dyDescent="0.25">
      <c r="C141" s="494"/>
      <c r="D141" s="62"/>
      <c r="E141" s="69" t="str">
        <f>'GRs Detail'!$E140</f>
        <v>Materials</v>
      </c>
      <c r="F141" s="69"/>
      <c r="G141" s="70"/>
      <c r="H141" s="80"/>
      <c r="I141" s="71">
        <f>'GRs Detail'!$J140</f>
        <v>0</v>
      </c>
      <c r="J141" s="81">
        <f>'GRs Detail'!$H140</f>
        <v>0</v>
      </c>
      <c r="K141" s="82" t="str">
        <f>'GRs Detail'!$I140</f>
        <v>lsum</v>
      </c>
      <c r="L141" s="73">
        <f t="shared" si="2"/>
        <v>0</v>
      </c>
      <c r="M141" s="72"/>
      <c r="N141" s="498"/>
    </row>
    <row r="142" spans="3:14" ht="21" customHeight="1" x14ac:dyDescent="0.25">
      <c r="C142" s="494"/>
      <c r="D142" s="62"/>
      <c r="E142" s="69" t="str">
        <f>'GRs Detail'!$E141</f>
        <v>Temporary Stairs</v>
      </c>
      <c r="F142" s="69"/>
      <c r="G142" s="70"/>
      <c r="H142" s="80"/>
      <c r="I142" s="71">
        <f>'GRs Detail'!$J141</f>
        <v>0</v>
      </c>
      <c r="J142" s="81">
        <f>'GRs Detail'!$H141</f>
        <v>0</v>
      </c>
      <c r="K142" s="82" t="str">
        <f>'GRs Detail'!$I141</f>
        <v>ea</v>
      </c>
      <c r="L142" s="73">
        <f t="shared" si="2"/>
        <v>0</v>
      </c>
      <c r="M142" s="72"/>
      <c r="N142" s="498"/>
    </row>
    <row r="143" spans="3:14" ht="21" customHeight="1" x14ac:dyDescent="0.25">
      <c r="C143" s="494"/>
      <c r="D143" s="62"/>
      <c r="E143" s="69" t="str">
        <f>'GRs Detail'!$E142</f>
        <v>Perimeter Fall Protection</v>
      </c>
      <c r="F143" s="69"/>
      <c r="G143" s="70"/>
      <c r="H143" s="80"/>
      <c r="I143" s="71">
        <f>'GRs Detail'!$J142</f>
        <v>0</v>
      </c>
      <c r="J143" s="81">
        <f>'GRs Detail'!$H142</f>
        <v>0</v>
      </c>
      <c r="K143" s="82" t="str">
        <f>'GRs Detail'!$I142</f>
        <v>lsum</v>
      </c>
      <c r="L143" s="73">
        <f t="shared" si="2"/>
        <v>0</v>
      </c>
      <c r="M143" s="72"/>
      <c r="N143" s="498"/>
    </row>
    <row r="144" spans="3:14" ht="21" customHeight="1" x14ac:dyDescent="0.25">
      <c r="C144" s="494"/>
      <c r="D144" s="62"/>
      <c r="E144" s="69" t="str">
        <f>'GRs Detail'!$E143</f>
        <v>Elevator Protection</v>
      </c>
      <c r="F144" s="69"/>
      <c r="G144" s="70"/>
      <c r="H144" s="80"/>
      <c r="I144" s="71">
        <f>'GRs Detail'!$J143</f>
        <v>0</v>
      </c>
      <c r="J144" s="81">
        <f>'GRs Detail'!$H143</f>
        <v>0</v>
      </c>
      <c r="K144" s="82" t="str">
        <f>'GRs Detail'!$I143</f>
        <v>lsum</v>
      </c>
      <c r="L144" s="73">
        <f t="shared" si="2"/>
        <v>0</v>
      </c>
      <c r="M144" s="72"/>
      <c r="N144" s="498"/>
    </row>
    <row r="145" spans="3:14" ht="21" customHeight="1" x14ac:dyDescent="0.25">
      <c r="C145" s="494"/>
      <c r="D145" s="62"/>
      <c r="E145" s="69" t="str">
        <f>'GRs Detail'!$E144</f>
        <v>Floor Protection</v>
      </c>
      <c r="F145" s="69"/>
      <c r="G145" s="70"/>
      <c r="H145" s="80"/>
      <c r="I145" s="71">
        <f>'GRs Detail'!$J144</f>
        <v>0</v>
      </c>
      <c r="J145" s="81">
        <f>'GRs Detail'!$H144</f>
        <v>0</v>
      </c>
      <c r="K145" s="82" t="str">
        <f>'GRs Detail'!$I144</f>
        <v>lsum</v>
      </c>
      <c r="L145" s="73">
        <f t="shared" si="2"/>
        <v>0</v>
      </c>
      <c r="M145" s="72"/>
      <c r="N145" s="498"/>
    </row>
    <row r="146" spans="3:14" ht="21" customHeight="1" x14ac:dyDescent="0.25">
      <c r="C146" s="494"/>
      <c r="D146" s="62"/>
      <c r="E146" s="69" t="str">
        <f>'GRs Detail'!$E145</f>
        <v>Door Protection</v>
      </c>
      <c r="F146" s="69"/>
      <c r="G146" s="70"/>
      <c r="H146" s="80"/>
      <c r="I146" s="71">
        <f>'GRs Detail'!$J145</f>
        <v>0</v>
      </c>
      <c r="J146" s="81">
        <f>'GRs Detail'!$H145</f>
        <v>0</v>
      </c>
      <c r="K146" s="82" t="str">
        <f>'GRs Detail'!$I145</f>
        <v>lsum</v>
      </c>
      <c r="L146" s="73">
        <f t="shared" si="2"/>
        <v>0</v>
      </c>
      <c r="M146" s="72"/>
      <c r="N146" s="498"/>
    </row>
    <row r="147" spans="3:14" ht="21" customHeight="1" x14ac:dyDescent="0.25">
      <c r="C147" s="494"/>
      <c r="D147" s="62"/>
      <c r="E147" s="69" t="str">
        <f>'GRs Detail'!$E146</f>
        <v>Window Protection</v>
      </c>
      <c r="F147" s="69"/>
      <c r="G147" s="70"/>
      <c r="H147" s="80"/>
      <c r="I147" s="71">
        <f>'GRs Detail'!$J146</f>
        <v>0</v>
      </c>
      <c r="J147" s="81">
        <f>'GRs Detail'!$H146</f>
        <v>0</v>
      </c>
      <c r="K147" s="82" t="str">
        <f>'GRs Detail'!$I146</f>
        <v>lsum</v>
      </c>
      <c r="L147" s="73">
        <f t="shared" si="2"/>
        <v>0</v>
      </c>
      <c r="M147" s="72"/>
      <c r="N147" s="498"/>
    </row>
    <row r="148" spans="3:14" ht="21" customHeight="1" x14ac:dyDescent="0.25">
      <c r="C148" s="494"/>
      <c r="D148" s="62"/>
      <c r="E148" s="69" t="str">
        <f>'GRs Detail'!$E147</f>
        <v>Temporary Wall Protection</v>
      </c>
      <c r="F148" s="69"/>
      <c r="G148" s="70"/>
      <c r="H148" s="80"/>
      <c r="I148" s="71">
        <f>'GRs Detail'!$J147</f>
        <v>0</v>
      </c>
      <c r="J148" s="81">
        <f>'GRs Detail'!$H147</f>
        <v>0</v>
      </c>
      <c r="K148" s="82" t="str">
        <f>'GRs Detail'!$I147</f>
        <v>lsum</v>
      </c>
      <c r="L148" s="73">
        <f t="shared" si="2"/>
        <v>0</v>
      </c>
      <c r="M148" s="72"/>
      <c r="N148" s="498"/>
    </row>
    <row r="149" spans="3:14" ht="21" customHeight="1" x14ac:dyDescent="0.25">
      <c r="C149" s="494"/>
      <c r="D149" s="62"/>
      <c r="E149" s="478">
        <f>'GRs Detail'!$E148</f>
        <v>0</v>
      </c>
      <c r="F149" s="478"/>
      <c r="G149" s="479"/>
      <c r="H149" s="479"/>
      <c r="I149" s="480">
        <f>'GRs Detail'!$J148</f>
        <v>0</v>
      </c>
      <c r="J149" s="481">
        <f>'GRs Detail'!$H148</f>
        <v>0</v>
      </c>
      <c r="K149" s="482">
        <f>'GRs Detail'!$I148</f>
        <v>0</v>
      </c>
      <c r="L149" s="483">
        <f t="shared" si="2"/>
        <v>0</v>
      </c>
      <c r="M149" s="72"/>
      <c r="N149" s="498"/>
    </row>
    <row r="150" spans="3:14" ht="21" customHeight="1" x14ac:dyDescent="0.25">
      <c r="C150" s="494"/>
      <c r="D150" s="62"/>
      <c r="E150" s="63" t="str">
        <f>'GRs Detail'!$E149</f>
        <v>DUMPSTERS</v>
      </c>
      <c r="F150" s="500"/>
      <c r="G150" s="479"/>
      <c r="H150" s="479"/>
      <c r="I150" s="480">
        <f>'GRs Detail'!$J149</f>
        <v>0</v>
      </c>
      <c r="J150" s="481">
        <f>'GRs Detail'!$H149</f>
        <v>0</v>
      </c>
      <c r="K150" s="482">
        <f>'GRs Detail'!$I149</f>
        <v>0</v>
      </c>
      <c r="L150" s="483">
        <f t="shared" si="2"/>
        <v>0</v>
      </c>
      <c r="M150" s="72"/>
      <c r="N150" s="498"/>
    </row>
    <row r="151" spans="3:14" ht="21" customHeight="1" x14ac:dyDescent="0.25">
      <c r="C151" s="494"/>
      <c r="D151" s="62"/>
      <c r="E151" s="69" t="str">
        <f>'GRs Detail'!$E150</f>
        <v>Dumpsters</v>
      </c>
      <c r="F151" s="69"/>
      <c r="G151" s="70"/>
      <c r="H151" s="80"/>
      <c r="I151" s="71">
        <f>'GRs Detail'!$J150</f>
        <v>650</v>
      </c>
      <c r="J151" s="81">
        <f>'GRs Detail'!$H150</f>
        <v>0</v>
      </c>
      <c r="K151" s="82" t="str">
        <f>'GRs Detail'!$I150</f>
        <v>loads</v>
      </c>
      <c r="L151" s="73">
        <f t="shared" si="2"/>
        <v>0</v>
      </c>
      <c r="M151" s="72"/>
      <c r="N151" s="498"/>
    </row>
    <row r="152" spans="3:14" ht="21" customHeight="1" x14ac:dyDescent="0.25">
      <c r="C152" s="494"/>
      <c r="D152" s="62"/>
      <c r="E152" s="69" t="str">
        <f>'GRs Detail'!$E151</f>
        <v>Recycle Dumpster Premium</v>
      </c>
      <c r="F152" s="69"/>
      <c r="G152" s="70"/>
      <c r="H152" s="80"/>
      <c r="I152" s="71">
        <f>'GRs Detail'!$J151</f>
        <v>0</v>
      </c>
      <c r="J152" s="81">
        <f>'GRs Detail'!$H151</f>
        <v>1</v>
      </c>
      <c r="K152" s="82" t="str">
        <f>'GRs Detail'!$I151</f>
        <v>lsum</v>
      </c>
      <c r="L152" s="73">
        <f t="shared" si="2"/>
        <v>0</v>
      </c>
      <c r="M152" s="72"/>
      <c r="N152" s="498"/>
    </row>
    <row r="153" spans="3:14" ht="21" customHeight="1" x14ac:dyDescent="0.25">
      <c r="C153" s="494"/>
      <c r="D153" s="62"/>
      <c r="E153" s="69" t="str">
        <f>'GRs Detail'!$E152</f>
        <v>Post-Sort Services</v>
      </c>
      <c r="F153" s="69"/>
      <c r="G153" s="70"/>
      <c r="H153" s="80"/>
      <c r="I153" s="71">
        <f>'GRs Detail'!$J152</f>
        <v>0</v>
      </c>
      <c r="J153" s="81">
        <f>'GRs Detail'!$H152</f>
        <v>1</v>
      </c>
      <c r="K153" s="82" t="str">
        <f>'GRs Detail'!$I152</f>
        <v>lsum</v>
      </c>
      <c r="L153" s="73">
        <f t="shared" si="2"/>
        <v>0</v>
      </c>
      <c r="M153" s="72"/>
      <c r="N153" s="498"/>
    </row>
    <row r="154" spans="3:14" ht="21" customHeight="1" x14ac:dyDescent="0.25">
      <c r="C154" s="494"/>
      <c r="D154" s="62"/>
      <c r="E154" s="69" t="str">
        <f>'GRs Detail'!$E153</f>
        <v>Overweight Pulls (10% of total # of loads)</v>
      </c>
      <c r="F154" s="69"/>
      <c r="G154" s="70"/>
      <c r="H154" s="80"/>
      <c r="I154" s="71">
        <f>'GRs Detail'!$J153</f>
        <v>100</v>
      </c>
      <c r="J154" s="81">
        <f>'GRs Detail'!$H153</f>
        <v>0</v>
      </c>
      <c r="K154" s="82" t="str">
        <f>'GRs Detail'!$I153</f>
        <v>loads</v>
      </c>
      <c r="L154" s="73">
        <f t="shared" si="2"/>
        <v>0</v>
      </c>
      <c r="M154" s="72"/>
      <c r="N154" s="498"/>
    </row>
    <row r="155" spans="3:14" ht="21" customHeight="1" x14ac:dyDescent="0.25">
      <c r="C155" s="494"/>
      <c r="D155" s="62"/>
      <c r="E155" s="478">
        <f>'GRs Detail'!$E154</f>
        <v>0</v>
      </c>
      <c r="F155" s="478"/>
      <c r="G155" s="479"/>
      <c r="H155" s="479"/>
      <c r="I155" s="480">
        <f>'GRs Detail'!$J154</f>
        <v>0</v>
      </c>
      <c r="J155" s="481">
        <f>'GRs Detail'!$H154</f>
        <v>0</v>
      </c>
      <c r="K155" s="482">
        <f>'GRs Detail'!$I154</f>
        <v>0</v>
      </c>
      <c r="L155" s="483">
        <f t="shared" si="2"/>
        <v>0</v>
      </c>
      <c r="M155" s="72"/>
      <c r="N155" s="498"/>
    </row>
    <row r="156" spans="3:14" ht="21" customHeight="1" x14ac:dyDescent="0.25">
      <c r="C156" s="494"/>
      <c r="D156" s="62"/>
      <c r="E156" s="63" t="str">
        <f>'GRs Detail'!$E156</f>
        <v>PERSONNEL &amp; MATERIAL HOISTING</v>
      </c>
      <c r="F156" s="500"/>
      <c r="G156" s="479"/>
      <c r="H156" s="479"/>
      <c r="I156" s="480">
        <f>'GRs Detail'!$J156</f>
        <v>0</v>
      </c>
      <c r="J156" s="481">
        <f>'GRs Detail'!$H156</f>
        <v>0</v>
      </c>
      <c r="K156" s="482">
        <f>'GRs Detail'!$I156</f>
        <v>0</v>
      </c>
      <c r="L156" s="483">
        <f t="shared" si="2"/>
        <v>0</v>
      </c>
      <c r="M156" s="72"/>
      <c r="N156" s="498"/>
    </row>
    <row r="157" spans="3:14" ht="21" customHeight="1" x14ac:dyDescent="0.25">
      <c r="C157" s="494"/>
      <c r="D157" s="62"/>
      <c r="E157" s="69" t="str">
        <f>'GRs Detail'!$E157</f>
        <v>Mobilize, Erect &amp; Dismantle</v>
      </c>
      <c r="F157" s="69"/>
      <c r="G157" s="70"/>
      <c r="H157" s="80"/>
      <c r="I157" s="71">
        <f>'GRs Detail'!$J157</f>
        <v>0</v>
      </c>
      <c r="J157" s="81">
        <f>'GRs Detail'!$H157</f>
        <v>0</v>
      </c>
      <c r="K157" s="82" t="str">
        <f>'GRs Detail'!$I157</f>
        <v>lsum</v>
      </c>
      <c r="L157" s="73">
        <f t="shared" si="2"/>
        <v>0</v>
      </c>
      <c r="M157" s="72"/>
      <c r="N157" s="498"/>
    </row>
    <row r="158" spans="3:14" ht="21" customHeight="1" x14ac:dyDescent="0.25">
      <c r="C158" s="494"/>
      <c r="D158" s="62"/>
      <c r="E158" s="69" t="str">
        <f>'GRs Detail'!$E158</f>
        <v>Police Details, Cranes, Permits during E &amp; D</v>
      </c>
      <c r="F158" s="69"/>
      <c r="G158" s="70"/>
      <c r="H158" s="80"/>
      <c r="I158" s="71">
        <f>'GRs Detail'!$J158</f>
        <v>0</v>
      </c>
      <c r="J158" s="81">
        <f>'GRs Detail'!$H158</f>
        <v>0</v>
      </c>
      <c r="K158" s="82" t="str">
        <f>'GRs Detail'!$I158</f>
        <v>lsum</v>
      </c>
      <c r="L158" s="73">
        <f t="shared" si="2"/>
        <v>0</v>
      </c>
      <c r="M158" s="72"/>
      <c r="N158" s="498"/>
    </row>
    <row r="159" spans="3:14" ht="21" customHeight="1" x14ac:dyDescent="0.25">
      <c r="C159" s="494"/>
      <c r="D159" s="62"/>
      <c r="E159" s="69" t="str">
        <f>'GRs Detail'!$E159</f>
        <v>Operating Engineers during E &amp; D</v>
      </c>
      <c r="F159" s="69"/>
      <c r="G159" s="70"/>
      <c r="H159" s="80"/>
      <c r="I159" s="71">
        <f>'GRs Detail'!$J159</f>
        <v>0</v>
      </c>
      <c r="J159" s="81">
        <f>'GRs Detail'!$H159</f>
        <v>0</v>
      </c>
      <c r="K159" s="82" t="str">
        <f>'GRs Detail'!$I159</f>
        <v>lsum</v>
      </c>
      <c r="L159" s="73">
        <f t="shared" si="2"/>
        <v>0</v>
      </c>
      <c r="M159" s="72"/>
      <c r="N159" s="498"/>
    </row>
    <row r="160" spans="3:14" ht="21" customHeight="1" x14ac:dyDescent="0.25">
      <c r="C160" s="494"/>
      <c r="D160" s="62"/>
      <c r="E160" s="69" t="str">
        <f>'GRs Detail'!$E160</f>
        <v>Hoist Rental (Single Car)</v>
      </c>
      <c r="F160" s="69"/>
      <c r="G160" s="70"/>
      <c r="H160" s="80"/>
      <c r="I160" s="71">
        <f>'GRs Detail'!$J160</f>
        <v>0</v>
      </c>
      <c r="J160" s="81" t="e">
        <f ca="1">'GRs Detail'!$H160</f>
        <v>#NAME?</v>
      </c>
      <c r="K160" s="82" t="str">
        <f>'GRs Detail'!$I160</f>
        <v>mos</v>
      </c>
      <c r="L160" s="73" t="e">
        <f t="shared" ca="1" si="2"/>
        <v>#NAME?</v>
      </c>
      <c r="M160" s="72"/>
      <c r="N160" s="498"/>
    </row>
    <row r="161" spans="3:14" ht="21" customHeight="1" x14ac:dyDescent="0.25">
      <c r="C161" s="494"/>
      <c r="D161" s="62"/>
      <c r="E161" s="69" t="str">
        <f>'GRs Detail'!$E161</f>
        <v>Hoist Rental (Double Car)</v>
      </c>
      <c r="F161" s="69"/>
      <c r="G161" s="70"/>
      <c r="H161" s="80"/>
      <c r="I161" s="71">
        <f>'GRs Detail'!$J161</f>
        <v>0</v>
      </c>
      <c r="J161" s="81" t="e">
        <f ca="1">'GRs Detail'!$H161</f>
        <v>#NAME?</v>
      </c>
      <c r="K161" s="82" t="str">
        <f>'GRs Detail'!$I161</f>
        <v>mos</v>
      </c>
      <c r="L161" s="73" t="e">
        <f t="shared" ca="1" si="2"/>
        <v>#NAME?</v>
      </c>
      <c r="M161" s="72"/>
      <c r="N161" s="498"/>
    </row>
    <row r="162" spans="3:14" ht="21" customHeight="1" x14ac:dyDescent="0.25">
      <c r="C162" s="494"/>
      <c r="D162" s="62"/>
      <c r="E162" s="69" t="str">
        <f>'GRs Detail'!$E162</f>
        <v>Gate Rental</v>
      </c>
      <c r="F162" s="69"/>
      <c r="G162" s="70"/>
      <c r="H162" s="80"/>
      <c r="I162" s="71">
        <f>'GRs Detail'!$J162</f>
        <v>0</v>
      </c>
      <c r="J162" s="81" t="e">
        <f ca="1">'GRs Detail'!$H162</f>
        <v>#NAME?</v>
      </c>
      <c r="K162" s="82" t="str">
        <f>'GRs Detail'!$I162</f>
        <v>mos</v>
      </c>
      <c r="L162" s="73" t="e">
        <f t="shared" ca="1" si="2"/>
        <v>#NAME?</v>
      </c>
      <c r="M162" s="72"/>
      <c r="N162" s="498"/>
    </row>
    <row r="163" spans="3:14" ht="21" customHeight="1" x14ac:dyDescent="0.25">
      <c r="C163" s="494"/>
      <c r="D163" s="62"/>
      <c r="E163" s="69" t="str">
        <f>'GRs Detail'!$E163</f>
        <v>Gate Installation</v>
      </c>
      <c r="F163" s="69"/>
      <c r="G163" s="70"/>
      <c r="H163" s="80"/>
      <c r="I163" s="71">
        <f>'GRs Detail'!$J163</f>
        <v>0</v>
      </c>
      <c r="J163" s="81">
        <f>'GRs Detail'!$H163</f>
        <v>0</v>
      </c>
      <c r="K163" s="82" t="str">
        <f>'GRs Detail'!$I163</f>
        <v>lsum</v>
      </c>
      <c r="L163" s="73">
        <f t="shared" si="2"/>
        <v>0</v>
      </c>
      <c r="M163" s="72"/>
      <c r="N163" s="498"/>
    </row>
    <row r="164" spans="3:14" ht="21" customHeight="1" x14ac:dyDescent="0.25">
      <c r="C164" s="494"/>
      <c r="D164" s="62"/>
      <c r="E164" s="69" t="str">
        <f>'GRs Detail'!$E164</f>
        <v>Hoist Rental Insurance</v>
      </c>
      <c r="F164" s="69"/>
      <c r="G164" s="70"/>
      <c r="H164" s="80"/>
      <c r="I164" s="71">
        <f>'GRs Detail'!$J164</f>
        <v>0</v>
      </c>
      <c r="J164" s="81">
        <f>'GRs Detail'!$H164</f>
        <v>0</v>
      </c>
      <c r="K164" s="82" t="str">
        <f>'GRs Detail'!$I164</f>
        <v>lsum</v>
      </c>
      <c r="L164" s="73">
        <f t="shared" si="2"/>
        <v>0</v>
      </c>
      <c r="M164" s="72"/>
      <c r="N164" s="498"/>
    </row>
    <row r="165" spans="3:14" ht="21" customHeight="1" x14ac:dyDescent="0.25">
      <c r="C165" s="494"/>
      <c r="D165" s="62"/>
      <c r="E165" s="69" t="str">
        <f>'GRs Detail'!$E165</f>
        <v>Communication Boxes</v>
      </c>
      <c r="F165" s="69"/>
      <c r="G165" s="70"/>
      <c r="H165" s="80"/>
      <c r="I165" s="71">
        <f>'GRs Detail'!$J165</f>
        <v>0</v>
      </c>
      <c r="J165" s="81" t="e">
        <f ca="1">'GRs Detail'!$H165</f>
        <v>#NAME?</v>
      </c>
      <c r="K165" s="82" t="str">
        <f>'GRs Detail'!$I165</f>
        <v>mos</v>
      </c>
      <c r="L165" s="73" t="e">
        <f t="shared" ca="1" si="2"/>
        <v>#NAME?</v>
      </c>
      <c r="M165" s="72"/>
      <c r="N165" s="498"/>
    </row>
    <row r="166" spans="3:14" ht="21" customHeight="1" x14ac:dyDescent="0.25">
      <c r="C166" s="494"/>
      <c r="D166" s="62"/>
      <c r="E166" s="69" t="str">
        <f>'GRs Detail'!$E166</f>
        <v>Jumps</v>
      </c>
      <c r="F166" s="69"/>
      <c r="G166" s="70"/>
      <c r="H166" s="80"/>
      <c r="I166" s="71">
        <f>'GRs Detail'!$J166</f>
        <v>0</v>
      </c>
      <c r="J166" s="81">
        <f>'GRs Detail'!$H166</f>
        <v>0</v>
      </c>
      <c r="K166" s="82" t="str">
        <f>'GRs Detail'!$I166</f>
        <v>ea</v>
      </c>
      <c r="L166" s="73">
        <f t="shared" si="2"/>
        <v>0</v>
      </c>
      <c r="M166" s="72"/>
      <c r="N166" s="498"/>
    </row>
    <row r="167" spans="3:14" ht="21" customHeight="1" x14ac:dyDescent="0.25">
      <c r="C167" s="494"/>
      <c r="D167" s="62"/>
      <c r="E167" s="69" t="str">
        <f>'GRs Detail'!$E167</f>
        <v>Sales Tax</v>
      </c>
      <c r="F167" s="69"/>
      <c r="G167" s="70"/>
      <c r="H167" s="80"/>
      <c r="I167" s="71">
        <f>'GRs Detail'!$J167</f>
        <v>0</v>
      </c>
      <c r="J167" s="81">
        <f>'GRs Detail'!$H167</f>
        <v>0</v>
      </c>
      <c r="K167" s="82" t="str">
        <f>'GRs Detail'!$I167</f>
        <v>ea</v>
      </c>
      <c r="L167" s="73">
        <f t="shared" si="2"/>
        <v>0</v>
      </c>
      <c r="M167" s="72"/>
      <c r="N167" s="498"/>
    </row>
    <row r="168" spans="3:14" ht="21" customHeight="1" x14ac:dyDescent="0.25">
      <c r="C168" s="494"/>
      <c r="D168" s="62"/>
      <c r="E168" s="69" t="str">
        <f>'GRs Detail'!$E168</f>
        <v>Operator Car #1 (Regular Time)</v>
      </c>
      <c r="F168" s="69"/>
      <c r="G168" s="70"/>
      <c r="H168" s="80"/>
      <c r="I168" s="71">
        <f>'GRs Detail'!$J168</f>
        <v>0</v>
      </c>
      <c r="J168" s="81" t="e">
        <f ca="1">'GRs Detail'!$H168</f>
        <v>#NAME?</v>
      </c>
      <c r="K168" s="82" t="str">
        <f>'GRs Detail'!$I168</f>
        <v>wks</v>
      </c>
      <c r="L168" s="73" t="e">
        <f t="shared" ca="1" si="2"/>
        <v>#NAME?</v>
      </c>
      <c r="M168" s="72"/>
      <c r="N168" s="498"/>
    </row>
    <row r="169" spans="3:14" ht="21" customHeight="1" x14ac:dyDescent="0.25">
      <c r="C169" s="494"/>
      <c r="D169" s="62"/>
      <c r="E169" s="69" t="str">
        <f>'GRs Detail'!$E169</f>
        <v>Operator Car #2 (Regular Time)</v>
      </c>
      <c r="F169" s="69"/>
      <c r="G169" s="70"/>
      <c r="H169" s="80"/>
      <c r="I169" s="71">
        <f>'GRs Detail'!$J169</f>
        <v>0</v>
      </c>
      <c r="J169" s="81" t="e">
        <f ca="1">'GRs Detail'!$H169</f>
        <v>#NAME?</v>
      </c>
      <c r="K169" s="82" t="str">
        <f>'GRs Detail'!$I169</f>
        <v>wks</v>
      </c>
      <c r="L169" s="73" t="e">
        <f t="shared" ca="1" si="2"/>
        <v>#NAME?</v>
      </c>
      <c r="M169" s="72"/>
      <c r="N169" s="498"/>
    </row>
    <row r="170" spans="3:14" ht="21" customHeight="1" x14ac:dyDescent="0.25">
      <c r="C170" s="494"/>
      <c r="D170" s="62"/>
      <c r="E170" s="69" t="str">
        <f>'GRs Detail'!$E170</f>
        <v>Operator Car #1 (Overtime)</v>
      </c>
      <c r="F170" s="69"/>
      <c r="G170" s="70"/>
      <c r="H170" s="80"/>
      <c r="I170" s="71">
        <f>'GRs Detail'!$J170</f>
        <v>0</v>
      </c>
      <c r="J170" s="81" t="e">
        <f ca="1">'GRs Detail'!$H170</f>
        <v>#NAME?</v>
      </c>
      <c r="K170" s="82" t="str">
        <f>'GRs Detail'!$I170</f>
        <v>wks</v>
      </c>
      <c r="L170" s="73" t="e">
        <f t="shared" ca="1" si="2"/>
        <v>#NAME?</v>
      </c>
      <c r="M170" s="72"/>
      <c r="N170" s="498"/>
    </row>
    <row r="171" spans="3:14" ht="21" customHeight="1" x14ac:dyDescent="0.25">
      <c r="C171" s="494"/>
      <c r="D171" s="62"/>
      <c r="E171" s="69" t="str">
        <f>'GRs Detail'!$E171</f>
        <v>Operator Car #2 (Overtime)</v>
      </c>
      <c r="F171" s="69"/>
      <c r="G171" s="70"/>
      <c r="H171" s="80"/>
      <c r="I171" s="71">
        <f>'GRs Detail'!$J171</f>
        <v>0</v>
      </c>
      <c r="J171" s="81" t="e">
        <f ca="1">'GRs Detail'!$H171</f>
        <v>#NAME?</v>
      </c>
      <c r="K171" s="82" t="str">
        <f>'GRs Detail'!$I171</f>
        <v>wks</v>
      </c>
      <c r="L171" s="73" t="e">
        <f t="shared" ca="1" si="2"/>
        <v>#NAME?</v>
      </c>
      <c r="M171" s="72"/>
      <c r="N171" s="498"/>
    </row>
    <row r="172" spans="3:14" ht="21" customHeight="1" x14ac:dyDescent="0.25">
      <c r="C172" s="494"/>
      <c r="D172" s="62"/>
      <c r="E172" s="69" t="str">
        <f>'GRs Detail'!$E172</f>
        <v>Temporary Interior Elevator Operator (Regular Time)</v>
      </c>
      <c r="F172" s="69"/>
      <c r="G172" s="70"/>
      <c r="H172" s="80"/>
      <c r="I172" s="71">
        <f>'GRs Detail'!$J172</f>
        <v>0</v>
      </c>
      <c r="J172" s="81" t="e">
        <f ca="1">'GRs Detail'!$H172</f>
        <v>#NAME?</v>
      </c>
      <c r="K172" s="82" t="str">
        <f>'GRs Detail'!$I172</f>
        <v>wks</v>
      </c>
      <c r="L172" s="73" t="e">
        <f t="shared" ca="1" si="2"/>
        <v>#NAME?</v>
      </c>
      <c r="M172" s="72"/>
      <c r="N172" s="498"/>
    </row>
    <row r="173" spans="3:14" ht="21" customHeight="1" x14ac:dyDescent="0.25">
      <c r="C173" s="494"/>
      <c r="D173" s="62"/>
      <c r="E173" s="69" t="str">
        <f>'GRs Detail'!$E173</f>
        <v>Temporary Interior Elevator Operator (Overtime)</v>
      </c>
      <c r="F173" s="69"/>
      <c r="G173" s="70"/>
      <c r="H173" s="80"/>
      <c r="I173" s="71">
        <f>'GRs Detail'!$J173</f>
        <v>0</v>
      </c>
      <c r="J173" s="81" t="e">
        <f ca="1">'GRs Detail'!$H173</f>
        <v>#NAME?</v>
      </c>
      <c r="K173" s="82" t="str">
        <f>'GRs Detail'!$I173</f>
        <v>wks</v>
      </c>
      <c r="L173" s="73" t="e">
        <f t="shared" ca="1" si="2"/>
        <v>#NAME?</v>
      </c>
      <c r="M173" s="72"/>
      <c r="N173" s="498"/>
    </row>
    <row r="174" spans="3:14" ht="21" customHeight="1" x14ac:dyDescent="0.25">
      <c r="C174" s="494"/>
      <c r="D174" s="62"/>
      <c r="E174" s="69" t="str">
        <f>'GRs Detail'!$E174</f>
        <v>Overtime Equipment Hours</v>
      </c>
      <c r="F174" s="69"/>
      <c r="G174" s="70"/>
      <c r="H174" s="80"/>
      <c r="I174" s="71">
        <f>'GRs Detail'!$J174</f>
        <v>0</v>
      </c>
      <c r="J174" s="81">
        <f>'GRs Detail'!$H174</f>
        <v>0</v>
      </c>
      <c r="K174" s="82" t="str">
        <f>'GRs Detail'!$I174</f>
        <v>hrs</v>
      </c>
      <c r="L174" s="73">
        <f t="shared" si="2"/>
        <v>0</v>
      </c>
      <c r="M174" s="72"/>
      <c r="N174" s="498"/>
    </row>
    <row r="175" spans="3:14" ht="21" customHeight="1" x14ac:dyDescent="0.25">
      <c r="C175" s="494"/>
      <c r="D175" s="62"/>
      <c r="E175" s="69" t="str">
        <f>'GRs Detail'!$E175</f>
        <v>Elevator Maintenance</v>
      </c>
      <c r="F175" s="69"/>
      <c r="G175" s="70"/>
      <c r="H175" s="80"/>
      <c r="I175" s="71">
        <f>'GRs Detail'!$J175</f>
        <v>0</v>
      </c>
      <c r="J175" s="81" t="e">
        <f ca="1">'GRs Detail'!$H175</f>
        <v>#NAME?</v>
      </c>
      <c r="K175" s="82" t="str">
        <f>'GRs Detail'!$I175</f>
        <v>mos</v>
      </c>
      <c r="L175" s="73" t="e">
        <f t="shared" ca="1" si="2"/>
        <v>#NAME?</v>
      </c>
      <c r="M175" s="72"/>
      <c r="N175" s="498"/>
    </row>
    <row r="176" spans="3:14" ht="21" customHeight="1" x14ac:dyDescent="0.25">
      <c r="C176" s="494"/>
      <c r="D176" s="62"/>
      <c r="E176" s="69" t="str">
        <f>'GRs Detail'!$E176</f>
        <v>Elevator Repairs</v>
      </c>
      <c r="F176" s="69"/>
      <c r="G176" s="70"/>
      <c r="H176" s="80"/>
      <c r="I176" s="71">
        <f>'GRs Detail'!$J176</f>
        <v>0</v>
      </c>
      <c r="J176" s="81">
        <f>'GRs Detail'!$H176</f>
        <v>1</v>
      </c>
      <c r="K176" s="82" t="str">
        <f>'GRs Detail'!$I176</f>
        <v>lsum</v>
      </c>
      <c r="L176" s="73">
        <f t="shared" si="2"/>
        <v>0</v>
      </c>
      <c r="M176" s="72"/>
      <c r="N176" s="498"/>
    </row>
    <row r="177" spans="3:14" ht="21" customHeight="1" x14ac:dyDescent="0.25">
      <c r="C177" s="494"/>
      <c r="D177" s="62"/>
      <c r="E177" s="69" t="str">
        <f>'GRs Detail'!$E177</f>
        <v>Drop Tests</v>
      </c>
      <c r="F177" s="69"/>
      <c r="G177" s="70"/>
      <c r="H177" s="80"/>
      <c r="I177" s="71">
        <f>'GRs Detail'!$J177</f>
        <v>0</v>
      </c>
      <c r="J177" s="81">
        <f>'GRs Detail'!$H177</f>
        <v>1</v>
      </c>
      <c r="K177" s="82" t="str">
        <f>'GRs Detail'!$I177</f>
        <v>lsum</v>
      </c>
      <c r="L177" s="73">
        <f t="shared" si="2"/>
        <v>0</v>
      </c>
      <c r="M177" s="72"/>
      <c r="N177" s="498"/>
    </row>
    <row r="178" spans="3:14" ht="21" customHeight="1" x14ac:dyDescent="0.25">
      <c r="C178" s="494"/>
      <c r="D178" s="62"/>
      <c r="E178" s="69" t="str">
        <f>'GRs Detail'!$E178</f>
        <v>Fence Enclosures</v>
      </c>
      <c r="F178" s="69"/>
      <c r="G178" s="70"/>
      <c r="H178" s="80"/>
      <c r="I178" s="71">
        <f>'GRs Detail'!$J178</f>
        <v>0</v>
      </c>
      <c r="J178" s="81">
        <f>'GRs Detail'!$H178</f>
        <v>0</v>
      </c>
      <c r="K178" s="82" t="str">
        <f>'GRs Detail'!$I178</f>
        <v>ea</v>
      </c>
      <c r="L178" s="73">
        <f t="shared" si="2"/>
        <v>0</v>
      </c>
      <c r="M178" s="72"/>
      <c r="N178" s="498"/>
    </row>
    <row r="179" spans="3:14" ht="21" customHeight="1" x14ac:dyDescent="0.25">
      <c r="C179" s="494"/>
      <c r="D179" s="62"/>
      <c r="E179" s="69" t="str">
        <f>'GRs Detail'!$E179</f>
        <v>Concrete Pad</v>
      </c>
      <c r="F179" s="69"/>
      <c r="G179" s="70"/>
      <c r="H179" s="80"/>
      <c r="I179" s="71">
        <f>'GRs Detail'!$J179</f>
        <v>0</v>
      </c>
      <c r="J179" s="81">
        <f>'GRs Detail'!$H179</f>
        <v>0</v>
      </c>
      <c r="K179" s="82" t="str">
        <f>'GRs Detail'!$I179</f>
        <v>ea</v>
      </c>
      <c r="L179" s="73">
        <f t="shared" si="2"/>
        <v>0</v>
      </c>
      <c r="M179" s="72"/>
      <c r="N179" s="498"/>
    </row>
    <row r="180" spans="3:14" ht="21" customHeight="1" x14ac:dyDescent="0.25">
      <c r="C180" s="494"/>
      <c r="D180" s="62"/>
      <c r="E180" s="69" t="str">
        <f>'GRs Detail'!$E180</f>
        <v>Reinforce Existing Structure @ Tie-Ins</v>
      </c>
      <c r="F180" s="69"/>
      <c r="G180" s="70"/>
      <c r="H180" s="80"/>
      <c r="I180" s="71">
        <f>'GRs Detail'!$J180</f>
        <v>0</v>
      </c>
      <c r="J180" s="81">
        <f>'GRs Detail'!$H180</f>
        <v>0</v>
      </c>
      <c r="K180" s="82" t="str">
        <f>'GRs Detail'!$I180</f>
        <v>ea</v>
      </c>
      <c r="L180" s="73">
        <f t="shared" si="2"/>
        <v>0</v>
      </c>
      <c r="M180" s="72"/>
      <c r="N180" s="498"/>
    </row>
    <row r="181" spans="3:14" ht="21" customHeight="1" x14ac:dyDescent="0.25">
      <c r="C181" s="494"/>
      <c r="D181" s="62"/>
      <c r="E181" s="69" t="str">
        <f>'GRs Detail'!$E181</f>
        <v>Loading Docks/Ramps/Overhead Prot.</v>
      </c>
      <c r="F181" s="69"/>
      <c r="G181" s="70"/>
      <c r="H181" s="80"/>
      <c r="I181" s="71">
        <f>'GRs Detail'!$J181</f>
        <v>0</v>
      </c>
      <c r="J181" s="81">
        <f>'GRs Detail'!$H181</f>
        <v>0</v>
      </c>
      <c r="K181" s="82" t="str">
        <f>'GRs Detail'!$I181</f>
        <v>ea</v>
      </c>
      <c r="L181" s="73">
        <f t="shared" si="2"/>
        <v>0</v>
      </c>
      <c r="M181" s="72"/>
      <c r="N181" s="498"/>
    </row>
    <row r="182" spans="3:14" ht="21" customHeight="1" x14ac:dyDescent="0.25">
      <c r="C182" s="494"/>
      <c r="D182" s="62"/>
      <c r="E182" s="69" t="str">
        <f>'GRs Detail'!$E182</f>
        <v>Cab Protection</v>
      </c>
      <c r="F182" s="69"/>
      <c r="G182" s="70"/>
      <c r="H182" s="80"/>
      <c r="I182" s="71">
        <f>'GRs Detail'!$J182</f>
        <v>0</v>
      </c>
      <c r="J182" s="81">
        <f>'GRs Detail'!$H182</f>
        <v>1</v>
      </c>
      <c r="K182" s="82" t="str">
        <f>'GRs Detail'!$I182</f>
        <v>lsum</v>
      </c>
      <c r="L182" s="73">
        <f t="shared" si="2"/>
        <v>0</v>
      </c>
      <c r="M182" s="72"/>
      <c r="N182" s="498"/>
    </row>
    <row r="183" spans="3:14" ht="21" customHeight="1" x14ac:dyDescent="0.25">
      <c r="C183" s="494"/>
      <c r="D183" s="62"/>
      <c r="E183" s="69" t="str">
        <f>'GRs Detail'!$E183</f>
        <v>Plywood Partitions @ Gates</v>
      </c>
      <c r="F183" s="69"/>
      <c r="G183" s="70"/>
      <c r="H183" s="80"/>
      <c r="I183" s="71">
        <f>'GRs Detail'!$J183</f>
        <v>0</v>
      </c>
      <c r="J183" s="81">
        <f>'GRs Detail'!$H183</f>
        <v>0</v>
      </c>
      <c r="K183" s="82" t="str">
        <f>'GRs Detail'!$I183</f>
        <v>ea</v>
      </c>
      <c r="L183" s="73">
        <f t="shared" si="2"/>
        <v>0</v>
      </c>
      <c r="M183" s="72"/>
      <c r="N183" s="498"/>
    </row>
    <row r="184" spans="3:14" ht="21" customHeight="1" x14ac:dyDescent="0.25">
      <c r="C184" s="494"/>
      <c r="D184" s="62"/>
      <c r="E184" s="69" t="str">
        <f>'GRs Detail'!$E184</f>
        <v>Temporary Power Consumption</v>
      </c>
      <c r="F184" s="69"/>
      <c r="G184" s="70"/>
      <c r="H184" s="80"/>
      <c r="I184" s="71">
        <f>'GRs Detail'!$J184</f>
        <v>0</v>
      </c>
      <c r="J184" s="81">
        <f>'GRs Detail'!$H184</f>
        <v>0</v>
      </c>
      <c r="K184" s="82" t="str">
        <f>'GRs Detail'!$I184</f>
        <v>ea</v>
      </c>
      <c r="L184" s="73">
        <f t="shared" si="2"/>
        <v>0</v>
      </c>
      <c r="M184" s="72"/>
      <c r="N184" s="498"/>
    </row>
    <row r="185" spans="3:14" ht="21" customHeight="1" x14ac:dyDescent="0.25">
      <c r="C185" s="494"/>
      <c r="D185" s="62"/>
      <c r="E185" s="69" t="str">
        <f>'GRs Detail'!$E185</f>
        <v>Temporary Power Service</v>
      </c>
      <c r="F185" s="69"/>
      <c r="G185" s="70"/>
      <c r="H185" s="80"/>
      <c r="I185" s="71">
        <f>'GRs Detail'!$J185</f>
        <v>0</v>
      </c>
      <c r="J185" s="81" t="e">
        <f ca="1">'GRs Detail'!$H185</f>
        <v>#NAME?</v>
      </c>
      <c r="K185" s="82" t="str">
        <f>'GRs Detail'!$I185</f>
        <v>mos</v>
      </c>
      <c r="L185" s="73" t="e">
        <f t="shared" ca="1" si="2"/>
        <v>#NAME?</v>
      </c>
      <c r="M185" s="72"/>
      <c r="N185" s="498"/>
    </row>
    <row r="186" spans="3:14" ht="21" customHeight="1" x14ac:dyDescent="0.25">
      <c r="C186" s="494"/>
      <c r="D186" s="62"/>
      <c r="E186" s="69" t="str">
        <f>'GRs Detail'!$E186</f>
        <v>Threshold Rentals</v>
      </c>
      <c r="F186" s="69"/>
      <c r="G186" s="70"/>
      <c r="H186" s="80"/>
      <c r="I186" s="71">
        <f>'GRs Detail'!$J186</f>
        <v>0</v>
      </c>
      <c r="J186" s="81" t="e">
        <f ca="1">'GRs Detail'!$H186</f>
        <v>#NAME?</v>
      </c>
      <c r="K186" s="82" t="str">
        <f>'GRs Detail'!$I186</f>
        <v>mos</v>
      </c>
      <c r="L186" s="73" t="e">
        <f t="shared" ca="1" si="2"/>
        <v>#NAME?</v>
      </c>
      <c r="M186" s="72"/>
      <c r="N186" s="498"/>
    </row>
    <row r="187" spans="3:14" ht="21" customHeight="1" x14ac:dyDescent="0.25">
      <c r="C187" s="494"/>
      <c r="D187" s="62"/>
      <c r="E187" s="69" t="str">
        <f>'GRs Detail'!$E187</f>
        <v>Assist Crane</v>
      </c>
      <c r="F187" s="69"/>
      <c r="G187" s="70"/>
      <c r="H187" s="80"/>
      <c r="I187" s="71">
        <f>'GRs Detail'!$J187</f>
        <v>0</v>
      </c>
      <c r="J187" s="81" t="e">
        <f ca="1">'GRs Detail'!$H187</f>
        <v>#NAME?</v>
      </c>
      <c r="K187" s="82" t="str">
        <f>'GRs Detail'!$I187</f>
        <v>mos</v>
      </c>
      <c r="L187" s="73" t="e">
        <f t="shared" ca="1" si="2"/>
        <v>#NAME?</v>
      </c>
      <c r="M187" s="72"/>
      <c r="N187" s="498"/>
    </row>
    <row r="188" spans="3:14" ht="21" customHeight="1" x14ac:dyDescent="0.25">
      <c r="C188" s="494"/>
      <c r="D188" s="62"/>
      <c r="E188" s="69" t="str">
        <f>'GRs Detail'!$E188</f>
        <v>3rd Party Certification</v>
      </c>
      <c r="F188" s="69"/>
      <c r="G188" s="70"/>
      <c r="H188" s="80"/>
      <c r="I188" s="71">
        <f>'GRs Detail'!$J188</f>
        <v>0</v>
      </c>
      <c r="J188" s="81">
        <f>'GRs Detail'!$H188</f>
        <v>1</v>
      </c>
      <c r="K188" s="82" t="str">
        <f>'GRs Detail'!$I188</f>
        <v>lsum</v>
      </c>
      <c r="L188" s="73">
        <f t="shared" si="2"/>
        <v>0</v>
      </c>
      <c r="M188" s="72"/>
      <c r="N188" s="498"/>
    </row>
    <row r="189" spans="3:14" ht="21" customHeight="1" x14ac:dyDescent="0.25">
      <c r="C189" s="494"/>
      <c r="D189" s="62"/>
      <c r="E189" s="478">
        <f>'GRs Detail'!$E189</f>
        <v>0</v>
      </c>
      <c r="F189" s="478"/>
      <c r="G189" s="479"/>
      <c r="H189" s="479"/>
      <c r="I189" s="480">
        <f>'GRs Detail'!$J189</f>
        <v>0</v>
      </c>
      <c r="J189" s="481">
        <f>'GRs Detail'!$H189</f>
        <v>0</v>
      </c>
      <c r="K189" s="482">
        <f>'GRs Detail'!$I189</f>
        <v>0</v>
      </c>
      <c r="L189" s="483">
        <f t="shared" si="2"/>
        <v>0</v>
      </c>
      <c r="M189" s="72"/>
      <c r="N189" s="498"/>
    </row>
    <row r="190" spans="3:14" ht="21" customHeight="1" x14ac:dyDescent="0.25">
      <c r="C190" s="494"/>
      <c r="D190" s="62"/>
      <c r="E190" s="63" t="str">
        <f>'GRs Detail'!$E191</f>
        <v>WINTER CONDITIONS / TEMPORARY HEAT</v>
      </c>
      <c r="F190" s="500"/>
      <c r="G190" s="479"/>
      <c r="H190" s="479"/>
      <c r="I190" s="480">
        <f>'GRs Detail'!$J191</f>
        <v>0</v>
      </c>
      <c r="J190" s="481">
        <f>'GRs Detail'!$H191</f>
        <v>0</v>
      </c>
      <c r="K190" s="482">
        <f>'GRs Detail'!$I191</f>
        <v>0</v>
      </c>
      <c r="L190" s="483">
        <f t="shared" si="2"/>
        <v>0</v>
      </c>
      <c r="M190" s="72"/>
      <c r="N190" s="498"/>
    </row>
    <row r="191" spans="3:14" ht="21" customHeight="1" x14ac:dyDescent="0.25">
      <c r="C191" s="494"/>
      <c r="D191" s="62"/>
      <c r="E191" s="69" t="str">
        <f>'GRs Detail'!$E192</f>
        <v>Temporary Heating</v>
      </c>
      <c r="F191" s="69"/>
      <c r="G191" s="70"/>
      <c r="H191" s="80"/>
      <c r="I191" s="71">
        <f>'GRs Detail'!$J192</f>
        <v>0</v>
      </c>
      <c r="J191" s="81">
        <f>'GRs Detail'!$H192</f>
        <v>1</v>
      </c>
      <c r="K191" s="82" t="str">
        <f>'GRs Detail'!$I192</f>
        <v>lsum</v>
      </c>
      <c r="L191" s="73">
        <f t="shared" si="2"/>
        <v>0</v>
      </c>
      <c r="M191" s="72"/>
      <c r="N191" s="498"/>
    </row>
    <row r="192" spans="3:14" ht="21" customHeight="1" x14ac:dyDescent="0.25">
      <c r="C192" s="494"/>
      <c r="D192" s="62"/>
      <c r="E192" s="69" t="str">
        <f>'GRs Detail'!$E193</f>
        <v>Temporary Cooling</v>
      </c>
      <c r="F192" s="69"/>
      <c r="G192" s="70"/>
      <c r="H192" s="80"/>
      <c r="I192" s="71">
        <f>'GRs Detail'!$J193</f>
        <v>0</v>
      </c>
      <c r="J192" s="81">
        <f>'GRs Detail'!$H193</f>
        <v>1</v>
      </c>
      <c r="K192" s="82" t="str">
        <f>'GRs Detail'!$I193</f>
        <v>lsum</v>
      </c>
      <c r="L192" s="73">
        <f t="shared" si="2"/>
        <v>0</v>
      </c>
      <c r="M192" s="72"/>
      <c r="N192" s="498"/>
    </row>
    <row r="193" spans="3:14" ht="21" customHeight="1" x14ac:dyDescent="0.25">
      <c r="C193" s="494"/>
      <c r="D193" s="62"/>
      <c r="E193" s="69" t="str">
        <f>'GRs Detail'!$E194</f>
        <v>Temporary De-Humidification</v>
      </c>
      <c r="F193" s="69"/>
      <c r="G193" s="70"/>
      <c r="H193" s="80"/>
      <c r="I193" s="71">
        <f>'GRs Detail'!$J194</f>
        <v>0</v>
      </c>
      <c r="J193" s="81">
        <f>'GRs Detail'!$H194</f>
        <v>1</v>
      </c>
      <c r="K193" s="82" t="str">
        <f>'GRs Detail'!$I194</f>
        <v>lsum</v>
      </c>
      <c r="L193" s="73">
        <f t="shared" si="2"/>
        <v>0</v>
      </c>
      <c r="M193" s="72"/>
      <c r="N193" s="498"/>
    </row>
    <row r="194" spans="3:14" ht="21" customHeight="1" x14ac:dyDescent="0.25">
      <c r="C194" s="494"/>
      <c r="D194" s="62"/>
      <c r="E194" s="69" t="str">
        <f>'GRs Detail'!$E195</f>
        <v>Negative Air Machines</v>
      </c>
      <c r="F194" s="69"/>
      <c r="G194" s="70"/>
      <c r="H194" s="80"/>
      <c r="I194" s="71">
        <f>'GRs Detail'!$J195</f>
        <v>0</v>
      </c>
      <c r="J194" s="81">
        <f>'GRs Detail'!$H195</f>
        <v>0</v>
      </c>
      <c r="K194" s="82" t="str">
        <f>'GRs Detail'!$I195</f>
        <v>ea</v>
      </c>
      <c r="L194" s="73">
        <f t="shared" si="2"/>
        <v>0</v>
      </c>
      <c r="M194" s="72"/>
      <c r="N194" s="498"/>
    </row>
    <row r="195" spans="3:14" ht="21" customHeight="1" x14ac:dyDescent="0.25">
      <c r="C195" s="494"/>
      <c r="D195" s="62"/>
      <c r="E195" s="69" t="str">
        <f>'GRs Detail'!$E196</f>
        <v>Dewatering</v>
      </c>
      <c r="F195" s="69"/>
      <c r="G195" s="70"/>
      <c r="H195" s="80"/>
      <c r="I195" s="71">
        <f>'GRs Detail'!$J196</f>
        <v>0</v>
      </c>
      <c r="J195" s="81">
        <f>'GRs Detail'!$H196</f>
        <v>1</v>
      </c>
      <c r="K195" s="82" t="str">
        <f>'GRs Detail'!$I196</f>
        <v>lsum</v>
      </c>
      <c r="L195" s="73">
        <f t="shared" si="2"/>
        <v>0</v>
      </c>
      <c r="M195" s="72"/>
      <c r="N195" s="498"/>
    </row>
    <row r="196" spans="3:14" ht="21" customHeight="1" x14ac:dyDescent="0.25">
      <c r="C196" s="494"/>
      <c r="D196" s="62"/>
      <c r="E196" s="69" t="str">
        <f>'GRs Detail'!$E197</f>
        <v>Snow Removal from Building</v>
      </c>
      <c r="F196" s="69"/>
      <c r="G196" s="70"/>
      <c r="H196" s="80"/>
      <c r="I196" s="71">
        <f>'GRs Detail'!$J197</f>
        <v>0</v>
      </c>
      <c r="J196" s="81">
        <f>'GRs Detail'!$H197</f>
        <v>1</v>
      </c>
      <c r="K196" s="82" t="str">
        <f>'GRs Detail'!$I197</f>
        <v>lsum</v>
      </c>
      <c r="L196" s="73">
        <f t="shared" si="2"/>
        <v>0</v>
      </c>
      <c r="M196" s="72"/>
      <c r="N196" s="498"/>
    </row>
    <row r="197" spans="3:14" ht="21" customHeight="1" x14ac:dyDescent="0.25">
      <c r="C197" s="494"/>
      <c r="D197" s="62"/>
      <c r="E197" s="69" t="str">
        <f>'GRs Detail'!$E198</f>
        <v>Snow Removal from Site</v>
      </c>
      <c r="F197" s="69"/>
      <c r="G197" s="70"/>
      <c r="H197" s="80"/>
      <c r="I197" s="71">
        <f>'GRs Detail'!$J198</f>
        <v>0</v>
      </c>
      <c r="J197" s="81">
        <f>'GRs Detail'!$H198</f>
        <v>1</v>
      </c>
      <c r="K197" s="82" t="str">
        <f>'GRs Detail'!$I198</f>
        <v>lsum</v>
      </c>
      <c r="L197" s="73">
        <f t="shared" si="2"/>
        <v>0</v>
      </c>
      <c r="M197" s="72"/>
      <c r="N197" s="498"/>
    </row>
    <row r="198" spans="3:14" ht="21" customHeight="1" x14ac:dyDescent="0.25">
      <c r="C198" s="494"/>
      <c r="D198" s="62"/>
      <c r="E198" s="69" t="str">
        <f>'GRs Detail'!$E199</f>
        <v>Temporary Construction</v>
      </c>
      <c r="F198" s="69"/>
      <c r="G198" s="70"/>
      <c r="H198" s="80"/>
      <c r="I198" s="71">
        <f>'GRs Detail'!$J199</f>
        <v>0</v>
      </c>
      <c r="J198" s="81">
        <f>'GRs Detail'!$H199</f>
        <v>1</v>
      </c>
      <c r="K198" s="82" t="str">
        <f>'GRs Detail'!$I199</f>
        <v>lsum</v>
      </c>
      <c r="L198" s="73">
        <f t="shared" si="2"/>
        <v>0</v>
      </c>
      <c r="M198" s="72"/>
      <c r="N198" s="498"/>
    </row>
    <row r="199" spans="3:14" ht="21" customHeight="1" x14ac:dyDescent="0.25">
      <c r="C199" s="494"/>
      <c r="D199" s="62"/>
      <c r="E199" s="69" t="str">
        <f>'GRs Detail'!$E200</f>
        <v>Miscellaneous Heat &amp; Tarps</v>
      </c>
      <c r="F199" s="69"/>
      <c r="G199" s="70"/>
      <c r="H199" s="80"/>
      <c r="I199" s="71">
        <f>'GRs Detail'!$J200</f>
        <v>0</v>
      </c>
      <c r="J199" s="81">
        <f>'GRs Detail'!$H200</f>
        <v>0</v>
      </c>
      <c r="K199" s="82" t="str">
        <f>'GRs Detail'!$I200</f>
        <v>mos</v>
      </c>
      <c r="L199" s="73">
        <f t="shared" si="2"/>
        <v>0</v>
      </c>
      <c r="M199" s="72"/>
      <c r="N199" s="498"/>
    </row>
    <row r="200" spans="3:14" ht="21" customHeight="1" x14ac:dyDescent="0.25">
      <c r="C200" s="494"/>
      <c r="D200" s="62"/>
      <c r="E200" s="69" t="str">
        <f>'GRs Detail'!$E201</f>
        <v>Portable Heaters</v>
      </c>
      <c r="F200" s="69"/>
      <c r="G200" s="70"/>
      <c r="H200" s="80"/>
      <c r="I200" s="71">
        <f>'GRs Detail'!$J201</f>
        <v>0</v>
      </c>
      <c r="J200" s="81">
        <f>'GRs Detail'!$H201</f>
        <v>0</v>
      </c>
      <c r="K200" s="82" t="str">
        <f>'GRs Detail'!$I201</f>
        <v>mos</v>
      </c>
      <c r="L200" s="73">
        <f t="shared" si="2"/>
        <v>0</v>
      </c>
      <c r="M200" s="72"/>
      <c r="N200" s="498"/>
    </row>
    <row r="201" spans="3:14" ht="21" customHeight="1" x14ac:dyDescent="0.25">
      <c r="C201" s="494"/>
      <c r="D201" s="62"/>
      <c r="E201" s="69" t="str">
        <f>'GRs Detail'!$E202</f>
        <v>Babfar Rental/Install</v>
      </c>
      <c r="F201" s="69"/>
      <c r="G201" s="70"/>
      <c r="H201" s="80"/>
      <c r="I201" s="71">
        <f>'GRs Detail'!$J202</f>
        <v>0</v>
      </c>
      <c r="J201" s="81">
        <f>'GRs Detail'!$H202</f>
        <v>0</v>
      </c>
      <c r="K201" s="82" t="str">
        <f>'GRs Detail'!$I202</f>
        <v>mos</v>
      </c>
      <c r="L201" s="73">
        <f t="shared" ref="L201:L229" si="3">$I201*$J201</f>
        <v>0</v>
      </c>
      <c r="M201" s="72"/>
      <c r="N201" s="498"/>
    </row>
    <row r="202" spans="3:14" ht="21" customHeight="1" x14ac:dyDescent="0.25">
      <c r="C202" s="494"/>
      <c r="D202" s="62"/>
      <c r="E202" s="69" t="str">
        <f>'GRs Detail'!$E203</f>
        <v>Temp. Ductwork</v>
      </c>
      <c r="F202" s="69"/>
      <c r="G202" s="70"/>
      <c r="H202" s="80"/>
      <c r="I202" s="71">
        <f>'GRs Detail'!$J203</f>
        <v>0</v>
      </c>
      <c r="J202" s="81">
        <f>'GRs Detail'!$H203</f>
        <v>1</v>
      </c>
      <c r="K202" s="82" t="str">
        <f>'GRs Detail'!$I203</f>
        <v>lsum</v>
      </c>
      <c r="L202" s="73">
        <f t="shared" si="3"/>
        <v>0</v>
      </c>
      <c r="M202" s="72"/>
      <c r="N202" s="498"/>
    </row>
    <row r="203" spans="3:14" ht="21" customHeight="1" x14ac:dyDescent="0.25">
      <c r="C203" s="494"/>
      <c r="D203" s="62"/>
      <c r="E203" s="69" t="str">
        <f>'GRs Detail'!$E204</f>
        <v>Use/cln perm.system</v>
      </c>
      <c r="F203" s="69"/>
      <c r="G203" s="70"/>
      <c r="H203" s="80"/>
      <c r="I203" s="71">
        <f>'GRs Detail'!$J204</f>
        <v>0</v>
      </c>
      <c r="J203" s="81">
        <f>'GRs Detail'!$H204</f>
        <v>0</v>
      </c>
      <c r="K203" s="82" t="str">
        <f>'GRs Detail'!$I204</f>
        <v>mos</v>
      </c>
      <c r="L203" s="73">
        <f t="shared" si="3"/>
        <v>0</v>
      </c>
      <c r="M203" s="72"/>
      <c r="N203" s="498"/>
    </row>
    <row r="204" spans="3:14" ht="21" customHeight="1" x14ac:dyDescent="0.25">
      <c r="C204" s="494"/>
      <c r="D204" s="62"/>
      <c r="E204" s="69" t="str">
        <f>'GRs Detail'!$E205</f>
        <v>Fuel</v>
      </c>
      <c r="F204" s="69"/>
      <c r="G204" s="70"/>
      <c r="H204" s="80"/>
      <c r="I204" s="71">
        <f>'GRs Detail'!$J205</f>
        <v>0</v>
      </c>
      <c r="J204" s="81">
        <f>'GRs Detail'!$H205</f>
        <v>0</v>
      </c>
      <c r="K204" s="82" t="str">
        <f>'GRs Detail'!$I205</f>
        <v>wks</v>
      </c>
      <c r="L204" s="73">
        <f t="shared" si="3"/>
        <v>0</v>
      </c>
      <c r="M204" s="72"/>
      <c r="N204" s="498"/>
    </row>
    <row r="205" spans="3:14" ht="21" customHeight="1" x14ac:dyDescent="0.25">
      <c r="C205" s="494"/>
      <c r="D205" s="62"/>
      <c r="E205" s="478">
        <f>'GRs Detail'!$E206</f>
        <v>0</v>
      </c>
      <c r="F205" s="478"/>
      <c r="G205" s="479"/>
      <c r="H205" s="479"/>
      <c r="I205" s="480">
        <f>'GRs Detail'!$J206</f>
        <v>0</v>
      </c>
      <c r="J205" s="481">
        <f>'GRs Detail'!$H206</f>
        <v>0</v>
      </c>
      <c r="K205" s="482">
        <f>'GRs Detail'!$I206</f>
        <v>0</v>
      </c>
      <c r="L205" s="483">
        <f t="shared" si="3"/>
        <v>0</v>
      </c>
      <c r="M205" s="72"/>
      <c r="N205" s="498"/>
    </row>
    <row r="206" spans="3:14" ht="21" customHeight="1" x14ac:dyDescent="0.25">
      <c r="C206" s="494"/>
      <c r="D206" s="62"/>
      <c r="E206" s="63" t="str">
        <f>'GRs Detail'!$E208</f>
        <v>STAGING &amp; SCAFFOLDING</v>
      </c>
      <c r="F206" s="500"/>
      <c r="G206" s="479"/>
      <c r="H206" s="479"/>
      <c r="I206" s="480">
        <f>'GRs Detail'!$J208</f>
        <v>0</v>
      </c>
      <c r="J206" s="481">
        <f>'GRs Detail'!$H208</f>
        <v>0</v>
      </c>
      <c r="K206" s="482">
        <f>'GRs Detail'!$I208</f>
        <v>0</v>
      </c>
      <c r="L206" s="483">
        <f t="shared" si="3"/>
        <v>0</v>
      </c>
      <c r="M206" s="72"/>
      <c r="N206" s="498"/>
    </row>
    <row r="207" spans="3:14" ht="21" customHeight="1" x14ac:dyDescent="0.25">
      <c r="C207" s="494"/>
      <c r="D207" s="62"/>
      <c r="E207" s="69" t="str">
        <f>'GRs Detail'!$E209</f>
        <v>Exterior Scaffolding first months rental &amp; dismantle</v>
      </c>
      <c r="F207" s="69"/>
      <c r="G207" s="70"/>
      <c r="H207" s="80"/>
      <c r="I207" s="71">
        <f>'GRs Detail'!$J209</f>
        <v>0</v>
      </c>
      <c r="J207" s="81">
        <f>'GRs Detail'!$H209</f>
        <v>0</v>
      </c>
      <c r="K207" s="82" t="str">
        <f>'GRs Detail'!$I209</f>
        <v>ea</v>
      </c>
      <c r="L207" s="73">
        <f t="shared" si="3"/>
        <v>0</v>
      </c>
      <c r="M207" s="72"/>
      <c r="N207" s="498"/>
    </row>
    <row r="208" spans="3:14" ht="21" customHeight="1" x14ac:dyDescent="0.25">
      <c r="C208" s="494"/>
      <c r="D208" s="62"/>
      <c r="E208" s="69" t="str">
        <f>'GRs Detail'!$E210</f>
        <v>Exterior Scaffolding monthly rental</v>
      </c>
      <c r="F208" s="69"/>
      <c r="G208" s="70"/>
      <c r="H208" s="80"/>
      <c r="I208" s="71">
        <f>'GRs Detail'!$J210</f>
        <v>0</v>
      </c>
      <c r="J208" s="81">
        <f>'GRs Detail'!$H210</f>
        <v>0</v>
      </c>
      <c r="K208" s="82" t="str">
        <f>'GRs Detail'!$I210</f>
        <v>mos</v>
      </c>
      <c r="L208" s="73">
        <f t="shared" si="3"/>
        <v>0</v>
      </c>
      <c r="M208" s="72"/>
      <c r="N208" s="498"/>
    </row>
    <row r="209" spans="3:14" ht="21" customHeight="1" x14ac:dyDescent="0.25">
      <c r="C209" s="494"/>
      <c r="D209" s="62"/>
      <c r="E209" s="69" t="str">
        <f>'GRs Detail'!$E211</f>
        <v>Exterior Scaffolding move planks</v>
      </c>
      <c r="F209" s="69"/>
      <c r="G209" s="70"/>
      <c r="H209" s="80"/>
      <c r="I209" s="71">
        <f>'GRs Detail'!$J211</f>
        <v>0</v>
      </c>
      <c r="J209" s="81">
        <f>'GRs Detail'!$H211</f>
        <v>0</v>
      </c>
      <c r="K209" s="82" t="str">
        <f>'GRs Detail'!$I211</f>
        <v>days</v>
      </c>
      <c r="L209" s="73">
        <f t="shared" si="3"/>
        <v>0</v>
      </c>
      <c r="M209" s="72"/>
      <c r="N209" s="498"/>
    </row>
    <row r="210" spans="3:14" ht="21" customHeight="1" x14ac:dyDescent="0.25">
      <c r="C210" s="494"/>
      <c r="D210" s="62"/>
      <c r="E210" s="69" t="str">
        <f>'GRs Detail'!$E212</f>
        <v>Interior Scaffolding first months rental &amp; dismantle</v>
      </c>
      <c r="F210" s="69"/>
      <c r="G210" s="70"/>
      <c r="H210" s="80"/>
      <c r="I210" s="71">
        <f>'GRs Detail'!$J212</f>
        <v>0</v>
      </c>
      <c r="J210" s="81">
        <f>'GRs Detail'!$H212</f>
        <v>0</v>
      </c>
      <c r="K210" s="82" t="str">
        <f>'GRs Detail'!$I212</f>
        <v>ea</v>
      </c>
      <c r="L210" s="73">
        <f t="shared" si="3"/>
        <v>0</v>
      </c>
      <c r="M210" s="72"/>
      <c r="N210" s="498"/>
    </row>
    <row r="211" spans="3:14" ht="21" customHeight="1" x14ac:dyDescent="0.25">
      <c r="C211" s="494"/>
      <c r="D211" s="62"/>
      <c r="E211" s="69" t="str">
        <f>'GRs Detail'!$E213</f>
        <v>Interior Scaffolding monthly rental</v>
      </c>
      <c r="F211" s="69"/>
      <c r="G211" s="70"/>
      <c r="H211" s="80"/>
      <c r="I211" s="71">
        <f>'GRs Detail'!$J213</f>
        <v>0</v>
      </c>
      <c r="J211" s="81">
        <f>'GRs Detail'!$H213</f>
        <v>0</v>
      </c>
      <c r="K211" s="82" t="str">
        <f>'GRs Detail'!$I213</f>
        <v>mos</v>
      </c>
      <c r="L211" s="73">
        <f t="shared" si="3"/>
        <v>0</v>
      </c>
      <c r="M211" s="72"/>
      <c r="N211" s="498"/>
    </row>
    <row r="212" spans="3:14" ht="21" customHeight="1" x14ac:dyDescent="0.25">
      <c r="C212" s="494"/>
      <c r="D212" s="62"/>
      <c r="E212" s="69" t="str">
        <f>'GRs Detail'!$E214</f>
        <v>Interior Scaffolding move planks</v>
      </c>
      <c r="F212" s="69"/>
      <c r="G212" s="70"/>
      <c r="H212" s="80"/>
      <c r="I212" s="71">
        <f>'GRs Detail'!$J214</f>
        <v>0</v>
      </c>
      <c r="J212" s="81">
        <f>'GRs Detail'!$H214</f>
        <v>0</v>
      </c>
      <c r="K212" s="82" t="str">
        <f>'GRs Detail'!$I214</f>
        <v>days</v>
      </c>
      <c r="L212" s="73">
        <f t="shared" si="3"/>
        <v>0</v>
      </c>
      <c r="M212" s="72"/>
      <c r="N212" s="498"/>
    </row>
    <row r="213" spans="3:14" ht="21" customHeight="1" x14ac:dyDescent="0.25">
      <c r="C213" s="494"/>
      <c r="D213" s="62"/>
      <c r="E213" s="478">
        <f>'GRs Detail'!$E215</f>
        <v>0</v>
      </c>
      <c r="F213" s="478"/>
      <c r="G213" s="479"/>
      <c r="H213" s="479"/>
      <c r="I213" s="480">
        <f>'GRs Detail'!$J215</f>
        <v>0</v>
      </c>
      <c r="J213" s="481">
        <f>'GRs Detail'!$H215</f>
        <v>0</v>
      </c>
      <c r="K213" s="482">
        <f>'GRs Detail'!$I215</f>
        <v>0</v>
      </c>
      <c r="L213" s="483">
        <f t="shared" si="3"/>
        <v>0</v>
      </c>
      <c r="M213" s="72"/>
      <c r="N213" s="498"/>
    </row>
    <row r="214" spans="3:14" ht="21" customHeight="1" x14ac:dyDescent="0.25">
      <c r="C214" s="494"/>
      <c r="D214" s="62"/>
      <c r="E214" s="63" t="str">
        <f>'GRs Detail'!$E217</f>
        <v>TESTING &amp; INSPECTIONS</v>
      </c>
      <c r="F214" s="500"/>
      <c r="G214" s="479"/>
      <c r="H214" s="479"/>
      <c r="I214" s="480">
        <f>'GRs Detail'!$J217</f>
        <v>0</v>
      </c>
      <c r="J214" s="481">
        <f>'GRs Detail'!$H217</f>
        <v>0</v>
      </c>
      <c r="K214" s="482">
        <f>'GRs Detail'!$I217</f>
        <v>0</v>
      </c>
      <c r="L214" s="483">
        <f t="shared" si="3"/>
        <v>0</v>
      </c>
      <c r="M214" s="72"/>
      <c r="N214" s="498"/>
    </row>
    <row r="215" spans="3:14" ht="21" customHeight="1" x14ac:dyDescent="0.25">
      <c r="C215" s="494"/>
      <c r="D215" s="62"/>
      <c r="E215" s="69" t="str">
        <f>'GRs Detail'!$E218</f>
        <v>Soils</v>
      </c>
      <c r="F215" s="69"/>
      <c r="G215" s="70"/>
      <c r="H215" s="80"/>
      <c r="I215" s="71">
        <f>'GRs Detail'!$J218</f>
        <v>0</v>
      </c>
      <c r="J215" s="81">
        <f>'GRs Detail'!$H218</f>
        <v>0</v>
      </c>
      <c r="K215" s="82" t="str">
        <f>'GRs Detail'!$I218</f>
        <v>ea</v>
      </c>
      <c r="L215" s="73">
        <f t="shared" si="3"/>
        <v>0</v>
      </c>
      <c r="M215" s="72"/>
      <c r="N215" s="498"/>
    </row>
    <row r="216" spans="3:14" ht="21" customHeight="1" x14ac:dyDescent="0.25">
      <c r="C216" s="494"/>
      <c r="D216" s="62"/>
      <c r="E216" s="69" t="str">
        <f>'GRs Detail'!$E219</f>
        <v>Concrete</v>
      </c>
      <c r="F216" s="69"/>
      <c r="G216" s="70"/>
      <c r="H216" s="80"/>
      <c r="I216" s="71">
        <f>'GRs Detail'!$J219</f>
        <v>0</v>
      </c>
      <c r="J216" s="81">
        <f>'GRs Detail'!$H219</f>
        <v>0</v>
      </c>
      <c r="K216" s="82" t="str">
        <f>'GRs Detail'!$I219</f>
        <v>ea</v>
      </c>
      <c r="L216" s="73">
        <f t="shared" si="3"/>
        <v>0</v>
      </c>
      <c r="M216" s="72"/>
      <c r="N216" s="498"/>
    </row>
    <row r="217" spans="3:14" ht="21" customHeight="1" x14ac:dyDescent="0.25">
      <c r="C217" s="494"/>
      <c r="D217" s="62"/>
      <c r="E217" s="69" t="str">
        <f>'GRs Detail'!$E220</f>
        <v>Steel</v>
      </c>
      <c r="F217" s="69"/>
      <c r="G217" s="70"/>
      <c r="H217" s="80"/>
      <c r="I217" s="71">
        <f>'GRs Detail'!$J220</f>
        <v>0</v>
      </c>
      <c r="J217" s="81">
        <f>'GRs Detail'!$H220</f>
        <v>0</v>
      </c>
      <c r="K217" s="82" t="str">
        <f>'GRs Detail'!$I220</f>
        <v>ea</v>
      </c>
      <c r="L217" s="73">
        <f t="shared" si="3"/>
        <v>0</v>
      </c>
      <c r="M217" s="72"/>
      <c r="N217" s="498"/>
    </row>
    <row r="218" spans="3:14" ht="21" customHeight="1" x14ac:dyDescent="0.25">
      <c r="C218" s="494"/>
      <c r="D218" s="62"/>
      <c r="E218" s="69" t="str">
        <f>'GRs Detail'!$E221</f>
        <v>Spray Fireproofing</v>
      </c>
      <c r="F218" s="69"/>
      <c r="G218" s="70"/>
      <c r="H218" s="80"/>
      <c r="I218" s="71">
        <f>'GRs Detail'!$J221</f>
        <v>0</v>
      </c>
      <c r="J218" s="81">
        <f>'GRs Detail'!$H221</f>
        <v>0</v>
      </c>
      <c r="K218" s="82" t="str">
        <f>'GRs Detail'!$I221</f>
        <v>ea</v>
      </c>
      <c r="L218" s="73">
        <f t="shared" si="3"/>
        <v>0</v>
      </c>
      <c r="M218" s="72"/>
      <c r="N218" s="498"/>
    </row>
    <row r="219" spans="3:14" ht="21" customHeight="1" x14ac:dyDescent="0.25">
      <c r="C219" s="494"/>
      <c r="D219" s="62"/>
      <c r="E219" s="69" t="str">
        <f>'GRs Detail'!$E222</f>
        <v>Curtainwall &amp; Windows</v>
      </c>
      <c r="F219" s="69"/>
      <c r="G219" s="70"/>
      <c r="H219" s="80"/>
      <c r="I219" s="71">
        <f>'GRs Detail'!$J222</f>
        <v>0</v>
      </c>
      <c r="J219" s="81">
        <f>'GRs Detail'!$H222</f>
        <v>0</v>
      </c>
      <c r="K219" s="82" t="str">
        <f>'GRs Detail'!$I222</f>
        <v>ea</v>
      </c>
      <c r="L219" s="73">
        <f t="shared" si="3"/>
        <v>0</v>
      </c>
      <c r="M219" s="72"/>
      <c r="N219" s="498"/>
    </row>
    <row r="220" spans="3:14" ht="21" customHeight="1" x14ac:dyDescent="0.25">
      <c r="C220" s="494"/>
      <c r="D220" s="62"/>
      <c r="E220" s="478">
        <f>'GRs Detail'!$E223</f>
        <v>0</v>
      </c>
      <c r="F220" s="478"/>
      <c r="G220" s="479"/>
      <c r="H220" s="479"/>
      <c r="I220" s="480">
        <f>'GRs Detail'!$J223</f>
        <v>0</v>
      </c>
      <c r="J220" s="481">
        <f>'GRs Detail'!$H223</f>
        <v>0</v>
      </c>
      <c r="K220" s="482">
        <f>'GRs Detail'!$I223</f>
        <v>0</v>
      </c>
      <c r="L220" s="483">
        <f t="shared" si="3"/>
        <v>0</v>
      </c>
      <c r="M220" s="72"/>
      <c r="N220" s="498"/>
    </row>
    <row r="221" spans="3:14" ht="21" customHeight="1" x14ac:dyDescent="0.25">
      <c r="C221" s="494"/>
      <c r="D221" s="62"/>
      <c r="E221" s="63" t="str">
        <f>'GRs Detail'!$E225</f>
        <v>LABOR ITEMS</v>
      </c>
      <c r="F221" s="500"/>
      <c r="G221" s="479"/>
      <c r="H221" s="479"/>
      <c r="I221" s="480">
        <f>'GRs Detail'!$J225</f>
        <v>0</v>
      </c>
      <c r="J221" s="481">
        <f>'GRs Detail'!$H225</f>
        <v>0</v>
      </c>
      <c r="K221" s="482">
        <f>'GRs Detail'!$I225</f>
        <v>0</v>
      </c>
      <c r="L221" s="483">
        <f t="shared" si="3"/>
        <v>0</v>
      </c>
      <c r="M221" s="72"/>
      <c r="N221" s="498"/>
    </row>
    <row r="222" spans="3:14" ht="21" customHeight="1" x14ac:dyDescent="0.25">
      <c r="C222" s="494"/>
      <c r="D222" s="62"/>
      <c r="E222" s="69" t="str">
        <f>'GRs Detail'!$E226</f>
        <v>Clean-Up Labor</v>
      </c>
      <c r="F222" s="69"/>
      <c r="G222" s="70"/>
      <c r="H222" s="80"/>
      <c r="I222" s="71">
        <f ca="1">'GRs Detail'!$J226</f>
        <v>0</v>
      </c>
      <c r="J222" s="81">
        <f>'GRs Detail'!$H226</f>
        <v>1</v>
      </c>
      <c r="K222" s="82" t="str">
        <f>'GRs Detail'!$I226</f>
        <v>lsum</v>
      </c>
      <c r="L222" s="73">
        <f t="shared" ca="1" si="3"/>
        <v>0</v>
      </c>
      <c r="M222" s="72"/>
      <c r="N222" s="498"/>
    </row>
    <row r="223" spans="3:14" ht="21" customHeight="1" x14ac:dyDescent="0.25">
      <c r="C223" s="494"/>
      <c r="D223" s="62"/>
      <c r="E223" s="69" t="str">
        <f>'GRs Detail'!$E227</f>
        <v>Safety (C &amp; L)</v>
      </c>
      <c r="F223" s="69"/>
      <c r="G223" s="70"/>
      <c r="H223" s="80"/>
      <c r="I223" s="71">
        <f ca="1">'GRs Detail'!$J227</f>
        <v>0</v>
      </c>
      <c r="J223" s="81">
        <f>'GRs Detail'!$H227</f>
        <v>1</v>
      </c>
      <c r="K223" s="82" t="str">
        <f>'GRs Detail'!$I227</f>
        <v>lsum</v>
      </c>
      <c r="L223" s="73">
        <f t="shared" ca="1" si="3"/>
        <v>0</v>
      </c>
      <c r="M223" s="72"/>
      <c r="N223" s="498"/>
    </row>
    <row r="224" spans="3:14" ht="21" customHeight="1" x14ac:dyDescent="0.25">
      <c r="C224" s="494"/>
      <c r="D224" s="62"/>
      <c r="E224" s="69" t="str">
        <f>'GRs Detail'!$E228</f>
        <v>Police</v>
      </c>
      <c r="F224" s="69"/>
      <c r="G224" s="70"/>
      <c r="H224" s="80"/>
      <c r="I224" s="71">
        <f ca="1">'GRs Detail'!$J228</f>
        <v>0</v>
      </c>
      <c r="J224" s="81">
        <f>'GRs Detail'!$H228</f>
        <v>1</v>
      </c>
      <c r="K224" s="82" t="str">
        <f>'GRs Detail'!$I228</f>
        <v>lsum</v>
      </c>
      <c r="L224" s="73">
        <f t="shared" ca="1" si="3"/>
        <v>0</v>
      </c>
      <c r="M224" s="72"/>
      <c r="N224" s="498"/>
    </row>
    <row r="225" spans="3:14" ht="21" customHeight="1" x14ac:dyDescent="0.25">
      <c r="C225" s="494"/>
      <c r="D225" s="62"/>
      <c r="E225" s="69" t="str">
        <f>'GRs Detail'!$E229</f>
        <v>Labor Steward</v>
      </c>
      <c r="F225" s="69"/>
      <c r="G225" s="70"/>
      <c r="H225" s="80"/>
      <c r="I225" s="71">
        <f ca="1">'GRs Detail'!$J229</f>
        <v>0</v>
      </c>
      <c r="J225" s="81">
        <f>'GRs Detail'!$H229</f>
        <v>1</v>
      </c>
      <c r="K225" s="82" t="str">
        <f>'GRs Detail'!$I229</f>
        <v>lsum</v>
      </c>
      <c r="L225" s="73">
        <f t="shared" ca="1" si="3"/>
        <v>0</v>
      </c>
      <c r="M225" s="72"/>
      <c r="N225" s="498"/>
    </row>
    <row r="226" spans="3:14" ht="21" customHeight="1" x14ac:dyDescent="0.25">
      <c r="C226" s="494"/>
      <c r="D226" s="62"/>
      <c r="E226" s="69" t="str">
        <f>'GRs Detail'!$E230</f>
        <v>Carpenter Steward</v>
      </c>
      <c r="F226" s="69"/>
      <c r="G226" s="70"/>
      <c r="H226" s="80"/>
      <c r="I226" s="71">
        <f ca="1">'GRs Detail'!$J230</f>
        <v>0</v>
      </c>
      <c r="J226" s="81">
        <f>'GRs Detail'!$H230</f>
        <v>1</v>
      </c>
      <c r="K226" s="82" t="str">
        <f>'GRs Detail'!$I230</f>
        <v>lsum</v>
      </c>
      <c r="L226" s="73">
        <f t="shared" ca="1" si="3"/>
        <v>0</v>
      </c>
      <c r="M226" s="72"/>
      <c r="N226" s="498"/>
    </row>
    <row r="227" spans="3:14" ht="21" customHeight="1" x14ac:dyDescent="0.25">
      <c r="C227" s="494"/>
      <c r="D227" s="62"/>
      <c r="E227" s="69" t="str">
        <f>'GRs Detail'!$E231</f>
        <v>Fire Watch</v>
      </c>
      <c r="F227" s="69"/>
      <c r="G227" s="70"/>
      <c r="H227" s="80"/>
      <c r="I227" s="71">
        <f ca="1">'GRs Detail'!$J231</f>
        <v>0</v>
      </c>
      <c r="J227" s="81">
        <f>'GRs Detail'!$H231</f>
        <v>1</v>
      </c>
      <c r="K227" s="82" t="str">
        <f>'GRs Detail'!$I231</f>
        <v>lsum</v>
      </c>
      <c r="L227" s="73">
        <f t="shared" ca="1" si="3"/>
        <v>0</v>
      </c>
      <c r="M227" s="72"/>
      <c r="N227" s="498"/>
    </row>
    <row r="228" spans="3:14" ht="4.5" customHeight="1" x14ac:dyDescent="0.25">
      <c r="C228" s="494"/>
      <c r="D228" s="62"/>
      <c r="E228" s="478">
        <f>'GRs Detail'!$E232</f>
        <v>0</v>
      </c>
      <c r="F228" s="478"/>
      <c r="G228" s="479"/>
      <c r="H228" s="479"/>
      <c r="I228" s="480">
        <f>'GRs Detail'!$J232</f>
        <v>0</v>
      </c>
      <c r="J228" s="481">
        <f>'GRs Detail'!$H232</f>
        <v>0</v>
      </c>
      <c r="K228" s="482">
        <f>'GRs Detail'!$I232</f>
        <v>0</v>
      </c>
      <c r="L228" s="483">
        <f t="shared" si="3"/>
        <v>0</v>
      </c>
      <c r="M228" s="72"/>
      <c r="N228" s="498"/>
    </row>
    <row r="229" spans="3:14" ht="21" customHeight="1" x14ac:dyDescent="0.25">
      <c r="C229" s="494"/>
      <c r="D229" s="62"/>
      <c r="E229" s="478">
        <f>'GRs Detail'!$E233</f>
        <v>0</v>
      </c>
      <c r="F229" s="478"/>
      <c r="G229" s="479"/>
      <c r="H229" s="479"/>
      <c r="I229" s="480">
        <f>'GRs Detail'!$J233</f>
        <v>0</v>
      </c>
      <c r="J229" s="481">
        <f>'GRs Detail'!$H233</f>
        <v>0</v>
      </c>
      <c r="K229" s="482">
        <f>'GRs Detail'!$I233</f>
        <v>0</v>
      </c>
      <c r="L229" s="483">
        <f t="shared" si="3"/>
        <v>0</v>
      </c>
      <c r="M229" s="72"/>
      <c r="N229" s="498"/>
    </row>
    <row r="230" spans="3:14" ht="21.6" customHeight="1" x14ac:dyDescent="0.25">
      <c r="C230" s="494"/>
      <c r="D230" s="556"/>
      <c r="E230" s="572"/>
      <c r="F230" s="572"/>
      <c r="G230" s="495"/>
      <c r="H230" s="495"/>
      <c r="I230" s="496"/>
      <c r="J230" s="531"/>
      <c r="K230" s="497"/>
      <c r="L230" s="573"/>
      <c r="M230" s="573"/>
      <c r="N230" s="498"/>
    </row>
    <row r="231" spans="3:14" ht="21.6" customHeight="1" x14ac:dyDescent="0.25">
      <c r="C231" s="494"/>
      <c r="D231" s="556"/>
      <c r="E231" s="574" t="s">
        <v>380</v>
      </c>
      <c r="F231" s="574"/>
      <c r="G231" s="575"/>
      <c r="H231" s="575"/>
      <c r="I231" s="575"/>
      <c r="J231" s="575"/>
      <c r="K231" s="576"/>
      <c r="L231" s="589" t="e">
        <f ca="1">SUM(L10:L230)</f>
        <v>#NAME?</v>
      </c>
      <c r="M231" s="577"/>
      <c r="N231" s="498"/>
    </row>
    <row r="232" spans="3:14" ht="21.6" customHeight="1" x14ac:dyDescent="0.25">
      <c r="C232" s="494"/>
      <c r="D232" s="556"/>
      <c r="E232" s="556"/>
      <c r="F232" s="556"/>
      <c r="G232" s="556"/>
      <c r="H232" s="556"/>
      <c r="I232" s="556"/>
      <c r="J232" s="556"/>
      <c r="K232" s="578" t="s">
        <v>934</v>
      </c>
      <c r="L232" s="590" t="e">
        <f ca="1">CEILING('GRs Detail'!J2-\grtotal,2)</f>
        <v>#NAME?</v>
      </c>
      <c r="M232" s="556"/>
      <c r="N232" s="498"/>
    </row>
    <row r="233" spans="3:14" hidden="1" x14ac:dyDescent="0.25">
      <c r="D233" s="580"/>
      <c r="E233" s="580"/>
      <c r="F233" s="580"/>
      <c r="G233" s="580"/>
      <c r="H233" s="580"/>
      <c r="I233" s="580"/>
      <c r="J233" s="580"/>
      <c r="K233" s="580"/>
      <c r="L233" s="580"/>
      <c r="M233" s="580"/>
    </row>
    <row r="234" spans="3:14" ht="16.5" hidden="1" thickBot="1" x14ac:dyDescent="0.3">
      <c r="C234" s="581"/>
      <c r="D234" s="582" t="s">
        <v>381</v>
      </c>
      <c r="E234" s="581"/>
      <c r="F234" s="581"/>
      <c r="G234" s="581"/>
      <c r="H234" s="581"/>
      <c r="I234" s="581"/>
      <c r="J234" s="581"/>
      <c r="K234" s="581"/>
      <c r="L234" s="581"/>
      <c r="M234" s="581"/>
      <c r="N234" s="581"/>
    </row>
    <row r="235" spans="3:14" hidden="1" x14ac:dyDescent="0.25">
      <c r="C235" s="494"/>
      <c r="D235" s="74"/>
      <c r="E235" s="75"/>
      <c r="F235" s="75"/>
      <c r="G235" s="75"/>
      <c r="H235" s="75"/>
      <c r="I235" s="75"/>
      <c r="J235" s="75"/>
      <c r="K235" s="75"/>
      <c r="L235" s="75"/>
      <c r="M235" s="76"/>
      <c r="N235" s="498"/>
    </row>
    <row r="236" spans="3:14" ht="15.75" hidden="1" thickBot="1" x14ac:dyDescent="0.3">
      <c r="C236" s="494"/>
      <c r="D236" s="77"/>
      <c r="E236" s="78"/>
      <c r="F236" s="78"/>
      <c r="G236" s="78"/>
      <c r="H236" s="78"/>
      <c r="I236" s="78"/>
      <c r="J236" s="78"/>
      <c r="K236" s="78"/>
      <c r="L236" s="78"/>
      <c r="M236" s="79"/>
      <c r="N236" s="498"/>
    </row>
    <row r="237" spans="3:14" ht="120" hidden="1" customHeight="1" x14ac:dyDescent="0.25">
      <c r="C237" s="581"/>
      <c r="D237" s="581"/>
      <c r="E237" s="581"/>
      <c r="F237" s="581"/>
      <c r="G237" s="581"/>
      <c r="H237" s="581"/>
      <c r="I237" s="581"/>
      <c r="J237" s="581"/>
      <c r="K237" s="581"/>
      <c r="L237" s="581"/>
      <c r="M237" s="581"/>
      <c r="N237" s="581"/>
    </row>
    <row r="238" spans="3:14" hidden="1" x14ac:dyDescent="0.25">
      <c r="C238" s="581"/>
      <c r="D238" s="581"/>
      <c r="E238" s="581"/>
      <c r="F238" s="581"/>
      <c r="G238" s="581"/>
      <c r="H238" s="581"/>
      <c r="I238" s="581"/>
      <c r="J238" s="581"/>
      <c r="K238" s="581"/>
      <c r="L238" s="581"/>
      <c r="M238" s="581"/>
    </row>
    <row r="239" spans="3:14" hidden="1" x14ac:dyDescent="0.25">
      <c r="D239" s="493"/>
      <c r="E239" s="493"/>
      <c r="F239" s="493"/>
      <c r="G239" s="493"/>
      <c r="H239" s="493"/>
      <c r="I239" s="493"/>
      <c r="J239" s="493"/>
      <c r="K239" s="493"/>
      <c r="L239" s="493"/>
      <c r="M239" s="493"/>
    </row>
    <row r="240" spans="3:14" ht="21" hidden="1" customHeight="1" x14ac:dyDescent="0.25">
      <c r="C240" s="494"/>
      <c r="D240" s="62"/>
      <c r="E240" s="69" t="s">
        <v>382</v>
      </c>
      <c r="F240" s="69"/>
      <c r="G240" s="70"/>
      <c r="H240" s="80"/>
      <c r="I240" s="71"/>
      <c r="J240" s="81"/>
      <c r="K240" s="82"/>
      <c r="L240" s="73"/>
      <c r="M240" s="72"/>
      <c r="N240" s="498"/>
    </row>
    <row r="241" spans="1:14" ht="21" hidden="1" customHeight="1" x14ac:dyDescent="0.25">
      <c r="C241" s="494"/>
      <c r="D241" s="62"/>
      <c r="E241" s="63" t="s">
        <v>383</v>
      </c>
      <c r="F241" s="500"/>
      <c r="G241" s="479"/>
      <c r="H241" s="479"/>
      <c r="I241" s="480"/>
      <c r="J241" s="481"/>
      <c r="K241" s="482"/>
      <c r="L241" s="483"/>
      <c r="M241" s="72"/>
      <c r="N241" s="498"/>
    </row>
    <row r="242" spans="1:14" ht="21" hidden="1" customHeight="1" x14ac:dyDescent="0.25">
      <c r="C242" s="494"/>
      <c r="D242" s="62"/>
      <c r="E242" s="478"/>
      <c r="F242" s="478"/>
      <c r="G242" s="479"/>
      <c r="H242" s="479"/>
      <c r="I242" s="480"/>
      <c r="J242" s="481"/>
      <c r="K242" s="482"/>
      <c r="L242" s="483"/>
      <c r="M242" s="72"/>
      <c r="N242" s="498"/>
    </row>
    <row r="243" spans="1:14" hidden="1" x14ac:dyDescent="0.25">
      <c r="A243" s="583"/>
      <c r="B243" s="583"/>
      <c r="C243" s="583"/>
      <c r="D243" s="583"/>
      <c r="E243" s="583"/>
      <c r="F243" s="583"/>
      <c r="G243" s="583"/>
      <c r="H243" s="583"/>
      <c r="I243" s="583"/>
      <c r="J243" s="583"/>
      <c r="K243" s="583"/>
      <c r="L243" s="583"/>
      <c r="M243" s="583"/>
      <c r="N243" s="583"/>
    </row>
    <row r="244" spans="1:14" ht="21" hidden="1" customHeight="1" x14ac:dyDescent="0.25">
      <c r="A244" s="493" t="e">
        <f>#REF!</f>
        <v>#REF!</v>
      </c>
      <c r="C244" s="494"/>
      <c r="D244" s="62"/>
      <c r="E244" s="69"/>
      <c r="F244" s="69"/>
      <c r="G244" s="70"/>
      <c r="H244" s="80"/>
      <c r="I244" s="71"/>
      <c r="J244" s="81"/>
      <c r="K244" s="82"/>
      <c r="L244" s="83"/>
      <c r="M244" s="72"/>
      <c r="N244" s="498"/>
    </row>
    <row r="245" spans="1:14" hidden="1" x14ac:dyDescent="0.25">
      <c r="A245" s="583"/>
      <c r="B245" s="583"/>
      <c r="C245" s="583"/>
      <c r="D245" s="584"/>
      <c r="E245" s="584"/>
      <c r="F245" s="584"/>
      <c r="G245" s="584"/>
      <c r="H245" s="584"/>
      <c r="I245" s="584"/>
      <c r="J245" s="584"/>
      <c r="K245" s="584"/>
      <c r="L245" s="584"/>
      <c r="M245" s="584"/>
      <c r="N245" s="583"/>
    </row>
    <row r="246" spans="1:14" hidden="1" x14ac:dyDescent="0.25"/>
    <row r="247" spans="1:14" hidden="1" x14ac:dyDescent="0.25"/>
    <row r="248" spans="1:14" hidden="1" x14ac:dyDescent="0.25"/>
    <row r="249" spans="1:14" hidden="1" x14ac:dyDescent="0.25"/>
    <row r="250" spans="1:14" hidden="1" x14ac:dyDescent="0.25"/>
    <row r="251" spans="1:14" hidden="1" x14ac:dyDescent="0.25"/>
    <row r="252" spans="1:14" hidden="1" x14ac:dyDescent="0.25"/>
    <row r="253" spans="1:14" hidden="1" x14ac:dyDescent="0.25"/>
    <row r="254" spans="1:14" hidden="1" x14ac:dyDescent="0.25"/>
    <row r="255" spans="1:14" hidden="1" x14ac:dyDescent="0.25"/>
    <row r="256" spans="1:14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  <row r="618" hidden="1" x14ac:dyDescent="0.25"/>
    <row r="619" hidden="1" x14ac:dyDescent="0.25"/>
    <row r="620" hidden="1" x14ac:dyDescent="0.25"/>
    <row r="621" hidden="1" x14ac:dyDescent="0.25"/>
    <row r="622" hidden="1" x14ac:dyDescent="0.25"/>
    <row r="623" hidden="1" x14ac:dyDescent="0.25"/>
    <row r="624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72" hidden="1" x14ac:dyDescent="0.25"/>
    <row r="673" hidden="1" x14ac:dyDescent="0.25"/>
    <row r="674" hidden="1" x14ac:dyDescent="0.25"/>
    <row r="675" hidden="1" x14ac:dyDescent="0.25"/>
    <row r="676" hidden="1" x14ac:dyDescent="0.25"/>
    <row r="677" hidden="1" x14ac:dyDescent="0.25"/>
    <row r="678" hidden="1" x14ac:dyDescent="0.25"/>
    <row r="679" hidden="1" x14ac:dyDescent="0.25"/>
    <row r="680" hidden="1" x14ac:dyDescent="0.25"/>
    <row r="681" hidden="1" x14ac:dyDescent="0.25"/>
    <row r="682" hidden="1" x14ac:dyDescent="0.25"/>
    <row r="683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  <row r="742" hidden="1" x14ac:dyDescent="0.25"/>
    <row r="743" hidden="1" x14ac:dyDescent="0.25"/>
    <row r="744" hidden="1" x14ac:dyDescent="0.25"/>
    <row r="745" hidden="1" x14ac:dyDescent="0.25"/>
    <row r="746" hidden="1" x14ac:dyDescent="0.25"/>
    <row r="747" hidden="1" x14ac:dyDescent="0.25"/>
    <row r="748" hidden="1" x14ac:dyDescent="0.25"/>
    <row r="749" hidden="1" x14ac:dyDescent="0.25"/>
    <row r="750" hidden="1" x14ac:dyDescent="0.25"/>
    <row r="751" hidden="1" x14ac:dyDescent="0.25"/>
    <row r="752" hidden="1" x14ac:dyDescent="0.25"/>
    <row r="753" hidden="1" x14ac:dyDescent="0.25"/>
    <row r="754" hidden="1" x14ac:dyDescent="0.25"/>
    <row r="755" hidden="1" x14ac:dyDescent="0.25"/>
    <row r="756" hidden="1" x14ac:dyDescent="0.25"/>
    <row r="757" hidden="1" x14ac:dyDescent="0.25"/>
    <row r="758" hidden="1" x14ac:dyDescent="0.25"/>
    <row r="759" hidden="1" x14ac:dyDescent="0.25"/>
    <row r="760" hidden="1" x14ac:dyDescent="0.25"/>
    <row r="761" hidden="1" x14ac:dyDescent="0.25"/>
    <row r="762" hidden="1" x14ac:dyDescent="0.25"/>
    <row r="763" hidden="1" x14ac:dyDescent="0.25"/>
    <row r="764" hidden="1" x14ac:dyDescent="0.25"/>
    <row r="765" hidden="1" x14ac:dyDescent="0.25"/>
    <row r="766" hidden="1" x14ac:dyDescent="0.25"/>
    <row r="767" hidden="1" x14ac:dyDescent="0.25"/>
    <row r="768" hidden="1" x14ac:dyDescent="0.25"/>
    <row r="769" hidden="1" x14ac:dyDescent="0.25"/>
    <row r="770" hidden="1" x14ac:dyDescent="0.25"/>
    <row r="771" hidden="1" x14ac:dyDescent="0.25"/>
    <row r="772" hidden="1" x14ac:dyDescent="0.25"/>
    <row r="773" hidden="1" x14ac:dyDescent="0.25"/>
    <row r="774" hidden="1" x14ac:dyDescent="0.25"/>
    <row r="775" hidden="1" x14ac:dyDescent="0.25"/>
    <row r="776" hidden="1" x14ac:dyDescent="0.25"/>
    <row r="777" hidden="1" x14ac:dyDescent="0.25"/>
    <row r="778" hidden="1" x14ac:dyDescent="0.25"/>
    <row r="779" hidden="1" x14ac:dyDescent="0.25"/>
    <row r="780" hidden="1" x14ac:dyDescent="0.25"/>
    <row r="781" hidden="1" x14ac:dyDescent="0.25"/>
    <row r="782" hidden="1" x14ac:dyDescent="0.25"/>
    <row r="783" hidden="1" x14ac:dyDescent="0.25"/>
    <row r="784" hidden="1" x14ac:dyDescent="0.25"/>
    <row r="785" hidden="1" x14ac:dyDescent="0.25"/>
    <row r="786" hidden="1" x14ac:dyDescent="0.25"/>
    <row r="787" hidden="1" x14ac:dyDescent="0.25"/>
    <row r="788" hidden="1" x14ac:dyDescent="0.25"/>
    <row r="789" hidden="1" x14ac:dyDescent="0.25"/>
    <row r="790" hidden="1" x14ac:dyDescent="0.25"/>
    <row r="791" hidden="1" x14ac:dyDescent="0.25"/>
    <row r="792" hidden="1" x14ac:dyDescent="0.25"/>
    <row r="793" hidden="1" x14ac:dyDescent="0.25"/>
    <row r="794" hidden="1" x14ac:dyDescent="0.25"/>
    <row r="795" hidden="1" x14ac:dyDescent="0.25"/>
    <row r="796" hidden="1" x14ac:dyDescent="0.25"/>
    <row r="797" hidden="1" x14ac:dyDescent="0.25"/>
    <row r="798" hidden="1" x14ac:dyDescent="0.25"/>
    <row r="799" hidden="1" x14ac:dyDescent="0.25"/>
    <row r="800" hidden="1" x14ac:dyDescent="0.25"/>
    <row r="801" hidden="1" x14ac:dyDescent="0.25"/>
    <row r="802" hidden="1" x14ac:dyDescent="0.25"/>
    <row r="803" hidden="1" x14ac:dyDescent="0.25"/>
    <row r="804" hidden="1" x14ac:dyDescent="0.25"/>
    <row r="805" hidden="1" x14ac:dyDescent="0.25"/>
    <row r="806" hidden="1" x14ac:dyDescent="0.25"/>
    <row r="807" hidden="1" x14ac:dyDescent="0.25"/>
    <row r="808" hidden="1" x14ac:dyDescent="0.25"/>
    <row r="809" hidden="1" x14ac:dyDescent="0.25"/>
    <row r="810" hidden="1" x14ac:dyDescent="0.25"/>
    <row r="811" hidden="1" x14ac:dyDescent="0.25"/>
    <row r="812" hidden="1" x14ac:dyDescent="0.25"/>
    <row r="813" hidden="1" x14ac:dyDescent="0.25"/>
    <row r="814" hidden="1" x14ac:dyDescent="0.25"/>
    <row r="815" hidden="1" x14ac:dyDescent="0.25"/>
    <row r="816" hidden="1" x14ac:dyDescent="0.25"/>
    <row r="817" hidden="1" x14ac:dyDescent="0.25"/>
    <row r="818" hidden="1" x14ac:dyDescent="0.25"/>
    <row r="819" hidden="1" x14ac:dyDescent="0.25"/>
    <row r="820" hidden="1" x14ac:dyDescent="0.25"/>
    <row r="821" hidden="1" x14ac:dyDescent="0.25"/>
    <row r="822" hidden="1" x14ac:dyDescent="0.25"/>
    <row r="823" hidden="1" x14ac:dyDescent="0.25"/>
    <row r="824" hidden="1" x14ac:dyDescent="0.25"/>
    <row r="825" hidden="1" x14ac:dyDescent="0.25"/>
    <row r="826" hidden="1" x14ac:dyDescent="0.25"/>
    <row r="827" hidden="1" x14ac:dyDescent="0.25"/>
    <row r="828" hidden="1" x14ac:dyDescent="0.25"/>
    <row r="829" hidden="1" x14ac:dyDescent="0.25"/>
    <row r="830" hidden="1" x14ac:dyDescent="0.25"/>
    <row r="831" hidden="1" x14ac:dyDescent="0.25"/>
    <row r="832" hidden="1" x14ac:dyDescent="0.25"/>
    <row r="833" hidden="1" x14ac:dyDescent="0.25"/>
    <row r="834" hidden="1" x14ac:dyDescent="0.25"/>
    <row r="835" hidden="1" x14ac:dyDescent="0.25"/>
    <row r="836" hidden="1" x14ac:dyDescent="0.25"/>
    <row r="837" hidden="1" x14ac:dyDescent="0.25"/>
    <row r="838" hidden="1" x14ac:dyDescent="0.25"/>
    <row r="839" hidden="1" x14ac:dyDescent="0.25"/>
    <row r="840" hidden="1" x14ac:dyDescent="0.25"/>
    <row r="841" hidden="1" x14ac:dyDescent="0.25"/>
    <row r="842" hidden="1" x14ac:dyDescent="0.25"/>
    <row r="843" hidden="1" x14ac:dyDescent="0.25"/>
    <row r="844" hidden="1" x14ac:dyDescent="0.25"/>
    <row r="845" hidden="1" x14ac:dyDescent="0.25"/>
    <row r="846" hidden="1" x14ac:dyDescent="0.25"/>
    <row r="847" hidden="1" x14ac:dyDescent="0.25"/>
    <row r="848" hidden="1" x14ac:dyDescent="0.25"/>
    <row r="849" hidden="1" x14ac:dyDescent="0.25"/>
    <row r="850" hidden="1" x14ac:dyDescent="0.25"/>
    <row r="851" hidden="1" x14ac:dyDescent="0.25"/>
    <row r="852" hidden="1" x14ac:dyDescent="0.25"/>
    <row r="853" hidden="1" x14ac:dyDescent="0.25"/>
    <row r="854" hidden="1" x14ac:dyDescent="0.25"/>
    <row r="855" hidden="1" x14ac:dyDescent="0.25"/>
    <row r="856" hidden="1" x14ac:dyDescent="0.25"/>
    <row r="857" hidden="1" x14ac:dyDescent="0.25"/>
    <row r="858" hidden="1" x14ac:dyDescent="0.25"/>
    <row r="859" hidden="1" x14ac:dyDescent="0.25"/>
    <row r="860" hidden="1" x14ac:dyDescent="0.25"/>
    <row r="861" hidden="1" x14ac:dyDescent="0.25"/>
    <row r="862" hidden="1" x14ac:dyDescent="0.25"/>
    <row r="863" hidden="1" x14ac:dyDescent="0.25"/>
    <row r="864" hidden="1" x14ac:dyDescent="0.25"/>
    <row r="865" hidden="1" x14ac:dyDescent="0.25"/>
    <row r="866" hidden="1" x14ac:dyDescent="0.25"/>
    <row r="867" hidden="1" x14ac:dyDescent="0.25"/>
    <row r="868" hidden="1" x14ac:dyDescent="0.25"/>
    <row r="869" hidden="1" x14ac:dyDescent="0.25"/>
    <row r="870" hidden="1" x14ac:dyDescent="0.25"/>
    <row r="871" hidden="1" x14ac:dyDescent="0.25"/>
    <row r="872" hidden="1" x14ac:dyDescent="0.25"/>
    <row r="873" hidden="1" x14ac:dyDescent="0.25"/>
    <row r="874" hidden="1" x14ac:dyDescent="0.25"/>
    <row r="875" hidden="1" x14ac:dyDescent="0.25"/>
    <row r="876" hidden="1" x14ac:dyDescent="0.25"/>
    <row r="877" hidden="1" x14ac:dyDescent="0.25"/>
    <row r="878" hidden="1" x14ac:dyDescent="0.25"/>
    <row r="879" hidden="1" x14ac:dyDescent="0.25"/>
    <row r="880" hidden="1" x14ac:dyDescent="0.25"/>
    <row r="881" hidden="1" x14ac:dyDescent="0.25"/>
    <row r="882" hidden="1" x14ac:dyDescent="0.25"/>
    <row r="883" hidden="1" x14ac:dyDescent="0.25"/>
    <row r="884" hidden="1" x14ac:dyDescent="0.25"/>
    <row r="885" hidden="1" x14ac:dyDescent="0.25"/>
    <row r="886" hidden="1" x14ac:dyDescent="0.25"/>
    <row r="887" hidden="1" x14ac:dyDescent="0.25"/>
    <row r="888" hidden="1" x14ac:dyDescent="0.25"/>
    <row r="889" hidden="1" x14ac:dyDescent="0.25"/>
    <row r="890" hidden="1" x14ac:dyDescent="0.25"/>
    <row r="891" hidden="1" x14ac:dyDescent="0.25"/>
    <row r="892" hidden="1" x14ac:dyDescent="0.25"/>
    <row r="893" hidden="1" x14ac:dyDescent="0.25"/>
    <row r="894" hidden="1" x14ac:dyDescent="0.25"/>
    <row r="895" hidden="1" x14ac:dyDescent="0.25"/>
    <row r="896" hidden="1" x14ac:dyDescent="0.25"/>
    <row r="897" hidden="1" x14ac:dyDescent="0.25"/>
    <row r="898" hidden="1" x14ac:dyDescent="0.25"/>
    <row r="899" hidden="1" x14ac:dyDescent="0.25"/>
    <row r="900" hidden="1" x14ac:dyDescent="0.25"/>
    <row r="901" hidden="1" x14ac:dyDescent="0.25"/>
    <row r="902" hidden="1" x14ac:dyDescent="0.25"/>
    <row r="903" hidden="1" x14ac:dyDescent="0.25"/>
    <row r="904" hidden="1" x14ac:dyDescent="0.25"/>
    <row r="905" hidden="1" x14ac:dyDescent="0.25"/>
    <row r="906" hidden="1" x14ac:dyDescent="0.25"/>
    <row r="907" hidden="1" x14ac:dyDescent="0.25"/>
    <row r="908" hidden="1" x14ac:dyDescent="0.25"/>
    <row r="909" hidden="1" x14ac:dyDescent="0.25"/>
    <row r="910" hidden="1" x14ac:dyDescent="0.25"/>
    <row r="911" hidden="1" x14ac:dyDescent="0.25"/>
    <row r="912" hidden="1" x14ac:dyDescent="0.25"/>
    <row r="913" hidden="1" x14ac:dyDescent="0.25"/>
    <row r="914" hidden="1" x14ac:dyDescent="0.25"/>
    <row r="915" hidden="1" x14ac:dyDescent="0.25"/>
    <row r="916" hidden="1" x14ac:dyDescent="0.25"/>
    <row r="917" hidden="1" x14ac:dyDescent="0.25"/>
    <row r="918" hidden="1" x14ac:dyDescent="0.25"/>
    <row r="919" hidden="1" x14ac:dyDescent="0.25"/>
    <row r="920" hidden="1" x14ac:dyDescent="0.25"/>
    <row r="921" hidden="1" x14ac:dyDescent="0.25"/>
    <row r="922" hidden="1" x14ac:dyDescent="0.25"/>
    <row r="923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  <row r="944" hidden="1" x14ac:dyDescent="0.25"/>
    <row r="945" hidden="1" x14ac:dyDescent="0.25"/>
    <row r="946" hidden="1" x14ac:dyDescent="0.25"/>
    <row r="947" hidden="1" x14ac:dyDescent="0.25"/>
    <row r="948" hidden="1" x14ac:dyDescent="0.25"/>
    <row r="949" hidden="1" x14ac:dyDescent="0.25"/>
    <row r="950" hidden="1" x14ac:dyDescent="0.25"/>
    <row r="951" hidden="1" x14ac:dyDescent="0.25"/>
    <row r="952" hidden="1" x14ac:dyDescent="0.25"/>
    <row r="953" hidden="1" x14ac:dyDescent="0.25"/>
    <row r="954" hidden="1" x14ac:dyDescent="0.25"/>
    <row r="955" hidden="1" x14ac:dyDescent="0.25"/>
    <row r="956" hidden="1" x14ac:dyDescent="0.25"/>
    <row r="957" hidden="1" x14ac:dyDescent="0.25"/>
    <row r="958" hidden="1" x14ac:dyDescent="0.25"/>
    <row r="959" hidden="1" x14ac:dyDescent="0.25"/>
    <row r="960" hidden="1" x14ac:dyDescent="0.25"/>
    <row r="961" hidden="1" x14ac:dyDescent="0.25"/>
    <row r="962" hidden="1" x14ac:dyDescent="0.25"/>
    <row r="963" hidden="1" x14ac:dyDescent="0.25"/>
    <row r="964" hidden="1" x14ac:dyDescent="0.25"/>
    <row r="965" hidden="1" x14ac:dyDescent="0.25"/>
    <row r="966" hidden="1" x14ac:dyDescent="0.25"/>
    <row r="967" hidden="1" x14ac:dyDescent="0.25"/>
    <row r="968" hidden="1" x14ac:dyDescent="0.25"/>
    <row r="969" hidden="1" x14ac:dyDescent="0.25"/>
    <row r="970" hidden="1" x14ac:dyDescent="0.25"/>
    <row r="971" hidden="1" x14ac:dyDescent="0.25"/>
    <row r="972" hidden="1" x14ac:dyDescent="0.25"/>
    <row r="973" hidden="1" x14ac:dyDescent="0.25"/>
    <row r="974" hidden="1" x14ac:dyDescent="0.25"/>
    <row r="975" hidden="1" x14ac:dyDescent="0.25"/>
    <row r="976" hidden="1" x14ac:dyDescent="0.25"/>
    <row r="977" hidden="1" x14ac:dyDescent="0.25"/>
    <row r="978" hidden="1" x14ac:dyDescent="0.25"/>
    <row r="979" hidden="1" x14ac:dyDescent="0.25"/>
    <row r="980" hidden="1" x14ac:dyDescent="0.25"/>
    <row r="981" hidden="1" x14ac:dyDescent="0.25"/>
    <row r="982" hidden="1" x14ac:dyDescent="0.25"/>
    <row r="983" hidden="1" x14ac:dyDescent="0.25"/>
    <row r="984" hidden="1" x14ac:dyDescent="0.25"/>
    <row r="985" hidden="1" x14ac:dyDescent="0.25"/>
    <row r="986" hidden="1" x14ac:dyDescent="0.25"/>
    <row r="987" hidden="1" x14ac:dyDescent="0.25"/>
    <row r="988" hidden="1" x14ac:dyDescent="0.25"/>
    <row r="989" hidden="1" x14ac:dyDescent="0.25"/>
    <row r="990" hidden="1" x14ac:dyDescent="0.25"/>
    <row r="991" hidden="1" x14ac:dyDescent="0.25"/>
    <row r="992" hidden="1" x14ac:dyDescent="0.25"/>
    <row r="993" hidden="1" x14ac:dyDescent="0.25"/>
    <row r="994" hidden="1" x14ac:dyDescent="0.25"/>
    <row r="995" hidden="1" x14ac:dyDescent="0.25"/>
    <row r="996" hidden="1" x14ac:dyDescent="0.25"/>
    <row r="997" hidden="1" x14ac:dyDescent="0.25"/>
    <row r="998" hidden="1" x14ac:dyDescent="0.25"/>
    <row r="999" hidden="1" x14ac:dyDescent="0.25"/>
    <row r="1000" hidden="1" x14ac:dyDescent="0.25"/>
    <row r="1001" hidden="1" x14ac:dyDescent="0.25"/>
    <row r="1002" hidden="1" x14ac:dyDescent="0.25"/>
    <row r="1003" hidden="1" x14ac:dyDescent="0.25"/>
    <row r="1004" hidden="1" x14ac:dyDescent="0.25"/>
    <row r="1005" hidden="1" x14ac:dyDescent="0.25"/>
    <row r="1006" hidden="1" x14ac:dyDescent="0.25"/>
    <row r="1007" hidden="1" x14ac:dyDescent="0.25"/>
    <row r="1008" hidden="1" x14ac:dyDescent="0.25"/>
    <row r="1009" hidden="1" x14ac:dyDescent="0.25"/>
    <row r="1010" hidden="1" x14ac:dyDescent="0.25"/>
    <row r="1011" hidden="1" x14ac:dyDescent="0.25"/>
    <row r="1012" hidden="1" x14ac:dyDescent="0.25"/>
    <row r="1013" hidden="1" x14ac:dyDescent="0.25"/>
    <row r="1014" hidden="1" x14ac:dyDescent="0.25"/>
    <row r="1015" hidden="1" x14ac:dyDescent="0.25"/>
    <row r="1016" hidden="1" x14ac:dyDescent="0.25"/>
    <row r="1017" hidden="1" x14ac:dyDescent="0.25"/>
    <row r="1018" hidden="1" x14ac:dyDescent="0.25"/>
    <row r="1019" hidden="1" x14ac:dyDescent="0.25"/>
    <row r="1020" hidden="1" x14ac:dyDescent="0.25"/>
    <row r="1021" hidden="1" x14ac:dyDescent="0.25"/>
    <row r="1022" hidden="1" x14ac:dyDescent="0.25"/>
    <row r="1023" hidden="1" x14ac:dyDescent="0.25"/>
    <row r="1024" hidden="1" x14ac:dyDescent="0.25"/>
    <row r="1025" hidden="1" x14ac:dyDescent="0.25"/>
    <row r="1026" hidden="1" x14ac:dyDescent="0.25"/>
    <row r="1027" hidden="1" x14ac:dyDescent="0.25"/>
    <row r="1028" hidden="1" x14ac:dyDescent="0.25"/>
    <row r="1029" hidden="1" x14ac:dyDescent="0.25"/>
    <row r="1030" hidden="1" x14ac:dyDescent="0.25"/>
    <row r="1031" hidden="1" x14ac:dyDescent="0.25"/>
    <row r="1032" hidden="1" x14ac:dyDescent="0.25"/>
    <row r="1033" hidden="1" x14ac:dyDescent="0.25"/>
    <row r="1034" hidden="1" x14ac:dyDescent="0.25"/>
    <row r="1035" hidden="1" x14ac:dyDescent="0.25"/>
    <row r="1036" hidden="1" x14ac:dyDescent="0.25"/>
    <row r="1037" hidden="1" x14ac:dyDescent="0.25"/>
    <row r="1038" hidden="1" x14ac:dyDescent="0.25"/>
    <row r="1039" hidden="1" x14ac:dyDescent="0.25"/>
    <row r="1040" hidden="1" x14ac:dyDescent="0.25"/>
    <row r="1041" hidden="1" x14ac:dyDescent="0.25"/>
    <row r="1042" hidden="1" x14ac:dyDescent="0.25"/>
    <row r="1043" hidden="1" x14ac:dyDescent="0.25"/>
    <row r="1044" hidden="1" x14ac:dyDescent="0.25"/>
    <row r="1045" hidden="1" x14ac:dyDescent="0.25"/>
    <row r="1046" hidden="1" x14ac:dyDescent="0.25"/>
    <row r="1047" hidden="1" x14ac:dyDescent="0.25"/>
    <row r="1048" hidden="1" x14ac:dyDescent="0.25"/>
    <row r="1049" hidden="1" x14ac:dyDescent="0.25"/>
    <row r="1050" hidden="1" x14ac:dyDescent="0.25"/>
    <row r="1051" hidden="1" x14ac:dyDescent="0.25"/>
    <row r="1052" hidden="1" x14ac:dyDescent="0.25"/>
    <row r="1053" hidden="1" x14ac:dyDescent="0.25"/>
    <row r="1054" hidden="1" x14ac:dyDescent="0.25"/>
    <row r="1055" hidden="1" x14ac:dyDescent="0.25"/>
    <row r="1056" hidden="1" x14ac:dyDescent="0.25"/>
    <row r="1057" hidden="1" x14ac:dyDescent="0.25"/>
    <row r="1058" hidden="1" x14ac:dyDescent="0.25"/>
    <row r="1059" hidden="1" x14ac:dyDescent="0.25"/>
    <row r="1060" hidden="1" x14ac:dyDescent="0.25"/>
    <row r="1061" hidden="1" x14ac:dyDescent="0.25"/>
    <row r="1062" hidden="1" x14ac:dyDescent="0.25"/>
    <row r="1063" hidden="1" x14ac:dyDescent="0.25"/>
    <row r="1064" hidden="1" x14ac:dyDescent="0.25"/>
    <row r="1065" hidden="1" x14ac:dyDescent="0.25"/>
    <row r="1066" hidden="1" x14ac:dyDescent="0.25"/>
    <row r="1067" hidden="1" x14ac:dyDescent="0.25"/>
    <row r="1068" hidden="1" x14ac:dyDescent="0.25"/>
    <row r="1069" hidden="1" x14ac:dyDescent="0.25"/>
    <row r="1070" hidden="1" x14ac:dyDescent="0.25"/>
    <row r="1071" hidden="1" x14ac:dyDescent="0.25"/>
    <row r="1072" hidden="1" x14ac:dyDescent="0.25"/>
    <row r="1073" x14ac:dyDescent="0.25"/>
    <row r="1074" x14ac:dyDescent="0.25"/>
  </sheetData>
  <sheetProtection formatCells="0" formatColumns="0" formatRows="0" insertColumns="0" insertRows="0" insertHyperlinks="0" deleteColumns="0" deleteRows="0" sort="0" autoFilter="0" pivotTables="0"/>
  <conditionalFormatting sqref="D5">
    <cfRule type="cellIs" dxfId="3" priority="4" operator="equal">
      <formula>0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DCB40D8F-E762-4E69-836B-95573CAEE8F1}">
            <xm:f>$L$231&lt;&gt;'GRs Detail'!$J$2:$K$2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L231</xm:sqref>
        </x14:conditionalFormatting>
        <x14:conditionalFormatting xmlns:xm="http://schemas.microsoft.com/office/excel/2006/main">
          <x14:cfRule type="expression" priority="2" id="{6C8BBFEC-BC72-4B6F-A222-00C00949E46C}">
            <xm:f>$L$231&lt;&gt;'GRs Detail'!$J$2:$K$2</xm:f>
            <x14:dxf>
              <font>
                <b/>
                <i/>
                <color rgb="FFFF0000"/>
              </font>
            </x14:dxf>
          </x14:cfRule>
          <xm:sqref>K232</xm:sqref>
        </x14:conditionalFormatting>
        <x14:conditionalFormatting xmlns:xm="http://schemas.microsoft.com/office/excel/2006/main">
          <x14:cfRule type="expression" priority="1" id="{520227E0-4006-4B04-948F-8F83DD70F0FC}">
            <xm:f>$L$231&lt;&gt;'GRs Detail'!$J$2:$K$2</xm:f>
            <x14:dxf>
              <font>
                <b/>
                <i/>
                <color rgb="FFFF0000"/>
              </font>
            </x14:dxf>
          </x14:cfRule>
          <xm:sqref>L232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C3B88-FE14-4008-92D1-D2B48D81BB95}">
  <sheetPr codeName="Sheet20"/>
  <dimension ref="A4:S21"/>
  <sheetViews>
    <sheetView zoomScale="85" zoomScaleNormal="85" workbookViewId="0">
      <selection activeCell="A16" sqref="A16:XFD21"/>
    </sheetView>
  </sheetViews>
  <sheetFormatPr defaultRowHeight="15" x14ac:dyDescent="0.25"/>
  <cols>
    <col min="7" max="7" width="11.140625" bestFit="1" customWidth="1"/>
    <col min="8" max="8" width="11.140625" customWidth="1"/>
    <col min="9" max="9" width="9.7109375" bestFit="1" customWidth="1"/>
    <col min="10" max="10" width="9.7109375" customWidth="1"/>
  </cols>
  <sheetData>
    <row r="4" spans="1:19" ht="15.75" thickBot="1" x14ac:dyDescent="0.3"/>
    <row r="5" spans="1:19" s="1" customFormat="1" ht="24" customHeight="1" thickBot="1" x14ac:dyDescent="0.25">
      <c r="A5" s="2"/>
      <c r="B5" s="51"/>
      <c r="C5" s="33"/>
      <c r="D5" s="23"/>
      <c r="E5" s="94" t="s">
        <v>423</v>
      </c>
      <c r="F5" s="95"/>
      <c r="G5" s="95"/>
      <c r="H5" s="95"/>
      <c r="I5" s="95"/>
      <c r="J5" s="96"/>
      <c r="K5" s="156" t="e">
        <f>SUMIF(O6:O11,1,K6:K11)</f>
        <v>#REF!</v>
      </c>
      <c r="L5" s="19"/>
      <c r="M5" s="61"/>
      <c r="N5" s="40"/>
      <c r="O5" s="41" t="s">
        <v>269</v>
      </c>
      <c r="P5" s="41"/>
      <c r="Q5" s="42"/>
      <c r="R5" s="42"/>
      <c r="S5" s="42"/>
    </row>
    <row r="6" spans="1:19" s="109" customFormat="1" ht="19.149999999999999" customHeight="1" x14ac:dyDescent="0.25">
      <c r="A6" s="3"/>
      <c r="B6" s="204"/>
      <c r="C6" s="7"/>
      <c r="D6" s="101"/>
      <c r="E6" s="142" t="s">
        <v>424</v>
      </c>
      <c r="F6" s="174"/>
      <c r="G6" s="103"/>
      <c r="H6" s="143">
        <v>1</v>
      </c>
      <c r="I6" s="146" t="s">
        <v>18</v>
      </c>
      <c r="J6" s="149" t="e">
        <f>#REF!</f>
        <v>#REF!</v>
      </c>
      <c r="K6" s="150" t="e">
        <f t="shared" ref="K6:K11" si="0">SUM(H6*J6)</f>
        <v>#REF!</v>
      </c>
      <c r="L6" s="38"/>
      <c r="M6" s="104"/>
      <c r="N6" s="105"/>
      <c r="O6" s="106">
        <f>OR(NOT(ISERROR(SEARCH('GRs Detail'!$F$5,Q6))),Q6=0)*OR(NOT(ISERROR(SEARCH('GRs Detail'!$F$6,R6))),R6=0)</f>
        <v>1</v>
      </c>
      <c r="P6" s="106"/>
      <c r="Q6" s="108"/>
      <c r="R6" s="108"/>
      <c r="S6" s="108"/>
    </row>
    <row r="7" spans="1:19" s="109" customFormat="1" ht="19.149999999999999" customHeight="1" x14ac:dyDescent="0.25">
      <c r="A7" s="3"/>
      <c r="B7" s="204"/>
      <c r="C7" s="7"/>
      <c r="D7" s="101"/>
      <c r="E7" s="207" t="s">
        <v>87</v>
      </c>
      <c r="F7" s="208"/>
      <c r="G7" s="217"/>
      <c r="H7" s="218"/>
      <c r="I7" s="219" t="s">
        <v>18</v>
      </c>
      <c r="J7" s="231"/>
      <c r="K7" s="221">
        <f t="shared" si="0"/>
        <v>0</v>
      </c>
      <c r="L7" s="38"/>
      <c r="M7" s="104"/>
      <c r="N7" s="105"/>
      <c r="O7" s="106">
        <f>OR(NOT(ISERROR(SEARCH('GRs Detail'!$F$5,Q7))),Q7=0)*OR(NOT(ISERROR(SEARCH('GRs Detail'!$F$6,R7))),R7=0)</f>
        <v>1</v>
      </c>
      <c r="P7" s="106"/>
      <c r="Q7" s="108"/>
      <c r="R7" s="108"/>
      <c r="S7" s="108"/>
    </row>
    <row r="8" spans="1:19" s="109" customFormat="1" ht="19.149999999999999" customHeight="1" x14ac:dyDescent="0.25">
      <c r="A8" s="3"/>
      <c r="B8" s="204"/>
      <c r="C8" s="7"/>
      <c r="D8" s="101"/>
      <c r="E8" s="207" t="s">
        <v>88</v>
      </c>
      <c r="F8" s="208"/>
      <c r="G8" s="217"/>
      <c r="H8" s="218"/>
      <c r="I8" s="219" t="s">
        <v>21</v>
      </c>
      <c r="J8" s="231"/>
      <c r="K8" s="221">
        <f t="shared" si="0"/>
        <v>0</v>
      </c>
      <c r="L8" s="38"/>
      <c r="M8" s="104"/>
      <c r="N8" s="105"/>
      <c r="O8" s="106">
        <f>OR(NOT(ISERROR(SEARCH('GRs Detail'!$F$5,Q8))),Q8=0)*OR(NOT(ISERROR(SEARCH('GRs Detail'!$F$6,R8))),R8=0)</f>
        <v>1</v>
      </c>
      <c r="P8" s="106"/>
      <c r="Q8" s="108"/>
      <c r="R8" s="108"/>
      <c r="S8" s="108"/>
    </row>
    <row r="9" spans="1:19" s="109" customFormat="1" ht="19.149999999999999" customHeight="1" x14ac:dyDescent="0.25">
      <c r="A9" s="3"/>
      <c r="B9" s="204"/>
      <c r="C9" s="7"/>
      <c r="D9" s="101"/>
      <c r="E9" s="207" t="s">
        <v>90</v>
      </c>
      <c r="F9" s="208"/>
      <c r="G9" s="217"/>
      <c r="H9" s="218"/>
      <c r="I9" s="219" t="s">
        <v>35</v>
      </c>
      <c r="J9" s="231"/>
      <c r="K9" s="221">
        <f t="shared" si="0"/>
        <v>0</v>
      </c>
      <c r="L9" s="38"/>
      <c r="M9" s="104"/>
      <c r="N9" s="105"/>
      <c r="O9" s="106">
        <f>OR(NOT(ISERROR(SEARCH('GRs Detail'!$F$5,Q9))),Q9=0)*OR(NOT(ISERROR(SEARCH('GRs Detail'!$F$6,R9))),R9=0)</f>
        <v>1</v>
      </c>
      <c r="P9" s="106"/>
      <c r="Q9" s="108"/>
      <c r="R9" s="108"/>
      <c r="S9" s="108"/>
    </row>
    <row r="10" spans="1:19" s="109" customFormat="1" ht="19.149999999999999" customHeight="1" x14ac:dyDescent="0.25">
      <c r="A10" s="3"/>
      <c r="B10" s="204"/>
      <c r="C10" s="7"/>
      <c r="D10" s="101"/>
      <c r="E10" s="207" t="s">
        <v>91</v>
      </c>
      <c r="F10" s="208"/>
      <c r="G10" s="217"/>
      <c r="H10" s="218"/>
      <c r="I10" s="219" t="s">
        <v>74</v>
      </c>
      <c r="J10" s="231"/>
      <c r="K10" s="221">
        <f t="shared" si="0"/>
        <v>0</v>
      </c>
      <c r="L10" s="38"/>
      <c r="M10" s="104"/>
      <c r="N10" s="105"/>
      <c r="O10" s="106">
        <f>OR(NOT(ISERROR(SEARCH('GRs Detail'!$F$5,Q10))),Q10=0)*OR(NOT(ISERROR(SEARCH('GRs Detail'!$F$6,R10))),R10=0)</f>
        <v>1</v>
      </c>
      <c r="P10" s="106"/>
      <c r="Q10" s="108"/>
      <c r="R10" s="108"/>
      <c r="S10" s="108"/>
    </row>
    <row r="11" spans="1:19" s="109" customFormat="1" ht="19.149999999999999" customHeight="1" thickBot="1" x14ac:dyDescent="0.3">
      <c r="A11" s="3"/>
      <c r="B11" s="204"/>
      <c r="C11" s="7"/>
      <c r="D11" s="101"/>
      <c r="E11" s="202" t="s">
        <v>92</v>
      </c>
      <c r="F11" s="203"/>
      <c r="G11" s="112"/>
      <c r="H11" s="145">
        <v>1</v>
      </c>
      <c r="I11" s="148" t="s">
        <v>74</v>
      </c>
      <c r="J11" s="154">
        <v>0</v>
      </c>
      <c r="K11" s="155">
        <f t="shared" si="0"/>
        <v>0</v>
      </c>
      <c r="L11" s="38"/>
      <c r="M11" s="104"/>
      <c r="N11" s="105"/>
      <c r="O11" s="106">
        <f>OR(NOT(ISERROR(SEARCH('GRs Detail'!$F$5,Q11))),Q11=0)*OR(NOT(ISERROR(SEARCH('GRs Detail'!$F$6,R11))),R11=0)</f>
        <v>1</v>
      </c>
      <c r="P11" s="106"/>
      <c r="Q11" s="108"/>
      <c r="R11" s="108"/>
      <c r="S11" s="108"/>
    </row>
    <row r="15" spans="1:19" ht="15.75" thickBot="1" x14ac:dyDescent="0.3"/>
    <row r="16" spans="1:19" s="1" customFormat="1" ht="24" customHeight="1" thickBot="1" x14ac:dyDescent="0.25">
      <c r="A16" s="2"/>
      <c r="B16" s="51"/>
      <c r="C16" s="33"/>
      <c r="D16" s="23"/>
      <c r="E16" s="94" t="s">
        <v>422</v>
      </c>
      <c r="F16" s="95"/>
      <c r="G16" s="95"/>
      <c r="H16" s="95"/>
      <c r="I16" s="95"/>
      <c r="J16" s="96"/>
      <c r="K16" s="156" t="e">
        <f>SUMIF(O17:O21,1,K17:K21)</f>
        <v>#REF!</v>
      </c>
      <c r="L16" s="19"/>
      <c r="M16" s="61"/>
      <c r="N16" s="40"/>
      <c r="O16" s="41" t="s">
        <v>269</v>
      </c>
      <c r="P16" s="41"/>
      <c r="Q16" s="42"/>
      <c r="R16" s="42"/>
      <c r="S16" s="42"/>
    </row>
    <row r="17" spans="1:19" s="109" customFormat="1" ht="19.149999999999999" customHeight="1" x14ac:dyDescent="0.25">
      <c r="A17" s="3"/>
      <c r="B17" s="204"/>
      <c r="C17" s="7"/>
      <c r="D17" s="101"/>
      <c r="E17" s="142" t="s">
        <v>86</v>
      </c>
      <c r="F17" s="174"/>
      <c r="G17" s="103"/>
      <c r="H17" s="143">
        <v>1</v>
      </c>
      <c r="I17" s="146" t="s">
        <v>18</v>
      </c>
      <c r="J17" s="149"/>
      <c r="K17" s="150">
        <f>SUM(H17*J17)</f>
        <v>0</v>
      </c>
      <c r="L17" s="38"/>
      <c r="M17" s="104"/>
      <c r="N17" s="105"/>
      <c r="O17" s="106">
        <f>OR(NOT(ISERROR(SEARCH('GRs Detail'!$F$5,Q17))),Q17=0)*OR(NOT(ISERROR(SEARCH('GRs Detail'!$F$6,R17))),R17=0)</f>
        <v>1</v>
      </c>
      <c r="P17" s="106"/>
      <c r="Q17" s="108"/>
      <c r="R17" s="108"/>
      <c r="S17" s="108"/>
    </row>
    <row r="18" spans="1:19" s="109" customFormat="1" ht="19.149999999999999" customHeight="1" x14ac:dyDescent="0.25">
      <c r="A18" s="3"/>
      <c r="B18" s="204"/>
      <c r="C18" s="7"/>
      <c r="D18" s="101"/>
      <c r="E18" s="207" t="s">
        <v>87</v>
      </c>
      <c r="F18" s="208"/>
      <c r="G18" s="217"/>
      <c r="H18" s="218">
        <v>1</v>
      </c>
      <c r="I18" s="219" t="s">
        <v>18</v>
      </c>
      <c r="J18" s="231" t="e">
        <f>#REF!</f>
        <v>#REF!</v>
      </c>
      <c r="K18" s="221" t="e">
        <f>SUM(H18*J18)</f>
        <v>#REF!</v>
      </c>
      <c r="L18" s="38"/>
      <c r="M18" s="104"/>
      <c r="N18" s="105"/>
      <c r="O18" s="106">
        <f>OR(NOT(ISERROR(SEARCH('GRs Detail'!$F$5,Q18))),Q18=0)*OR(NOT(ISERROR(SEARCH('GRs Detail'!$F$6,R18))),R18=0)</f>
        <v>1</v>
      </c>
      <c r="P18" s="106"/>
      <c r="Q18" s="108"/>
      <c r="R18" s="108"/>
      <c r="S18" s="108"/>
    </row>
    <row r="19" spans="1:19" s="109" customFormat="1" ht="19.149999999999999" customHeight="1" x14ac:dyDescent="0.25">
      <c r="A19" s="3"/>
      <c r="B19" s="204"/>
      <c r="C19" s="7"/>
      <c r="D19" s="101"/>
      <c r="E19" s="207" t="s">
        <v>88</v>
      </c>
      <c r="F19" s="208"/>
      <c r="G19" s="217"/>
      <c r="H19" s="218"/>
      <c r="I19" s="219" t="s">
        <v>18</v>
      </c>
      <c r="J19" s="231">
        <v>0</v>
      </c>
      <c r="K19" s="221">
        <f>SUM(H19*J19)</f>
        <v>0</v>
      </c>
      <c r="L19" s="38"/>
      <c r="M19" s="104"/>
      <c r="N19" s="105"/>
      <c r="O19" s="106">
        <f>OR(NOT(ISERROR(SEARCH('GRs Detail'!$F$5,Q19))),Q19=0)*OR(NOT(ISERROR(SEARCH('GRs Detail'!$F$6,R19))),R19=0)</f>
        <v>1</v>
      </c>
      <c r="P19" s="106"/>
      <c r="Q19" s="108"/>
      <c r="R19" s="108"/>
      <c r="S19" s="108"/>
    </row>
    <row r="20" spans="1:19" s="109" customFormat="1" ht="19.149999999999999" customHeight="1" x14ac:dyDescent="0.25">
      <c r="A20" s="3"/>
      <c r="B20" s="204"/>
      <c r="C20" s="7"/>
      <c r="D20" s="101"/>
      <c r="E20" s="207" t="s">
        <v>89</v>
      </c>
      <c r="F20" s="208"/>
      <c r="G20" s="217"/>
      <c r="H20" s="218"/>
      <c r="I20" s="219" t="s">
        <v>53</v>
      </c>
      <c r="J20" s="231">
        <v>0</v>
      </c>
      <c r="K20" s="221">
        <f>SUM(H20*J20)</f>
        <v>0</v>
      </c>
      <c r="L20" s="38"/>
      <c r="M20" s="104"/>
      <c r="N20" s="105"/>
      <c r="O20" s="106">
        <f>OR(NOT(ISERROR(SEARCH('GRs Detail'!$F$5,Q20))),Q20=0)*OR(NOT(ISERROR(SEARCH('GRs Detail'!$F$6,R20))),R20=0)</f>
        <v>1</v>
      </c>
      <c r="P20" s="106"/>
      <c r="Q20" s="108"/>
      <c r="R20" s="108"/>
      <c r="S20" s="108"/>
    </row>
    <row r="21" spans="1:19" s="109" customFormat="1" ht="19.149999999999999" customHeight="1" thickBot="1" x14ac:dyDescent="0.3">
      <c r="A21" s="3"/>
      <c r="B21" s="204"/>
      <c r="C21" s="7"/>
      <c r="D21" s="101"/>
      <c r="E21" s="202"/>
      <c r="F21" s="203"/>
      <c r="G21" s="112"/>
      <c r="H21" s="145"/>
      <c r="I21" s="148"/>
      <c r="J21" s="154"/>
      <c r="K21" s="155"/>
      <c r="L21" s="38"/>
      <c r="M21" s="104"/>
      <c r="N21" s="105"/>
      <c r="O21" s="106">
        <f>OR(NOT(ISERROR(SEARCH('GRs Detail'!$F$5,Q21))),Q21=0)*OR(NOT(ISERROR(SEARCH('GRs Detail'!$F$6,R21))),R21=0)</f>
        <v>1</v>
      </c>
      <c r="P21" s="106"/>
      <c r="Q21" s="108"/>
      <c r="R21" s="108"/>
      <c r="S21" s="108"/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26F4-C8FD-41A5-B073-A1FFCB18C098}">
  <sheetPr codeName="Sheet7"/>
  <dimension ref="A1:F2"/>
  <sheetViews>
    <sheetView workbookViewId="0">
      <selection activeCell="A2" sqref="A2"/>
    </sheetView>
  </sheetViews>
  <sheetFormatPr defaultRowHeight="15" x14ac:dyDescent="0.25"/>
  <cols>
    <col min="1" max="1" width="22" customWidth="1"/>
    <col min="2" max="2" width="23.85546875" customWidth="1"/>
    <col min="3" max="3" width="25.28515625" customWidth="1"/>
    <col min="4" max="4" width="29.85546875" customWidth="1"/>
    <col min="5" max="5" width="30.42578125" customWidth="1"/>
    <col min="6" max="6" width="24.85546875" customWidth="1"/>
  </cols>
  <sheetData>
    <row r="1" spans="1:6" x14ac:dyDescent="0.25">
      <c r="A1" s="18" t="s">
        <v>262</v>
      </c>
      <c r="B1" s="18" t="s">
        <v>263</v>
      </c>
      <c r="C1" s="18" t="s">
        <v>264</v>
      </c>
      <c r="D1" s="18" t="s">
        <v>265</v>
      </c>
      <c r="E1" s="18" t="s">
        <v>266</v>
      </c>
      <c r="F1" s="18" t="s">
        <v>267</v>
      </c>
    </row>
    <row r="2" spans="1:6" x14ac:dyDescent="0.25">
      <c r="A2" s="535"/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7369-831E-4B75-9DCD-3A4B09915680}">
  <sheetPr codeName="Sheet8"/>
  <dimension ref="A1:AG73"/>
  <sheetViews>
    <sheetView topLeftCell="M1" workbookViewId="0">
      <selection activeCell="Z21" sqref="Z21"/>
    </sheetView>
  </sheetViews>
  <sheetFormatPr defaultColWidth="8.85546875" defaultRowHeight="15" x14ac:dyDescent="0.25"/>
  <cols>
    <col min="1" max="1" width="8.85546875" style="404"/>
    <col min="2" max="4" width="24.140625" style="404" customWidth="1"/>
    <col min="5" max="5" width="14.7109375" style="404" customWidth="1"/>
    <col min="6" max="9" width="8.85546875" style="404"/>
    <col min="10" max="10" width="12" style="404" bestFit="1" customWidth="1"/>
    <col min="11" max="11" width="10.42578125" style="404" customWidth="1"/>
    <col min="12" max="12" width="8.85546875" style="404"/>
    <col min="13" max="13" width="14.7109375" style="404" bestFit="1" customWidth="1"/>
    <col min="14" max="14" width="11.140625" style="404" bestFit="1" customWidth="1"/>
    <col min="15" max="15" width="8.85546875" style="404"/>
    <col min="16" max="16" width="15.7109375" style="404" customWidth="1"/>
    <col min="17" max="18" width="8.85546875" style="404"/>
    <col min="19" max="19" width="19.42578125" style="404" customWidth="1"/>
    <col min="20" max="23" width="8.85546875" style="404"/>
    <col min="24" max="24" width="27.140625" style="404" bestFit="1" customWidth="1"/>
    <col min="25" max="25" width="19.42578125" style="404" bestFit="1" customWidth="1"/>
    <col min="26" max="26" width="27.140625" style="404" bestFit="1" customWidth="1"/>
    <col min="27" max="27" width="10.7109375" style="404" bestFit="1" customWidth="1"/>
    <col min="28" max="28" width="8.7109375" style="404" bestFit="1" customWidth="1"/>
    <col min="29" max="29" width="12.140625" style="404" bestFit="1" customWidth="1"/>
    <col min="30" max="30" width="10.42578125" style="404" bestFit="1" customWidth="1"/>
    <col min="31" max="16384" width="8.85546875" style="404"/>
  </cols>
  <sheetData>
    <row r="1" spans="1:33" x14ac:dyDescent="0.25">
      <c r="A1" s="403"/>
      <c r="B1" s="404" t="s">
        <v>255</v>
      </c>
      <c r="C1" s="405" t="s">
        <v>256</v>
      </c>
      <c r="D1" s="406" t="s">
        <v>261</v>
      </c>
      <c r="E1" s="404" t="s">
        <v>254</v>
      </c>
      <c r="F1" s="404" t="s">
        <v>253</v>
      </c>
      <c r="G1" s="404" t="s">
        <v>252</v>
      </c>
      <c r="H1" s="406" t="s">
        <v>490</v>
      </c>
      <c r="I1" s="407"/>
      <c r="J1" s="408" t="s">
        <v>305</v>
      </c>
      <c r="K1" s="407"/>
      <c r="L1" s="407"/>
      <c r="M1" s="408" t="s">
        <v>310</v>
      </c>
      <c r="P1" s="408" t="s">
        <v>311</v>
      </c>
      <c r="S1" s="408" t="s">
        <v>318</v>
      </c>
      <c r="AG1" s="404" t="s">
        <v>1006</v>
      </c>
    </row>
    <row r="2" spans="1:33" x14ac:dyDescent="0.25">
      <c r="B2" s="404" t="s">
        <v>249</v>
      </c>
      <c r="C2" s="406" t="s">
        <v>259</v>
      </c>
      <c r="D2" s="404" t="s">
        <v>257</v>
      </c>
      <c r="E2" s="404" t="s">
        <v>250</v>
      </c>
      <c r="F2" s="404" t="s">
        <v>251</v>
      </c>
      <c r="G2" s="404" t="s">
        <v>258</v>
      </c>
      <c r="H2" s="406" t="s">
        <v>491</v>
      </c>
      <c r="I2" s="407"/>
      <c r="J2" s="409" t="s">
        <v>304</v>
      </c>
      <c r="K2" s="409" t="s">
        <v>303</v>
      </c>
      <c r="L2" s="407"/>
      <c r="M2" s="409" t="s">
        <v>304</v>
      </c>
      <c r="N2" s="409" t="s">
        <v>303</v>
      </c>
      <c r="P2" s="409" t="s">
        <v>304</v>
      </c>
      <c r="Q2" s="409" t="s">
        <v>303</v>
      </c>
      <c r="S2" s="409"/>
      <c r="T2" s="409" t="s">
        <v>159</v>
      </c>
      <c r="U2" s="409" t="s">
        <v>158</v>
      </c>
      <c r="V2" s="409" t="s">
        <v>151</v>
      </c>
      <c r="X2" s="410" t="s">
        <v>465</v>
      </c>
      <c r="Y2" s="411"/>
      <c r="Z2" s="411"/>
    </row>
    <row r="3" spans="1:33" x14ac:dyDescent="0.25">
      <c r="B3" s="412" t="s">
        <v>321</v>
      </c>
      <c r="C3" s="404">
        <v>6</v>
      </c>
      <c r="D3" s="413">
        <v>1.2</v>
      </c>
      <c r="E3" s="414">
        <v>336200</v>
      </c>
      <c r="F3" s="414">
        <v>12000</v>
      </c>
      <c r="G3" s="404">
        <v>0</v>
      </c>
      <c r="I3" s="407"/>
      <c r="J3" s="415">
        <v>0</v>
      </c>
      <c r="K3" s="416">
        <v>2000</v>
      </c>
      <c r="L3" s="407"/>
      <c r="M3" s="415">
        <v>0</v>
      </c>
      <c r="N3" s="417">
        <v>0</v>
      </c>
      <c r="P3" s="415">
        <v>0</v>
      </c>
      <c r="Q3" s="417">
        <v>0</v>
      </c>
      <c r="S3" s="418" t="s">
        <v>317</v>
      </c>
      <c r="T3" s="415">
        <v>400</v>
      </c>
      <c r="U3" s="415">
        <v>1125</v>
      </c>
      <c r="V3" s="415">
        <v>2450</v>
      </c>
      <c r="X3" s="419" t="s">
        <v>159</v>
      </c>
      <c r="Y3" s="411"/>
      <c r="Z3" s="411"/>
    </row>
    <row r="4" spans="1:33" x14ac:dyDescent="0.25">
      <c r="B4" s="412" t="s">
        <v>473</v>
      </c>
      <c r="C4" s="404">
        <v>4</v>
      </c>
      <c r="D4" s="413">
        <v>1.25</v>
      </c>
      <c r="E4" s="414"/>
      <c r="F4" s="414"/>
      <c r="I4" s="407"/>
      <c r="J4" s="415">
        <v>5</v>
      </c>
      <c r="K4" s="416">
        <v>7500</v>
      </c>
      <c r="L4" s="407"/>
      <c r="M4" s="415">
        <v>3000000</v>
      </c>
      <c r="N4" s="417">
        <v>10000</v>
      </c>
      <c r="P4" s="415">
        <v>3000000</v>
      </c>
      <c r="Q4" s="417">
        <v>10000</v>
      </c>
      <c r="S4" s="418" t="s">
        <v>152</v>
      </c>
      <c r="T4" s="415">
        <v>7700</v>
      </c>
      <c r="U4" s="415">
        <v>21500</v>
      </c>
      <c r="V4" s="415">
        <v>28500</v>
      </c>
      <c r="X4" s="419" t="s">
        <v>158</v>
      </c>
      <c r="Y4" s="411"/>
      <c r="Z4" s="411"/>
    </row>
    <row r="5" spans="1:33" x14ac:dyDescent="0.25">
      <c r="B5" s="412" t="s">
        <v>322</v>
      </c>
      <c r="C5" s="404">
        <v>4</v>
      </c>
      <c r="D5" s="413">
        <v>1.3</v>
      </c>
      <c r="E5" s="414">
        <v>277840</v>
      </c>
      <c r="F5" s="414">
        <v>9000</v>
      </c>
      <c r="G5" s="404">
        <v>2</v>
      </c>
      <c r="I5" s="407"/>
      <c r="J5" s="415">
        <v>10</v>
      </c>
      <c r="K5" s="416">
        <v>12500</v>
      </c>
      <c r="L5" s="407"/>
      <c r="M5" s="415">
        <v>10000000</v>
      </c>
      <c r="N5" s="417">
        <v>40000</v>
      </c>
      <c r="P5" s="415">
        <v>10000000</v>
      </c>
      <c r="Q5" s="417">
        <v>50000</v>
      </c>
      <c r="S5" s="418" t="s">
        <v>153</v>
      </c>
      <c r="T5" s="415">
        <v>5000</v>
      </c>
      <c r="U5" s="415">
        <v>16500</v>
      </c>
      <c r="V5" s="415">
        <v>21000</v>
      </c>
      <c r="X5" s="419" t="s">
        <v>151</v>
      </c>
      <c r="Y5" s="411"/>
      <c r="Z5" s="411"/>
    </row>
    <row r="6" spans="1:33" x14ac:dyDescent="0.25">
      <c r="B6" s="412" t="s">
        <v>323</v>
      </c>
      <c r="C6" s="404">
        <v>4</v>
      </c>
      <c r="D6" s="413">
        <v>1.4</v>
      </c>
      <c r="E6" s="414">
        <v>215860</v>
      </c>
      <c r="F6" s="414">
        <v>8000</v>
      </c>
      <c r="G6" s="404">
        <v>2</v>
      </c>
      <c r="I6" s="407"/>
      <c r="J6" s="420"/>
      <c r="K6" s="420"/>
      <c r="L6" s="407"/>
      <c r="M6" s="415">
        <v>50000000</v>
      </c>
      <c r="N6" s="417">
        <v>100000</v>
      </c>
      <c r="P6" s="415">
        <v>50000000</v>
      </c>
      <c r="Q6" s="417">
        <v>220000</v>
      </c>
      <c r="S6" s="418" t="s">
        <v>154</v>
      </c>
      <c r="T6" s="415">
        <v>50</v>
      </c>
      <c r="U6" s="415">
        <v>50</v>
      </c>
      <c r="V6" s="415">
        <v>50</v>
      </c>
    </row>
    <row r="7" spans="1:33" x14ac:dyDescent="0.25">
      <c r="B7" s="412" t="s">
        <v>324</v>
      </c>
      <c r="C7" s="404">
        <v>1</v>
      </c>
      <c r="D7" s="413">
        <v>1.5</v>
      </c>
      <c r="E7" s="414">
        <v>201170</v>
      </c>
      <c r="F7" s="414">
        <v>7200</v>
      </c>
      <c r="G7" s="404">
        <v>2</v>
      </c>
      <c r="I7" s="407"/>
      <c r="J7" s="420"/>
      <c r="K7" s="420"/>
      <c r="L7" s="407"/>
      <c r="M7" s="415">
        <v>150000000</v>
      </c>
      <c r="N7" s="417">
        <v>200000</v>
      </c>
      <c r="P7" s="415">
        <v>250000000</v>
      </c>
      <c r="Q7" s="417">
        <v>380000</v>
      </c>
      <c r="S7" s="418" t="s">
        <v>155</v>
      </c>
      <c r="T7" s="415">
        <v>50</v>
      </c>
      <c r="U7" s="415">
        <v>50</v>
      </c>
      <c r="V7" s="415">
        <v>50</v>
      </c>
    </row>
    <row r="8" spans="1:33" x14ac:dyDescent="0.25">
      <c r="B8" s="412" t="s">
        <v>325</v>
      </c>
      <c r="C8" s="404">
        <v>4</v>
      </c>
      <c r="D8" s="413">
        <v>1.6</v>
      </c>
      <c r="E8" s="414">
        <v>165570</v>
      </c>
      <c r="F8" s="414">
        <v>6800</v>
      </c>
      <c r="G8" s="404">
        <v>2</v>
      </c>
      <c r="J8" s="408" t="s">
        <v>306</v>
      </c>
      <c r="M8" s="415">
        <v>300000000</v>
      </c>
      <c r="N8" s="417">
        <v>400000</v>
      </c>
      <c r="P8" s="415">
        <v>450000000</v>
      </c>
      <c r="Q8" s="417">
        <v>550000</v>
      </c>
      <c r="S8" s="418" t="s">
        <v>156</v>
      </c>
      <c r="T8" s="415">
        <v>2000</v>
      </c>
      <c r="U8" s="415">
        <v>2000</v>
      </c>
      <c r="V8" s="415">
        <v>2000</v>
      </c>
    </row>
    <row r="9" spans="1:33" x14ac:dyDescent="0.25">
      <c r="B9" s="412" t="s">
        <v>326</v>
      </c>
      <c r="C9" s="404">
        <v>4</v>
      </c>
      <c r="D9" s="413">
        <v>2.2000000000000002</v>
      </c>
      <c r="E9" s="414">
        <v>154810</v>
      </c>
      <c r="F9" s="414">
        <v>6000</v>
      </c>
      <c r="G9" s="404">
        <v>0</v>
      </c>
      <c r="J9" s="409" t="s">
        <v>304</v>
      </c>
      <c r="K9" s="409" t="s">
        <v>303</v>
      </c>
      <c r="S9" s="418" t="s">
        <v>157</v>
      </c>
      <c r="T9" s="415">
        <v>100</v>
      </c>
      <c r="U9" s="415">
        <v>200</v>
      </c>
      <c r="V9" s="415">
        <v>300</v>
      </c>
    </row>
    <row r="10" spans="1:33" x14ac:dyDescent="0.25">
      <c r="B10" s="412" t="s">
        <v>327</v>
      </c>
      <c r="C10" s="404">
        <v>10</v>
      </c>
      <c r="D10" s="413">
        <v>2.2000000000000002</v>
      </c>
      <c r="E10" s="414">
        <v>115240</v>
      </c>
      <c r="F10" s="414">
        <v>6000</v>
      </c>
      <c r="G10" s="404">
        <v>0</v>
      </c>
      <c r="J10" s="415">
        <v>0</v>
      </c>
      <c r="K10" s="416">
        <v>800</v>
      </c>
      <c r="S10" s="418" t="s">
        <v>435</v>
      </c>
      <c r="T10" s="415"/>
      <c r="U10" s="415"/>
      <c r="V10" s="415"/>
    </row>
    <row r="11" spans="1:33" x14ac:dyDescent="0.25">
      <c r="B11" s="412" t="s">
        <v>328</v>
      </c>
      <c r="C11" s="404">
        <v>10</v>
      </c>
      <c r="D11" s="413">
        <v>2.2999999999999998</v>
      </c>
      <c r="E11" s="414">
        <v>77210</v>
      </c>
      <c r="F11" s="421"/>
      <c r="G11" s="404">
        <v>2</v>
      </c>
      <c r="J11" s="415">
        <v>5</v>
      </c>
      <c r="K11" s="416">
        <v>1600</v>
      </c>
    </row>
    <row r="12" spans="1:33" x14ac:dyDescent="0.25">
      <c r="B12" s="412" t="s">
        <v>329</v>
      </c>
      <c r="C12" s="404">
        <v>2</v>
      </c>
      <c r="D12" s="413">
        <v>2.4</v>
      </c>
      <c r="E12" s="414">
        <v>95800</v>
      </c>
      <c r="F12" s="421"/>
      <c r="G12" s="404">
        <v>3</v>
      </c>
      <c r="J12" s="415">
        <v>15</v>
      </c>
      <c r="K12" s="416">
        <v>2000</v>
      </c>
    </row>
    <row r="13" spans="1:33" x14ac:dyDescent="0.25">
      <c r="B13" s="412" t="s">
        <v>248</v>
      </c>
      <c r="C13" s="404">
        <v>2</v>
      </c>
      <c r="D13" s="413">
        <v>2.5</v>
      </c>
      <c r="E13" s="414">
        <v>70000</v>
      </c>
      <c r="F13" s="421"/>
      <c r="G13" s="404">
        <v>5</v>
      </c>
    </row>
    <row r="14" spans="1:33" x14ac:dyDescent="0.25">
      <c r="B14" s="412" t="s">
        <v>330</v>
      </c>
      <c r="C14" s="404">
        <v>5</v>
      </c>
      <c r="D14" s="413">
        <v>2.6</v>
      </c>
      <c r="E14" s="414">
        <v>62750</v>
      </c>
      <c r="F14" s="421"/>
      <c r="G14" s="404">
        <v>5</v>
      </c>
    </row>
    <row r="15" spans="1:33" x14ac:dyDescent="0.25">
      <c r="B15" s="412" t="s">
        <v>331</v>
      </c>
      <c r="C15" s="404">
        <v>3</v>
      </c>
      <c r="D15" s="413">
        <v>2.7</v>
      </c>
      <c r="E15" s="414">
        <v>348880</v>
      </c>
      <c r="F15" s="414">
        <v>12000</v>
      </c>
      <c r="G15" s="404">
        <v>3</v>
      </c>
      <c r="J15" s="408" t="s">
        <v>202</v>
      </c>
      <c r="M15" s="408" t="s">
        <v>312</v>
      </c>
      <c r="S15" s="408" t="s">
        <v>362</v>
      </c>
      <c r="X15" s="410" t="s">
        <v>466</v>
      </c>
      <c r="Y15" s="410"/>
      <c r="Z15" s="410"/>
      <c r="AA15" s="410"/>
      <c r="AB15" s="410"/>
      <c r="AC15" s="410"/>
      <c r="AD15" s="410"/>
    </row>
    <row r="16" spans="1:33" x14ac:dyDescent="0.25">
      <c r="B16" s="412" t="s">
        <v>332</v>
      </c>
      <c r="C16" s="404">
        <v>10</v>
      </c>
      <c r="D16" s="413">
        <v>2.8</v>
      </c>
      <c r="E16" s="414">
        <v>286640</v>
      </c>
      <c r="F16" s="414">
        <v>9000</v>
      </c>
      <c r="G16" s="404">
        <v>3</v>
      </c>
      <c r="J16" s="409" t="s">
        <v>304</v>
      </c>
      <c r="K16" s="409" t="s">
        <v>303</v>
      </c>
      <c r="M16" s="409" t="s">
        <v>304</v>
      </c>
      <c r="N16" s="409" t="s">
        <v>313</v>
      </c>
      <c r="O16" s="409" t="s">
        <v>314</v>
      </c>
      <c r="S16" s="409" t="s">
        <v>304</v>
      </c>
      <c r="T16" s="409" t="s">
        <v>365</v>
      </c>
      <c r="U16" s="409" t="s">
        <v>366</v>
      </c>
      <c r="V16" s="409" t="s">
        <v>367</v>
      </c>
      <c r="X16" s="419" t="s">
        <v>274</v>
      </c>
      <c r="Y16" s="425" t="s">
        <v>1009</v>
      </c>
      <c r="Z16" s="425" t="s">
        <v>989</v>
      </c>
      <c r="AA16" s="422" t="s">
        <v>364</v>
      </c>
      <c r="AB16" s="425" t="s">
        <v>1010</v>
      </c>
      <c r="AC16" s="425" t="s">
        <v>1011</v>
      </c>
      <c r="AD16" s="422" t="s">
        <v>79</v>
      </c>
    </row>
    <row r="17" spans="2:30" x14ac:dyDescent="0.25">
      <c r="B17" s="412" t="s">
        <v>333</v>
      </c>
      <c r="C17" s="404">
        <v>5</v>
      </c>
      <c r="D17" s="413">
        <v>2.9</v>
      </c>
      <c r="E17" s="414">
        <v>226300</v>
      </c>
      <c r="F17" s="414">
        <v>8000</v>
      </c>
      <c r="G17" s="404">
        <v>0</v>
      </c>
      <c r="J17" s="415">
        <v>0</v>
      </c>
      <c r="K17" s="417">
        <v>0</v>
      </c>
      <c r="M17" s="415">
        <v>0</v>
      </c>
      <c r="N17" s="417">
        <v>550</v>
      </c>
      <c r="O17" s="417">
        <v>1000</v>
      </c>
      <c r="R17" s="423">
        <f>Settings!\cstart</f>
        <v>0</v>
      </c>
      <c r="S17" s="424">
        <f>R17</f>
        <v>0</v>
      </c>
      <c r="T17" s="415"/>
      <c r="U17" s="415"/>
      <c r="V17" s="415"/>
      <c r="X17" s="419" t="s">
        <v>276</v>
      </c>
      <c r="Y17" s="425" t="s">
        <v>1009</v>
      </c>
      <c r="Z17" s="425" t="s">
        <v>989</v>
      </c>
      <c r="AA17" s="422" t="s">
        <v>364</v>
      </c>
      <c r="AB17" s="425" t="s">
        <v>1010</v>
      </c>
      <c r="AC17" s="425" t="s">
        <v>1011</v>
      </c>
      <c r="AD17" s="422" t="s">
        <v>79</v>
      </c>
    </row>
    <row r="18" spans="2:30" x14ac:dyDescent="0.25">
      <c r="B18" s="412" t="s">
        <v>334</v>
      </c>
      <c r="C18" s="404">
        <v>2</v>
      </c>
      <c r="D18" s="413">
        <v>3.2</v>
      </c>
      <c r="E18" s="414">
        <v>185620</v>
      </c>
      <c r="F18" s="414">
        <v>7200</v>
      </c>
      <c r="G18" s="404">
        <v>0</v>
      </c>
      <c r="J18" s="415">
        <v>5000000</v>
      </c>
      <c r="K18" s="417">
        <v>250</v>
      </c>
      <c r="M18" s="415">
        <v>10000000</v>
      </c>
      <c r="N18" s="417">
        <v>750</v>
      </c>
      <c r="O18" s="417">
        <v>1500</v>
      </c>
      <c r="S18" s="424">
        <f>S17+182</f>
        <v>182</v>
      </c>
      <c r="T18" s="415"/>
      <c r="U18" s="415"/>
      <c r="V18" s="415"/>
      <c r="X18" s="419" t="s">
        <v>278</v>
      </c>
      <c r="Y18" s="422" t="s">
        <v>469</v>
      </c>
      <c r="Z18" s="425" t="s">
        <v>470</v>
      </c>
      <c r="AA18" s="422" t="s">
        <v>467</v>
      </c>
      <c r="AB18" s="425" t="s">
        <v>1010</v>
      </c>
      <c r="AC18" s="425" t="s">
        <v>86</v>
      </c>
      <c r="AD18" s="422" t="s">
        <v>468</v>
      </c>
    </row>
    <row r="19" spans="2:30" x14ac:dyDescent="0.25">
      <c r="B19" s="412" t="s">
        <v>335</v>
      </c>
      <c r="C19" s="404">
        <v>4</v>
      </c>
      <c r="D19" s="413">
        <v>3.3</v>
      </c>
      <c r="E19" s="414">
        <v>181330</v>
      </c>
      <c r="F19" s="414">
        <v>7200</v>
      </c>
      <c r="G19" s="404">
        <v>0</v>
      </c>
      <c r="J19" s="415">
        <v>25000000</v>
      </c>
      <c r="K19" s="417">
        <v>400</v>
      </c>
      <c r="M19" s="415">
        <v>100000000</v>
      </c>
      <c r="N19" s="417">
        <v>1250</v>
      </c>
      <c r="O19" s="417">
        <v>2500</v>
      </c>
      <c r="S19" s="424">
        <f t="shared" ref="S19:S23" si="0">S18+182</f>
        <v>364</v>
      </c>
      <c r="T19" s="415"/>
      <c r="U19" s="415"/>
      <c r="V19" s="415"/>
      <c r="X19" s="419" t="s">
        <v>268</v>
      </c>
      <c r="Y19" s="422" t="s">
        <v>469</v>
      </c>
      <c r="Z19" s="425" t="s">
        <v>470</v>
      </c>
      <c r="AA19" s="422" t="s">
        <v>467</v>
      </c>
      <c r="AB19" s="425" t="s">
        <v>1010</v>
      </c>
      <c r="AC19" s="425" t="s">
        <v>86</v>
      </c>
      <c r="AD19" s="422" t="s">
        <v>468</v>
      </c>
    </row>
    <row r="20" spans="2:30" x14ac:dyDescent="0.25">
      <c r="B20" s="412" t="s">
        <v>336</v>
      </c>
      <c r="C20" s="404">
        <v>7</v>
      </c>
      <c r="D20" s="413">
        <v>3.4</v>
      </c>
      <c r="E20" s="414">
        <v>151260</v>
      </c>
      <c r="F20" s="414">
        <v>6000</v>
      </c>
      <c r="G20" s="404">
        <v>0</v>
      </c>
      <c r="J20" s="415">
        <v>100000000</v>
      </c>
      <c r="K20" s="417">
        <v>600</v>
      </c>
      <c r="S20" s="424">
        <f t="shared" si="0"/>
        <v>546</v>
      </c>
      <c r="T20" s="415"/>
      <c r="U20" s="415"/>
      <c r="V20" s="415"/>
      <c r="X20" s="419" t="s">
        <v>281</v>
      </c>
      <c r="Y20" s="422" t="s">
        <v>469</v>
      </c>
      <c r="Z20" s="425" t="s">
        <v>470</v>
      </c>
      <c r="AA20" s="422" t="s">
        <v>467</v>
      </c>
      <c r="AB20" s="425" t="s">
        <v>1010</v>
      </c>
      <c r="AC20" s="425" t="s">
        <v>86</v>
      </c>
      <c r="AD20" s="422" t="s">
        <v>468</v>
      </c>
    </row>
    <row r="21" spans="2:30" x14ac:dyDescent="0.25">
      <c r="B21" s="412" t="s">
        <v>337</v>
      </c>
      <c r="C21" s="404">
        <v>8</v>
      </c>
      <c r="D21" s="413">
        <v>4.0999999999999996</v>
      </c>
      <c r="E21" s="414">
        <v>122400</v>
      </c>
      <c r="F21" s="414">
        <v>6000</v>
      </c>
      <c r="G21" s="404">
        <v>0</v>
      </c>
      <c r="S21" s="424">
        <f t="shared" si="0"/>
        <v>728</v>
      </c>
      <c r="T21" s="415"/>
      <c r="U21" s="415"/>
      <c r="V21" s="415"/>
      <c r="X21" s="419" t="s">
        <v>283</v>
      </c>
      <c r="Y21" s="422" t="s">
        <v>469</v>
      </c>
      <c r="Z21" s="425" t="s">
        <v>470</v>
      </c>
      <c r="AA21" s="422" t="s">
        <v>467</v>
      </c>
      <c r="AB21" s="425" t="s">
        <v>1010</v>
      </c>
      <c r="AC21" s="425" t="s">
        <v>86</v>
      </c>
      <c r="AD21" s="422" t="s">
        <v>468</v>
      </c>
    </row>
    <row r="22" spans="2:30" x14ac:dyDescent="0.25">
      <c r="B22" s="412" t="s">
        <v>338</v>
      </c>
      <c r="C22" s="404">
        <v>9</v>
      </c>
      <c r="D22" s="413">
        <v>4.2</v>
      </c>
      <c r="E22" s="414">
        <v>95200</v>
      </c>
      <c r="F22" s="421"/>
      <c r="G22" s="404">
        <v>0</v>
      </c>
      <c r="S22" s="424">
        <f t="shared" si="0"/>
        <v>910</v>
      </c>
      <c r="T22" s="415"/>
      <c r="U22" s="415"/>
      <c r="V22" s="415"/>
      <c r="X22" s="419" t="s">
        <v>285</v>
      </c>
      <c r="Y22" s="425" t="s">
        <v>1009</v>
      </c>
      <c r="Z22" s="425" t="s">
        <v>989</v>
      </c>
      <c r="AA22" s="422" t="s">
        <v>364</v>
      </c>
      <c r="AB22" s="425" t="s">
        <v>1010</v>
      </c>
      <c r="AC22" s="425" t="s">
        <v>1011</v>
      </c>
      <c r="AD22" s="422" t="s">
        <v>79</v>
      </c>
    </row>
    <row r="23" spans="2:30" x14ac:dyDescent="0.25">
      <c r="B23" s="412" t="s">
        <v>339</v>
      </c>
      <c r="D23" s="413">
        <f>D22+0.1</f>
        <v>4.3</v>
      </c>
      <c r="E23" s="414">
        <v>80420</v>
      </c>
      <c r="S23" s="424">
        <f t="shared" si="0"/>
        <v>1092</v>
      </c>
      <c r="T23" s="415"/>
      <c r="U23" s="415"/>
      <c r="V23" s="415"/>
      <c r="X23" s="419" t="s">
        <v>287</v>
      </c>
      <c r="Y23" s="425" t="s">
        <v>1009</v>
      </c>
      <c r="Z23" s="425" t="s">
        <v>989</v>
      </c>
      <c r="AA23" s="422" t="s">
        <v>467</v>
      </c>
      <c r="AB23" s="425" t="s">
        <v>1010</v>
      </c>
      <c r="AC23" s="425" t="s">
        <v>1011</v>
      </c>
      <c r="AD23" s="422" t="s">
        <v>79</v>
      </c>
    </row>
    <row r="24" spans="2:30" x14ac:dyDescent="0.25">
      <c r="B24" s="412" t="s">
        <v>474</v>
      </c>
      <c r="D24" s="413">
        <v>4.3499999999999996</v>
      </c>
      <c r="E24" s="414"/>
      <c r="J24" s="406" t="s">
        <v>974</v>
      </c>
      <c r="X24" s="419" t="s">
        <v>289</v>
      </c>
      <c r="Y24" s="425" t="s">
        <v>1009</v>
      </c>
      <c r="Z24" s="425" t="s">
        <v>989</v>
      </c>
      <c r="AA24" s="422" t="s">
        <v>467</v>
      </c>
      <c r="AB24" s="425" t="s">
        <v>1010</v>
      </c>
      <c r="AC24" s="425" t="s">
        <v>1011</v>
      </c>
      <c r="AD24" s="422" t="s">
        <v>79</v>
      </c>
    </row>
    <row r="25" spans="2:30" x14ac:dyDescent="0.25">
      <c r="B25" s="412" t="s">
        <v>479</v>
      </c>
      <c r="D25" s="413">
        <v>4.38</v>
      </c>
      <c r="E25" s="414"/>
      <c r="K25" s="406" t="s">
        <v>975</v>
      </c>
      <c r="L25" s="406" t="s">
        <v>973</v>
      </c>
      <c r="M25" s="406" t="s">
        <v>976</v>
      </c>
      <c r="X25" s="419" t="s">
        <v>291</v>
      </c>
      <c r="Y25" s="425" t="s">
        <v>1009</v>
      </c>
      <c r="Z25" s="425" t="s">
        <v>989</v>
      </c>
      <c r="AA25" s="422" t="s">
        <v>467</v>
      </c>
      <c r="AB25" s="425" t="s">
        <v>1010</v>
      </c>
      <c r="AC25" s="425" t="s">
        <v>1011</v>
      </c>
      <c r="AD25" s="422" t="s">
        <v>79</v>
      </c>
    </row>
    <row r="26" spans="2:30" x14ac:dyDescent="0.25">
      <c r="B26" s="412" t="s">
        <v>340</v>
      </c>
      <c r="D26" s="413">
        <f>D23+0.1</f>
        <v>4.3999999999999995</v>
      </c>
      <c r="E26" s="414">
        <v>70000</v>
      </c>
      <c r="J26" s="419" t="s">
        <v>274</v>
      </c>
      <c r="K26" s="538">
        <v>100</v>
      </c>
      <c r="L26" s="538">
        <v>130</v>
      </c>
      <c r="M26" s="538"/>
    </row>
    <row r="27" spans="2:30" x14ac:dyDescent="0.25">
      <c r="B27" s="412" t="s">
        <v>476</v>
      </c>
      <c r="D27" s="413">
        <v>4.45</v>
      </c>
      <c r="E27" s="414"/>
      <c r="J27" s="419" t="s">
        <v>276</v>
      </c>
      <c r="K27" s="538"/>
      <c r="L27" s="538"/>
      <c r="M27" s="538"/>
    </row>
    <row r="28" spans="2:30" x14ac:dyDescent="0.25">
      <c r="B28" s="412" t="s">
        <v>341</v>
      </c>
      <c r="D28" s="413">
        <f>D26+0.1</f>
        <v>4.4999999999999991</v>
      </c>
      <c r="E28" s="414">
        <v>135170</v>
      </c>
      <c r="F28" s="414">
        <v>7200</v>
      </c>
      <c r="J28" s="419" t="s">
        <v>278</v>
      </c>
      <c r="K28" s="538"/>
      <c r="L28" s="538"/>
      <c r="M28" s="538"/>
      <c r="Q28" s="404" t="s">
        <v>159</v>
      </c>
    </row>
    <row r="29" spans="2:30" x14ac:dyDescent="0.25">
      <c r="B29" s="412" t="s">
        <v>342</v>
      </c>
      <c r="D29" s="413">
        <f t="shared" ref="D29:D54" si="1">D28+0.1</f>
        <v>4.5999999999999988</v>
      </c>
      <c r="E29" s="414">
        <v>92050</v>
      </c>
      <c r="J29" s="419" t="s">
        <v>268</v>
      </c>
      <c r="K29" s="538"/>
      <c r="L29" s="538"/>
      <c r="M29" s="538"/>
      <c r="Q29" s="406" t="s">
        <v>317</v>
      </c>
    </row>
    <row r="30" spans="2:30" x14ac:dyDescent="0.25">
      <c r="B30" s="412" t="s">
        <v>343</v>
      </c>
      <c r="D30" s="413">
        <f t="shared" si="1"/>
        <v>4.6999999999999984</v>
      </c>
      <c r="E30" s="414">
        <v>175090</v>
      </c>
      <c r="F30" s="414">
        <v>7200</v>
      </c>
      <c r="J30" s="419" t="s">
        <v>281</v>
      </c>
      <c r="K30" s="538"/>
      <c r="L30" s="538"/>
      <c r="M30" s="538"/>
      <c r="N30" s="404">
        <v>10000000</v>
      </c>
    </row>
    <row r="31" spans="2:30" x14ac:dyDescent="0.25">
      <c r="B31" s="412" t="s">
        <v>472</v>
      </c>
      <c r="D31" s="413">
        <f t="shared" si="1"/>
        <v>4.799999999999998</v>
      </c>
      <c r="E31" s="414">
        <v>233970</v>
      </c>
      <c r="F31" s="414"/>
      <c r="J31" s="419" t="s">
        <v>283</v>
      </c>
      <c r="K31" s="538"/>
      <c r="L31" s="538"/>
      <c r="M31" s="538"/>
    </row>
    <row r="32" spans="2:30" x14ac:dyDescent="0.25">
      <c r="B32" s="412" t="s">
        <v>344</v>
      </c>
      <c r="D32" s="413">
        <f t="shared" si="1"/>
        <v>4.8999999999999977</v>
      </c>
      <c r="E32" s="414">
        <v>160100</v>
      </c>
      <c r="F32" s="414"/>
      <c r="J32" s="419" t="s">
        <v>285</v>
      </c>
      <c r="K32" s="538"/>
      <c r="L32" s="538"/>
      <c r="M32" s="538"/>
      <c r="S32" s="419" t="s">
        <v>274</v>
      </c>
      <c r="T32" s="419" t="s">
        <v>276</v>
      </c>
      <c r="U32" s="419" t="s">
        <v>278</v>
      </c>
      <c r="V32" s="419" t="s">
        <v>268</v>
      </c>
      <c r="W32" s="419" t="s">
        <v>281</v>
      </c>
      <c r="X32" s="419" t="s">
        <v>283</v>
      </c>
      <c r="Y32" s="419" t="s">
        <v>285</v>
      </c>
      <c r="Z32" s="419" t="s">
        <v>287</v>
      </c>
      <c r="AA32" s="419" t="s">
        <v>289</v>
      </c>
      <c r="AB32" s="419" t="s">
        <v>291</v>
      </c>
    </row>
    <row r="33" spans="1:28" x14ac:dyDescent="0.25">
      <c r="B33" s="412" t="s">
        <v>345</v>
      </c>
      <c r="D33" s="413">
        <f t="shared" si="1"/>
        <v>4.9999999999999973</v>
      </c>
      <c r="E33" s="414">
        <v>96760</v>
      </c>
      <c r="F33" s="414"/>
      <c r="J33" s="419" t="s">
        <v>287</v>
      </c>
      <c r="K33" s="538"/>
      <c r="L33" s="538"/>
      <c r="M33" s="538"/>
      <c r="P33" s="406" t="s">
        <v>1007</v>
      </c>
      <c r="Q33" s="404">
        <v>1.27</v>
      </c>
      <c r="R33" s="404">
        <v>40</v>
      </c>
      <c r="S33" s="404">
        <v>1</v>
      </c>
      <c r="T33" s="404">
        <v>1</v>
      </c>
      <c r="U33" s="404">
        <v>1</v>
      </c>
      <c r="V33" s="404">
        <v>1</v>
      </c>
      <c r="W33" s="404">
        <v>1</v>
      </c>
      <c r="X33" s="404">
        <v>1</v>
      </c>
      <c r="Y33" s="404">
        <v>1</v>
      </c>
      <c r="Z33" s="404">
        <v>1</v>
      </c>
      <c r="AA33" s="404">
        <v>1</v>
      </c>
      <c r="AB33" s="404">
        <v>1</v>
      </c>
    </row>
    <row r="34" spans="1:28" x14ac:dyDescent="0.25">
      <c r="B34" s="412" t="s">
        <v>477</v>
      </c>
      <c r="D34" s="413">
        <v>5.05</v>
      </c>
      <c r="E34" s="414"/>
      <c r="F34" s="414"/>
      <c r="J34" s="419" t="s">
        <v>289</v>
      </c>
      <c r="K34" s="538"/>
      <c r="L34" s="538"/>
      <c r="M34" s="538"/>
      <c r="P34" s="406" t="s">
        <v>1008</v>
      </c>
      <c r="Q34" s="404">
        <v>1.5</v>
      </c>
      <c r="R34" s="404">
        <v>50</v>
      </c>
      <c r="S34" s="404">
        <v>1.054</v>
      </c>
      <c r="T34" s="404">
        <v>1.1000000000000001</v>
      </c>
      <c r="U34" s="404">
        <v>1.25</v>
      </c>
      <c r="V34" s="404">
        <v>1.25</v>
      </c>
      <c r="W34" s="404">
        <v>1.25</v>
      </c>
      <c r="X34" s="404">
        <v>1.25</v>
      </c>
      <c r="Y34" s="404">
        <v>1.25</v>
      </c>
      <c r="Z34" s="404">
        <v>1.25</v>
      </c>
      <c r="AA34" s="404">
        <v>1.25</v>
      </c>
      <c r="AB34" s="404">
        <v>1.25</v>
      </c>
    </row>
    <row r="35" spans="1:28" x14ac:dyDescent="0.25">
      <c r="B35" s="412" t="s">
        <v>346</v>
      </c>
      <c r="D35" s="413">
        <f>D33+0.1</f>
        <v>5.099999999999997</v>
      </c>
      <c r="E35" s="414">
        <v>297030</v>
      </c>
      <c r="F35" s="414">
        <v>12000</v>
      </c>
      <c r="J35" s="419" t="s">
        <v>291</v>
      </c>
      <c r="K35" s="538"/>
      <c r="L35" s="538"/>
      <c r="M35" s="538"/>
      <c r="R35" s="404">
        <v>60</v>
      </c>
      <c r="S35" s="404">
        <v>1.0900000000000001</v>
      </c>
      <c r="T35" s="404">
        <v>1.17</v>
      </c>
      <c r="U35" s="404">
        <v>1.5</v>
      </c>
      <c r="V35" s="404">
        <v>1.5</v>
      </c>
      <c r="W35" s="404">
        <v>1.5</v>
      </c>
      <c r="X35" s="404">
        <v>1.5</v>
      </c>
      <c r="Y35" s="404">
        <v>1.5</v>
      </c>
      <c r="Z35" s="404">
        <v>1.5</v>
      </c>
      <c r="AA35" s="404">
        <v>1.5</v>
      </c>
      <c r="AB35" s="404">
        <v>1.5</v>
      </c>
    </row>
    <row r="36" spans="1:28" x14ac:dyDescent="0.25">
      <c r="B36" s="412" t="s">
        <v>347</v>
      </c>
      <c r="D36" s="413">
        <f t="shared" si="1"/>
        <v>5.1999999999999966</v>
      </c>
      <c r="E36" s="414">
        <v>202150</v>
      </c>
      <c r="F36" s="414">
        <v>8000</v>
      </c>
    </row>
    <row r="37" spans="1:28" x14ac:dyDescent="0.25">
      <c r="B37" s="412" t="s">
        <v>348</v>
      </c>
      <c r="D37" s="413">
        <f t="shared" si="1"/>
        <v>5.2999999999999963</v>
      </c>
      <c r="E37" s="414">
        <v>154020</v>
      </c>
      <c r="F37" s="414"/>
    </row>
    <row r="38" spans="1:28" x14ac:dyDescent="0.25">
      <c r="B38" s="412" t="s">
        <v>349</v>
      </c>
      <c r="D38" s="413">
        <f t="shared" si="1"/>
        <v>5.3999999999999959</v>
      </c>
      <c r="E38" s="414">
        <v>200000</v>
      </c>
      <c r="F38" s="414">
        <v>7200</v>
      </c>
    </row>
    <row r="39" spans="1:28" x14ac:dyDescent="0.25">
      <c r="B39" s="412" t="s">
        <v>350</v>
      </c>
      <c r="D39" s="413">
        <f t="shared" si="1"/>
        <v>5.4999999999999956</v>
      </c>
      <c r="E39" s="414">
        <v>130540</v>
      </c>
      <c r="F39" s="414"/>
    </row>
    <row r="40" spans="1:28" x14ac:dyDescent="0.25">
      <c r="B40" s="412" t="s">
        <v>351</v>
      </c>
      <c r="D40" s="413">
        <f t="shared" si="1"/>
        <v>5.5999999999999952</v>
      </c>
      <c r="E40" s="414">
        <v>77730</v>
      </c>
      <c r="F40" s="414"/>
    </row>
    <row r="41" spans="1:28" x14ac:dyDescent="0.25">
      <c r="B41" s="412" t="s">
        <v>352</v>
      </c>
      <c r="D41" s="413">
        <f t="shared" si="1"/>
        <v>5.6999999999999948</v>
      </c>
      <c r="E41" s="414">
        <v>149760</v>
      </c>
      <c r="F41" s="414"/>
    </row>
    <row r="42" spans="1:28" x14ac:dyDescent="0.25">
      <c r="B42" s="412" t="s">
        <v>353</v>
      </c>
      <c r="D42" s="413">
        <f t="shared" si="1"/>
        <v>5.7999999999999945</v>
      </c>
      <c r="E42" s="414">
        <v>68660</v>
      </c>
      <c r="F42" s="414"/>
    </row>
    <row r="43" spans="1:28" x14ac:dyDescent="0.25">
      <c r="B43" s="412" t="s">
        <v>354</v>
      </c>
      <c r="D43" s="413">
        <f t="shared" si="1"/>
        <v>5.8999999999999941</v>
      </c>
      <c r="E43" s="414">
        <v>129280</v>
      </c>
      <c r="F43" s="414"/>
    </row>
    <row r="44" spans="1:28" x14ac:dyDescent="0.25">
      <c r="B44" s="412" t="s">
        <v>355</v>
      </c>
      <c r="D44" s="413">
        <f t="shared" si="1"/>
        <v>5.9999999999999938</v>
      </c>
      <c r="E44" s="414">
        <v>68450</v>
      </c>
      <c r="F44" s="414"/>
    </row>
    <row r="45" spans="1:28" x14ac:dyDescent="0.25">
      <c r="B45" s="412" t="s">
        <v>6</v>
      </c>
      <c r="D45" s="413">
        <f t="shared" si="1"/>
        <v>6.0999999999999934</v>
      </c>
      <c r="E45" s="414">
        <v>360850</v>
      </c>
      <c r="F45" s="414">
        <v>12000</v>
      </c>
    </row>
    <row r="46" spans="1:28" x14ac:dyDescent="0.25">
      <c r="A46" s="406" t="s">
        <v>990</v>
      </c>
      <c r="B46" s="412" t="s">
        <v>478</v>
      </c>
      <c r="D46" s="413">
        <v>6.15</v>
      </c>
      <c r="E46" s="414"/>
      <c r="F46" s="414"/>
      <c r="H46" s="406" t="s">
        <v>492</v>
      </c>
    </row>
    <row r="47" spans="1:28" x14ac:dyDescent="0.25">
      <c r="A47" s="406" t="s">
        <v>990</v>
      </c>
      <c r="B47" s="412" t="s">
        <v>356</v>
      </c>
      <c r="D47" s="413">
        <f>D45+0.1</f>
        <v>6.1999999999999931</v>
      </c>
      <c r="E47" s="414">
        <v>259220</v>
      </c>
      <c r="H47" s="406" t="s">
        <v>492</v>
      </c>
    </row>
    <row r="48" spans="1:28" x14ac:dyDescent="0.25">
      <c r="A48" s="406" t="s">
        <v>990</v>
      </c>
      <c r="B48" s="412" t="s">
        <v>357</v>
      </c>
      <c r="D48" s="413">
        <f t="shared" si="1"/>
        <v>6.2999999999999927</v>
      </c>
      <c r="E48" s="414">
        <v>197980</v>
      </c>
      <c r="H48" s="406" t="s">
        <v>492</v>
      </c>
    </row>
    <row r="49" spans="1:8" x14ac:dyDescent="0.25">
      <c r="A49" s="406" t="s">
        <v>990</v>
      </c>
      <c r="B49" s="412" t="s">
        <v>372</v>
      </c>
      <c r="D49" s="413">
        <v>6.4</v>
      </c>
      <c r="E49" s="414">
        <v>211440</v>
      </c>
      <c r="H49" s="406" t="s">
        <v>492</v>
      </c>
    </row>
    <row r="50" spans="1:8" x14ac:dyDescent="0.25">
      <c r="A50" s="406" t="s">
        <v>990</v>
      </c>
      <c r="B50" s="412" t="s">
        <v>358</v>
      </c>
      <c r="D50" s="413">
        <v>6.5</v>
      </c>
      <c r="E50" s="414">
        <v>150790</v>
      </c>
      <c r="H50" s="406" t="s">
        <v>492</v>
      </c>
    </row>
    <row r="51" spans="1:8" x14ac:dyDescent="0.25">
      <c r="A51" s="406" t="s">
        <v>990</v>
      </c>
      <c r="B51" s="412" t="s">
        <v>475</v>
      </c>
      <c r="D51" s="413">
        <v>6.55</v>
      </c>
      <c r="E51" s="414"/>
      <c r="H51" s="406" t="s">
        <v>492</v>
      </c>
    </row>
    <row r="52" spans="1:8" x14ac:dyDescent="0.25">
      <c r="A52" s="406" t="s">
        <v>990</v>
      </c>
      <c r="B52" s="412" t="s">
        <v>480</v>
      </c>
      <c r="D52" s="413">
        <v>6.57</v>
      </c>
      <c r="E52" s="414"/>
      <c r="H52" s="406" t="s">
        <v>492</v>
      </c>
    </row>
    <row r="53" spans="1:8" x14ac:dyDescent="0.25">
      <c r="A53" s="406" t="s">
        <v>990</v>
      </c>
      <c r="B53" s="412" t="s">
        <v>7</v>
      </c>
      <c r="D53" s="413">
        <f>D50+0.1</f>
        <v>6.6</v>
      </c>
      <c r="E53" s="414">
        <v>85430</v>
      </c>
      <c r="H53" s="406" t="s">
        <v>492</v>
      </c>
    </row>
    <row r="54" spans="1:8" x14ac:dyDescent="0.25">
      <c r="A54" s="406" t="s">
        <v>990</v>
      </c>
      <c r="B54" s="412" t="s">
        <v>359</v>
      </c>
      <c r="D54" s="413">
        <f t="shared" si="1"/>
        <v>6.6999999999999993</v>
      </c>
      <c r="E54" s="414">
        <v>75920</v>
      </c>
      <c r="H54" s="406" t="s">
        <v>492</v>
      </c>
    </row>
    <row r="55" spans="1:8" x14ac:dyDescent="0.25">
      <c r="A55" s="406" t="s">
        <v>990</v>
      </c>
      <c r="B55" s="412" t="s">
        <v>370</v>
      </c>
      <c r="D55" s="413">
        <v>6.9</v>
      </c>
      <c r="E55" s="414">
        <v>70000</v>
      </c>
      <c r="H55" s="406" t="s">
        <v>492</v>
      </c>
    </row>
    <row r="56" spans="1:8" x14ac:dyDescent="0.25">
      <c r="B56" s="412" t="s">
        <v>371</v>
      </c>
      <c r="D56" s="413">
        <v>7</v>
      </c>
      <c r="E56" s="414"/>
    </row>
    <row r="67" spans="2:12" x14ac:dyDescent="0.25">
      <c r="B67" s="406" t="s">
        <v>485</v>
      </c>
      <c r="C67" s="404">
        <v>1</v>
      </c>
      <c r="D67" s="404">
        <f>C67+1</f>
        <v>2</v>
      </c>
      <c r="E67" s="404">
        <f t="shared" ref="E67:L67" si="2">D67+1</f>
        <v>3</v>
      </c>
      <c r="F67" s="404">
        <f t="shared" si="2"/>
        <v>4</v>
      </c>
      <c r="G67" s="404">
        <f t="shared" si="2"/>
        <v>5</v>
      </c>
      <c r="H67" s="404">
        <f t="shared" si="2"/>
        <v>6</v>
      </c>
      <c r="I67" s="404">
        <f t="shared" si="2"/>
        <v>7</v>
      </c>
      <c r="J67" s="404">
        <f t="shared" si="2"/>
        <v>8</v>
      </c>
      <c r="K67" s="404">
        <f t="shared" si="2"/>
        <v>9</v>
      </c>
      <c r="L67" s="404">
        <f t="shared" si="2"/>
        <v>10</v>
      </c>
    </row>
    <row r="68" spans="2:12" x14ac:dyDescent="0.25">
      <c r="B68" s="409" t="s">
        <v>304</v>
      </c>
      <c r="C68" s="419" t="s">
        <v>274</v>
      </c>
      <c r="D68" s="419" t="s">
        <v>276</v>
      </c>
      <c r="E68" s="419" t="s">
        <v>278</v>
      </c>
      <c r="F68" s="419" t="s">
        <v>268</v>
      </c>
      <c r="G68" s="419" t="s">
        <v>281</v>
      </c>
      <c r="H68" s="419" t="s">
        <v>283</v>
      </c>
      <c r="I68" s="419" t="s">
        <v>285</v>
      </c>
      <c r="J68" s="419" t="s">
        <v>287</v>
      </c>
      <c r="K68" s="419" t="s">
        <v>289</v>
      </c>
      <c r="L68" s="419" t="s">
        <v>291</v>
      </c>
    </row>
    <row r="69" spans="2:12" x14ac:dyDescent="0.25">
      <c r="B69" s="415">
        <v>0</v>
      </c>
      <c r="C69" s="422" t="s">
        <v>484</v>
      </c>
      <c r="D69" s="422" t="s">
        <v>484</v>
      </c>
      <c r="E69" s="422"/>
      <c r="F69" s="422"/>
      <c r="G69" s="422"/>
      <c r="H69" s="422"/>
      <c r="I69" s="422" t="s">
        <v>484</v>
      </c>
      <c r="J69" s="422" t="s">
        <v>484</v>
      </c>
      <c r="K69" s="422" t="s">
        <v>484</v>
      </c>
      <c r="L69" s="422" t="s">
        <v>484</v>
      </c>
    </row>
    <row r="70" spans="2:12" x14ac:dyDescent="0.25">
      <c r="B70" s="415">
        <v>5000000</v>
      </c>
      <c r="C70" s="426" t="s">
        <v>481</v>
      </c>
      <c r="D70" s="426" t="s">
        <v>481</v>
      </c>
      <c r="E70" s="422" t="s">
        <v>484</v>
      </c>
      <c r="F70" s="422" t="s">
        <v>484</v>
      </c>
      <c r="G70" s="422" t="s">
        <v>484</v>
      </c>
      <c r="H70" s="422" t="s">
        <v>484</v>
      </c>
      <c r="I70" s="426" t="s">
        <v>481</v>
      </c>
      <c r="J70" s="426" t="s">
        <v>481</v>
      </c>
      <c r="K70" s="426" t="s">
        <v>481</v>
      </c>
      <c r="L70" s="426" t="s">
        <v>481</v>
      </c>
    </row>
    <row r="71" spans="2:12" x14ac:dyDescent="0.25">
      <c r="B71" s="415">
        <v>40000000</v>
      </c>
      <c r="C71" s="422" t="s">
        <v>483</v>
      </c>
      <c r="D71" s="422" t="s">
        <v>483</v>
      </c>
      <c r="E71" s="425"/>
      <c r="F71" s="422"/>
      <c r="G71" s="422"/>
      <c r="H71" s="422"/>
      <c r="I71" s="422" t="s">
        <v>483</v>
      </c>
      <c r="J71" s="422" t="s">
        <v>483</v>
      </c>
      <c r="K71" s="422" t="s">
        <v>483</v>
      </c>
      <c r="L71" s="422" t="s">
        <v>483</v>
      </c>
    </row>
    <row r="72" spans="2:12" x14ac:dyDescent="0.25">
      <c r="B72" s="415">
        <v>150000000</v>
      </c>
      <c r="C72" s="422" t="s">
        <v>482</v>
      </c>
      <c r="D72" s="422" t="s">
        <v>482</v>
      </c>
      <c r="E72" s="425"/>
      <c r="F72" s="422"/>
      <c r="G72" s="422"/>
      <c r="H72" s="422"/>
      <c r="I72" s="422" t="s">
        <v>482</v>
      </c>
      <c r="J72" s="422" t="s">
        <v>482</v>
      </c>
      <c r="K72" s="422" t="s">
        <v>482</v>
      </c>
      <c r="L72" s="422" t="s">
        <v>482</v>
      </c>
    </row>
    <row r="73" spans="2:12" x14ac:dyDescent="0.25">
      <c r="B73" s="42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EDD64-D198-49A7-A7EE-876F4FB622D5}">
  <sheetPr codeName="Sheet2"/>
  <dimension ref="D3:G236"/>
  <sheetViews>
    <sheetView topLeftCell="A64" workbookViewId="0">
      <selection activeCell="F81" sqref="F81"/>
    </sheetView>
  </sheetViews>
  <sheetFormatPr defaultRowHeight="15" x14ac:dyDescent="0.25"/>
  <cols>
    <col min="4" max="4" width="10.5703125" bestFit="1" customWidth="1"/>
    <col min="5" max="5" width="33.140625" bestFit="1" customWidth="1"/>
    <col min="6" max="6" width="8.7109375" bestFit="1" customWidth="1"/>
    <col min="7" max="7" width="33.140625" bestFit="1" customWidth="1"/>
  </cols>
  <sheetData>
    <row r="3" spans="4:7" x14ac:dyDescent="0.25">
      <c r="D3" t="s">
        <v>910</v>
      </c>
      <c r="E3" t="s">
        <v>912</v>
      </c>
      <c r="F3" t="s">
        <v>909</v>
      </c>
      <c r="G3" t="s">
        <v>911</v>
      </c>
    </row>
    <row r="4" spans="4:7" x14ac:dyDescent="0.25">
      <c r="D4" t="s">
        <v>499</v>
      </c>
      <c r="E4" t="s">
        <v>376</v>
      </c>
      <c r="F4" s="484">
        <v>10000</v>
      </c>
      <c r="G4" t="s">
        <v>376</v>
      </c>
    </row>
    <row r="5" spans="4:7" x14ac:dyDescent="0.25">
      <c r="D5" t="s">
        <v>500</v>
      </c>
      <c r="E5" t="s">
        <v>501</v>
      </c>
      <c r="F5" s="484">
        <v>10000</v>
      </c>
      <c r="G5" t="s">
        <v>501</v>
      </c>
    </row>
    <row r="6" spans="4:7" x14ac:dyDescent="0.25">
      <c r="D6" t="s">
        <v>502</v>
      </c>
      <c r="E6" t="s">
        <v>503</v>
      </c>
      <c r="F6" s="484">
        <v>10000</v>
      </c>
      <c r="G6" t="s">
        <v>503</v>
      </c>
    </row>
    <row r="7" spans="4:7" x14ac:dyDescent="0.25">
      <c r="D7" t="s">
        <v>504</v>
      </c>
      <c r="E7" t="s">
        <v>23</v>
      </c>
      <c r="F7" s="484">
        <v>10000</v>
      </c>
      <c r="G7" t="s">
        <v>23</v>
      </c>
    </row>
    <row r="8" spans="4:7" x14ac:dyDescent="0.25">
      <c r="D8" t="s">
        <v>505</v>
      </c>
      <c r="E8" t="s">
        <v>414</v>
      </c>
      <c r="F8" s="484">
        <v>10000</v>
      </c>
      <c r="G8" t="s">
        <v>414</v>
      </c>
    </row>
    <row r="9" spans="4:7" x14ac:dyDescent="0.25">
      <c r="D9" t="s">
        <v>506</v>
      </c>
      <c r="E9" t="s">
        <v>24</v>
      </c>
      <c r="F9" s="484">
        <v>10000</v>
      </c>
      <c r="G9" t="s">
        <v>24</v>
      </c>
    </row>
    <row r="10" spans="4:7" x14ac:dyDescent="0.25">
      <c r="D10" t="s">
        <v>507</v>
      </c>
      <c r="E10" t="s">
        <v>26</v>
      </c>
      <c r="F10" s="484">
        <v>10000</v>
      </c>
      <c r="G10" t="s">
        <v>26</v>
      </c>
    </row>
    <row r="11" spans="4:7" x14ac:dyDescent="0.25">
      <c r="D11" t="s">
        <v>508</v>
      </c>
      <c r="E11" t="s">
        <v>28</v>
      </c>
      <c r="F11" s="484">
        <v>10000</v>
      </c>
      <c r="G11" t="s">
        <v>28</v>
      </c>
    </row>
    <row r="12" spans="4:7" x14ac:dyDescent="0.25">
      <c r="D12" t="s">
        <v>509</v>
      </c>
      <c r="E12" t="s">
        <v>29</v>
      </c>
      <c r="F12" s="484">
        <v>10000</v>
      </c>
      <c r="G12" t="s">
        <v>29</v>
      </c>
    </row>
    <row r="13" spans="4:7" x14ac:dyDescent="0.25">
      <c r="D13" t="s">
        <v>510</v>
      </c>
      <c r="E13" t="s">
        <v>31</v>
      </c>
      <c r="F13" s="484">
        <v>10000</v>
      </c>
      <c r="G13" t="s">
        <v>31</v>
      </c>
    </row>
    <row r="14" spans="4:7" x14ac:dyDescent="0.25">
      <c r="D14" t="s">
        <v>511</v>
      </c>
      <c r="E14" t="s">
        <v>512</v>
      </c>
      <c r="F14" s="484">
        <v>10000</v>
      </c>
      <c r="G14" t="s">
        <v>512</v>
      </c>
    </row>
    <row r="15" spans="4:7" x14ac:dyDescent="0.25">
      <c r="D15" t="s">
        <v>513</v>
      </c>
      <c r="E15" t="s">
        <v>514</v>
      </c>
      <c r="F15" s="484">
        <v>10000</v>
      </c>
      <c r="G15" t="s">
        <v>514</v>
      </c>
    </row>
    <row r="16" spans="4:7" x14ac:dyDescent="0.25">
      <c r="D16" t="s">
        <v>515</v>
      </c>
      <c r="E16" t="s">
        <v>34</v>
      </c>
      <c r="F16" s="484">
        <v>10000</v>
      </c>
      <c r="G16" t="s">
        <v>34</v>
      </c>
    </row>
    <row r="17" spans="4:7" x14ac:dyDescent="0.25">
      <c r="D17" t="s">
        <v>516</v>
      </c>
      <c r="E17" t="s">
        <v>36</v>
      </c>
      <c r="F17" s="484">
        <v>10000</v>
      </c>
      <c r="G17" t="s">
        <v>36</v>
      </c>
    </row>
    <row r="18" spans="4:7" x14ac:dyDescent="0.25">
      <c r="D18" t="s">
        <v>517</v>
      </c>
      <c r="E18" t="s">
        <v>37</v>
      </c>
      <c r="F18" s="484">
        <v>10000</v>
      </c>
      <c r="G18" t="s">
        <v>37</v>
      </c>
    </row>
    <row r="19" spans="4:7" x14ac:dyDescent="0.25">
      <c r="D19" t="s">
        <v>518</v>
      </c>
      <c r="E19" t="s">
        <v>519</v>
      </c>
      <c r="F19" s="484">
        <v>10000</v>
      </c>
      <c r="G19" t="s">
        <v>519</v>
      </c>
    </row>
    <row r="20" spans="4:7" x14ac:dyDescent="0.25">
      <c r="D20" t="s">
        <v>520</v>
      </c>
      <c r="E20" t="s">
        <v>39</v>
      </c>
      <c r="F20" s="484">
        <v>10000</v>
      </c>
      <c r="G20" t="s">
        <v>39</v>
      </c>
    </row>
    <row r="21" spans="4:7" x14ac:dyDescent="0.25">
      <c r="D21" t="s">
        <v>521</v>
      </c>
      <c r="E21" t="s">
        <v>522</v>
      </c>
      <c r="F21" s="484">
        <v>10000</v>
      </c>
      <c r="G21" t="s">
        <v>522</v>
      </c>
    </row>
    <row r="22" spans="4:7" x14ac:dyDescent="0.25">
      <c r="D22" t="s">
        <v>523</v>
      </c>
      <c r="E22" t="s">
        <v>41</v>
      </c>
      <c r="F22" s="484">
        <v>10000</v>
      </c>
      <c r="G22" t="s">
        <v>41</v>
      </c>
    </row>
    <row r="23" spans="4:7" x14ac:dyDescent="0.25">
      <c r="D23" t="s">
        <v>524</v>
      </c>
      <c r="E23" t="s">
        <v>42</v>
      </c>
      <c r="F23" s="484">
        <v>10000</v>
      </c>
      <c r="G23" t="s">
        <v>42</v>
      </c>
    </row>
    <row r="24" spans="4:7" x14ac:dyDescent="0.25">
      <c r="D24" t="s">
        <v>525</v>
      </c>
      <c r="E24" t="s">
        <v>45</v>
      </c>
      <c r="F24" s="484">
        <v>10000</v>
      </c>
      <c r="G24" t="s">
        <v>45</v>
      </c>
    </row>
    <row r="25" spans="4:7" x14ac:dyDescent="0.25">
      <c r="D25" t="s">
        <v>526</v>
      </c>
      <c r="E25" t="s">
        <v>527</v>
      </c>
      <c r="F25" s="484">
        <v>10000</v>
      </c>
      <c r="G25" t="s">
        <v>527</v>
      </c>
    </row>
    <row r="26" spans="4:7" x14ac:dyDescent="0.25">
      <c r="D26" t="s">
        <v>528</v>
      </c>
      <c r="E26" t="s">
        <v>529</v>
      </c>
      <c r="F26" s="484">
        <v>10000</v>
      </c>
      <c r="G26" t="s">
        <v>529</v>
      </c>
    </row>
    <row r="27" spans="4:7" x14ac:dyDescent="0.25">
      <c r="D27" t="s">
        <v>530</v>
      </c>
      <c r="E27" t="s">
        <v>192</v>
      </c>
      <c r="F27" s="484">
        <v>10000</v>
      </c>
      <c r="G27" t="s">
        <v>192</v>
      </c>
    </row>
    <row r="28" spans="4:7" x14ac:dyDescent="0.25">
      <c r="D28" t="s">
        <v>531</v>
      </c>
      <c r="E28" t="s">
        <v>532</v>
      </c>
      <c r="F28" s="484">
        <v>10000</v>
      </c>
      <c r="G28" t="s">
        <v>532</v>
      </c>
    </row>
    <row r="29" spans="4:7" x14ac:dyDescent="0.25">
      <c r="D29" t="s">
        <v>533</v>
      </c>
      <c r="E29" t="s">
        <v>534</v>
      </c>
      <c r="F29" s="484">
        <v>10000</v>
      </c>
      <c r="G29" t="s">
        <v>534</v>
      </c>
    </row>
    <row r="30" spans="4:7" x14ac:dyDescent="0.25">
      <c r="D30" t="s">
        <v>535</v>
      </c>
      <c r="E30" t="s">
        <v>536</v>
      </c>
      <c r="F30" s="484">
        <v>10000</v>
      </c>
      <c r="G30" t="s">
        <v>536</v>
      </c>
    </row>
    <row r="31" spans="4:7" x14ac:dyDescent="0.25">
      <c r="D31" t="s">
        <v>537</v>
      </c>
      <c r="E31" t="s">
        <v>538</v>
      </c>
      <c r="F31" s="484">
        <v>10000</v>
      </c>
      <c r="G31" t="s">
        <v>538</v>
      </c>
    </row>
    <row r="32" spans="4:7" x14ac:dyDescent="0.25">
      <c r="D32" t="s">
        <v>539</v>
      </c>
      <c r="E32" t="s">
        <v>540</v>
      </c>
      <c r="F32" s="484">
        <v>10000</v>
      </c>
      <c r="G32" t="s">
        <v>540</v>
      </c>
    </row>
    <row r="33" spans="4:7" x14ac:dyDescent="0.25">
      <c r="D33" t="s">
        <v>541</v>
      </c>
      <c r="E33" t="s">
        <v>542</v>
      </c>
      <c r="F33" s="484">
        <v>11100</v>
      </c>
      <c r="G33" t="s">
        <v>913</v>
      </c>
    </row>
    <row r="34" spans="4:7" x14ac:dyDescent="0.25">
      <c r="D34" t="s">
        <v>543</v>
      </c>
      <c r="E34" t="s">
        <v>544</v>
      </c>
      <c r="F34" s="484">
        <v>11100</v>
      </c>
      <c r="G34" t="s">
        <v>913</v>
      </c>
    </row>
    <row r="35" spans="4:7" x14ac:dyDescent="0.25">
      <c r="D35" t="s">
        <v>545</v>
      </c>
      <c r="E35" t="s">
        <v>546</v>
      </c>
      <c r="F35" s="484">
        <v>11100</v>
      </c>
      <c r="G35" t="s">
        <v>913</v>
      </c>
    </row>
    <row r="36" spans="4:7" x14ac:dyDescent="0.25">
      <c r="D36" t="s">
        <v>547</v>
      </c>
      <c r="E36" t="s">
        <v>548</v>
      </c>
      <c r="F36" s="484">
        <v>11100</v>
      </c>
      <c r="G36" t="s">
        <v>913</v>
      </c>
    </row>
    <row r="37" spans="4:7" x14ac:dyDescent="0.25">
      <c r="D37" t="s">
        <v>549</v>
      </c>
      <c r="E37" t="s">
        <v>550</v>
      </c>
      <c r="F37" s="484">
        <v>11100</v>
      </c>
      <c r="G37" t="s">
        <v>913</v>
      </c>
    </row>
    <row r="38" spans="4:7" x14ac:dyDescent="0.25">
      <c r="D38" t="s">
        <v>551</v>
      </c>
      <c r="E38" t="s">
        <v>552</v>
      </c>
      <c r="F38" s="484">
        <v>11100</v>
      </c>
      <c r="G38" t="s">
        <v>913</v>
      </c>
    </row>
    <row r="39" spans="4:7" x14ac:dyDescent="0.25">
      <c r="D39" t="s">
        <v>553</v>
      </c>
      <c r="E39" t="s">
        <v>554</v>
      </c>
      <c r="F39" s="484">
        <v>11100</v>
      </c>
      <c r="G39" t="s">
        <v>913</v>
      </c>
    </row>
    <row r="40" spans="4:7" x14ac:dyDescent="0.25">
      <c r="D40" t="s">
        <v>555</v>
      </c>
      <c r="E40" t="s">
        <v>556</v>
      </c>
      <c r="F40" s="484">
        <v>11100</v>
      </c>
      <c r="G40" t="s">
        <v>913</v>
      </c>
    </row>
    <row r="41" spans="4:7" x14ac:dyDescent="0.25">
      <c r="D41" t="s">
        <v>557</v>
      </c>
      <c r="E41" t="s">
        <v>558</v>
      </c>
      <c r="F41" s="484">
        <v>11100</v>
      </c>
      <c r="G41" t="s">
        <v>913</v>
      </c>
    </row>
    <row r="42" spans="4:7" x14ac:dyDescent="0.25">
      <c r="D42" t="s">
        <v>559</v>
      </c>
      <c r="E42" t="s">
        <v>560</v>
      </c>
      <c r="F42" s="484">
        <v>11100</v>
      </c>
      <c r="G42" t="s">
        <v>913</v>
      </c>
    </row>
    <row r="43" spans="4:7" x14ac:dyDescent="0.25">
      <c r="D43" t="s">
        <v>561</v>
      </c>
      <c r="E43" t="s">
        <v>562</v>
      </c>
      <c r="F43" s="484">
        <v>11200</v>
      </c>
      <c r="G43" t="s">
        <v>914</v>
      </c>
    </row>
    <row r="44" spans="4:7" x14ac:dyDescent="0.25">
      <c r="D44" t="s">
        <v>563</v>
      </c>
      <c r="E44" t="s">
        <v>564</v>
      </c>
      <c r="F44" s="484">
        <v>11200</v>
      </c>
      <c r="G44" t="s">
        <v>914</v>
      </c>
    </row>
    <row r="45" spans="4:7" x14ac:dyDescent="0.25">
      <c r="D45" t="s">
        <v>565</v>
      </c>
      <c r="E45" t="s">
        <v>566</v>
      </c>
      <c r="F45" s="484">
        <v>11800</v>
      </c>
      <c r="G45" t="s">
        <v>915</v>
      </c>
    </row>
    <row r="46" spans="4:7" x14ac:dyDescent="0.25">
      <c r="D46" t="s">
        <v>567</v>
      </c>
      <c r="E46" t="s">
        <v>198</v>
      </c>
      <c r="F46" s="484">
        <v>11800</v>
      </c>
      <c r="G46" t="s">
        <v>915</v>
      </c>
    </row>
    <row r="47" spans="4:7" x14ac:dyDescent="0.25">
      <c r="D47" t="s">
        <v>568</v>
      </c>
      <c r="E47" t="s">
        <v>569</v>
      </c>
      <c r="F47" s="484">
        <v>11800</v>
      </c>
      <c r="G47" t="s">
        <v>915</v>
      </c>
    </row>
    <row r="48" spans="4:7" x14ac:dyDescent="0.25">
      <c r="D48" t="s">
        <v>570</v>
      </c>
      <c r="E48" t="s">
        <v>571</v>
      </c>
      <c r="F48" s="484">
        <v>12100</v>
      </c>
      <c r="G48" t="s">
        <v>916</v>
      </c>
    </row>
    <row r="49" spans="4:7" x14ac:dyDescent="0.25">
      <c r="D49" t="s">
        <v>572</v>
      </c>
      <c r="E49" t="s">
        <v>573</v>
      </c>
      <c r="F49" s="484">
        <v>12100</v>
      </c>
      <c r="G49" t="s">
        <v>916</v>
      </c>
    </row>
    <row r="50" spans="4:7" x14ac:dyDescent="0.25">
      <c r="D50" t="s">
        <v>574</v>
      </c>
      <c r="E50" t="s">
        <v>575</v>
      </c>
      <c r="F50" s="484">
        <v>12100</v>
      </c>
      <c r="G50" t="s">
        <v>916</v>
      </c>
    </row>
    <row r="51" spans="4:7" x14ac:dyDescent="0.25">
      <c r="D51" t="s">
        <v>576</v>
      </c>
      <c r="E51" t="s">
        <v>577</v>
      </c>
      <c r="F51" s="484">
        <v>12100</v>
      </c>
      <c r="G51" t="s">
        <v>916</v>
      </c>
    </row>
    <row r="52" spans="4:7" x14ac:dyDescent="0.25">
      <c r="D52" t="s">
        <v>578</v>
      </c>
      <c r="E52" t="s">
        <v>417</v>
      </c>
      <c r="F52" s="484">
        <v>12100</v>
      </c>
      <c r="G52" t="s">
        <v>916</v>
      </c>
    </row>
    <row r="53" spans="4:7" x14ac:dyDescent="0.25">
      <c r="D53" t="s">
        <v>579</v>
      </c>
      <c r="E53" t="s">
        <v>79</v>
      </c>
      <c r="F53" s="484">
        <v>12100</v>
      </c>
      <c r="G53" t="s">
        <v>916</v>
      </c>
    </row>
    <row r="54" spans="4:7" x14ac:dyDescent="0.25">
      <c r="D54" t="s">
        <v>580</v>
      </c>
      <c r="E54" t="s">
        <v>581</v>
      </c>
      <c r="F54" s="484">
        <v>12100</v>
      </c>
      <c r="G54" t="s">
        <v>916</v>
      </c>
    </row>
    <row r="55" spans="4:7" x14ac:dyDescent="0.25">
      <c r="D55" t="s">
        <v>582</v>
      </c>
      <c r="E55" t="s">
        <v>583</v>
      </c>
      <c r="F55" s="484">
        <v>12100</v>
      </c>
      <c r="G55" t="s">
        <v>916</v>
      </c>
    </row>
    <row r="56" spans="4:7" x14ac:dyDescent="0.25">
      <c r="D56" t="s">
        <v>584</v>
      </c>
      <c r="E56" t="s">
        <v>585</v>
      </c>
      <c r="F56" s="484">
        <v>12100</v>
      </c>
      <c r="G56" t="s">
        <v>916</v>
      </c>
    </row>
    <row r="57" spans="4:7" x14ac:dyDescent="0.25">
      <c r="D57" t="s">
        <v>586</v>
      </c>
      <c r="E57" t="s">
        <v>587</v>
      </c>
      <c r="F57" s="484">
        <v>12100</v>
      </c>
      <c r="G57" t="s">
        <v>916</v>
      </c>
    </row>
    <row r="58" spans="4:7" x14ac:dyDescent="0.25">
      <c r="D58" t="s">
        <v>588</v>
      </c>
      <c r="E58" t="s">
        <v>85</v>
      </c>
      <c r="F58" s="484">
        <v>13100</v>
      </c>
      <c r="G58" t="s">
        <v>917</v>
      </c>
    </row>
    <row r="59" spans="4:7" x14ac:dyDescent="0.25">
      <c r="D59" t="s">
        <v>589</v>
      </c>
      <c r="E59" t="s">
        <v>590</v>
      </c>
      <c r="F59" s="484">
        <v>13100</v>
      </c>
      <c r="G59" t="s">
        <v>917</v>
      </c>
    </row>
    <row r="60" spans="4:7" x14ac:dyDescent="0.25">
      <c r="D60" t="s">
        <v>591</v>
      </c>
      <c r="E60" t="s">
        <v>592</v>
      </c>
      <c r="F60" s="484">
        <v>13100</v>
      </c>
      <c r="G60" t="s">
        <v>917</v>
      </c>
    </row>
    <row r="61" spans="4:7" x14ac:dyDescent="0.25">
      <c r="D61" t="s">
        <v>593</v>
      </c>
      <c r="E61" t="s">
        <v>82</v>
      </c>
      <c r="F61" s="484">
        <v>13100</v>
      </c>
      <c r="G61" t="s">
        <v>917</v>
      </c>
    </row>
    <row r="62" spans="4:7" x14ac:dyDescent="0.25">
      <c r="D62" t="s">
        <v>594</v>
      </c>
      <c r="E62" t="s">
        <v>84</v>
      </c>
      <c r="F62" s="484">
        <v>13100</v>
      </c>
      <c r="G62" t="s">
        <v>917</v>
      </c>
    </row>
    <row r="63" spans="4:7" x14ac:dyDescent="0.25">
      <c r="D63" t="s">
        <v>595</v>
      </c>
      <c r="E63" t="s">
        <v>596</v>
      </c>
      <c r="F63" s="484">
        <v>13100</v>
      </c>
      <c r="G63" t="s">
        <v>917</v>
      </c>
    </row>
    <row r="64" spans="4:7" x14ac:dyDescent="0.25">
      <c r="D64" t="s">
        <v>597</v>
      </c>
      <c r="E64" t="s">
        <v>379</v>
      </c>
      <c r="F64" s="484">
        <v>13100</v>
      </c>
      <c r="G64" t="s">
        <v>917</v>
      </c>
    </row>
    <row r="65" spans="4:7" x14ac:dyDescent="0.25">
      <c r="D65" t="s">
        <v>598</v>
      </c>
      <c r="E65" t="s">
        <v>599</v>
      </c>
      <c r="F65" s="484">
        <v>13500</v>
      </c>
      <c r="G65" t="s">
        <v>918</v>
      </c>
    </row>
    <row r="66" spans="4:7" x14ac:dyDescent="0.25">
      <c r="D66" t="s">
        <v>600</v>
      </c>
      <c r="E66" t="s">
        <v>601</v>
      </c>
      <c r="F66" s="484">
        <v>14100</v>
      </c>
      <c r="G66" t="s">
        <v>919</v>
      </c>
    </row>
    <row r="67" spans="4:7" x14ac:dyDescent="0.25">
      <c r="D67" t="s">
        <v>602</v>
      </c>
      <c r="E67" t="s">
        <v>603</v>
      </c>
      <c r="F67" s="484">
        <v>14100</v>
      </c>
      <c r="G67" t="s">
        <v>919</v>
      </c>
    </row>
    <row r="68" spans="4:7" x14ac:dyDescent="0.25">
      <c r="D68" t="s">
        <v>604</v>
      </c>
      <c r="E68" t="s">
        <v>605</v>
      </c>
      <c r="F68" s="484">
        <v>14100</v>
      </c>
      <c r="G68" t="s">
        <v>919</v>
      </c>
    </row>
    <row r="69" spans="4:7" x14ac:dyDescent="0.25">
      <c r="D69" t="s">
        <v>606</v>
      </c>
      <c r="E69" t="s">
        <v>607</v>
      </c>
      <c r="F69" s="484">
        <v>14100</v>
      </c>
      <c r="G69" t="s">
        <v>919</v>
      </c>
    </row>
    <row r="70" spans="4:7" x14ac:dyDescent="0.25">
      <c r="D70" t="s">
        <v>608</v>
      </c>
      <c r="E70" t="s">
        <v>609</v>
      </c>
      <c r="F70" s="484">
        <v>14100</v>
      </c>
      <c r="G70" t="s">
        <v>919</v>
      </c>
    </row>
    <row r="71" spans="4:7" x14ac:dyDescent="0.25">
      <c r="D71" t="s">
        <v>610</v>
      </c>
      <c r="E71" t="s">
        <v>611</v>
      </c>
      <c r="F71" s="484">
        <v>14100</v>
      </c>
      <c r="G71" t="s">
        <v>919</v>
      </c>
    </row>
    <row r="72" spans="4:7" x14ac:dyDescent="0.25">
      <c r="D72" t="s">
        <v>612</v>
      </c>
      <c r="E72" t="s">
        <v>613</v>
      </c>
      <c r="F72" s="484">
        <v>14100</v>
      </c>
      <c r="G72" t="s">
        <v>919</v>
      </c>
    </row>
    <row r="73" spans="4:7" x14ac:dyDescent="0.25">
      <c r="D73" t="s">
        <v>614</v>
      </c>
      <c r="E73" t="s">
        <v>615</v>
      </c>
      <c r="F73" s="484">
        <v>14100</v>
      </c>
      <c r="G73" t="s">
        <v>919</v>
      </c>
    </row>
    <row r="74" spans="4:7" x14ac:dyDescent="0.25">
      <c r="D74" t="s">
        <v>616</v>
      </c>
      <c r="E74" t="s">
        <v>617</v>
      </c>
      <c r="F74" s="484">
        <v>14100</v>
      </c>
      <c r="G74" t="s">
        <v>919</v>
      </c>
    </row>
    <row r="75" spans="4:7" x14ac:dyDescent="0.25">
      <c r="D75" t="s">
        <v>618</v>
      </c>
      <c r="E75" t="s">
        <v>619</v>
      </c>
      <c r="F75" s="484">
        <v>14100</v>
      </c>
      <c r="G75" t="s">
        <v>919</v>
      </c>
    </row>
    <row r="76" spans="4:7" x14ac:dyDescent="0.25">
      <c r="D76" t="s">
        <v>620</v>
      </c>
      <c r="E76" t="s">
        <v>621</v>
      </c>
      <c r="F76" s="484">
        <v>14100</v>
      </c>
      <c r="G76" t="s">
        <v>919</v>
      </c>
    </row>
    <row r="77" spans="4:7" x14ac:dyDescent="0.25">
      <c r="D77" t="s">
        <v>622</v>
      </c>
      <c r="E77" t="s">
        <v>623</v>
      </c>
      <c r="F77" s="484">
        <v>14100</v>
      </c>
      <c r="G77" t="s">
        <v>919</v>
      </c>
    </row>
    <row r="78" spans="4:7" x14ac:dyDescent="0.25">
      <c r="D78" t="s">
        <v>624</v>
      </c>
      <c r="E78" t="s">
        <v>625</v>
      </c>
      <c r="F78" s="484">
        <v>14100</v>
      </c>
      <c r="G78" t="s">
        <v>919</v>
      </c>
    </row>
    <row r="79" spans="4:7" x14ac:dyDescent="0.25">
      <c r="D79" t="s">
        <v>626</v>
      </c>
      <c r="E79" t="s">
        <v>627</v>
      </c>
      <c r="F79" s="484">
        <v>14100</v>
      </c>
      <c r="G79" t="s">
        <v>919</v>
      </c>
    </row>
    <row r="80" spans="4:7" x14ac:dyDescent="0.25">
      <c r="D80" t="s">
        <v>628</v>
      </c>
      <c r="E80" t="s">
        <v>629</v>
      </c>
      <c r="F80" s="484">
        <v>15100</v>
      </c>
      <c r="G80" t="s">
        <v>542</v>
      </c>
    </row>
    <row r="81" spans="4:7" x14ac:dyDescent="0.25">
      <c r="D81" t="s">
        <v>630</v>
      </c>
      <c r="E81" t="s">
        <v>631</v>
      </c>
      <c r="F81" s="484">
        <v>15100</v>
      </c>
      <c r="G81" t="s">
        <v>542</v>
      </c>
    </row>
    <row r="82" spans="4:7" x14ac:dyDescent="0.25">
      <c r="D82" t="s">
        <v>632</v>
      </c>
      <c r="E82" t="s">
        <v>633</v>
      </c>
      <c r="F82" s="484">
        <v>15100</v>
      </c>
      <c r="G82" t="s">
        <v>542</v>
      </c>
    </row>
    <row r="83" spans="4:7" x14ac:dyDescent="0.25">
      <c r="D83" t="s">
        <v>634</v>
      </c>
      <c r="E83" t="s">
        <v>635</v>
      </c>
      <c r="F83" s="484">
        <v>15100</v>
      </c>
      <c r="G83" t="s">
        <v>542</v>
      </c>
    </row>
    <row r="84" spans="4:7" x14ac:dyDescent="0.25">
      <c r="D84" t="s">
        <v>636</v>
      </c>
      <c r="E84" t="s">
        <v>637</v>
      </c>
      <c r="F84" s="484">
        <v>15100</v>
      </c>
      <c r="G84" t="s">
        <v>542</v>
      </c>
    </row>
    <row r="85" spans="4:7" x14ac:dyDescent="0.25">
      <c r="D85" t="s">
        <v>638</v>
      </c>
      <c r="E85" t="s">
        <v>639</v>
      </c>
      <c r="F85" s="484">
        <v>15100</v>
      </c>
      <c r="G85" t="s">
        <v>542</v>
      </c>
    </row>
    <row r="86" spans="4:7" x14ac:dyDescent="0.25">
      <c r="D86" t="s">
        <v>640</v>
      </c>
      <c r="E86" t="s">
        <v>641</v>
      </c>
      <c r="F86" s="484">
        <v>15100</v>
      </c>
      <c r="G86" t="s">
        <v>542</v>
      </c>
    </row>
    <row r="87" spans="4:7" x14ac:dyDescent="0.25">
      <c r="D87" t="s">
        <v>642</v>
      </c>
      <c r="E87" t="s">
        <v>643</v>
      </c>
      <c r="F87" s="484">
        <v>16100</v>
      </c>
      <c r="G87" t="s">
        <v>920</v>
      </c>
    </row>
    <row r="88" spans="4:7" x14ac:dyDescent="0.25">
      <c r="D88" t="s">
        <v>644</v>
      </c>
      <c r="E88" t="s">
        <v>645</v>
      </c>
      <c r="F88" s="484">
        <v>16100</v>
      </c>
      <c r="G88" t="s">
        <v>920</v>
      </c>
    </row>
    <row r="89" spans="4:7" x14ac:dyDescent="0.25">
      <c r="D89" t="s">
        <v>646</v>
      </c>
      <c r="E89" t="s">
        <v>647</v>
      </c>
      <c r="F89" s="484">
        <v>16100</v>
      </c>
      <c r="G89" t="s">
        <v>920</v>
      </c>
    </row>
    <row r="90" spans="4:7" x14ac:dyDescent="0.25">
      <c r="D90" t="s">
        <v>648</v>
      </c>
      <c r="E90" t="s">
        <v>649</v>
      </c>
      <c r="F90" s="484">
        <v>16100</v>
      </c>
      <c r="G90" t="s">
        <v>920</v>
      </c>
    </row>
    <row r="91" spans="4:7" x14ac:dyDescent="0.25">
      <c r="D91" t="s">
        <v>650</v>
      </c>
      <c r="E91" t="s">
        <v>651</v>
      </c>
      <c r="F91" s="484">
        <v>16100</v>
      </c>
      <c r="G91" t="s">
        <v>920</v>
      </c>
    </row>
    <row r="92" spans="4:7" x14ac:dyDescent="0.25">
      <c r="D92" t="s">
        <v>652</v>
      </c>
      <c r="E92" t="s">
        <v>653</v>
      </c>
      <c r="F92" s="484">
        <v>16100</v>
      </c>
      <c r="G92" t="s">
        <v>920</v>
      </c>
    </row>
    <row r="93" spans="4:7" x14ac:dyDescent="0.25">
      <c r="D93" t="s">
        <v>654</v>
      </c>
      <c r="E93" t="s">
        <v>655</v>
      </c>
      <c r="F93" s="484">
        <v>16100</v>
      </c>
      <c r="G93" t="s">
        <v>920</v>
      </c>
    </row>
    <row r="94" spans="4:7" x14ac:dyDescent="0.25">
      <c r="D94" t="s">
        <v>656</v>
      </c>
      <c r="E94" t="s">
        <v>657</v>
      </c>
      <c r="F94" s="484">
        <v>16100</v>
      </c>
      <c r="G94" t="s">
        <v>920</v>
      </c>
    </row>
    <row r="95" spans="4:7" x14ac:dyDescent="0.25">
      <c r="D95" t="s">
        <v>658</v>
      </c>
      <c r="E95" t="s">
        <v>659</v>
      </c>
      <c r="F95" s="484">
        <v>16100</v>
      </c>
      <c r="G95" t="s">
        <v>920</v>
      </c>
    </row>
    <row r="96" spans="4:7" x14ac:dyDescent="0.25">
      <c r="D96" t="s">
        <v>660</v>
      </c>
      <c r="E96" t="s">
        <v>661</v>
      </c>
      <c r="F96" s="484">
        <v>16100</v>
      </c>
      <c r="G96" t="s">
        <v>920</v>
      </c>
    </row>
    <row r="97" spans="4:7" x14ac:dyDescent="0.25">
      <c r="D97" t="s">
        <v>662</v>
      </c>
      <c r="E97" t="s">
        <v>663</v>
      </c>
      <c r="F97" s="484">
        <v>16100</v>
      </c>
      <c r="G97" t="s">
        <v>920</v>
      </c>
    </row>
    <row r="98" spans="4:7" x14ac:dyDescent="0.25">
      <c r="D98" t="s">
        <v>664</v>
      </c>
      <c r="E98" t="s">
        <v>665</v>
      </c>
      <c r="F98" s="484">
        <v>17100</v>
      </c>
      <c r="G98" t="s">
        <v>921</v>
      </c>
    </row>
    <row r="99" spans="4:7" x14ac:dyDescent="0.25">
      <c r="D99" t="s">
        <v>666</v>
      </c>
      <c r="E99" t="s">
        <v>667</v>
      </c>
      <c r="F99" s="484">
        <v>17100</v>
      </c>
      <c r="G99" t="s">
        <v>921</v>
      </c>
    </row>
    <row r="100" spans="4:7" x14ac:dyDescent="0.25">
      <c r="D100" t="s">
        <v>668</v>
      </c>
      <c r="E100" t="s">
        <v>669</v>
      </c>
      <c r="F100" s="484">
        <v>17100</v>
      </c>
      <c r="G100" t="s">
        <v>921</v>
      </c>
    </row>
    <row r="101" spans="4:7" x14ac:dyDescent="0.25">
      <c r="D101" t="s">
        <v>670</v>
      </c>
      <c r="E101" t="s">
        <v>671</v>
      </c>
      <c r="F101" s="484">
        <v>17100</v>
      </c>
      <c r="G101" t="s">
        <v>921</v>
      </c>
    </row>
    <row r="102" spans="4:7" x14ac:dyDescent="0.25">
      <c r="D102" t="s">
        <v>672</v>
      </c>
      <c r="E102" t="s">
        <v>673</v>
      </c>
      <c r="F102" s="484">
        <v>17100</v>
      </c>
      <c r="G102" t="s">
        <v>921</v>
      </c>
    </row>
    <row r="103" spans="4:7" x14ac:dyDescent="0.25">
      <c r="D103" t="s">
        <v>674</v>
      </c>
      <c r="E103" t="s">
        <v>675</v>
      </c>
      <c r="F103" s="484">
        <v>17100</v>
      </c>
      <c r="G103" t="s">
        <v>921</v>
      </c>
    </row>
    <row r="104" spans="4:7" x14ac:dyDescent="0.25">
      <c r="D104" t="s">
        <v>676</v>
      </c>
      <c r="E104" t="s">
        <v>677</v>
      </c>
      <c r="F104" s="484">
        <v>17400</v>
      </c>
      <c r="G104" t="s">
        <v>677</v>
      </c>
    </row>
    <row r="105" spans="4:7" x14ac:dyDescent="0.25">
      <c r="D105" t="s">
        <v>678</v>
      </c>
      <c r="E105" t="s">
        <v>679</v>
      </c>
      <c r="F105" s="484">
        <v>17400</v>
      </c>
      <c r="G105" t="s">
        <v>677</v>
      </c>
    </row>
    <row r="106" spans="4:7" x14ac:dyDescent="0.25">
      <c r="D106" t="s">
        <v>680</v>
      </c>
      <c r="E106" t="s">
        <v>681</v>
      </c>
      <c r="F106" s="484">
        <v>17400</v>
      </c>
      <c r="G106" t="s">
        <v>677</v>
      </c>
    </row>
    <row r="107" spans="4:7" x14ac:dyDescent="0.25">
      <c r="D107" t="s">
        <v>682</v>
      </c>
      <c r="E107" t="s">
        <v>683</v>
      </c>
      <c r="F107" s="484">
        <v>17400</v>
      </c>
      <c r="G107" t="s">
        <v>677</v>
      </c>
    </row>
    <row r="108" spans="4:7" x14ac:dyDescent="0.25">
      <c r="D108" t="s">
        <v>684</v>
      </c>
      <c r="E108" t="s">
        <v>685</v>
      </c>
      <c r="F108" s="484">
        <v>17400</v>
      </c>
      <c r="G108" t="s">
        <v>677</v>
      </c>
    </row>
    <row r="109" spans="4:7" x14ac:dyDescent="0.25">
      <c r="D109" t="s">
        <v>686</v>
      </c>
      <c r="E109" t="s">
        <v>687</v>
      </c>
      <c r="F109" s="484">
        <v>17400</v>
      </c>
      <c r="G109" t="s">
        <v>677</v>
      </c>
    </row>
    <row r="110" spans="4:7" x14ac:dyDescent="0.25">
      <c r="D110" t="s">
        <v>688</v>
      </c>
      <c r="E110" t="s">
        <v>689</v>
      </c>
      <c r="F110" s="484">
        <v>18100</v>
      </c>
      <c r="G110" t="s">
        <v>922</v>
      </c>
    </row>
    <row r="111" spans="4:7" x14ac:dyDescent="0.25">
      <c r="D111" t="s">
        <v>690</v>
      </c>
      <c r="E111" t="s">
        <v>691</v>
      </c>
      <c r="F111" s="484">
        <v>18100</v>
      </c>
      <c r="G111" t="s">
        <v>922</v>
      </c>
    </row>
    <row r="112" spans="4:7" x14ac:dyDescent="0.25">
      <c r="D112" t="s">
        <v>692</v>
      </c>
      <c r="E112" t="s">
        <v>693</v>
      </c>
      <c r="F112" s="484">
        <v>18100</v>
      </c>
      <c r="G112" t="s">
        <v>922</v>
      </c>
    </row>
    <row r="113" spans="4:7" x14ac:dyDescent="0.25">
      <c r="D113" t="s">
        <v>694</v>
      </c>
      <c r="E113" t="s">
        <v>695</v>
      </c>
      <c r="F113" s="484">
        <v>18100</v>
      </c>
      <c r="G113" t="s">
        <v>922</v>
      </c>
    </row>
    <row r="114" spans="4:7" x14ac:dyDescent="0.25">
      <c r="D114" t="s">
        <v>696</v>
      </c>
      <c r="E114" t="s">
        <v>697</v>
      </c>
      <c r="F114" s="484">
        <v>18100</v>
      </c>
      <c r="G114" t="s">
        <v>922</v>
      </c>
    </row>
    <row r="115" spans="4:7" x14ac:dyDescent="0.25">
      <c r="D115" t="s">
        <v>698</v>
      </c>
      <c r="E115" t="s">
        <v>699</v>
      </c>
      <c r="F115" s="484">
        <v>18100</v>
      </c>
      <c r="G115" t="s">
        <v>922</v>
      </c>
    </row>
    <row r="116" spans="4:7" x14ac:dyDescent="0.25">
      <c r="D116" t="s">
        <v>700</v>
      </c>
      <c r="E116" t="s">
        <v>701</v>
      </c>
      <c r="F116" s="484">
        <v>18100</v>
      </c>
      <c r="G116" t="s">
        <v>922</v>
      </c>
    </row>
    <row r="117" spans="4:7" x14ac:dyDescent="0.25">
      <c r="D117" t="s">
        <v>702</v>
      </c>
      <c r="E117" t="s">
        <v>703</v>
      </c>
      <c r="F117" s="484">
        <v>18100</v>
      </c>
      <c r="G117" t="s">
        <v>922</v>
      </c>
    </row>
    <row r="118" spans="4:7" x14ac:dyDescent="0.25">
      <c r="D118" t="s">
        <v>704</v>
      </c>
      <c r="E118" t="s">
        <v>705</v>
      </c>
      <c r="F118" s="484">
        <v>18100</v>
      </c>
      <c r="G118" t="s">
        <v>922</v>
      </c>
    </row>
    <row r="119" spans="4:7" x14ac:dyDescent="0.25">
      <c r="D119" t="s">
        <v>706</v>
      </c>
      <c r="E119" t="s">
        <v>707</v>
      </c>
      <c r="F119" s="484">
        <v>18100</v>
      </c>
      <c r="G119" t="s">
        <v>922</v>
      </c>
    </row>
    <row r="120" spans="4:7" x14ac:dyDescent="0.25">
      <c r="D120" t="s">
        <v>708</v>
      </c>
      <c r="E120" t="s">
        <v>709</v>
      </c>
      <c r="F120" s="484">
        <v>19100</v>
      </c>
      <c r="G120" t="s">
        <v>923</v>
      </c>
    </row>
    <row r="121" spans="4:7" x14ac:dyDescent="0.25">
      <c r="D121" t="s">
        <v>710</v>
      </c>
      <c r="E121" t="s">
        <v>711</v>
      </c>
      <c r="F121" s="484">
        <v>19100</v>
      </c>
      <c r="G121" t="s">
        <v>923</v>
      </c>
    </row>
    <row r="122" spans="4:7" x14ac:dyDescent="0.25">
      <c r="D122" t="s">
        <v>712</v>
      </c>
      <c r="E122" t="s">
        <v>713</v>
      </c>
      <c r="F122" s="484">
        <v>19100</v>
      </c>
      <c r="G122" t="s">
        <v>923</v>
      </c>
    </row>
    <row r="123" spans="4:7" x14ac:dyDescent="0.25">
      <c r="D123" t="s">
        <v>714</v>
      </c>
      <c r="E123" t="s">
        <v>715</v>
      </c>
      <c r="F123" s="484">
        <v>19400</v>
      </c>
      <c r="G123" t="s">
        <v>924</v>
      </c>
    </row>
    <row r="124" spans="4:7" x14ac:dyDescent="0.25">
      <c r="D124" t="s">
        <v>716</v>
      </c>
      <c r="E124" t="s">
        <v>717</v>
      </c>
      <c r="F124" s="484">
        <v>19400</v>
      </c>
      <c r="G124" t="s">
        <v>924</v>
      </c>
    </row>
    <row r="125" spans="4:7" x14ac:dyDescent="0.25">
      <c r="D125" t="s">
        <v>718</v>
      </c>
      <c r="E125" t="s">
        <v>386</v>
      </c>
      <c r="F125" s="484">
        <v>980000</v>
      </c>
      <c r="G125" t="s">
        <v>386</v>
      </c>
    </row>
    <row r="126" spans="4:7" x14ac:dyDescent="0.25">
      <c r="D126" t="s">
        <v>719</v>
      </c>
      <c r="E126" t="s">
        <v>45</v>
      </c>
      <c r="F126" s="484">
        <v>980000</v>
      </c>
      <c r="G126" t="s">
        <v>45</v>
      </c>
    </row>
    <row r="127" spans="4:7" x14ac:dyDescent="0.25">
      <c r="D127" t="s">
        <v>720</v>
      </c>
      <c r="E127" t="s">
        <v>488</v>
      </c>
      <c r="F127" s="484">
        <v>980000</v>
      </c>
      <c r="G127" t="s">
        <v>488</v>
      </c>
    </row>
    <row r="128" spans="4:7" x14ac:dyDescent="0.25">
      <c r="D128" t="s">
        <v>721</v>
      </c>
      <c r="E128" t="s">
        <v>722</v>
      </c>
      <c r="F128" s="484">
        <v>980000</v>
      </c>
      <c r="G128" t="s">
        <v>722</v>
      </c>
    </row>
    <row r="129" spans="4:7" x14ac:dyDescent="0.25">
      <c r="D129" t="s">
        <v>723</v>
      </c>
      <c r="E129" t="s">
        <v>724</v>
      </c>
      <c r="F129" s="484">
        <v>980000</v>
      </c>
      <c r="G129" t="s">
        <v>724</v>
      </c>
    </row>
    <row r="130" spans="4:7" x14ac:dyDescent="0.25">
      <c r="D130" t="s">
        <v>725</v>
      </c>
      <c r="E130" t="s">
        <v>726</v>
      </c>
      <c r="F130" s="484">
        <v>980000</v>
      </c>
      <c r="G130" t="s">
        <v>726</v>
      </c>
    </row>
    <row r="131" spans="4:7" x14ac:dyDescent="0.25">
      <c r="D131" t="s">
        <v>727</v>
      </c>
      <c r="E131" t="s">
        <v>728</v>
      </c>
      <c r="F131" s="484">
        <v>980000</v>
      </c>
      <c r="G131" t="s">
        <v>728</v>
      </c>
    </row>
    <row r="132" spans="4:7" x14ac:dyDescent="0.25">
      <c r="D132" t="s">
        <v>729</v>
      </c>
      <c r="E132" t="s">
        <v>730</v>
      </c>
      <c r="F132" s="484">
        <v>980000</v>
      </c>
      <c r="G132" t="s">
        <v>730</v>
      </c>
    </row>
    <row r="133" spans="4:7" x14ac:dyDescent="0.25">
      <c r="D133" t="s">
        <v>731</v>
      </c>
      <c r="E133" t="s">
        <v>732</v>
      </c>
      <c r="F133" s="484">
        <v>980000</v>
      </c>
      <c r="G133" t="s">
        <v>732</v>
      </c>
    </row>
    <row r="134" spans="4:7" x14ac:dyDescent="0.25">
      <c r="D134" t="s">
        <v>733</v>
      </c>
      <c r="E134" t="s">
        <v>734</v>
      </c>
      <c r="F134" s="484">
        <v>980000</v>
      </c>
      <c r="G134" t="s">
        <v>734</v>
      </c>
    </row>
    <row r="135" spans="4:7" x14ac:dyDescent="0.25">
      <c r="D135" t="s">
        <v>735</v>
      </c>
      <c r="E135" t="s">
        <v>736</v>
      </c>
      <c r="F135" s="484">
        <v>980000</v>
      </c>
      <c r="G135" t="s">
        <v>736</v>
      </c>
    </row>
    <row r="136" spans="4:7" x14ac:dyDescent="0.25">
      <c r="D136" t="s">
        <v>737</v>
      </c>
      <c r="E136" t="s">
        <v>738</v>
      </c>
      <c r="F136" s="484">
        <v>980000</v>
      </c>
      <c r="G136" t="s">
        <v>738</v>
      </c>
    </row>
    <row r="137" spans="4:7" x14ac:dyDescent="0.25">
      <c r="D137" t="s">
        <v>739</v>
      </c>
      <c r="E137" t="s">
        <v>740</v>
      </c>
      <c r="F137" s="484">
        <v>980000</v>
      </c>
      <c r="G137" t="s">
        <v>740</v>
      </c>
    </row>
    <row r="138" spans="4:7" x14ac:dyDescent="0.25">
      <c r="D138" t="s">
        <v>741</v>
      </c>
      <c r="E138" t="s">
        <v>742</v>
      </c>
      <c r="F138" s="484">
        <v>980000</v>
      </c>
      <c r="G138" t="s">
        <v>742</v>
      </c>
    </row>
    <row r="139" spans="4:7" x14ac:dyDescent="0.25">
      <c r="D139" t="s">
        <v>743</v>
      </c>
      <c r="E139" t="s">
        <v>744</v>
      </c>
      <c r="F139" s="484">
        <v>980000</v>
      </c>
      <c r="G139" t="s">
        <v>744</v>
      </c>
    </row>
    <row r="140" spans="4:7" x14ac:dyDescent="0.25">
      <c r="D140" t="s">
        <v>745</v>
      </c>
      <c r="E140" t="s">
        <v>746</v>
      </c>
      <c r="F140" s="484">
        <v>980000</v>
      </c>
      <c r="G140" t="s">
        <v>746</v>
      </c>
    </row>
    <row r="141" spans="4:7" x14ac:dyDescent="0.25">
      <c r="D141" t="s">
        <v>747</v>
      </c>
      <c r="E141" t="s">
        <v>748</v>
      </c>
      <c r="F141" s="484">
        <v>980000</v>
      </c>
      <c r="G141" t="s">
        <v>748</v>
      </c>
    </row>
    <row r="142" spans="4:7" x14ac:dyDescent="0.25">
      <c r="D142" t="s">
        <v>749</v>
      </c>
      <c r="E142" t="s">
        <v>750</v>
      </c>
      <c r="F142" s="484">
        <v>980000</v>
      </c>
      <c r="G142" t="s">
        <v>750</v>
      </c>
    </row>
    <row r="143" spans="4:7" x14ac:dyDescent="0.25">
      <c r="D143" t="s">
        <v>751</v>
      </c>
      <c r="E143" t="s">
        <v>752</v>
      </c>
      <c r="F143" s="484">
        <v>980000</v>
      </c>
      <c r="G143" t="s">
        <v>752</v>
      </c>
    </row>
    <row r="144" spans="4:7" x14ac:dyDescent="0.25">
      <c r="D144" t="s">
        <v>753</v>
      </c>
      <c r="E144" t="s">
        <v>754</v>
      </c>
      <c r="F144" s="484">
        <v>980000</v>
      </c>
      <c r="G144" t="s">
        <v>754</v>
      </c>
    </row>
    <row r="145" spans="4:7" x14ac:dyDescent="0.25">
      <c r="D145" t="s">
        <v>755</v>
      </c>
      <c r="E145" t="s">
        <v>756</v>
      </c>
      <c r="F145" s="484">
        <v>980000</v>
      </c>
      <c r="G145" t="s">
        <v>756</v>
      </c>
    </row>
    <row r="146" spans="4:7" x14ac:dyDescent="0.25">
      <c r="D146" t="s">
        <v>757</v>
      </c>
      <c r="E146" t="s">
        <v>758</v>
      </c>
      <c r="F146" s="484">
        <v>980000</v>
      </c>
      <c r="G146" t="s">
        <v>758</v>
      </c>
    </row>
    <row r="147" spans="4:7" x14ac:dyDescent="0.25">
      <c r="D147" t="s">
        <v>759</v>
      </c>
      <c r="E147" t="s">
        <v>760</v>
      </c>
      <c r="F147" s="484">
        <v>980000</v>
      </c>
      <c r="G147" t="s">
        <v>760</v>
      </c>
    </row>
    <row r="148" spans="4:7" x14ac:dyDescent="0.25">
      <c r="D148" t="s">
        <v>761</v>
      </c>
      <c r="E148" t="s">
        <v>540</v>
      </c>
      <c r="F148" s="484">
        <v>980000</v>
      </c>
      <c r="G148" t="s">
        <v>540</v>
      </c>
    </row>
    <row r="149" spans="4:7" x14ac:dyDescent="0.25">
      <c r="D149" t="s">
        <v>762</v>
      </c>
      <c r="E149" t="s">
        <v>556</v>
      </c>
      <c r="F149" s="484">
        <v>981100</v>
      </c>
      <c r="G149" t="s">
        <v>925</v>
      </c>
    </row>
    <row r="150" spans="4:7" x14ac:dyDescent="0.25">
      <c r="D150" t="s">
        <v>763</v>
      </c>
      <c r="E150" t="s">
        <v>764</v>
      </c>
      <c r="F150" s="484">
        <v>981200</v>
      </c>
      <c r="G150" t="s">
        <v>926</v>
      </c>
    </row>
    <row r="151" spans="4:7" x14ac:dyDescent="0.25">
      <c r="D151" t="s">
        <v>765</v>
      </c>
      <c r="E151" t="s">
        <v>766</v>
      </c>
      <c r="F151" s="484">
        <v>981200</v>
      </c>
      <c r="G151" t="s">
        <v>926</v>
      </c>
    </row>
    <row r="152" spans="4:7" x14ac:dyDescent="0.25">
      <c r="D152" t="s">
        <v>767</v>
      </c>
      <c r="E152" t="s">
        <v>768</v>
      </c>
      <c r="F152" s="484">
        <v>981200</v>
      </c>
      <c r="G152" t="s">
        <v>926</v>
      </c>
    </row>
    <row r="153" spans="4:7" x14ac:dyDescent="0.25">
      <c r="D153" t="s">
        <v>769</v>
      </c>
      <c r="E153" t="s">
        <v>770</v>
      </c>
      <c r="F153" s="484">
        <v>981200</v>
      </c>
      <c r="G153" t="s">
        <v>926</v>
      </c>
    </row>
    <row r="154" spans="4:7" x14ac:dyDescent="0.25">
      <c r="D154" t="s">
        <v>771</v>
      </c>
      <c r="E154" t="s">
        <v>772</v>
      </c>
      <c r="F154" s="484">
        <v>981200</v>
      </c>
      <c r="G154" t="s">
        <v>926</v>
      </c>
    </row>
    <row r="155" spans="4:7" x14ac:dyDescent="0.25">
      <c r="D155" t="s">
        <v>773</v>
      </c>
      <c r="E155" t="s">
        <v>774</v>
      </c>
      <c r="F155" s="484">
        <v>981200</v>
      </c>
      <c r="G155" t="s">
        <v>926</v>
      </c>
    </row>
    <row r="156" spans="4:7" x14ac:dyDescent="0.25">
      <c r="D156" t="s">
        <v>775</v>
      </c>
      <c r="E156" t="s">
        <v>776</v>
      </c>
      <c r="F156" s="484">
        <v>981200</v>
      </c>
      <c r="G156" t="s">
        <v>926</v>
      </c>
    </row>
    <row r="157" spans="4:7" x14ac:dyDescent="0.25">
      <c r="D157" t="s">
        <v>777</v>
      </c>
      <c r="E157" t="s">
        <v>778</v>
      </c>
      <c r="F157" s="484">
        <v>981200</v>
      </c>
      <c r="G157" t="s">
        <v>926</v>
      </c>
    </row>
    <row r="158" spans="4:7" x14ac:dyDescent="0.25">
      <c r="D158" t="s">
        <v>779</v>
      </c>
      <c r="E158" t="s">
        <v>780</v>
      </c>
      <c r="F158" s="484">
        <v>981200</v>
      </c>
      <c r="G158" t="s">
        <v>926</v>
      </c>
    </row>
    <row r="159" spans="4:7" x14ac:dyDescent="0.25">
      <c r="D159" t="s">
        <v>781</v>
      </c>
      <c r="E159" t="s">
        <v>782</v>
      </c>
      <c r="F159" s="484">
        <v>981200</v>
      </c>
      <c r="G159" t="s">
        <v>926</v>
      </c>
    </row>
    <row r="160" spans="4:7" x14ac:dyDescent="0.25">
      <c r="D160" t="s">
        <v>783</v>
      </c>
      <c r="E160" t="s">
        <v>784</v>
      </c>
      <c r="F160" s="484">
        <v>981200</v>
      </c>
      <c r="G160" t="s">
        <v>926</v>
      </c>
    </row>
    <row r="161" spans="4:7" x14ac:dyDescent="0.25">
      <c r="D161" t="s">
        <v>785</v>
      </c>
      <c r="E161" t="s">
        <v>786</v>
      </c>
      <c r="F161" s="484">
        <v>981200</v>
      </c>
      <c r="G161" t="s">
        <v>926</v>
      </c>
    </row>
    <row r="162" spans="4:7" x14ac:dyDescent="0.25">
      <c r="D162" t="s">
        <v>787</v>
      </c>
      <c r="E162" t="s">
        <v>788</v>
      </c>
      <c r="F162" s="484">
        <v>981200</v>
      </c>
      <c r="G162" t="s">
        <v>926</v>
      </c>
    </row>
    <row r="163" spans="4:7" x14ac:dyDescent="0.25">
      <c r="D163" t="s">
        <v>789</v>
      </c>
      <c r="E163" t="s">
        <v>478</v>
      </c>
      <c r="F163" s="484">
        <v>981200</v>
      </c>
      <c r="G163" t="s">
        <v>926</v>
      </c>
    </row>
    <row r="164" spans="4:7" x14ac:dyDescent="0.25">
      <c r="D164" t="s">
        <v>790</v>
      </c>
      <c r="E164" t="s">
        <v>791</v>
      </c>
      <c r="F164" s="484">
        <v>981200</v>
      </c>
      <c r="G164" t="s">
        <v>926</v>
      </c>
    </row>
    <row r="165" spans="4:7" x14ac:dyDescent="0.25">
      <c r="D165" t="s">
        <v>792</v>
      </c>
      <c r="E165" t="s">
        <v>793</v>
      </c>
      <c r="F165" s="484">
        <v>981200</v>
      </c>
      <c r="G165" t="s">
        <v>926</v>
      </c>
    </row>
    <row r="166" spans="4:7" x14ac:dyDescent="0.25">
      <c r="D166" t="s">
        <v>794</v>
      </c>
      <c r="E166" t="s">
        <v>795</v>
      </c>
      <c r="F166" s="484">
        <v>981200</v>
      </c>
      <c r="G166" t="s">
        <v>926</v>
      </c>
    </row>
    <row r="167" spans="4:7" x14ac:dyDescent="0.25">
      <c r="D167" t="s">
        <v>796</v>
      </c>
      <c r="E167" t="s">
        <v>372</v>
      </c>
      <c r="F167" s="484">
        <v>981200</v>
      </c>
      <c r="G167" t="s">
        <v>926</v>
      </c>
    </row>
    <row r="168" spans="4:7" x14ac:dyDescent="0.25">
      <c r="D168" t="s">
        <v>797</v>
      </c>
      <c r="E168" t="s">
        <v>798</v>
      </c>
      <c r="F168" s="484">
        <v>981200</v>
      </c>
      <c r="G168" t="s">
        <v>926</v>
      </c>
    </row>
    <row r="169" spans="4:7" x14ac:dyDescent="0.25">
      <c r="D169" t="s">
        <v>799</v>
      </c>
      <c r="E169" t="s">
        <v>355</v>
      </c>
      <c r="F169" s="484">
        <v>981200</v>
      </c>
      <c r="G169" t="s">
        <v>926</v>
      </c>
    </row>
    <row r="170" spans="4:7" x14ac:dyDescent="0.25">
      <c r="D170" t="s">
        <v>800</v>
      </c>
      <c r="E170" t="s">
        <v>354</v>
      </c>
      <c r="F170" s="484">
        <v>981200</v>
      </c>
      <c r="G170" t="s">
        <v>926</v>
      </c>
    </row>
    <row r="171" spans="4:7" x14ac:dyDescent="0.25">
      <c r="D171" t="s">
        <v>801</v>
      </c>
      <c r="E171" t="s">
        <v>802</v>
      </c>
      <c r="F171" s="484">
        <v>981200</v>
      </c>
      <c r="G171" t="s">
        <v>926</v>
      </c>
    </row>
    <row r="172" spans="4:7" x14ac:dyDescent="0.25">
      <c r="D172" t="s">
        <v>803</v>
      </c>
      <c r="E172" t="s">
        <v>804</v>
      </c>
      <c r="F172" s="484">
        <v>981200</v>
      </c>
      <c r="G172" t="s">
        <v>926</v>
      </c>
    </row>
    <row r="173" spans="4:7" x14ac:dyDescent="0.25">
      <c r="D173" t="s">
        <v>805</v>
      </c>
      <c r="E173" t="s">
        <v>806</v>
      </c>
      <c r="F173" s="484">
        <v>981200</v>
      </c>
      <c r="G173" t="s">
        <v>926</v>
      </c>
    </row>
    <row r="174" spans="4:7" x14ac:dyDescent="0.25">
      <c r="D174" t="s">
        <v>807</v>
      </c>
      <c r="E174" t="s">
        <v>808</v>
      </c>
      <c r="F174" s="484">
        <v>981200</v>
      </c>
      <c r="G174" t="s">
        <v>926</v>
      </c>
    </row>
    <row r="175" spans="4:7" x14ac:dyDescent="0.25">
      <c r="D175" t="s">
        <v>809</v>
      </c>
      <c r="E175" t="s">
        <v>810</v>
      </c>
      <c r="F175" s="484">
        <v>981200</v>
      </c>
      <c r="G175" t="s">
        <v>926</v>
      </c>
    </row>
    <row r="176" spans="4:7" x14ac:dyDescent="0.25">
      <c r="D176" t="s">
        <v>811</v>
      </c>
      <c r="E176" t="s">
        <v>812</v>
      </c>
      <c r="F176" s="484">
        <v>981200</v>
      </c>
      <c r="G176" t="s">
        <v>926</v>
      </c>
    </row>
    <row r="177" spans="4:7" x14ac:dyDescent="0.25">
      <c r="D177" t="s">
        <v>813</v>
      </c>
      <c r="E177" t="s">
        <v>814</v>
      </c>
      <c r="F177" s="484">
        <v>981200</v>
      </c>
      <c r="G177" t="s">
        <v>926</v>
      </c>
    </row>
    <row r="178" spans="4:7" x14ac:dyDescent="0.25">
      <c r="D178" t="s">
        <v>815</v>
      </c>
      <c r="E178" t="s">
        <v>348</v>
      </c>
      <c r="F178" s="484">
        <v>981200</v>
      </c>
      <c r="G178" t="s">
        <v>926</v>
      </c>
    </row>
    <row r="179" spans="4:7" x14ac:dyDescent="0.25">
      <c r="D179" t="s">
        <v>816</v>
      </c>
      <c r="E179" t="s">
        <v>817</v>
      </c>
      <c r="F179" s="484">
        <v>981200</v>
      </c>
      <c r="G179" t="s">
        <v>926</v>
      </c>
    </row>
    <row r="180" spans="4:7" x14ac:dyDescent="0.25">
      <c r="D180" t="s">
        <v>818</v>
      </c>
      <c r="E180" t="s">
        <v>819</v>
      </c>
      <c r="F180" s="484">
        <v>981200</v>
      </c>
      <c r="G180" t="s">
        <v>926</v>
      </c>
    </row>
    <row r="181" spans="4:7" x14ac:dyDescent="0.25">
      <c r="D181" t="s">
        <v>820</v>
      </c>
      <c r="E181" t="s">
        <v>331</v>
      </c>
      <c r="F181" s="484">
        <v>981200</v>
      </c>
      <c r="G181" t="s">
        <v>926</v>
      </c>
    </row>
    <row r="182" spans="4:7" x14ac:dyDescent="0.25">
      <c r="D182" t="s">
        <v>821</v>
      </c>
      <c r="E182" t="s">
        <v>822</v>
      </c>
      <c r="F182" s="484">
        <v>981200</v>
      </c>
      <c r="G182" t="s">
        <v>926</v>
      </c>
    </row>
    <row r="183" spans="4:7" x14ac:dyDescent="0.25">
      <c r="D183" t="s">
        <v>823</v>
      </c>
      <c r="E183" t="s">
        <v>824</v>
      </c>
      <c r="F183" s="484">
        <v>981200</v>
      </c>
      <c r="G183" t="s">
        <v>926</v>
      </c>
    </row>
    <row r="184" spans="4:7" x14ac:dyDescent="0.25">
      <c r="D184" t="s">
        <v>825</v>
      </c>
      <c r="E184" t="s">
        <v>826</v>
      </c>
      <c r="F184" s="484">
        <v>981200</v>
      </c>
      <c r="G184" t="s">
        <v>926</v>
      </c>
    </row>
    <row r="185" spans="4:7" x14ac:dyDescent="0.25">
      <c r="D185" t="s">
        <v>827</v>
      </c>
      <c r="E185" t="s">
        <v>828</v>
      </c>
      <c r="F185" s="484">
        <v>981200</v>
      </c>
      <c r="G185" t="s">
        <v>926</v>
      </c>
    </row>
    <row r="186" spans="4:7" x14ac:dyDescent="0.25">
      <c r="D186" t="s">
        <v>829</v>
      </c>
      <c r="E186" t="s">
        <v>830</v>
      </c>
      <c r="F186" s="484">
        <v>981200</v>
      </c>
      <c r="G186" t="s">
        <v>926</v>
      </c>
    </row>
    <row r="187" spans="4:7" x14ac:dyDescent="0.25">
      <c r="D187" t="s">
        <v>831</v>
      </c>
      <c r="E187" t="s">
        <v>832</v>
      </c>
      <c r="F187" s="484">
        <v>981200</v>
      </c>
      <c r="G187" t="s">
        <v>926</v>
      </c>
    </row>
    <row r="188" spans="4:7" x14ac:dyDescent="0.25">
      <c r="D188" t="s">
        <v>833</v>
      </c>
      <c r="E188" t="s">
        <v>834</v>
      </c>
      <c r="F188" s="484">
        <v>981200</v>
      </c>
      <c r="G188" t="s">
        <v>926</v>
      </c>
    </row>
    <row r="189" spans="4:7" x14ac:dyDescent="0.25">
      <c r="D189" t="s">
        <v>835</v>
      </c>
      <c r="E189" t="s">
        <v>836</v>
      </c>
      <c r="F189" s="484">
        <v>981200</v>
      </c>
      <c r="G189" t="s">
        <v>926</v>
      </c>
    </row>
    <row r="190" spans="4:7" x14ac:dyDescent="0.25">
      <c r="D190" t="s">
        <v>837</v>
      </c>
      <c r="E190" t="s">
        <v>141</v>
      </c>
      <c r="F190" s="484">
        <v>981200</v>
      </c>
      <c r="G190" t="s">
        <v>926</v>
      </c>
    </row>
    <row r="191" spans="4:7" x14ac:dyDescent="0.25">
      <c r="D191" t="s">
        <v>838</v>
      </c>
      <c r="E191" t="s">
        <v>142</v>
      </c>
      <c r="F191" s="484">
        <v>981200</v>
      </c>
      <c r="G191" t="s">
        <v>926</v>
      </c>
    </row>
    <row r="192" spans="4:7" x14ac:dyDescent="0.25">
      <c r="D192" t="s">
        <v>839</v>
      </c>
      <c r="E192" t="s">
        <v>840</v>
      </c>
      <c r="F192" s="484">
        <v>981200</v>
      </c>
      <c r="G192" t="s">
        <v>926</v>
      </c>
    </row>
    <row r="193" spans="4:7" x14ac:dyDescent="0.25">
      <c r="D193" t="s">
        <v>841</v>
      </c>
      <c r="E193" t="s">
        <v>143</v>
      </c>
      <c r="F193" s="484">
        <v>981200</v>
      </c>
      <c r="G193" t="s">
        <v>926</v>
      </c>
    </row>
    <row r="194" spans="4:7" x14ac:dyDescent="0.25">
      <c r="D194" t="s">
        <v>842</v>
      </c>
      <c r="E194" t="s">
        <v>145</v>
      </c>
      <c r="F194" s="484">
        <v>981200</v>
      </c>
      <c r="G194" t="s">
        <v>926</v>
      </c>
    </row>
    <row r="195" spans="4:7" x14ac:dyDescent="0.25">
      <c r="D195" t="s">
        <v>843</v>
      </c>
      <c r="E195" t="s">
        <v>844</v>
      </c>
      <c r="F195" s="484">
        <v>981200</v>
      </c>
      <c r="G195" t="s">
        <v>926</v>
      </c>
    </row>
    <row r="196" spans="4:7" x14ac:dyDescent="0.25">
      <c r="D196" t="s">
        <v>845</v>
      </c>
      <c r="E196" t="s">
        <v>148</v>
      </c>
      <c r="F196" s="484">
        <v>981200</v>
      </c>
      <c r="G196" t="s">
        <v>926</v>
      </c>
    </row>
    <row r="197" spans="4:7" x14ac:dyDescent="0.25">
      <c r="D197" t="s">
        <v>846</v>
      </c>
      <c r="E197" t="s">
        <v>847</v>
      </c>
      <c r="F197" s="484">
        <v>981200</v>
      </c>
      <c r="G197" t="s">
        <v>926</v>
      </c>
    </row>
    <row r="198" spans="4:7" x14ac:dyDescent="0.25">
      <c r="D198" t="s">
        <v>848</v>
      </c>
      <c r="E198" t="s">
        <v>149</v>
      </c>
      <c r="F198" s="484">
        <v>981200</v>
      </c>
      <c r="G198" t="s">
        <v>926</v>
      </c>
    </row>
    <row r="199" spans="4:7" x14ac:dyDescent="0.25">
      <c r="D199" t="s">
        <v>849</v>
      </c>
      <c r="E199" t="s">
        <v>150</v>
      </c>
      <c r="F199" s="484">
        <v>981200</v>
      </c>
      <c r="G199" t="s">
        <v>926</v>
      </c>
    </row>
    <row r="200" spans="4:7" x14ac:dyDescent="0.25">
      <c r="D200" t="s">
        <v>850</v>
      </c>
      <c r="E200" t="s">
        <v>851</v>
      </c>
      <c r="F200" s="484">
        <v>981200</v>
      </c>
      <c r="G200" t="s">
        <v>926</v>
      </c>
    </row>
    <row r="201" spans="4:7" x14ac:dyDescent="0.25">
      <c r="D201" t="s">
        <v>852</v>
      </c>
      <c r="E201" t="s">
        <v>566</v>
      </c>
      <c r="F201" s="484">
        <v>981200</v>
      </c>
      <c r="G201" t="s">
        <v>926</v>
      </c>
    </row>
    <row r="202" spans="4:7" x14ac:dyDescent="0.25">
      <c r="D202" t="s">
        <v>853</v>
      </c>
      <c r="E202" t="s">
        <v>854</v>
      </c>
      <c r="F202" s="484">
        <v>981200</v>
      </c>
      <c r="G202" t="s">
        <v>926</v>
      </c>
    </row>
    <row r="203" spans="4:7" x14ac:dyDescent="0.25">
      <c r="D203" t="s">
        <v>855</v>
      </c>
      <c r="E203" t="s">
        <v>856</v>
      </c>
      <c r="F203" s="484">
        <v>981200</v>
      </c>
      <c r="G203" t="s">
        <v>926</v>
      </c>
    </row>
    <row r="204" spans="4:7" x14ac:dyDescent="0.25">
      <c r="D204" t="s">
        <v>857</v>
      </c>
      <c r="E204" t="s">
        <v>858</v>
      </c>
      <c r="F204" s="484">
        <v>981200</v>
      </c>
      <c r="G204" t="s">
        <v>926</v>
      </c>
    </row>
    <row r="205" spans="4:7" x14ac:dyDescent="0.25">
      <c r="D205" t="s">
        <v>859</v>
      </c>
      <c r="E205" t="s">
        <v>860</v>
      </c>
      <c r="F205" s="484">
        <v>981200</v>
      </c>
      <c r="G205" t="s">
        <v>926</v>
      </c>
    </row>
    <row r="206" spans="4:7" x14ac:dyDescent="0.25">
      <c r="D206" t="s">
        <v>861</v>
      </c>
      <c r="E206" t="s">
        <v>862</v>
      </c>
      <c r="F206" s="484">
        <v>981200</v>
      </c>
      <c r="G206" t="s">
        <v>926</v>
      </c>
    </row>
    <row r="207" spans="4:7" x14ac:dyDescent="0.25">
      <c r="D207" t="s">
        <v>863</v>
      </c>
      <c r="E207" t="s">
        <v>864</v>
      </c>
      <c r="F207" s="484">
        <v>981200</v>
      </c>
      <c r="G207" t="s">
        <v>926</v>
      </c>
    </row>
    <row r="208" spans="4:7" x14ac:dyDescent="0.25">
      <c r="D208" t="s">
        <v>865</v>
      </c>
      <c r="E208" t="s">
        <v>866</v>
      </c>
      <c r="F208" s="484">
        <v>981200</v>
      </c>
      <c r="G208" t="s">
        <v>926</v>
      </c>
    </row>
    <row r="209" spans="4:7" x14ac:dyDescent="0.25">
      <c r="D209" t="s">
        <v>867</v>
      </c>
      <c r="E209" t="s">
        <v>868</v>
      </c>
      <c r="F209" s="484">
        <v>981200</v>
      </c>
      <c r="G209" t="s">
        <v>926</v>
      </c>
    </row>
    <row r="210" spans="4:7" x14ac:dyDescent="0.25">
      <c r="D210" t="s">
        <v>869</v>
      </c>
      <c r="E210" t="s">
        <v>870</v>
      </c>
      <c r="F210" s="484">
        <v>981200</v>
      </c>
      <c r="G210" t="s">
        <v>926</v>
      </c>
    </row>
    <row r="211" spans="4:7" x14ac:dyDescent="0.25">
      <c r="D211" t="s">
        <v>871</v>
      </c>
      <c r="E211" t="s">
        <v>872</v>
      </c>
      <c r="F211" s="484">
        <v>981200</v>
      </c>
      <c r="G211" t="s">
        <v>926</v>
      </c>
    </row>
    <row r="212" spans="4:7" x14ac:dyDescent="0.25">
      <c r="D212" t="s">
        <v>873</v>
      </c>
      <c r="E212" t="s">
        <v>198</v>
      </c>
      <c r="F212" s="484">
        <v>981200</v>
      </c>
      <c r="G212" t="s">
        <v>926</v>
      </c>
    </row>
    <row r="213" spans="4:7" x14ac:dyDescent="0.25">
      <c r="D213" t="s">
        <v>874</v>
      </c>
      <c r="E213" t="s">
        <v>444</v>
      </c>
      <c r="F213" s="484">
        <v>981200</v>
      </c>
      <c r="G213" t="s">
        <v>926</v>
      </c>
    </row>
    <row r="214" spans="4:7" x14ac:dyDescent="0.25">
      <c r="D214" t="s">
        <v>875</v>
      </c>
      <c r="E214" t="s">
        <v>876</v>
      </c>
      <c r="F214" s="484">
        <v>981200</v>
      </c>
      <c r="G214" t="s">
        <v>926</v>
      </c>
    </row>
    <row r="215" spans="4:7" x14ac:dyDescent="0.25">
      <c r="D215" t="s">
        <v>877</v>
      </c>
      <c r="E215" t="s">
        <v>878</v>
      </c>
      <c r="F215" s="484">
        <v>981200</v>
      </c>
      <c r="G215" t="s">
        <v>926</v>
      </c>
    </row>
    <row r="216" spans="4:7" x14ac:dyDescent="0.25">
      <c r="D216" t="s">
        <v>879</v>
      </c>
      <c r="E216" t="s">
        <v>709</v>
      </c>
      <c r="F216" s="484">
        <v>981200</v>
      </c>
      <c r="G216" t="s">
        <v>926</v>
      </c>
    </row>
    <row r="217" spans="4:7" x14ac:dyDescent="0.25">
      <c r="D217" t="s">
        <v>880</v>
      </c>
      <c r="E217" t="s">
        <v>503</v>
      </c>
      <c r="F217" s="484">
        <v>981200</v>
      </c>
      <c r="G217" t="s">
        <v>926</v>
      </c>
    </row>
    <row r="218" spans="4:7" x14ac:dyDescent="0.25">
      <c r="D218" t="s">
        <v>881</v>
      </c>
      <c r="E218" t="s">
        <v>205</v>
      </c>
      <c r="F218" s="484">
        <v>981200</v>
      </c>
      <c r="G218" t="s">
        <v>926</v>
      </c>
    </row>
    <row r="219" spans="4:7" x14ac:dyDescent="0.25">
      <c r="D219" t="s">
        <v>882</v>
      </c>
      <c r="E219" t="s">
        <v>569</v>
      </c>
      <c r="F219" s="484">
        <v>981200</v>
      </c>
      <c r="G219" t="s">
        <v>926</v>
      </c>
    </row>
    <row r="220" spans="4:7" x14ac:dyDescent="0.25">
      <c r="D220" t="s">
        <v>883</v>
      </c>
      <c r="E220" t="s">
        <v>171</v>
      </c>
      <c r="F220" s="484">
        <v>981200</v>
      </c>
      <c r="G220" t="s">
        <v>926</v>
      </c>
    </row>
    <row r="221" spans="4:7" x14ac:dyDescent="0.25">
      <c r="D221" t="s">
        <v>884</v>
      </c>
      <c r="E221" t="s">
        <v>641</v>
      </c>
      <c r="F221" s="484">
        <v>981200</v>
      </c>
      <c r="G221" t="s">
        <v>926</v>
      </c>
    </row>
    <row r="222" spans="4:7" x14ac:dyDescent="0.25">
      <c r="D222" t="s">
        <v>885</v>
      </c>
      <c r="E222" t="s">
        <v>886</v>
      </c>
      <c r="F222" s="484">
        <v>981200</v>
      </c>
      <c r="G222" t="s">
        <v>926</v>
      </c>
    </row>
    <row r="223" spans="4:7" x14ac:dyDescent="0.25">
      <c r="D223" t="s">
        <v>887</v>
      </c>
      <c r="E223" t="s">
        <v>888</v>
      </c>
      <c r="F223" s="484">
        <v>981200</v>
      </c>
      <c r="G223" t="s">
        <v>926</v>
      </c>
    </row>
    <row r="224" spans="4:7" x14ac:dyDescent="0.25">
      <c r="D224" t="s">
        <v>889</v>
      </c>
      <c r="E224" t="s">
        <v>890</v>
      </c>
      <c r="F224" s="484">
        <v>981200</v>
      </c>
      <c r="G224" t="s">
        <v>926</v>
      </c>
    </row>
    <row r="225" spans="4:7" x14ac:dyDescent="0.25">
      <c r="D225" t="s">
        <v>891</v>
      </c>
      <c r="E225" t="s">
        <v>892</v>
      </c>
      <c r="F225" s="484">
        <v>981200</v>
      </c>
      <c r="G225" t="s">
        <v>926</v>
      </c>
    </row>
    <row r="226" spans="4:7" x14ac:dyDescent="0.25">
      <c r="D226" t="s">
        <v>893</v>
      </c>
      <c r="E226" t="s">
        <v>583</v>
      </c>
      <c r="F226" s="484">
        <v>981200</v>
      </c>
      <c r="G226" t="s">
        <v>926</v>
      </c>
    </row>
    <row r="227" spans="4:7" x14ac:dyDescent="0.25">
      <c r="D227" t="s">
        <v>894</v>
      </c>
      <c r="E227" t="s">
        <v>39</v>
      </c>
      <c r="F227" s="484">
        <v>982500</v>
      </c>
      <c r="G227" t="s">
        <v>927</v>
      </c>
    </row>
    <row r="228" spans="4:7" x14ac:dyDescent="0.25">
      <c r="D228" t="s">
        <v>895</v>
      </c>
      <c r="E228" t="s">
        <v>522</v>
      </c>
      <c r="F228" s="484">
        <v>982500</v>
      </c>
      <c r="G228" t="s">
        <v>927</v>
      </c>
    </row>
    <row r="229" spans="4:7" x14ac:dyDescent="0.25">
      <c r="D229" t="s">
        <v>896</v>
      </c>
      <c r="E229" t="s">
        <v>573</v>
      </c>
      <c r="F229" s="484">
        <v>982500</v>
      </c>
      <c r="G229" t="s">
        <v>927</v>
      </c>
    </row>
    <row r="230" spans="4:7" x14ac:dyDescent="0.25">
      <c r="D230" t="s">
        <v>897</v>
      </c>
      <c r="E230" t="s">
        <v>898</v>
      </c>
      <c r="F230" s="484">
        <v>982500</v>
      </c>
      <c r="G230" t="s">
        <v>927</v>
      </c>
    </row>
    <row r="231" spans="4:7" x14ac:dyDescent="0.25">
      <c r="D231" t="s">
        <v>899</v>
      </c>
      <c r="E231" t="s">
        <v>900</v>
      </c>
      <c r="F231" s="484">
        <v>982500</v>
      </c>
      <c r="G231" t="s">
        <v>927</v>
      </c>
    </row>
    <row r="232" spans="4:7" x14ac:dyDescent="0.25">
      <c r="D232" t="s">
        <v>901</v>
      </c>
      <c r="E232" t="s">
        <v>554</v>
      </c>
      <c r="F232" s="484">
        <v>982500</v>
      </c>
      <c r="G232" t="s">
        <v>927</v>
      </c>
    </row>
    <row r="233" spans="4:7" x14ac:dyDescent="0.25">
      <c r="D233" t="s">
        <v>902</v>
      </c>
      <c r="E233" t="s">
        <v>379</v>
      </c>
      <c r="F233" s="484">
        <v>982500</v>
      </c>
      <c r="G233" t="s">
        <v>927</v>
      </c>
    </row>
    <row r="234" spans="4:7" x14ac:dyDescent="0.25">
      <c r="D234" t="s">
        <v>903</v>
      </c>
      <c r="E234" t="s">
        <v>904</v>
      </c>
      <c r="F234" s="484">
        <v>982500</v>
      </c>
      <c r="G234" t="s">
        <v>927</v>
      </c>
    </row>
    <row r="235" spans="4:7" x14ac:dyDescent="0.25">
      <c r="D235" t="s">
        <v>905</v>
      </c>
      <c r="E235" t="s">
        <v>906</v>
      </c>
      <c r="F235" s="484">
        <v>982500</v>
      </c>
      <c r="G235" t="s">
        <v>927</v>
      </c>
    </row>
    <row r="236" spans="4:7" x14ac:dyDescent="0.25">
      <c r="D236" t="s">
        <v>907</v>
      </c>
      <c r="E236" t="s">
        <v>908</v>
      </c>
      <c r="F236" s="484">
        <v>982500</v>
      </c>
      <c r="G236" t="s">
        <v>927</v>
      </c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AA2DF-15AC-40D4-BCC2-A24D4E076709}">
  <sheetPr codeName="Sheet83">
    <tabColor theme="1" tint="0.34998626667073579"/>
  </sheetPr>
  <dimension ref="C1:C19"/>
  <sheetViews>
    <sheetView showGridLines="0" topLeftCell="B1" workbookViewId="0">
      <selection activeCell="D5" sqref="D5:E5"/>
    </sheetView>
  </sheetViews>
  <sheetFormatPr defaultColWidth="9.140625" defaultRowHeight="12.75" x14ac:dyDescent="0.2"/>
  <cols>
    <col min="1" max="2" width="29.7109375" style="428" customWidth="1"/>
    <col min="3" max="3" width="124.28515625" style="428" customWidth="1"/>
    <col min="4" max="5" width="29.7109375" style="428" customWidth="1"/>
    <col min="6" max="16384" width="9.140625" style="428"/>
  </cols>
  <sheetData>
    <row r="1" spans="3:3" ht="73.5" customHeight="1" x14ac:dyDescent="0.2"/>
    <row r="5" spans="3:3" ht="18" customHeight="1" thickBot="1" x14ac:dyDescent="0.25">
      <c r="C5" s="429" t="s">
        <v>412</v>
      </c>
    </row>
    <row r="6" spans="3:3" ht="50.25" customHeight="1" thickBot="1" x14ac:dyDescent="0.25">
      <c r="C6" s="430" t="s">
        <v>398</v>
      </c>
    </row>
    <row r="8" spans="3:3" ht="13.5" thickBot="1" x14ac:dyDescent="0.25"/>
    <row r="9" spans="3:3" s="432" customFormat="1" ht="27.75" customHeight="1" thickBot="1" x14ac:dyDescent="0.3">
      <c r="C9" s="431" t="s">
        <v>399</v>
      </c>
    </row>
    <row r="10" spans="3:3" ht="13.5" thickBot="1" x14ac:dyDescent="0.25"/>
    <row r="11" spans="3:3" ht="15.75" thickBot="1" x14ac:dyDescent="0.25">
      <c r="C11" s="433" t="s">
        <v>400</v>
      </c>
    </row>
    <row r="12" spans="3:3" ht="6" customHeight="1" x14ac:dyDescent="0.2">
      <c r="C12" s="434"/>
    </row>
    <row r="13" spans="3:3" ht="18.75" customHeight="1" x14ac:dyDescent="0.25">
      <c r="C13" s="435" t="s">
        <v>401</v>
      </c>
    </row>
    <row r="14" spans="3:3" ht="18.75" customHeight="1" x14ac:dyDescent="0.25">
      <c r="C14" s="435" t="s">
        <v>402</v>
      </c>
    </row>
    <row r="15" spans="3:3" ht="18.75" customHeight="1" x14ac:dyDescent="0.25">
      <c r="C15" s="435" t="s">
        <v>403</v>
      </c>
    </row>
    <row r="16" spans="3:3" ht="18.75" customHeight="1" x14ac:dyDescent="0.25">
      <c r="C16" s="435" t="s">
        <v>404</v>
      </c>
    </row>
    <row r="17" spans="3:3" ht="18.75" customHeight="1" x14ac:dyDescent="0.25">
      <c r="C17" s="435" t="s">
        <v>405</v>
      </c>
    </row>
    <row r="18" spans="3:3" ht="18.75" customHeight="1" x14ac:dyDescent="0.25">
      <c r="C18" s="435" t="s">
        <v>406</v>
      </c>
    </row>
    <row r="19" spans="3:3" ht="13.5" thickBot="1" x14ac:dyDescent="0.25">
      <c r="C19" s="436"/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scale="65" orientation="portrait" r:id="rId1"/>
  <headerFooter>
    <oddHeader>&amp;R&amp;G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sTag xmlns="http://estimations/data_smart/tags">GeneralRequirementsAndConditions</dsTag>
</file>

<file path=customXml/itemProps1.xml><?xml version="1.0" encoding="utf-8"?>
<ds:datastoreItem xmlns:ds="http://schemas.openxmlformats.org/officeDocument/2006/customXml" ds:itemID="{436354B1-8112-43CF-8EA9-C5D0B5D0AFC1}">
  <ds:schemaRefs>
    <ds:schemaRef ds:uri="http://estimations/data_smart/tag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308</vt:i4>
      </vt:variant>
    </vt:vector>
  </HeadingPairs>
  <TitlesOfParts>
    <vt:vector size="317" baseType="lpstr">
      <vt:lpstr>Settings</vt:lpstr>
      <vt:lpstr>Staff Detail</vt:lpstr>
      <vt:lpstr>Labor Gantt</vt:lpstr>
      <vt:lpstr>Non-Staff Labor</vt:lpstr>
      <vt:lpstr>Rate Tables</vt:lpstr>
      <vt:lpstr>GCs Detail</vt:lpstr>
      <vt:lpstr>GRs Detail</vt:lpstr>
      <vt:lpstr>GCs Owner</vt:lpstr>
      <vt:lpstr>GRs Owner</vt:lpstr>
      <vt:lpstr>'GCs Detail'!\\\temp</vt:lpstr>
      <vt:lpstr>'Labor Gantt'!\addPhase</vt:lpstr>
      <vt:lpstr>'GCs Detail'!\area</vt:lpstr>
      <vt:lpstr>'GRs Detail'!\area</vt:lpstr>
      <vt:lpstr>Settings!\area</vt:lpstr>
      <vt:lpstr>Code!\ass</vt:lpstr>
      <vt:lpstr>Code!\auto</vt:lpstr>
      <vt:lpstr>'Staff Detail'!\auto</vt:lpstr>
      <vt:lpstr>'GCs Owner'!\body</vt:lpstr>
      <vt:lpstr>'GRs Owner'!\body</vt:lpstr>
      <vt:lpstr>'GCs Detail'!\c_admin</vt:lpstr>
      <vt:lpstr>'GRs Detail'!\c_admin</vt:lpstr>
      <vt:lpstr>'GCs Detail'!\c_adminEND</vt:lpstr>
      <vt:lpstr>'GCs Owner'!\c_adminEND</vt:lpstr>
      <vt:lpstr>'GRs Detail'!\c_adminEND</vt:lpstr>
      <vt:lpstr>'GRs Owner'!\c_adminEND</vt:lpstr>
      <vt:lpstr>'GCs Detail'!\c_carry</vt:lpstr>
      <vt:lpstr>'GRs Detail'!\c_carry</vt:lpstr>
      <vt:lpstr>'GCs Detail'!\c_context</vt:lpstr>
      <vt:lpstr>'GRs Detail'!\c_context</vt:lpstr>
      <vt:lpstr>'GCs Detail'!\c_desc</vt:lpstr>
      <vt:lpstr>'GCs Owner'!\c_desc</vt:lpstr>
      <vt:lpstr>'GRs Detail'!\c_desc</vt:lpstr>
      <vt:lpstr>'GRs Owner'!\c_desc</vt:lpstr>
      <vt:lpstr>'Labor Gantt'!\c_desc</vt:lpstr>
      <vt:lpstr>'Staff Detail'!\c_durEND</vt:lpstr>
      <vt:lpstr>'Staff Detail'!\c_durSTART</vt:lpstr>
      <vt:lpstr>'Non-Staff Labor'!\c_editStart</vt:lpstr>
      <vt:lpstr>'Labor Gantt'!\c_endcol</vt:lpstr>
      <vt:lpstr>'Labor Gantt'!\c_gdur</vt:lpstr>
      <vt:lpstr>'GCs Detail'!\c_group</vt:lpstr>
      <vt:lpstr>'GRs Detail'!\c_group</vt:lpstr>
      <vt:lpstr>'Labor Gantt'!\c_gstart</vt:lpstr>
      <vt:lpstr>'Labor Gantt'!\c_gtemp</vt:lpstr>
      <vt:lpstr>'Staff Detail'!\c_jobDur</vt:lpstr>
      <vt:lpstr>'Staff Detail'!\c_jobStart</vt:lpstr>
      <vt:lpstr>'Non-Staff Labor'!\c_merge</vt:lpstr>
      <vt:lpstr>'Staff Detail'!\c_monthDETAIL</vt:lpstr>
      <vt:lpstr>'GCs Owner'!\c_name</vt:lpstr>
      <vt:lpstr>'Staff Detail'!\c_negStart</vt:lpstr>
      <vt:lpstr>'Staff Detail'!\c_negTemp</vt:lpstr>
      <vt:lpstr>'Staff Detail'!\c_order</vt:lpstr>
      <vt:lpstr>'Staff Detail'!\c_perTIME</vt:lpstr>
      <vt:lpstr>'Staff Detail'!\c_posEnd</vt:lpstr>
      <vt:lpstr>'Staff Detail'!\c_Position</vt:lpstr>
      <vt:lpstr>'Staff Detail'!\c_posName</vt:lpstr>
      <vt:lpstr>'Staff Detail'!\c_posStart</vt:lpstr>
      <vt:lpstr>'Staff Detail'!\c_posTemp</vt:lpstr>
      <vt:lpstr>'Non-Staff Labor'!\c_print</vt:lpstr>
      <vt:lpstr>'GCs Detail'!\c_qt</vt:lpstr>
      <vt:lpstr>'GRs Detail'!\c_qt</vt:lpstr>
      <vt:lpstr>'Staff Detail'!\c_rateDETAIL</vt:lpstr>
      <vt:lpstr>'Staff Detail'!\c_rateEnd</vt:lpstr>
      <vt:lpstr>'GCs Detail'!\c_region</vt:lpstr>
      <vt:lpstr>'GRs Detail'!\c_region</vt:lpstr>
      <vt:lpstr>'GCs Detail'!\c_report</vt:lpstr>
      <vt:lpstr>'GRs Detail'!\c_report</vt:lpstr>
      <vt:lpstr>'Non-Staff Labor'!\c_schedEnd</vt:lpstr>
      <vt:lpstr>'Non-Staff Labor'!\c_schedStart</vt:lpstr>
      <vt:lpstr>'Non-Staff Labor'!\c_SchedTemp</vt:lpstr>
      <vt:lpstr>'GCs Detail'!\c_sector</vt:lpstr>
      <vt:lpstr>'GRs Detail'!\c_sector</vt:lpstr>
      <vt:lpstr>'GCs Detail'!\c_settings</vt:lpstr>
      <vt:lpstr>'GCs Owner'!\c_settings</vt:lpstr>
      <vt:lpstr>'GRs Detail'!\c_settings</vt:lpstr>
      <vt:lpstr>'GRs Owner'!\c_settings</vt:lpstr>
      <vt:lpstr>'Labor Gantt'!\c_startdate</vt:lpstr>
      <vt:lpstr>'Labor Gantt'!\c_t0</vt:lpstr>
      <vt:lpstr>'GCs Owner'!\c_total</vt:lpstr>
      <vt:lpstr>'GRs Owner'!\c_total</vt:lpstr>
      <vt:lpstr>'GCs Detail'!\c_val</vt:lpstr>
      <vt:lpstr>'GRs Detail'!\c_val</vt:lpstr>
      <vt:lpstr>'Rate Tables'!\carpenter</vt:lpstr>
      <vt:lpstr>'Rate Tables'!\carpenterforeman</vt:lpstr>
      <vt:lpstr>'Rate Tables'!\carpentersteward</vt:lpstr>
      <vt:lpstr>'GCs Detail'!\carryFORMAT</vt:lpstr>
      <vt:lpstr>'GRs Detail'!\carryFORMAT</vt:lpstr>
      <vt:lpstr>Settings!\cend</vt:lpstr>
      <vt:lpstr>'Staff Detail'!\cend</vt:lpstr>
      <vt:lpstr>'Staff Detail'!\chartRan</vt:lpstr>
      <vt:lpstr>'Labor Gantt'!\colSTART</vt:lpstr>
      <vt:lpstr>\conlabor</vt:lpstr>
      <vt:lpstr>Settings!\conLIT</vt:lpstr>
      <vt:lpstr>'Staff Detail'!\conLIT</vt:lpstr>
      <vt:lpstr>Settings!\conRaise</vt:lpstr>
      <vt:lpstr>'Staff Detail'!\conRaise</vt:lpstr>
      <vt:lpstr>Settings!\contotal</vt:lpstr>
      <vt:lpstr>Settings!\cstart</vt:lpstr>
      <vt:lpstr>'Staff Detail'!\cstart</vt:lpstr>
      <vt:lpstr>Settings!\date</vt:lpstr>
      <vt:lpstr>'Staff Detail'!\date</vt:lpstr>
      <vt:lpstr>'GCs Detail'!\defaultFORMAT</vt:lpstr>
      <vt:lpstr>'GRs Detail'!\defaultFORMAT</vt:lpstr>
      <vt:lpstr>'GCs Owner'!\doc</vt:lpstr>
      <vt:lpstr>'GRs Owner'!\doc</vt:lpstr>
      <vt:lpstr>'GCs Detail'!\duration</vt:lpstr>
      <vt:lpstr>'GRs Detail'!\duration</vt:lpstr>
      <vt:lpstr>Settings!\duration</vt:lpstr>
      <vt:lpstr>'Staff Detail'!\duration</vt:lpstr>
      <vt:lpstr>Errors!\errors</vt:lpstr>
      <vt:lpstr>'Rate Tables'!\firewatch</vt:lpstr>
      <vt:lpstr>'GCs Owner'!\foot</vt:lpstr>
      <vt:lpstr>'GRs Owner'!\foot</vt:lpstr>
      <vt:lpstr>Settings!\gas</vt:lpstr>
      <vt:lpstr>'Staff Detail'!\gas</vt:lpstr>
      <vt:lpstr>Settings!\gcontotal</vt:lpstr>
      <vt:lpstr>\gctotal</vt:lpstr>
      <vt:lpstr>Settings!\greqtotal</vt:lpstr>
      <vt:lpstr>\grtotal</vt:lpstr>
      <vt:lpstr>'GCs Detail'!\h_trailers</vt:lpstr>
      <vt:lpstr>'GRs Detail'!\h_trailers</vt:lpstr>
      <vt:lpstr>\h_trailers</vt:lpstr>
      <vt:lpstr>'GCs Owner'!\head</vt:lpstr>
      <vt:lpstr>'GRs Owner'!\head</vt:lpstr>
      <vt:lpstr>Code!\headertable</vt:lpstr>
      <vt:lpstr>'GCs Detail'!\info</vt:lpstr>
      <vt:lpstr>'GRs Detail'!\info</vt:lpstr>
      <vt:lpstr>'Staff Detail'!\info</vt:lpstr>
      <vt:lpstr>Settings!\iphone</vt:lpstr>
      <vt:lpstr>'Staff Detail'!\iphone</vt:lpstr>
      <vt:lpstr>Settings!\IT</vt:lpstr>
      <vt:lpstr>'Staff Detail'!\IT</vt:lpstr>
      <vt:lpstr>'Staff Detail'!\jdEnd</vt:lpstr>
      <vt:lpstr>'Staff Detail'!\jobEnd</vt:lpstr>
      <vt:lpstr>'Rate Tables'!\laborer</vt:lpstr>
      <vt:lpstr>'Rate Tables'!\laborforeman</vt:lpstr>
      <vt:lpstr>'Rate Tables'!\laborsteward</vt:lpstr>
      <vt:lpstr>'Labor Gantt'!\lag</vt:lpstr>
      <vt:lpstr>'GCs Detail'!\loc</vt:lpstr>
      <vt:lpstr>'GRs Detail'!\loc</vt:lpstr>
      <vt:lpstr>Settings!\loc</vt:lpstr>
      <vt:lpstr>'Staff Detail'!\loc</vt:lpstr>
      <vt:lpstr>Code!\mark</vt:lpstr>
      <vt:lpstr>'Staff Detail'!\negMax</vt:lpstr>
      <vt:lpstr>'Staff Detail'!\negMin</vt:lpstr>
      <vt:lpstr>Settings!\ops</vt:lpstr>
      <vt:lpstr>Code!\order</vt:lpstr>
      <vt:lpstr>Settings!\pcost</vt:lpstr>
      <vt:lpstr>Settings!\pdur</vt:lpstr>
      <vt:lpstr>'Staff Detail'!\pdur</vt:lpstr>
      <vt:lpstr>Settings!\pend</vt:lpstr>
      <vt:lpstr>'Staff Detail'!\pend</vt:lpstr>
      <vt:lpstr>'Staff Detail'!\perEND</vt:lpstr>
      <vt:lpstr>'Rate Tables'!\police</vt:lpstr>
      <vt:lpstr>Code!\position</vt:lpstr>
      <vt:lpstr>'Labor Gantt'!\pred</vt:lpstr>
      <vt:lpstr>\prelabor</vt:lpstr>
      <vt:lpstr>Settings!\preLIT</vt:lpstr>
      <vt:lpstr>'Staff Detail'!\preLIT</vt:lpstr>
      <vt:lpstr>Settings!\preRaise</vt:lpstr>
      <vt:lpstr>'Staff Detail'!\preRaise</vt:lpstr>
      <vt:lpstr>Settings!\pretotal</vt:lpstr>
      <vt:lpstr>'GCs Detail'!\proj</vt:lpstr>
      <vt:lpstr>'GCs Owner'!\proj</vt:lpstr>
      <vt:lpstr>'GRs Detail'!\proj</vt:lpstr>
      <vt:lpstr>'GRs Owner'!\proj</vt:lpstr>
      <vt:lpstr>Settings!\proj</vt:lpstr>
      <vt:lpstr>'Staff Detail'!\proj</vt:lpstr>
      <vt:lpstr>Settings!\pstart</vt:lpstr>
      <vt:lpstr>'Staff Detail'!\pstart</vt:lpstr>
      <vt:lpstr>Settings!\pwdur</vt:lpstr>
      <vt:lpstr>'Staff Detail'!\pwdur</vt:lpstr>
      <vt:lpstr>'Labor Gantt'!\r_addphase</vt:lpstr>
      <vt:lpstr>'GCs Detail'!\r_admin</vt:lpstr>
      <vt:lpstr>'GRs Detail'!\r_admin</vt:lpstr>
      <vt:lpstr>'GCs Detail'!\r_adminEND</vt:lpstr>
      <vt:lpstr>'GCs Owner'!\r_adminEND</vt:lpstr>
      <vt:lpstr>'GRs Detail'!\r_adminEND</vt:lpstr>
      <vt:lpstr>'GRs Owner'!\r_adminEND</vt:lpstr>
      <vt:lpstr>'Staff Detail'!\r_almostEnd</vt:lpstr>
      <vt:lpstr>'GCs Owner'!\r_bin</vt:lpstr>
      <vt:lpstr>'GRs Owner'!\r_bin</vt:lpstr>
      <vt:lpstr>'GCs Owner'!\r_blank</vt:lpstr>
      <vt:lpstr>'GRs Owner'!\r_blank</vt:lpstr>
      <vt:lpstr>'Staff Detail'!\r_constr</vt:lpstr>
      <vt:lpstr>'Labor Gantt'!\r_dates</vt:lpstr>
      <vt:lpstr>'GCs Owner'!\r_defaultEnd</vt:lpstr>
      <vt:lpstr>'GRs Owner'!\r_defaultEnd</vt:lpstr>
      <vt:lpstr>'GCs Owner'!\r_defaultStart</vt:lpstr>
      <vt:lpstr>'GRs Owner'!\r_defaultStart</vt:lpstr>
      <vt:lpstr>'GCs Owner'!\r_dend</vt:lpstr>
      <vt:lpstr>'GRs Owner'!\r_dend</vt:lpstr>
      <vt:lpstr>'GCs Owner'!\r_dstart</vt:lpstr>
      <vt:lpstr>'GRs Owner'!\r_dstart</vt:lpstr>
      <vt:lpstr>'GCs Detail'!\r_end</vt:lpstr>
      <vt:lpstr>'GRs Detail'!\r_end</vt:lpstr>
      <vt:lpstr>'Staff Detail'!\r_end</vt:lpstr>
      <vt:lpstr>'Labor Gantt'!\r_gbottom</vt:lpstr>
      <vt:lpstr>'Non-Staff Labor'!\r_header</vt:lpstr>
      <vt:lpstr>'GCs Owner'!\r_heading</vt:lpstr>
      <vt:lpstr>'GRs Owner'!\r_heading</vt:lpstr>
      <vt:lpstr>'GRs Detail'!\r_insertSched</vt:lpstr>
      <vt:lpstr>'GCs Owner'!\r_lineitem</vt:lpstr>
      <vt:lpstr>'GRs Owner'!\r_lineitem</vt:lpstr>
      <vt:lpstr>'Labor Gantt'!\r_lineitem</vt:lpstr>
      <vt:lpstr>'Staff Detail'!\r_phase</vt:lpstr>
      <vt:lpstr>'GCs Owner'!\r_phaseitem</vt:lpstr>
      <vt:lpstr>'Labor Gantt'!\r_phaseitem</vt:lpstr>
      <vt:lpstr>'Labor Gantt'!\r_phasephase</vt:lpstr>
      <vt:lpstr>'Staff Detail'!\r_precon</vt:lpstr>
      <vt:lpstr>'GRs Detail'!\r_schedItem</vt:lpstr>
      <vt:lpstr>'GRs Detail'!\r_schedStart</vt:lpstr>
      <vt:lpstr>'Non-Staff Labor'!\r_SchedTemp</vt:lpstr>
      <vt:lpstr>'GCs Detail'!\r_settings</vt:lpstr>
      <vt:lpstr>'GCs Owner'!\r_settings</vt:lpstr>
      <vt:lpstr>'GRs Detail'!\r_settings</vt:lpstr>
      <vt:lpstr>'GRs Owner'!\r_settings</vt:lpstr>
      <vt:lpstr>'Staff Detail'!\r_settings</vt:lpstr>
      <vt:lpstr>'GCs Detail'!\r_start</vt:lpstr>
      <vt:lpstr>'GRs Detail'!\r_start</vt:lpstr>
      <vt:lpstr>'Non-Staff Labor'!\r_start</vt:lpstr>
      <vt:lpstr>'Staff Detail'!\r_start</vt:lpstr>
      <vt:lpstr>'Staff Detail'!\r_tempCON</vt:lpstr>
      <vt:lpstr>'Staff Detail'!\r_tempEST</vt:lpstr>
      <vt:lpstr>'Staff Detail'!\r_tempPhase</vt:lpstr>
      <vt:lpstr>'Staff Detail'!\r_tempPRECON</vt:lpstr>
      <vt:lpstr>'GCs Detail'!\r_temptrailer</vt:lpstr>
      <vt:lpstr>'GCs Detail'!\r_trailer</vt:lpstr>
      <vt:lpstr>'GCs Detail'!\r_trailerSTART</vt:lpstr>
      <vt:lpstr>'Labor Gantt'!\r_wheader</vt:lpstr>
      <vt:lpstr>'GCs Owner'!\r_xfer</vt:lpstr>
      <vt:lpstr>'GRs Owner'!\r_xfer</vt:lpstr>
      <vt:lpstr>Code!\rank</vt:lpstr>
      <vt:lpstr>'GCs Detail'!\reg</vt:lpstr>
      <vt:lpstr>'GRs Detail'!\reg</vt:lpstr>
      <vt:lpstr>Settings!\reg</vt:lpstr>
      <vt:lpstr>Code!\safety</vt:lpstr>
      <vt:lpstr>Code!\safetyTABLE</vt:lpstr>
      <vt:lpstr>Code!\salary</vt:lpstr>
      <vt:lpstr>'Staff Detail'!\salary</vt:lpstr>
      <vt:lpstr>'GCs Detail'!\sec</vt:lpstr>
      <vt:lpstr>'GRs Detail'!\sec</vt:lpstr>
      <vt:lpstr>Settings!\sec</vt:lpstr>
      <vt:lpstr>'GCs Detail'!\shapeSTORE</vt:lpstr>
      <vt:lpstr>'GCs Owner'!\shapeSTORE</vt:lpstr>
      <vt:lpstr>'GRs Detail'!\shapeSTORE</vt:lpstr>
      <vt:lpstr>'GRs Owner'!\shapeSTORE</vt:lpstr>
      <vt:lpstr>Code!\srsafety</vt:lpstr>
      <vt:lpstr>\staffTABLE</vt:lpstr>
      <vt:lpstr>'GCs Detail'!\sync</vt:lpstr>
      <vt:lpstr>'GRs Detail'!\sync</vt:lpstr>
      <vt:lpstr>'Rate Tables'!\t_carpenter</vt:lpstr>
      <vt:lpstr>'Rate Tables'!\t_carpenterforeman</vt:lpstr>
      <vt:lpstr>'Rate Tables'!\t_carpentersteward</vt:lpstr>
      <vt:lpstr>'GCs Detail'!\t_commBIM</vt:lpstr>
      <vt:lpstr>'GRs Detail'!\t_commBIM</vt:lpstr>
      <vt:lpstr>\t_commBIM</vt:lpstr>
      <vt:lpstr>'GCs Detail'!\t_copiers</vt:lpstr>
      <vt:lpstr>'GRs Detail'!\t_copiers</vt:lpstr>
      <vt:lpstr>\t_copiers</vt:lpstr>
      <vt:lpstr>'Rate Tables'!\t_firewatch</vt:lpstr>
      <vt:lpstr>'GCs Detail'!\t_instBIM</vt:lpstr>
      <vt:lpstr>'GRs Detail'!\t_instBIM</vt:lpstr>
      <vt:lpstr>\t_instBIM</vt:lpstr>
      <vt:lpstr>'GCs Detail'!\t_internalConsult</vt:lpstr>
      <vt:lpstr>'GRs Detail'!\t_internalConsult</vt:lpstr>
      <vt:lpstr>\t_internalConsult</vt:lpstr>
      <vt:lpstr>'GCs Detail'!\t_internet</vt:lpstr>
      <vt:lpstr>'GRs Detail'!\t_internet</vt:lpstr>
      <vt:lpstr>\t_internet</vt:lpstr>
      <vt:lpstr>'Rate Tables'!\t_laborer</vt:lpstr>
      <vt:lpstr>'Rate Tables'!\t_laborforeman</vt:lpstr>
      <vt:lpstr>'Rate Tables'!\t_laborsteward</vt:lpstr>
      <vt:lpstr>'Rate Tables'!\t_police</vt:lpstr>
      <vt:lpstr>Code!\t_schedule</vt:lpstr>
      <vt:lpstr>'GCs Detail'!\t_touchplan</vt:lpstr>
      <vt:lpstr>'GRs Detail'!\t_touchplan</vt:lpstr>
      <vt:lpstr>\t_touchplan</vt:lpstr>
      <vt:lpstr>'GCs Detail'!\t_trailer</vt:lpstr>
      <vt:lpstr>'GRs Detail'!\t_trailer</vt:lpstr>
      <vt:lpstr>\t_trailer</vt:lpstr>
      <vt:lpstr>'GCs Detail'!\table_VACA</vt:lpstr>
      <vt:lpstr>'GRs Detail'!\table_VACA</vt:lpstr>
      <vt:lpstr>\table_VACA</vt:lpstr>
      <vt:lpstr>Settings!\task</vt:lpstr>
      <vt:lpstr>\tempRAN</vt:lpstr>
      <vt:lpstr>Code!\tokens</vt:lpstr>
      <vt:lpstr>\trailerTABLE</vt:lpstr>
      <vt:lpstr>'GCs Detail'!\unit</vt:lpstr>
      <vt:lpstr>'GRs Detail'!\unit</vt:lpstr>
      <vt:lpstr>Settings!\unit</vt:lpstr>
      <vt:lpstr>Settings!\vaca</vt:lpstr>
      <vt:lpstr>'GCs Detail'!\VACAhrs</vt:lpstr>
      <vt:lpstr>'GRs Detail'!\VACAhrs</vt:lpstr>
      <vt:lpstr>\VACAhrs</vt:lpstr>
      <vt:lpstr>Code!\wbName</vt:lpstr>
      <vt:lpstr>'GCs Detail'!\wdur</vt:lpstr>
      <vt:lpstr>'GRs Detail'!\wdur</vt:lpstr>
      <vt:lpstr>Settings!\wdur</vt:lpstr>
      <vt:lpstr>'Staff Detail'!\wdur</vt:lpstr>
      <vt:lpstr>Code!\workregion</vt:lpstr>
      <vt:lpstr>'GCs Owner'!\xfer</vt:lpstr>
      <vt:lpstr>'GRs Owner'!\xfer</vt:lpstr>
      <vt:lpstr>formHEADER</vt:lpstr>
      <vt:lpstr>splash!Print_Titles</vt:lpstr>
      <vt:lpstr>'GCs Detail'!regions</vt:lpstr>
      <vt:lpstr>'GRs Detail'!regions</vt:lpstr>
      <vt:lpstr>regions</vt:lpstr>
      <vt:lpstr>'GCs Detail'!sectors</vt:lpstr>
      <vt:lpstr>'GRs Detail'!sectors</vt:lpstr>
      <vt:lpstr>sectors</vt:lpstr>
      <vt:lpstr>'GCs Detail'!staff</vt:lpstr>
      <vt:lpstr>'GRs Detail'!staff</vt:lpstr>
      <vt:lpstr>staff</vt:lpstr>
      <vt:lpstr>'GCs Detail'!staffcounter</vt:lpstr>
      <vt:lpstr>'GRs Detail'!staffcounter</vt:lpstr>
      <vt:lpstr>staffcounter</vt:lpstr>
      <vt:lpstr>testg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Navarro, Michael</dc:creator>
  <cp:lastModifiedBy>Ajoku, Colby</cp:lastModifiedBy>
  <cp:lastPrinted>2018-02-26T14:43:15Z</cp:lastPrinted>
  <dcterms:created xsi:type="dcterms:W3CDTF">2017-10-30T12:43:20Z</dcterms:created>
  <dcterms:modified xsi:type="dcterms:W3CDTF">2018-08-13T20:32:25Z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