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4760" tabRatio="764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2" l="1"/>
  <c r="D20" i="12"/>
  <c r="D19" i="12"/>
  <c r="D18" i="12"/>
  <c r="D15" i="12"/>
  <c r="D14" i="12"/>
  <c r="D13" i="12"/>
  <c r="C14" i="12"/>
  <c r="B14" i="12"/>
  <c r="C13" i="12"/>
  <c r="B13" i="12"/>
  <c r="B21" i="1"/>
  <c r="B19" i="1"/>
  <c r="D12" i="12"/>
  <c r="D4" i="12"/>
  <c r="D3" i="12"/>
  <c r="D2" i="12"/>
  <c r="D11" i="12"/>
  <c r="D10" i="12"/>
  <c r="D9" i="12"/>
  <c r="B9" i="12"/>
  <c r="G18" i="1"/>
  <c r="G31" i="1"/>
  <c r="G32" i="1"/>
  <c r="B12" i="12"/>
  <c r="C38" i="1"/>
  <c r="C39" i="1"/>
  <c r="C40" i="1"/>
  <c r="C41" i="1"/>
  <c r="D38" i="1"/>
  <c r="D39" i="1"/>
  <c r="D40" i="1"/>
  <c r="C6" i="12"/>
  <c r="B6" i="12"/>
  <c r="C5" i="12"/>
  <c r="B5" i="12"/>
  <c r="B11" i="1"/>
  <c r="G8" i="1"/>
  <c r="C8" i="12"/>
  <c r="C7" i="12"/>
  <c r="B8" i="12"/>
  <c r="B7" i="12"/>
  <c r="C9" i="12"/>
  <c r="C10" i="12"/>
  <c r="C11" i="12"/>
  <c r="G3" i="1"/>
  <c r="B5" i="1"/>
  <c r="B3" i="1"/>
  <c r="B8" i="1"/>
  <c r="B11" i="12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28" i="1"/>
  <c r="B21" i="12"/>
  <c r="B27" i="1"/>
  <c r="B20" i="12"/>
  <c r="B19" i="12"/>
  <c r="B18" i="12"/>
  <c r="B17" i="12"/>
  <c r="B16" i="12"/>
  <c r="B15" i="12"/>
  <c r="B5" i="4"/>
  <c r="B2" i="4"/>
  <c r="B3" i="4"/>
  <c r="B6" i="4"/>
  <c r="B7" i="4"/>
  <c r="B9" i="4"/>
  <c r="B8" i="4"/>
  <c r="B10" i="4"/>
  <c r="B11" i="4"/>
  <c r="G23" i="1"/>
  <c r="G22" i="1"/>
  <c r="S23" i="5"/>
  <c r="S41" i="5"/>
  <c r="S43" i="5"/>
  <c r="S44" i="5"/>
  <c r="S45" i="5"/>
  <c r="S46" i="5"/>
  <c r="S47" i="5"/>
  <c r="S25" i="5"/>
  <c r="S27" i="5"/>
  <c r="S28" i="5"/>
  <c r="S29" i="5"/>
  <c r="S39" i="5"/>
  <c r="B10" i="12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2" i="12"/>
  <c r="B4" i="12"/>
  <c r="B2" i="12"/>
  <c r="C4" i="12"/>
  <c r="C2" i="12"/>
  <c r="C3" i="12"/>
  <c r="B3" i="12"/>
  <c r="G19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</calcChain>
</file>

<file path=xl/sharedStrings.xml><?xml version="1.0" encoding="utf-8"?>
<sst xmlns="http://schemas.openxmlformats.org/spreadsheetml/2006/main" count="585" uniqueCount="311">
  <si>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</si>
  <si>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</si>
  <si>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</si>
  <si>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</si>
  <si>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</si>
  <si>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</si>
  <si>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</si>
  <si>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</si>
  <si>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</si>
  <si>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</si>
  <si>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</si>
  <si>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</si>
  <si>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</si>
  <si>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</si>
  <si>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</si>
  <si>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</si>
  <si>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</si>
  <si>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</si>
  <si>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</si>
  <si>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</si>
  <si>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</si>
  <si>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</si>
  <si>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</si>
  <si>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</si>
  <si>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</si>
  <si>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</si>
  <si>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</si>
  <si>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</si>
  <si>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</si>
  <si>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</si>
  <si>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</si>
  <si>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</si>
  <si>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</si>
  <si>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</si>
  <si>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</si>
  <si>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</si>
  <si>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</si>
  <si>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</si>
  <si>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</si>
  <si>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</si>
  <si>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</si>
  <si>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</si>
  <si>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</si>
  <si>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</si>
  <si>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</si>
  <si>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</si>
  <si>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</si>
  <si>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</si>
  <si>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</si>
  <si>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</si>
  <si>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</si>
  <si>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</si>
  <si>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</si>
  <si>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</si>
  <si>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</si>
  <si>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</si>
  <si>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</si>
  <si>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</si>
  <si>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</si>
  <si>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</si>
  <si>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</si>
  <si>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</si>
  <si>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</si>
  <si>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</si>
  <si>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Redfield Ratios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</si>
  <si>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</si>
  <si>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</si>
  <si>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</si>
  <si>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</si>
  <si>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</si>
  <si>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</si>
  <si>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</si>
  <si>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</si>
  <si>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</si>
  <si>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</si>
  <si>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</si>
  <si>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</si>
  <si>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</si>
  <si>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</si>
  <si>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</si>
  <si>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</si>
  <si>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</si>
  <si>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</si>
  <si>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</si>
  <si>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</si>
  <si>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</si>
  <si>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</si>
  <si>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$ ha-1</t>
  </si>
  <si>
    <t>$ ha-1 yr-1</t>
  </si>
  <si>
    <t>cm</t>
  </si>
  <si>
    <t>in</t>
  </si>
  <si>
    <t>Mg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</si>
  <si>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</si>
  <si>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</si>
  <si>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</si>
  <si>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</si>
  <si>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</si>
  <si>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</si>
  <si>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</si>
  <si>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</si>
  <si>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</si>
  <si>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</si>
  <si>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</si>
  <si>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</si>
  <si>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</si>
  <si>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</si>
  <si>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</si>
  <si>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</si>
  <si>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</si>
  <si>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</si>
  <si>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</si>
  <si>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</si>
  <si>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</si>
  <si>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</si>
  <si>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</si>
  <si>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</si>
  <si>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model high latitude</t>
  </si>
  <si>
    <t>model slope</t>
  </si>
  <si>
    <t>C:biomass ratio</t>
  </si>
  <si>
    <t>N:biomass ratio</t>
  </si>
  <si>
    <t>P:biomass ratio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</si>
  <si>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</si>
  <si>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</si>
  <si>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</si>
  <si>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</si>
  <si>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</si>
  <si>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</si>
  <si>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</si>
  <si>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</si>
  <si>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</si>
  <si>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</si>
  <si>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</si>
  <si>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</si>
  <si>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</si>
  <si>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</si>
  <si>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</si>
  <si>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</si>
  <si>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</si>
  <si>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</si>
  <si>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</si>
  <si>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</si>
  <si>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</si>
  <si>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</si>
  <si>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</si>
  <si>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</si>
  <si>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</si>
  <si>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</si>
  <si>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</si>
  <si>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</si>
  <si>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</si>
  <si>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</si>
  <si>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</si>
  <si>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</si>
  <si>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</si>
  <si>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</si>
  <si>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</si>
  <si>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</si>
  <si>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</si>
  <si>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</si>
  <si>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</si>
  <si>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</si>
  <si>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</si>
  <si>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</si>
  <si>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</si>
  <si>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</si>
  <si>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</si>
  <si>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</si>
  <si>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</si>
  <si>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</si>
  <si>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</si>
  <si>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</si>
  <si>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</si>
  <si>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</si>
  <si>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</si>
  <si>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</si>
  <si>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</si>
  <si>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</si>
  <si>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</si>
  <si>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</si>
  <si>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</si>
  <si>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</si>
  <si>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</si>
  <si>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</si>
  <si>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</si>
  <si>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</si>
  <si>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</si>
  <si>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</si>
  <si>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</si>
  <si>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</si>
  <si>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</si>
  <si>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</si>
  <si>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</si>
  <si>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</si>
  <si>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</si>
  <si>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</si>
  <si>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</si>
  <si>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</si>
  <si>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</si>
  <si>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</si>
  <si>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</si>
  <si>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</si>
  <si>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</si>
  <si>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</si>
  <si>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</si>
  <si>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</si>
  <si>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</si>
  <si>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</si>
  <si>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</si>
  <si>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</si>
  <si>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</si>
  <si>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</si>
  <si>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</si>
  <si>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</si>
  <si>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</si>
  <si>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</si>
  <si>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</si>
  <si>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</si>
  <si>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</si>
  <si>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</si>
  <si>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</si>
  <si>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</si>
  <si>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</si>
  <si>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</si>
  <si>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</si>
  <si>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</si>
  <si>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</si>
  <si>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</si>
  <si>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</si>
  <si>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</si>
  <si>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</si>
  <si>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</si>
  <si>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</si>
  <si>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</si>
  <si>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</si>
  <si>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</si>
  <si>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</si>
  <si>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</si>
  <si>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</si>
  <si>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</si>
  <si>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</si>
  <si>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</si>
  <si>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</si>
  <si>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</si>
  <si>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</si>
  <si>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</si>
  <si>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</si>
  <si>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</si>
  <si>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</si>
  <si>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</si>
  <si>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</si>
  <si>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</si>
  <si>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</si>
  <si>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</si>
  <si>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</si>
  <si>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</si>
  <si>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</si>
  <si>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</si>
  <si>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</si>
  <si>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</si>
  <si>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</si>
  <si>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</si>
  <si>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</si>
  <si>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</si>
  <si>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</si>
  <si>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</si>
  <si>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</si>
  <si>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</si>
  <si>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</si>
  <si>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</si>
  <si>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</si>
  <si>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</si>
  <si>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</si>
  <si>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</si>
  <si>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</si>
  <si>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</si>
  <si>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</si>
  <si>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</si>
  <si>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</si>
  <si>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</si>
  <si>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</si>
  <si>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</si>
  <si>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</si>
  <si>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</si>
  <si>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</si>
  <si>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</si>
  <si>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</si>
  <si>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</si>
  <si>
    <t>model y intercept (==prod_lo)</t>
  </si>
  <si>
    <t>Assumption</t>
  </si>
  <si>
    <t>{The World Bank, 2017, #21801}</t>
  </si>
  <si>
    <t>ppm CO2 (vol.)</t>
  </si>
  <si>
    <t>T</t>
  </si>
  <si>
    <t>tC</t>
  </si>
  <si>
    <t>us_val</t>
  </si>
  <si>
    <t>us_unit</t>
  </si>
  <si>
    <t>T ac-1 yr-1</t>
  </si>
  <si>
    <t>T ac-1 yr-1 deg-1</t>
  </si>
  <si>
    <t>lbC lbBiomass-1</t>
  </si>
  <si>
    <t>lbN lbBiomass-1</t>
  </si>
  <si>
    <t>lbP lbBiomass-1</t>
  </si>
  <si>
    <t>T yr-1</t>
  </si>
  <si>
    <t>ac emp-1</t>
  </si>
  <si>
    <t>employee salary, fully encumbered</t>
  </si>
  <si>
    <t>area per employee</t>
  </si>
  <si>
    <t>maintenance proportion, estimated</t>
  </si>
  <si>
    <t>low CapEx</t>
  </si>
  <si>
    <t>high CapEx</t>
  </si>
  <si>
    <t>low OpEx</t>
  </si>
  <si>
    <t>high OpEx</t>
  </si>
  <si>
    <t>$ ac-1</t>
  </si>
  <si>
    <t>$ ac-1 yr-1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</si>
</sst>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6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6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21" sqref="E21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7.83203125" bestFit="1" customWidth="1"/>
    <col min="5" max="5" width="14.83203125" bestFit="1" customWidth="1"/>
    <col min="6" max="6" width="30.33203125" bestFit="1" customWidth="1"/>
    <col min="7" max="7" width="6" bestFit="1" customWidth="1"/>
  </cols>
  <sheetData>
    <row r="1" spans="1:7">
      <c r="A1" s="5" t="s">
        <v>94</v>
      </c>
      <c r="B1" s="14" t="s">
        <v>95</v>
      </c>
      <c r="C1" s="5" t="s">
        <v>96</v>
      </c>
      <c r="D1" t="s">
        <v>293</v>
      </c>
      <c r="E1" t="s">
        <v>294</v>
      </c>
      <c r="F1" s="5" t="s">
        <v>108</v>
      </c>
      <c r="G1" s="5" t="s">
        <v>113</v>
      </c>
    </row>
    <row r="2" spans="1:7">
      <c r="A2" s="5" t="s">
        <v>235</v>
      </c>
      <c r="B2" s="14">
        <f>Settings!G13</f>
        <v>0.5</v>
      </c>
      <c r="C2" s="14" t="str">
        <f>Settings!H13&amp;" "&amp;Settings!F13&amp;"-1"</f>
        <v>gC gBiomass-1</v>
      </c>
      <c r="D2" s="1">
        <f>B2</f>
        <v>0.5</v>
      </c>
      <c r="E2" t="s">
        <v>297</v>
      </c>
      <c r="F2" s="5" t="s">
        <v>118</v>
      </c>
      <c r="G2" s="5" t="s">
        <v>115</v>
      </c>
    </row>
    <row r="3" spans="1:7">
      <c r="A3" s="5" t="s">
        <v>236</v>
      </c>
      <c r="B3" s="14">
        <f>Settings!G14</f>
        <v>4.8000000000000001E-2</v>
      </c>
      <c r="C3" s="14" t="str">
        <f>Settings!H14&amp;" "&amp;Settings!F14&amp;"-1"</f>
        <v>gN gBiomass-1</v>
      </c>
      <c r="D3" s="1">
        <f t="shared" ref="D3:D8" si="0">B3</f>
        <v>4.8000000000000001E-2</v>
      </c>
      <c r="E3" t="s">
        <v>298</v>
      </c>
      <c r="F3" s="5" t="s">
        <v>119</v>
      </c>
      <c r="G3" s="5" t="s">
        <v>115</v>
      </c>
    </row>
    <row r="4" spans="1:7">
      <c r="A4" s="5" t="s">
        <v>237</v>
      </c>
      <c r="B4" s="14">
        <f>Settings!G15</f>
        <v>3.0000000000000001E-3</v>
      </c>
      <c r="C4" s="14" t="str">
        <f>Settings!H15&amp;" "&amp;Settings!F15&amp;"-1"</f>
        <v>gP gBiomass-1</v>
      </c>
      <c r="D4" s="1">
        <f t="shared" si="0"/>
        <v>3.0000000000000001E-3</v>
      </c>
      <c r="E4" t="s">
        <v>299</v>
      </c>
      <c r="F4" s="5" t="s">
        <v>120</v>
      </c>
      <c r="G4" s="5" t="s">
        <v>115</v>
      </c>
    </row>
    <row r="5" spans="1:7">
      <c r="A5" s="5" t="s">
        <v>238</v>
      </c>
      <c r="B5" s="14">
        <f>Settings!B10</f>
        <v>410</v>
      </c>
      <c r="C5" s="14" t="str">
        <f>Settings!C10</f>
        <v>ppm</v>
      </c>
      <c r="D5" s="1"/>
      <c r="E5" s="1"/>
      <c r="F5" s="5" t="s">
        <v>122</v>
      </c>
      <c r="G5" s="5" t="s">
        <v>115</v>
      </c>
    </row>
    <row r="6" spans="1:7">
      <c r="A6" s="5" t="s">
        <v>239</v>
      </c>
      <c r="B6" s="14">
        <f>Settings!B12</f>
        <v>2</v>
      </c>
      <c r="C6" s="14" t="str">
        <f>Settings!C12</f>
        <v>ppm yr-1</v>
      </c>
      <c r="D6" s="1"/>
      <c r="E6" s="1"/>
      <c r="F6" s="5" t="s">
        <v>121</v>
      </c>
      <c r="G6" s="5" t="s">
        <v>115</v>
      </c>
    </row>
    <row r="7" spans="1:7">
      <c r="A7" s="5" t="s">
        <v>240</v>
      </c>
      <c r="B7" s="14">
        <f>Settings!B6</f>
        <v>40</v>
      </c>
      <c r="C7" s="14" t="str">
        <f>Settings!C6</f>
        <v>deg</v>
      </c>
      <c r="D7" s="1"/>
      <c r="E7" s="1"/>
      <c r="F7" s="5" t="s">
        <v>116</v>
      </c>
      <c r="G7" s="5" t="s">
        <v>115</v>
      </c>
    </row>
    <row r="8" spans="1:7">
      <c r="A8" s="5" t="s">
        <v>241</v>
      </c>
      <c r="B8" s="14">
        <f>Settings!B7</f>
        <v>0</v>
      </c>
      <c r="C8" s="14" t="str">
        <f>Settings!C7</f>
        <v>deg</v>
      </c>
      <c r="D8" s="1"/>
      <c r="E8" s="1"/>
      <c r="F8" s="5" t="s">
        <v>188</v>
      </c>
      <c r="G8" s="5" t="s">
        <v>115</v>
      </c>
    </row>
    <row r="9" spans="1:7">
      <c r="A9" s="5" t="s">
        <v>255</v>
      </c>
      <c r="B9" s="14">
        <f>Settings!B3</f>
        <v>54.787500000000001</v>
      </c>
      <c r="C9" s="14" t="str">
        <f>Settings!C3</f>
        <v>t ha-1 yr-1</v>
      </c>
      <c r="D9" s="1">
        <f>B9*Settings!$G$32*Settings!$G$18</f>
        <v>24.440189478322718</v>
      </c>
      <c r="E9" s="1" t="s">
        <v>295</v>
      </c>
      <c r="F9" s="5" t="s">
        <v>189</v>
      </c>
      <c r="G9" s="5" t="s">
        <v>115</v>
      </c>
    </row>
    <row r="10" spans="1:7">
      <c r="A10" s="5" t="s">
        <v>256</v>
      </c>
      <c r="B10" s="14">
        <f>Settings!B5</f>
        <v>91.3125</v>
      </c>
      <c r="C10" s="14" t="str">
        <f>Settings!C5</f>
        <v>t ha-1 yr-1</v>
      </c>
      <c r="D10" s="1">
        <f>B10*Settings!$G$32*Settings!$G$18</f>
        <v>40.733649130537863</v>
      </c>
      <c r="E10" s="1" t="s">
        <v>295</v>
      </c>
      <c r="F10" s="5" t="s">
        <v>190</v>
      </c>
      <c r="G10" s="5" t="s">
        <v>115</v>
      </c>
    </row>
    <row r="11" spans="1:7">
      <c r="A11" s="5" t="s">
        <v>242</v>
      </c>
      <c r="B11" s="14">
        <f>Settings!B8</f>
        <v>-0.91312499999999996</v>
      </c>
      <c r="C11" s="14" t="str">
        <f>Settings!C8</f>
        <v>t ha-1 yr-1 deg-1</v>
      </c>
      <c r="D11" s="1">
        <f>B11*Settings!$G$32*Settings!$G$18</f>
        <v>-0.40733649130537863</v>
      </c>
      <c r="E11" s="1" t="s">
        <v>296</v>
      </c>
      <c r="F11" s="5" t="s">
        <v>117</v>
      </c>
      <c r="G11" s="5" t="s">
        <v>115</v>
      </c>
    </row>
    <row r="12" spans="1:7">
      <c r="A12" s="5" t="s">
        <v>243</v>
      </c>
      <c r="B12" s="14">
        <f>Settings!B9</f>
        <v>91</v>
      </c>
      <c r="C12" s="14" t="str">
        <f>Settings!C5</f>
        <v>t ha-1 yr-1</v>
      </c>
      <c r="D12" s="1">
        <f>B12*Settings!$G$32*Settings!$G$18</f>
        <v>40.594245813869357</v>
      </c>
      <c r="E12" s="1" t="s">
        <v>295</v>
      </c>
      <c r="F12" s="5" t="s">
        <v>287</v>
      </c>
      <c r="G12" s="5" t="s">
        <v>115</v>
      </c>
    </row>
    <row r="13" spans="1:7">
      <c r="A13" s="5" t="s">
        <v>244</v>
      </c>
      <c r="B13" s="14">
        <f>Settings!B19</f>
        <v>104900000000</v>
      </c>
      <c r="C13" s="14" t="str">
        <f>Settings!C19</f>
        <v>t yr-1</v>
      </c>
      <c r="D13" s="1">
        <f>B13*Settings!$G$32*Settings!$G$18</f>
        <v>46794905339.284569</v>
      </c>
      <c r="E13" s="1" t="s">
        <v>300</v>
      </c>
      <c r="F13" s="5" t="s">
        <v>273</v>
      </c>
      <c r="G13" s="5" t="s">
        <v>115</v>
      </c>
    </row>
    <row r="14" spans="1:7">
      <c r="A14" s="5" t="s">
        <v>245</v>
      </c>
      <c r="B14" s="14">
        <f>Settings!B21</f>
        <v>8000000000</v>
      </c>
      <c r="C14" s="14" t="str">
        <f>Settings!C21</f>
        <v>t yr-1</v>
      </c>
      <c r="D14" s="1">
        <f>B14*Settings!$G$32*Settings!$G$18</f>
        <v>3568724906.7137895</v>
      </c>
      <c r="E14" s="1" t="s">
        <v>300</v>
      </c>
      <c r="F14" s="5" t="s">
        <v>273</v>
      </c>
      <c r="G14" s="5" t="s">
        <v>115</v>
      </c>
    </row>
    <row r="15" spans="1:7">
      <c r="A15" s="5" t="s">
        <v>246</v>
      </c>
      <c r="B15" s="14">
        <f>Settings!B24</f>
        <v>5</v>
      </c>
      <c r="C15" s="14" t="str">
        <f>Settings!C24</f>
        <v>ha emp-1</v>
      </c>
      <c r="D15" s="1">
        <f>B15*Settings!G17</f>
        <v>12.35525</v>
      </c>
      <c r="E15" s="1" t="s">
        <v>301</v>
      </c>
      <c r="F15" s="5" t="s">
        <v>303</v>
      </c>
      <c r="G15" s="5" t="s">
        <v>114</v>
      </c>
    </row>
    <row r="16" spans="1:7">
      <c r="A16" s="5" t="s">
        <v>247</v>
      </c>
      <c r="B16" s="14">
        <f>Settings!B25</f>
        <v>100000</v>
      </c>
      <c r="C16" s="14" t="str">
        <f>Settings!C25</f>
        <v>$ yr-1</v>
      </c>
      <c r="F16" s="5" t="s">
        <v>302</v>
      </c>
      <c r="G16" s="5" t="s">
        <v>114</v>
      </c>
    </row>
    <row r="17" spans="1:7">
      <c r="A17" s="5" t="s">
        <v>248</v>
      </c>
      <c r="B17" s="14">
        <f>Settings!B26</f>
        <v>0.05</v>
      </c>
      <c r="C17" s="14" t="str">
        <f>Settings!C26</f>
        <v>opex yr-1</v>
      </c>
      <c r="F17" s="5" t="s">
        <v>304</v>
      </c>
      <c r="G17" s="5" t="s">
        <v>114</v>
      </c>
    </row>
    <row r="18" spans="1:7">
      <c r="A18" s="5" t="s">
        <v>249</v>
      </c>
      <c r="B18" s="14">
        <f>Settings!B22</f>
        <v>250000</v>
      </c>
      <c r="C18" s="14" t="str">
        <f>Settings!C22</f>
        <v>$ ha-1</v>
      </c>
      <c r="D18" s="1">
        <f>B18/Settings!G$17</f>
        <v>101171.56674288258</v>
      </c>
      <c r="E18" s="1" t="s">
        <v>309</v>
      </c>
      <c r="F18" s="5" t="s">
        <v>305</v>
      </c>
      <c r="G18" s="5" t="s">
        <v>114</v>
      </c>
    </row>
    <row r="19" spans="1:7">
      <c r="A19" s="5" t="s">
        <v>250</v>
      </c>
      <c r="B19" s="14">
        <f>Settings!B23</f>
        <v>1000000</v>
      </c>
      <c r="C19" s="14" t="str">
        <f>Settings!C23</f>
        <v>$ ha-1</v>
      </c>
      <c r="D19" s="1">
        <f>B19/Settings!G$17</f>
        <v>404686.26697153033</v>
      </c>
      <c r="E19" s="1" t="s">
        <v>309</v>
      </c>
      <c r="F19" s="5" t="s">
        <v>306</v>
      </c>
      <c r="G19" s="5" t="s">
        <v>114</v>
      </c>
    </row>
    <row r="20" spans="1:7">
      <c r="A20" s="5" t="s">
        <v>251</v>
      </c>
      <c r="B20" s="14">
        <f>Settings!B27</f>
        <v>32500</v>
      </c>
      <c r="C20" s="14" t="str">
        <f>Settings!C27</f>
        <v>$ ha-1 yr-1</v>
      </c>
      <c r="D20" s="1">
        <f>B20/Settings!G$17</f>
        <v>13152.303676574735</v>
      </c>
      <c r="E20" s="1" t="s">
        <v>310</v>
      </c>
      <c r="F20" s="5" t="s">
        <v>307</v>
      </c>
      <c r="G20" s="5" t="s">
        <v>114</v>
      </c>
    </row>
    <row r="21" spans="1:7">
      <c r="A21" s="5" t="s">
        <v>252</v>
      </c>
      <c r="B21" s="14">
        <f>Settings!B28</f>
        <v>70000</v>
      </c>
      <c r="C21" s="14" t="str">
        <f>Settings!C28</f>
        <v>$ ha-1 yr-1</v>
      </c>
      <c r="D21" s="1">
        <f>B21/Settings!G$17</f>
        <v>28328.038688007124</v>
      </c>
      <c r="E21" s="1" t="s">
        <v>310</v>
      </c>
      <c r="F21" s="5" t="s">
        <v>308</v>
      </c>
      <c r="G21" s="5" t="s">
        <v>114</v>
      </c>
    </row>
    <row r="22" spans="1:7">
      <c r="A22" s="5" t="s">
        <v>253</v>
      </c>
      <c r="B22" s="14">
        <f>Settings!B29</f>
        <v>40</v>
      </c>
      <c r="C22" s="14" t="str">
        <f>Settings!C29</f>
        <v>yr</v>
      </c>
      <c r="F22" s="5" t="s">
        <v>196</v>
      </c>
      <c r="G22" s="5" t="s">
        <v>114</v>
      </c>
    </row>
    <row r="23" spans="1:7">
      <c r="A23" s="5" t="s">
        <v>254</v>
      </c>
      <c r="B23" s="14">
        <f>Settings!B30</f>
        <v>20</v>
      </c>
      <c r="C23" s="14" t="str">
        <f>Settings!C30</f>
        <v>yr</v>
      </c>
      <c r="F23" s="5" t="s">
        <v>197</v>
      </c>
      <c r="G23" s="5" t="s">
        <v>114</v>
      </c>
    </row>
    <row r="24" spans="1:7">
      <c r="A24" s="5" t="s">
        <v>257</v>
      </c>
      <c r="B24" s="14">
        <f>Settings!B31</f>
        <v>0.1</v>
      </c>
      <c r="C24" s="14" t="str">
        <f>Settings!C31</f>
        <v>prp</v>
      </c>
      <c r="F24" s="5" t="s">
        <v>198</v>
      </c>
      <c r="G24" s="5" t="s">
        <v>114</v>
      </c>
    </row>
    <row r="25" spans="1:7">
      <c r="A25" s="5" t="s">
        <v>258</v>
      </c>
      <c r="B25" s="14">
        <f>Settings!B32</f>
        <v>50</v>
      </c>
      <c r="C25" s="14" t="str">
        <f>Settings!C32</f>
        <v>yr</v>
      </c>
      <c r="F25" s="5" t="s">
        <v>200</v>
      </c>
      <c r="G25" s="5" t="s">
        <v>114</v>
      </c>
    </row>
    <row r="26" spans="1:7">
      <c r="A26" s="5" t="s">
        <v>259</v>
      </c>
      <c r="B26" s="14">
        <f>Settings!B33</f>
        <v>100</v>
      </c>
      <c r="C26" s="14" t="str">
        <f>Settings!C33</f>
        <v>yr</v>
      </c>
      <c r="F26" s="5" t="s">
        <v>201</v>
      </c>
      <c r="G26" s="5" t="s">
        <v>114</v>
      </c>
    </row>
    <row r="27" spans="1:7">
      <c r="A27" s="5" t="s">
        <v>260</v>
      </c>
      <c r="B27" s="14">
        <f>Settings!B34</f>
        <v>200</v>
      </c>
      <c r="C27" s="14" t="str">
        <f>Settings!C34</f>
        <v>yr</v>
      </c>
      <c r="F27" s="5" t="s">
        <v>202</v>
      </c>
      <c r="G27" s="5" t="s">
        <v>114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127</v>
      </c>
      <c r="B1" s="10" t="s">
        <v>128</v>
      </c>
      <c r="C1" s="10" t="s">
        <v>129</v>
      </c>
      <c r="D1" s="10" t="s">
        <v>130</v>
      </c>
      <c r="E1" s="10" t="s">
        <v>167</v>
      </c>
      <c r="F1" s="10" t="s">
        <v>162</v>
      </c>
      <c r="G1" s="10" t="s">
        <v>179</v>
      </c>
    </row>
    <row r="2" spans="1:7">
      <c r="A2" t="s">
        <v>182</v>
      </c>
      <c r="B2" s="10">
        <v>146.7885378</v>
      </c>
      <c r="C2" s="10">
        <v>-19.257637299999999</v>
      </c>
      <c r="D2" s="10" t="s">
        <v>124</v>
      </c>
      <c r="E2" s="10" t="s">
        <v>184</v>
      </c>
      <c r="G2" t="s">
        <v>180</v>
      </c>
    </row>
    <row r="3" spans="1:7">
      <c r="A3" s="10" t="s">
        <v>183</v>
      </c>
      <c r="B3" s="10">
        <v>-80.457524599999999</v>
      </c>
      <c r="C3" s="10">
        <v>26.657368099999999</v>
      </c>
      <c r="D3" s="10" t="s">
        <v>125</v>
      </c>
      <c r="E3" s="10" t="s">
        <v>138</v>
      </c>
      <c r="F3">
        <v>2009</v>
      </c>
      <c r="G3" t="s">
        <v>180</v>
      </c>
    </row>
    <row r="4" spans="1:7">
      <c r="A4" t="s">
        <v>168</v>
      </c>
      <c r="B4" s="10">
        <v>-74.539295999999993</v>
      </c>
      <c r="C4" s="10">
        <v>40.372374000000001</v>
      </c>
      <c r="D4" s="10" t="s">
        <v>125</v>
      </c>
      <c r="E4" s="10"/>
      <c r="G4" t="s">
        <v>180</v>
      </c>
    </row>
    <row r="5" spans="1:7">
      <c r="A5" t="s">
        <v>74</v>
      </c>
      <c r="B5" s="10">
        <v>-76.328950000000006</v>
      </c>
      <c r="C5" s="10">
        <v>37.855311</v>
      </c>
      <c r="D5" s="10" t="s">
        <v>125</v>
      </c>
      <c r="E5" s="10"/>
      <c r="G5" t="s">
        <v>180</v>
      </c>
    </row>
    <row r="6" spans="1:7">
      <c r="A6" t="s">
        <v>169</v>
      </c>
      <c r="B6" s="10">
        <v>-120.9</v>
      </c>
      <c r="C6" s="10">
        <v>50.8</v>
      </c>
      <c r="D6" s="10" t="s">
        <v>125</v>
      </c>
      <c r="E6" s="10"/>
      <c r="G6" t="s">
        <v>180</v>
      </c>
    </row>
    <row r="7" spans="1:7">
      <c r="A7" t="s">
        <v>170</v>
      </c>
      <c r="B7" s="10">
        <v>-119.7</v>
      </c>
      <c r="C7" s="10">
        <v>50.8</v>
      </c>
      <c r="D7" s="10" t="s">
        <v>125</v>
      </c>
      <c r="E7" s="10"/>
      <c r="G7" t="s">
        <v>180</v>
      </c>
    </row>
    <row r="8" spans="1:7">
      <c r="A8" t="s">
        <v>75</v>
      </c>
      <c r="B8" s="10">
        <v>-64.7</v>
      </c>
      <c r="C8" s="10">
        <v>17.45</v>
      </c>
      <c r="D8" s="10" t="s">
        <v>125</v>
      </c>
      <c r="E8" s="10"/>
      <c r="G8" t="s">
        <v>180</v>
      </c>
    </row>
    <row r="9" spans="1:7">
      <c r="A9" t="s">
        <v>171</v>
      </c>
      <c r="B9" s="10">
        <v>120.3</v>
      </c>
      <c r="C9" s="10">
        <v>23</v>
      </c>
      <c r="D9" s="10" t="s">
        <v>125</v>
      </c>
      <c r="E9" s="10"/>
      <c r="G9" t="s">
        <v>180</v>
      </c>
    </row>
    <row r="10" spans="1:7">
      <c r="A10" t="s">
        <v>76</v>
      </c>
      <c r="B10" s="10">
        <v>117.786311</v>
      </c>
      <c r="C10" s="10">
        <v>24.520453</v>
      </c>
      <c r="D10" s="10" t="s">
        <v>125</v>
      </c>
      <c r="E10" s="10"/>
      <c r="G10" t="s">
        <v>180</v>
      </c>
    </row>
    <row r="11" spans="1:7">
      <c r="A11" t="s">
        <v>172</v>
      </c>
      <c r="B11" s="10">
        <v>-121.132778</v>
      </c>
      <c r="C11" s="10">
        <v>37.473056</v>
      </c>
      <c r="D11" s="10" t="s">
        <v>124</v>
      </c>
      <c r="E11" s="10" t="s">
        <v>131</v>
      </c>
      <c r="F11" s="10" t="s">
        <v>166</v>
      </c>
      <c r="G11" t="s">
        <v>180</v>
      </c>
    </row>
    <row r="12" spans="1:7">
      <c r="A12" t="s">
        <v>77</v>
      </c>
      <c r="B12" s="10">
        <v>-80.408696000000006</v>
      </c>
      <c r="C12" s="10">
        <v>27.427821999999999</v>
      </c>
      <c r="D12" s="10" t="s">
        <v>125</v>
      </c>
      <c r="E12" s="10"/>
      <c r="G12" t="s">
        <v>180</v>
      </c>
    </row>
    <row r="13" spans="1:7">
      <c r="A13" t="s">
        <v>78</v>
      </c>
      <c r="B13" s="10">
        <v>-80.427214000000006</v>
      </c>
      <c r="C13" s="10">
        <v>37.223215000000003</v>
      </c>
      <c r="D13" s="10" t="s">
        <v>125</v>
      </c>
      <c r="E13" s="10"/>
      <c r="G13" t="s">
        <v>180</v>
      </c>
    </row>
    <row r="14" spans="1:7">
      <c r="A14" t="s">
        <v>210</v>
      </c>
      <c r="B14">
        <v>-79.024995599999997</v>
      </c>
      <c r="C14">
        <v>36.001745499999998</v>
      </c>
      <c r="D14" t="s">
        <v>124</v>
      </c>
      <c r="E14" s="10" t="s">
        <v>152</v>
      </c>
      <c r="F14" t="s">
        <v>153</v>
      </c>
      <c r="G14" t="s">
        <v>181</v>
      </c>
    </row>
    <row r="15" spans="1:7">
      <c r="A15" t="s">
        <v>177</v>
      </c>
      <c r="B15" s="10">
        <v>-80.907136899999998</v>
      </c>
      <c r="C15" s="10">
        <v>27.213987700000001</v>
      </c>
      <c r="D15" s="10" t="s">
        <v>124</v>
      </c>
      <c r="E15" s="10" t="s">
        <v>133</v>
      </c>
      <c r="F15" s="10" t="s">
        <v>164</v>
      </c>
      <c r="G15" t="s">
        <v>180</v>
      </c>
    </row>
    <row r="16" spans="1:7">
      <c r="A16" t="s">
        <v>177</v>
      </c>
      <c r="B16">
        <v>-81.965361400000006</v>
      </c>
      <c r="C16">
        <v>27.8745254</v>
      </c>
      <c r="E16" t="s">
        <v>178</v>
      </c>
      <c r="G16" t="s">
        <v>180</v>
      </c>
    </row>
    <row r="17" spans="1:7">
      <c r="A17" t="s">
        <v>146</v>
      </c>
      <c r="B17" s="10">
        <v>-81.880556400000003</v>
      </c>
      <c r="C17" s="10">
        <v>26.674672000000001</v>
      </c>
      <c r="D17" s="10" t="s">
        <v>125</v>
      </c>
      <c r="E17" s="10" t="s">
        <v>136</v>
      </c>
      <c r="F17">
        <v>2009</v>
      </c>
      <c r="G17" t="s">
        <v>180</v>
      </c>
    </row>
    <row r="18" spans="1:7">
      <c r="A18" t="s">
        <v>146</v>
      </c>
      <c r="B18" s="10">
        <v>-80.853750700000006</v>
      </c>
      <c r="C18" s="11">
        <v>27.329125999999999</v>
      </c>
      <c r="D18" s="10" t="s">
        <v>124</v>
      </c>
      <c r="E18" s="10" t="s">
        <v>139</v>
      </c>
      <c r="F18" s="10" t="s">
        <v>163</v>
      </c>
      <c r="G18" t="s">
        <v>180</v>
      </c>
    </row>
    <row r="19" spans="1:7">
      <c r="A19" t="s">
        <v>146</v>
      </c>
      <c r="B19">
        <v>-80.869715799999994</v>
      </c>
      <c r="C19">
        <v>27.5020904</v>
      </c>
      <c r="D19" t="s">
        <v>124</v>
      </c>
      <c r="E19" s="10" t="s">
        <v>145</v>
      </c>
      <c r="F19" s="10" t="s">
        <v>165</v>
      </c>
      <c r="G19" t="s">
        <v>180</v>
      </c>
    </row>
    <row r="20" spans="1:7">
      <c r="A20" t="s">
        <v>146</v>
      </c>
      <c r="B20">
        <v>-80.398945299999994</v>
      </c>
      <c r="C20">
        <v>27.592262000000002</v>
      </c>
      <c r="D20" s="10" t="s">
        <v>124</v>
      </c>
      <c r="E20" s="10" t="s">
        <v>140</v>
      </c>
      <c r="F20" t="s">
        <v>159</v>
      </c>
      <c r="G20" t="s">
        <v>180</v>
      </c>
    </row>
    <row r="21" spans="1:7">
      <c r="A21" t="s">
        <v>146</v>
      </c>
      <c r="B21">
        <v>-80.399409399999996</v>
      </c>
      <c r="C21">
        <v>27.602654600000001</v>
      </c>
      <c r="D21" t="s">
        <v>125</v>
      </c>
      <c r="E21" s="10" t="s">
        <v>126</v>
      </c>
      <c r="F21">
        <v>2010</v>
      </c>
      <c r="G21" t="s">
        <v>180</v>
      </c>
    </row>
    <row r="22" spans="1:7">
      <c r="A22" t="s">
        <v>146</v>
      </c>
      <c r="B22" s="10">
        <v>-80.479466200000005</v>
      </c>
      <c r="C22" s="10">
        <v>27.609477500000001</v>
      </c>
      <c r="D22" s="10" t="s">
        <v>124</v>
      </c>
      <c r="E22" s="10" t="s">
        <v>132</v>
      </c>
      <c r="F22" s="10" t="s">
        <v>156</v>
      </c>
      <c r="G22" t="s">
        <v>180</v>
      </c>
    </row>
    <row r="23" spans="1:7">
      <c r="A23" t="s">
        <v>146</v>
      </c>
      <c r="B23" s="10">
        <v>-81.445307999999997</v>
      </c>
      <c r="C23" s="10">
        <v>28.5647631</v>
      </c>
      <c r="D23" s="10" t="s">
        <v>125</v>
      </c>
      <c r="E23" s="10" t="s">
        <v>137</v>
      </c>
      <c r="F23">
        <v>2009</v>
      </c>
      <c r="G23" t="s">
        <v>180</v>
      </c>
    </row>
    <row r="24" spans="1:7">
      <c r="A24" t="s">
        <v>146</v>
      </c>
      <c r="B24" s="10">
        <v>-82.477197000000004</v>
      </c>
      <c r="C24" s="10">
        <v>29.923072999999999</v>
      </c>
      <c r="D24" s="10" t="s">
        <v>125</v>
      </c>
      <c r="E24" s="10" t="s">
        <v>135</v>
      </c>
      <c r="F24" t="s">
        <v>155</v>
      </c>
      <c r="G24" t="s">
        <v>180</v>
      </c>
    </row>
    <row r="25" spans="1:7">
      <c r="A25" t="s">
        <v>146</v>
      </c>
      <c r="B25" s="10">
        <v>-85.024425500000007</v>
      </c>
      <c r="C25" s="10">
        <v>34.827157800000002</v>
      </c>
      <c r="D25" s="10" t="s">
        <v>125</v>
      </c>
      <c r="E25" s="10" t="s">
        <v>134</v>
      </c>
      <c r="F25" s="10" t="s">
        <v>157</v>
      </c>
      <c r="G25" t="s">
        <v>180</v>
      </c>
    </row>
    <row r="26" spans="1:7">
      <c r="A26" t="s">
        <v>146</v>
      </c>
      <c r="B26">
        <v>-76.535835800000001</v>
      </c>
      <c r="C26">
        <v>39.197844400000001</v>
      </c>
      <c r="D26" t="s">
        <v>125</v>
      </c>
      <c r="E26" s="10" t="s">
        <v>150</v>
      </c>
      <c r="F26" t="s">
        <v>151</v>
      </c>
      <c r="G26" t="s">
        <v>180</v>
      </c>
    </row>
    <row r="27" spans="1:7">
      <c r="A27" t="s">
        <v>146</v>
      </c>
      <c r="B27">
        <v>-76.519799699999993</v>
      </c>
      <c r="C27">
        <v>39.241779600000001</v>
      </c>
      <c r="D27" t="s">
        <v>125</v>
      </c>
      <c r="E27" s="10" t="s">
        <v>149</v>
      </c>
      <c r="F27">
        <v>2015</v>
      </c>
      <c r="G27" t="s">
        <v>180</v>
      </c>
    </row>
    <row r="28" spans="1:7">
      <c r="A28" t="s">
        <v>146</v>
      </c>
      <c r="B28">
        <v>-76.262986100000006</v>
      </c>
      <c r="C28">
        <v>39.7560024</v>
      </c>
      <c r="D28" t="s">
        <v>125</v>
      </c>
      <c r="E28" s="10" t="s">
        <v>147</v>
      </c>
      <c r="F28">
        <v>2009</v>
      </c>
      <c r="G28" t="s">
        <v>180</v>
      </c>
    </row>
    <row r="29" spans="1:7">
      <c r="A29" t="s">
        <v>146</v>
      </c>
      <c r="B29" s="10">
        <v>-73.828925999999996</v>
      </c>
      <c r="C29" s="10">
        <v>40.584173399999997</v>
      </c>
      <c r="D29" s="10" t="s">
        <v>125</v>
      </c>
      <c r="E29" s="10" t="s">
        <v>148</v>
      </c>
      <c r="F29" s="10" t="s">
        <v>158</v>
      </c>
      <c r="G29" t="s">
        <v>180</v>
      </c>
    </row>
    <row r="30" spans="1:7">
      <c r="A30" t="s">
        <v>173</v>
      </c>
      <c r="B30" s="10">
        <v>3.5740601999999999</v>
      </c>
      <c r="C30" s="10">
        <v>51.082552</v>
      </c>
      <c r="D30" s="10" t="s">
        <v>125</v>
      </c>
      <c r="E30" s="10"/>
      <c r="G30" t="s">
        <v>180</v>
      </c>
    </row>
    <row r="31" spans="1:7">
      <c r="A31" t="s">
        <v>174</v>
      </c>
      <c r="B31" s="10">
        <v>16.430962999999998</v>
      </c>
      <c r="C31" s="10">
        <v>48.197578999999998</v>
      </c>
      <c r="D31" s="10" t="s">
        <v>125</v>
      </c>
      <c r="E31" s="10"/>
      <c r="G31" t="s">
        <v>180</v>
      </c>
    </row>
    <row r="32" spans="1:7">
      <c r="A32" t="s">
        <v>85</v>
      </c>
      <c r="B32">
        <v>146.80000000000001</v>
      </c>
      <c r="C32">
        <v>-19.3</v>
      </c>
      <c r="G32" t="s">
        <v>209</v>
      </c>
    </row>
    <row r="33" spans="1:7">
      <c r="A33" t="s">
        <v>175</v>
      </c>
      <c r="B33" s="10">
        <v>-76.900000000000006</v>
      </c>
      <c r="C33" s="10">
        <v>39</v>
      </c>
      <c r="D33" s="10" t="s">
        <v>125</v>
      </c>
      <c r="E33" s="10"/>
      <c r="G33" t="s">
        <v>180</v>
      </c>
    </row>
    <row r="34" spans="1:7">
      <c r="A34" t="s">
        <v>79</v>
      </c>
      <c r="B34" s="10">
        <v>-76.713593000000003</v>
      </c>
      <c r="C34" s="10">
        <v>38.784427000000001</v>
      </c>
      <c r="D34" s="10" t="s">
        <v>125</v>
      </c>
      <c r="E34" s="10"/>
      <c r="G34" t="s">
        <v>180</v>
      </c>
    </row>
    <row r="35" spans="1:7">
      <c r="A35" t="s">
        <v>79</v>
      </c>
      <c r="B35">
        <v>-76.457588999999999</v>
      </c>
      <c r="C35">
        <v>39.131529</v>
      </c>
      <c r="D35" s="10" t="s">
        <v>125</v>
      </c>
      <c r="G35" t="s">
        <v>180</v>
      </c>
    </row>
    <row r="36" spans="1:7">
      <c r="A36" t="s">
        <v>79</v>
      </c>
      <c r="B36">
        <v>-76.268676999999997</v>
      </c>
      <c r="C36">
        <v>39.449888999999999</v>
      </c>
      <c r="D36" s="10" t="s">
        <v>125</v>
      </c>
      <c r="G36" t="s">
        <v>180</v>
      </c>
    </row>
    <row r="37" spans="1:7">
      <c r="A37" t="s">
        <v>80</v>
      </c>
      <c r="B37" s="10">
        <v>-76.188846600000005</v>
      </c>
      <c r="C37" s="10">
        <v>38.609043200000002</v>
      </c>
      <c r="D37" s="10" t="s">
        <v>125</v>
      </c>
      <c r="E37" s="10"/>
      <c r="G37" t="s">
        <v>180</v>
      </c>
    </row>
    <row r="38" spans="1:7">
      <c r="A38" t="s">
        <v>81</v>
      </c>
      <c r="B38" s="10">
        <v>-76.382262999999995</v>
      </c>
      <c r="C38" s="10">
        <v>37.247632000000003</v>
      </c>
      <c r="D38" s="10" t="s">
        <v>125</v>
      </c>
      <c r="E38" s="10" t="s">
        <v>142</v>
      </c>
      <c r="F38" s="10" t="s">
        <v>155</v>
      </c>
      <c r="G38" t="s">
        <v>180</v>
      </c>
    </row>
    <row r="39" spans="1:7">
      <c r="A39" t="s">
        <v>82</v>
      </c>
      <c r="B39" s="10">
        <v>-94.1666666666667</v>
      </c>
      <c r="C39" s="10">
        <v>36.200000000000003</v>
      </c>
      <c r="D39" s="10" t="s">
        <v>125</v>
      </c>
      <c r="E39" s="10" t="s">
        <v>141</v>
      </c>
      <c r="F39">
        <v>2009</v>
      </c>
      <c r="G39" t="s">
        <v>180</v>
      </c>
    </row>
    <row r="40" spans="1:7">
      <c r="A40" t="s">
        <v>83</v>
      </c>
      <c r="B40" s="10">
        <v>-94.089297000000002</v>
      </c>
      <c r="C40" s="10">
        <v>36.080810999999997</v>
      </c>
      <c r="D40" s="10" t="s">
        <v>125</v>
      </c>
      <c r="E40" t="s">
        <v>161</v>
      </c>
      <c r="F40" t="s">
        <v>158</v>
      </c>
      <c r="G40" t="s">
        <v>180</v>
      </c>
    </row>
    <row r="41" spans="1:7">
      <c r="A41" t="s">
        <v>84</v>
      </c>
      <c r="B41" s="10">
        <v>-82.323492000000002</v>
      </c>
      <c r="C41" s="10">
        <v>29.645575999999998</v>
      </c>
      <c r="D41" s="10" t="s">
        <v>125</v>
      </c>
      <c r="E41" s="10"/>
      <c r="G41" t="s">
        <v>180</v>
      </c>
    </row>
    <row r="42" spans="1:7">
      <c r="A42" t="s">
        <v>144</v>
      </c>
      <c r="B42" s="10">
        <v>-98.806156999999999</v>
      </c>
      <c r="C42" s="10">
        <v>29.491195399999999</v>
      </c>
      <c r="D42" s="10" t="s">
        <v>124</v>
      </c>
      <c r="E42" s="10" t="s">
        <v>143</v>
      </c>
      <c r="F42" s="10" t="s">
        <v>165</v>
      </c>
      <c r="G42" t="s">
        <v>180</v>
      </c>
    </row>
    <row r="43" spans="1:7">
      <c r="A43" t="s">
        <v>176</v>
      </c>
      <c r="B43" s="10">
        <v>16.163287777777775</v>
      </c>
      <c r="C43" s="10">
        <v>51.627626666666664</v>
      </c>
      <c r="D43" s="10" t="s">
        <v>125</v>
      </c>
      <c r="E43" s="10"/>
      <c r="G43" t="s">
        <v>180</v>
      </c>
    </row>
    <row r="44" spans="1:7">
      <c r="A44" t="s">
        <v>211</v>
      </c>
      <c r="B44">
        <v>-103.3499748</v>
      </c>
      <c r="C44">
        <v>34.178595899999998</v>
      </c>
      <c r="D44" t="s">
        <v>125</v>
      </c>
      <c r="E44" s="10" t="s">
        <v>154</v>
      </c>
      <c r="F44" t="s">
        <v>160</v>
      </c>
      <c r="G44" t="s">
        <v>212</v>
      </c>
    </row>
    <row r="45" spans="1:7">
      <c r="A45" s="10" t="s">
        <v>123</v>
      </c>
      <c r="B45" s="10">
        <v>-75.900000000000006</v>
      </c>
      <c r="C45" s="10">
        <v>39</v>
      </c>
      <c r="D45" s="10" t="s">
        <v>125</v>
      </c>
      <c r="E45" s="10"/>
      <c r="G45" t="s">
        <v>180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2" zoomScale="150" zoomScaleNormal="150" zoomScalePageLayoutView="150" workbookViewId="0">
      <selection activeCell="C22" sqref="C22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7.5" bestFit="1" customWidth="1"/>
    <col min="5" max="5" width="2.6640625" customWidth="1"/>
    <col min="6" max="6" width="14.83203125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23" t="s">
        <v>278</v>
      </c>
      <c r="B1" s="23"/>
      <c r="C1" s="23"/>
      <c r="D1" s="15" t="s">
        <v>213</v>
      </c>
      <c r="F1" s="22" t="s">
        <v>72</v>
      </c>
      <c r="G1" s="22"/>
      <c r="H1" s="22"/>
    </row>
    <row r="2" spans="1:11">
      <c r="A2" s="16" t="s">
        <v>186</v>
      </c>
      <c r="B2" s="17">
        <v>15</v>
      </c>
      <c r="C2" s="16" t="s">
        <v>98</v>
      </c>
      <c r="D2" s="16"/>
      <c r="F2" s="16" t="s">
        <v>0</v>
      </c>
      <c r="G2" s="17">
        <v>365.25</v>
      </c>
      <c r="H2" s="16" t="s">
        <v>1</v>
      </c>
    </row>
    <row r="3" spans="1:11">
      <c r="A3" s="16" t="str">
        <f>A2</f>
        <v>ATS productivity (high lat)</v>
      </c>
      <c r="B3" s="17">
        <f>B2*$G$2*$G$3/$G$4</f>
        <v>54.787500000000001</v>
      </c>
      <c r="C3" s="16" t="s">
        <v>99</v>
      </c>
      <c r="D3" s="16"/>
      <c r="F3" s="16" t="s">
        <v>2</v>
      </c>
      <c r="G3" s="17">
        <f>100*100</f>
        <v>10000</v>
      </c>
      <c r="H3" s="16" t="s">
        <v>102</v>
      </c>
    </row>
    <row r="4" spans="1:11">
      <c r="A4" s="16" t="s">
        <v>187</v>
      </c>
      <c r="B4" s="17">
        <v>25</v>
      </c>
      <c r="C4" s="16" t="s">
        <v>98</v>
      </c>
      <c r="D4" s="16"/>
      <c r="F4" s="16" t="s">
        <v>4</v>
      </c>
      <c r="G4" s="17">
        <v>1000000</v>
      </c>
      <c r="H4" s="16" t="s">
        <v>5</v>
      </c>
    </row>
    <row r="5" spans="1:11">
      <c r="A5" s="12" t="str">
        <f>A4</f>
        <v>ATS productivity (equator)</v>
      </c>
      <c r="B5" s="13">
        <f>B4*$G$2*$G$3/$G$4</f>
        <v>91.3125</v>
      </c>
      <c r="C5" s="12" t="s">
        <v>99</v>
      </c>
      <c r="D5" s="12"/>
      <c r="F5" s="12" t="s">
        <v>192</v>
      </c>
      <c r="G5" s="13">
        <v>1000</v>
      </c>
      <c r="H5" s="12" t="s">
        <v>5</v>
      </c>
    </row>
    <row r="6" spans="1:11">
      <c r="A6" s="12" t="s">
        <v>274</v>
      </c>
      <c r="B6" s="13">
        <v>40</v>
      </c>
      <c r="C6" s="12" t="s">
        <v>93</v>
      </c>
      <c r="D6" s="12"/>
      <c r="F6" s="12" t="s">
        <v>13</v>
      </c>
      <c r="G6" s="13">
        <v>1000000000000000</v>
      </c>
      <c r="H6" s="12" t="s">
        <v>5</v>
      </c>
    </row>
    <row r="7" spans="1:11">
      <c r="A7" s="12" t="s">
        <v>275</v>
      </c>
      <c r="B7" s="13">
        <v>0</v>
      </c>
      <c r="C7" s="12" t="s">
        <v>93</v>
      </c>
      <c r="D7" s="12"/>
      <c r="F7" s="12" t="s">
        <v>207</v>
      </c>
      <c r="G7" s="13">
        <v>1000</v>
      </c>
      <c r="H7" s="13" t="s">
        <v>21</v>
      </c>
    </row>
    <row r="8" spans="1:11">
      <c r="A8" s="12" t="s">
        <v>280</v>
      </c>
      <c r="B8" s="13">
        <f>(B5-B3)/(B7-B6)</f>
        <v>-0.91312499999999996</v>
      </c>
      <c r="C8" s="12" t="s">
        <v>97</v>
      </c>
      <c r="D8" s="12"/>
      <c r="F8" t="s">
        <v>11</v>
      </c>
      <c r="G8" s="1">
        <f>(G9+2*G11)/G9</f>
        <v>3.6641245524935475</v>
      </c>
      <c r="H8" t="s">
        <v>12</v>
      </c>
    </row>
    <row r="9" spans="1:11">
      <c r="A9" s="12" t="s">
        <v>281</v>
      </c>
      <c r="B9" s="13">
        <v>91</v>
      </c>
      <c r="C9" s="12" t="s">
        <v>99</v>
      </c>
      <c r="D9" s="12"/>
      <c r="F9" s="12" t="s">
        <v>69</v>
      </c>
      <c r="G9" s="13">
        <v>12.010999999999999</v>
      </c>
      <c r="H9" s="12" t="s">
        <v>5</v>
      </c>
    </row>
    <row r="10" spans="1:11">
      <c r="A10" s="12" t="s">
        <v>285</v>
      </c>
      <c r="B10" s="13">
        <v>410</v>
      </c>
      <c r="C10" s="12" t="s">
        <v>18</v>
      </c>
      <c r="D10" s="12"/>
      <c r="F10" s="12" t="s">
        <v>70</v>
      </c>
      <c r="G10" s="13">
        <v>14.007</v>
      </c>
      <c r="H10" s="12" t="s">
        <v>5</v>
      </c>
    </row>
    <row r="11" spans="1:11">
      <c r="A11" s="16" t="s">
        <v>286</v>
      </c>
      <c r="B11" s="17">
        <f>B10*G30</f>
        <v>873300000000</v>
      </c>
      <c r="C11" s="16" t="s">
        <v>4</v>
      </c>
      <c r="D11" s="17"/>
      <c r="F11" s="12" t="s">
        <v>73</v>
      </c>
      <c r="G11" s="13">
        <v>15.9994</v>
      </c>
      <c r="H11" s="12" t="s">
        <v>5</v>
      </c>
    </row>
    <row r="12" spans="1:11">
      <c r="A12" s="12" t="s">
        <v>282</v>
      </c>
      <c r="B12" s="13">
        <v>2</v>
      </c>
      <c r="C12" s="12" t="s">
        <v>105</v>
      </c>
      <c r="D12" s="12" t="s">
        <v>277</v>
      </c>
      <c r="F12" s="12" t="s">
        <v>71</v>
      </c>
      <c r="G12" s="13">
        <v>30.97</v>
      </c>
      <c r="H12" s="12" t="s">
        <v>5</v>
      </c>
      <c r="K12" s="1"/>
    </row>
    <row r="13" spans="1:11">
      <c r="A13" s="16" t="s">
        <v>283</v>
      </c>
      <c r="B13" s="17">
        <f>B12*G30</f>
        <v>4260000000</v>
      </c>
      <c r="C13" s="16" t="s">
        <v>100</v>
      </c>
      <c r="D13" s="16"/>
      <c r="F13" s="12" t="s">
        <v>112</v>
      </c>
      <c r="G13" s="13">
        <v>0.5</v>
      </c>
      <c r="H13" s="12" t="s">
        <v>109</v>
      </c>
      <c r="K13" s="1"/>
    </row>
    <row r="14" spans="1:11">
      <c r="F14" s="12" t="s">
        <v>112</v>
      </c>
      <c r="G14" s="13">
        <v>4.8000000000000001E-2</v>
      </c>
      <c r="H14" s="12" t="s">
        <v>110</v>
      </c>
      <c r="K14" s="1"/>
    </row>
    <row r="15" spans="1:11">
      <c r="A15" s="24" t="s">
        <v>279</v>
      </c>
      <c r="B15" s="24"/>
      <c r="C15" s="24"/>
      <c r="D15" s="15" t="s">
        <v>213</v>
      </c>
      <c r="F15" s="12" t="s">
        <v>112</v>
      </c>
      <c r="G15" s="13">
        <v>3.0000000000000001E-3</v>
      </c>
      <c r="H15" s="12" t="s">
        <v>111</v>
      </c>
      <c r="K15" s="1"/>
    </row>
    <row r="16" spans="1:11">
      <c r="A16" s="18" t="s">
        <v>234</v>
      </c>
      <c r="B16" s="19">
        <v>5</v>
      </c>
      <c r="C16" s="18" t="s">
        <v>2</v>
      </c>
      <c r="D16" s="18" t="s">
        <v>288</v>
      </c>
      <c r="F16" s="5" t="s">
        <v>21</v>
      </c>
      <c r="G16" s="14">
        <v>0.26417200000000002</v>
      </c>
      <c r="H16" s="5" t="s">
        <v>26</v>
      </c>
      <c r="K16" s="1"/>
    </row>
    <row r="17" spans="1:11">
      <c r="A17" s="20" t="s">
        <v>16</v>
      </c>
      <c r="B17" s="21">
        <v>75845109000000</v>
      </c>
      <c r="C17" s="20" t="s">
        <v>86</v>
      </c>
      <c r="D17" s="20" t="s">
        <v>289</v>
      </c>
      <c r="F17" s="5" t="s">
        <v>2</v>
      </c>
      <c r="G17" s="14">
        <v>2.47105</v>
      </c>
      <c r="H17" s="5" t="s">
        <v>22</v>
      </c>
      <c r="K17" s="1"/>
    </row>
    <row r="18" spans="1:11">
      <c r="A18" s="12" t="s">
        <v>191</v>
      </c>
      <c r="B18" s="13">
        <v>104.9</v>
      </c>
      <c r="C18" s="12" t="s">
        <v>101</v>
      </c>
      <c r="D18" s="12" t="s">
        <v>284</v>
      </c>
      <c r="F18" s="5" t="s">
        <v>22</v>
      </c>
      <c r="G18" s="14">
        <f>1/G17</f>
        <v>0.40468626697153032</v>
      </c>
      <c r="H18" s="5" t="s">
        <v>2</v>
      </c>
      <c r="I18" s="1"/>
    </row>
    <row r="19" spans="1:11">
      <c r="A19" s="16" t="s">
        <v>191</v>
      </c>
      <c r="B19" s="17">
        <f>B18*$G$6/$G$4</f>
        <v>104900000000</v>
      </c>
      <c r="C19" s="16" t="s">
        <v>100</v>
      </c>
      <c r="D19" s="16"/>
      <c r="F19" s="5" t="s">
        <v>89</v>
      </c>
      <c r="G19" s="14">
        <f>1/2.54</f>
        <v>0.39370078740157477</v>
      </c>
      <c r="H19" s="5" t="s">
        <v>90</v>
      </c>
      <c r="I19" s="1"/>
    </row>
    <row r="20" spans="1:11">
      <c r="A20" s="12" t="s">
        <v>193</v>
      </c>
      <c r="B20" s="13">
        <v>8</v>
      </c>
      <c r="C20" s="12" t="s">
        <v>101</v>
      </c>
      <c r="D20" s="12" t="s">
        <v>284</v>
      </c>
      <c r="F20" s="5" t="s">
        <v>185</v>
      </c>
      <c r="G20" s="14">
        <v>3.28084</v>
      </c>
      <c r="H20" s="14" t="s">
        <v>15</v>
      </c>
      <c r="I20" s="1"/>
    </row>
    <row r="21" spans="1:11">
      <c r="A21" s="16" t="s">
        <v>193</v>
      </c>
      <c r="B21" s="17">
        <f>B20*$G$6/$G$4</f>
        <v>8000000000</v>
      </c>
      <c r="C21" s="16" t="s">
        <v>100</v>
      </c>
      <c r="D21" s="16"/>
      <c r="F21" s="5" t="s">
        <v>207</v>
      </c>
      <c r="G21" s="14">
        <v>1.3079499999999999</v>
      </c>
      <c r="H21" s="14" t="s">
        <v>208</v>
      </c>
    </row>
    <row r="22" spans="1:11">
      <c r="A22" s="12" t="s">
        <v>54</v>
      </c>
      <c r="B22" s="13">
        <v>250000</v>
      </c>
      <c r="C22" s="12" t="s">
        <v>87</v>
      </c>
      <c r="D22" s="12" t="s">
        <v>261</v>
      </c>
      <c r="F22" s="5" t="s">
        <v>91</v>
      </c>
      <c r="G22" s="14">
        <f>1000000*G23/2000</f>
        <v>1.1023099999999999</v>
      </c>
      <c r="H22" s="14" t="s">
        <v>4</v>
      </c>
      <c r="K22" s="1"/>
    </row>
    <row r="23" spans="1:11">
      <c r="A23" s="12" t="s">
        <v>55</v>
      </c>
      <c r="B23" s="13">
        <v>1000000</v>
      </c>
      <c r="C23" s="12" t="s">
        <v>87</v>
      </c>
      <c r="D23" s="12" t="s">
        <v>261</v>
      </c>
      <c r="F23" s="5" t="s">
        <v>5</v>
      </c>
      <c r="G23" s="14">
        <f>0.00220462</f>
        <v>2.20462E-3</v>
      </c>
      <c r="H23" s="5" t="s">
        <v>9</v>
      </c>
      <c r="K23" s="1"/>
    </row>
    <row r="24" spans="1:11">
      <c r="A24" s="12" t="s">
        <v>56</v>
      </c>
      <c r="B24" s="13">
        <v>5</v>
      </c>
      <c r="C24" s="12" t="s">
        <v>107</v>
      </c>
      <c r="D24" s="12" t="s">
        <v>261</v>
      </c>
      <c r="E24" s="1"/>
      <c r="F24" s="5" t="s">
        <v>104</v>
      </c>
      <c r="G24" s="14">
        <v>9.2902999999999998E-6</v>
      </c>
      <c r="H24" s="5" t="s">
        <v>2</v>
      </c>
      <c r="K24" s="1"/>
    </row>
    <row r="25" spans="1:11">
      <c r="A25" s="12" t="s">
        <v>57</v>
      </c>
      <c r="B25" s="13">
        <v>100000</v>
      </c>
      <c r="C25" s="12" t="s">
        <v>92</v>
      </c>
      <c r="D25" s="12" t="s">
        <v>261</v>
      </c>
      <c r="F25" s="5" t="s">
        <v>14</v>
      </c>
      <c r="G25" s="14">
        <v>5280</v>
      </c>
      <c r="H25" s="5" t="s">
        <v>15</v>
      </c>
    </row>
    <row r="26" spans="1:11">
      <c r="A26" s="12" t="s">
        <v>58</v>
      </c>
      <c r="B26" s="13">
        <v>0.05</v>
      </c>
      <c r="C26" s="12" t="s">
        <v>106</v>
      </c>
      <c r="D26" s="12" t="s">
        <v>261</v>
      </c>
      <c r="F26" s="5" t="s">
        <v>9</v>
      </c>
      <c r="G26" s="14">
        <v>0.453592</v>
      </c>
      <c r="H26" s="5" t="s">
        <v>6</v>
      </c>
    </row>
    <row r="27" spans="1:11">
      <c r="A27" s="12" t="s">
        <v>59</v>
      </c>
      <c r="B27" s="13">
        <f>(B$25/B$24)+B22*B$26</f>
        <v>32500</v>
      </c>
      <c r="C27" s="12" t="s">
        <v>88</v>
      </c>
      <c r="D27" s="12"/>
      <c r="F27" s="5" t="s">
        <v>103</v>
      </c>
      <c r="G27" s="14">
        <v>6.4515999999999998E-4</v>
      </c>
      <c r="H27" s="5" t="s">
        <v>102</v>
      </c>
    </row>
    <row r="28" spans="1:11">
      <c r="A28" s="12" t="s">
        <v>60</v>
      </c>
      <c r="B28" s="13">
        <f>(B$25/B$24)+B23*B$26</f>
        <v>70000</v>
      </c>
      <c r="C28" s="12" t="s">
        <v>88</v>
      </c>
      <c r="D28" s="12"/>
      <c r="F28" s="5" t="s">
        <v>14</v>
      </c>
      <c r="G28" s="5">
        <v>1.60934</v>
      </c>
      <c r="H28" s="5" t="s">
        <v>266</v>
      </c>
    </row>
    <row r="29" spans="1:11">
      <c r="A29" s="12" t="s">
        <v>194</v>
      </c>
      <c r="B29" s="13">
        <v>40</v>
      </c>
      <c r="C29" s="12" t="s">
        <v>0</v>
      </c>
      <c r="D29" s="12" t="s">
        <v>261</v>
      </c>
      <c r="F29" s="5" t="s">
        <v>266</v>
      </c>
      <c r="G29" s="14">
        <v>1000</v>
      </c>
      <c r="H29" s="5" t="s">
        <v>185</v>
      </c>
      <c r="I29" s="1"/>
    </row>
    <row r="30" spans="1:11">
      <c r="A30" s="12" t="s">
        <v>195</v>
      </c>
      <c r="B30" s="13">
        <v>20</v>
      </c>
      <c r="C30" s="12" t="s">
        <v>0</v>
      </c>
      <c r="D30" s="12" t="s">
        <v>261</v>
      </c>
      <c r="F30" s="16" t="s">
        <v>290</v>
      </c>
      <c r="G30" s="17">
        <v>2130000000</v>
      </c>
      <c r="H30" s="16" t="s">
        <v>292</v>
      </c>
    </row>
    <row r="31" spans="1:11">
      <c r="A31" s="12" t="s">
        <v>61</v>
      </c>
      <c r="B31" s="13">
        <v>0.1</v>
      </c>
      <c r="C31" s="12" t="s">
        <v>199</v>
      </c>
      <c r="D31" s="12" t="s">
        <v>261</v>
      </c>
      <c r="F31" s="5" t="s">
        <v>4</v>
      </c>
      <c r="G31" s="14">
        <f>1000/G26</f>
        <v>2204.6244201837776</v>
      </c>
      <c r="H31" s="5" t="s">
        <v>9</v>
      </c>
    </row>
    <row r="32" spans="1:11">
      <c r="A32" s="12" t="s">
        <v>203</v>
      </c>
      <c r="B32" s="13">
        <v>50</v>
      </c>
      <c r="C32" s="12" t="s">
        <v>0</v>
      </c>
      <c r="D32" s="12" t="s">
        <v>261</v>
      </c>
      <c r="F32" s="5" t="s">
        <v>4</v>
      </c>
      <c r="G32" s="14">
        <f>G31/2000</f>
        <v>1.1023122100918887</v>
      </c>
      <c r="H32" s="5" t="s">
        <v>291</v>
      </c>
    </row>
    <row r="33" spans="1:13">
      <c r="A33" s="12" t="s">
        <v>204</v>
      </c>
      <c r="B33" s="13">
        <v>100</v>
      </c>
      <c r="C33" s="12" t="s">
        <v>0</v>
      </c>
      <c r="D33" s="12" t="s">
        <v>261</v>
      </c>
    </row>
    <row r="34" spans="1:13">
      <c r="A34" s="12" t="s">
        <v>205</v>
      </c>
      <c r="B34" s="13">
        <v>200</v>
      </c>
      <c r="C34" s="12" t="s">
        <v>0</v>
      </c>
      <c r="D34" s="12" t="s">
        <v>261</v>
      </c>
    </row>
    <row r="35" spans="1:13">
      <c r="A35" s="5"/>
      <c r="B35" s="5"/>
      <c r="C35" s="5"/>
      <c r="D35" s="5"/>
    </row>
    <row r="36" spans="1:13">
      <c r="A36" s="25" t="s">
        <v>64</v>
      </c>
      <c r="B36" s="25"/>
      <c r="C36" s="25"/>
      <c r="D36" s="25"/>
      <c r="E36" s="1"/>
    </row>
    <row r="37" spans="1:13">
      <c r="A37" s="5" t="s">
        <v>65</v>
      </c>
      <c r="B37" s="14" t="s">
        <v>66</v>
      </c>
      <c r="C37" s="5" t="s">
        <v>67</v>
      </c>
      <c r="D37" s="5" t="s">
        <v>68</v>
      </c>
    </row>
    <row r="38" spans="1:13">
      <c r="A38" s="5" t="s">
        <v>7</v>
      </c>
      <c r="B38" s="14">
        <v>106</v>
      </c>
      <c r="C38" s="14">
        <f>G9*B38</f>
        <v>1273.1659999999999</v>
      </c>
      <c r="D38" s="14">
        <f>C38/C$41</f>
        <v>0.83308860865513967</v>
      </c>
    </row>
    <row r="39" spans="1:13">
      <c r="A39" s="5" t="s">
        <v>8</v>
      </c>
      <c r="B39" s="14">
        <v>16</v>
      </c>
      <c r="C39" s="14">
        <f>G10*B39</f>
        <v>224.11199999999999</v>
      </c>
      <c r="D39" s="14">
        <f>C39/C$41</f>
        <v>0.1466463558270647</v>
      </c>
    </row>
    <row r="40" spans="1:13">
      <c r="A40" t="s">
        <v>10</v>
      </c>
      <c r="B40" s="1">
        <v>1</v>
      </c>
      <c r="C40" s="1">
        <f>G12*B40</f>
        <v>30.97</v>
      </c>
      <c r="D40" s="1">
        <f>C40/C$41</f>
        <v>2.026503551779554E-2</v>
      </c>
      <c r="M40" s="9"/>
    </row>
    <row r="41" spans="1:13">
      <c r="B41" s="1"/>
      <c r="C41" s="1">
        <f>SUM(C38:C40)</f>
        <v>1528.248</v>
      </c>
      <c r="D41" s="1"/>
    </row>
    <row r="57" spans="5:5">
      <c r="E57" s="1"/>
    </row>
    <row r="60" spans="5:5">
      <c r="E60" s="1"/>
    </row>
    <row r="83" spans="8:9">
      <c r="H83" s="6"/>
    </row>
    <row r="84" spans="8:9">
      <c r="H84" s="7"/>
    </row>
    <row r="92" spans="8:9">
      <c r="I92" s="4"/>
    </row>
    <row r="93" spans="8:9">
      <c r="I93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24</v>
      </c>
      <c r="E1" t="s">
        <v>25</v>
      </c>
      <c r="M1" t="s">
        <v>26</v>
      </c>
      <c r="N1">
        <v>3.7854100000000002</v>
      </c>
      <c r="O1" t="s">
        <v>21</v>
      </c>
      <c r="R1" t="s">
        <v>221</v>
      </c>
      <c r="S1" s="4" t="s">
        <v>214</v>
      </c>
      <c r="T1" s="4"/>
      <c r="U1" s="4"/>
    </row>
    <row r="2" spans="1:21"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M2" t="s">
        <v>20</v>
      </c>
      <c r="N2" s="2">
        <v>1000000</v>
      </c>
      <c r="O2" t="s">
        <v>21</v>
      </c>
      <c r="R2" t="s">
        <v>222</v>
      </c>
      <c r="S2" t="s">
        <v>215</v>
      </c>
    </row>
    <row r="3" spans="1:21">
      <c r="A3" t="s">
        <v>36</v>
      </c>
      <c r="B3">
        <v>1</v>
      </c>
      <c r="C3">
        <v>3</v>
      </c>
      <c r="E3" t="s">
        <v>37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20</v>
      </c>
      <c r="N3" s="2">
        <f>N2/N1</f>
        <v>264172.17685798893</v>
      </c>
      <c r="O3" t="s">
        <v>26</v>
      </c>
      <c r="R3" t="s">
        <v>223</v>
      </c>
      <c r="S3" s="1">
        <v>53.4</v>
      </c>
      <c r="T3" t="s">
        <v>93</v>
      </c>
    </row>
    <row r="4" spans="1:21">
      <c r="A4" t="s">
        <v>38</v>
      </c>
      <c r="B4">
        <v>5</v>
      </c>
      <c r="C4">
        <v>10</v>
      </c>
      <c r="E4" t="s">
        <v>39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40</v>
      </c>
      <c r="N4">
        <f>24*60</f>
        <v>1440</v>
      </c>
      <c r="O4" t="s">
        <v>27</v>
      </c>
      <c r="R4" t="s">
        <v>224</v>
      </c>
      <c r="S4" s="1">
        <f>'R Variables'!$B$11*Wetlands!S3+'R Variables'!$B$12</f>
        <v>42.239125000000001</v>
      </c>
      <c r="T4" t="s">
        <v>99</v>
      </c>
    </row>
    <row r="5" spans="1:21">
      <c r="E5" t="s">
        <v>41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42</v>
      </c>
      <c r="N5">
        <f>10*N1</f>
        <v>37.854100000000003</v>
      </c>
      <c r="O5" t="s">
        <v>43</v>
      </c>
      <c r="R5" t="s">
        <v>23</v>
      </c>
      <c r="S5" s="1">
        <v>2.8</v>
      </c>
      <c r="T5" t="s">
        <v>99</v>
      </c>
    </row>
    <row r="6" spans="1:21">
      <c r="E6" t="s">
        <v>44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45</v>
      </c>
      <c r="N6">
        <f>N5</f>
        <v>37.854100000000003</v>
      </c>
      <c r="O6" t="s">
        <v>46</v>
      </c>
      <c r="R6" t="s">
        <v>17</v>
      </c>
      <c r="S6" s="1">
        <v>0.35</v>
      </c>
      <c r="T6" t="s">
        <v>199</v>
      </c>
    </row>
    <row r="7" spans="1:21">
      <c r="E7" t="s">
        <v>47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17</v>
      </c>
      <c r="S7" s="1">
        <f>S6*S5</f>
        <v>0.97999999999999987</v>
      </c>
      <c r="T7" t="s">
        <v>99</v>
      </c>
    </row>
    <row r="8" spans="1:21">
      <c r="E8" t="s">
        <v>48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45</v>
      </c>
      <c r="N8">
        <f>N6*1000000/N7</f>
        <v>3785.41</v>
      </c>
      <c r="R8" t="s">
        <v>216</v>
      </c>
      <c r="S8" s="1">
        <v>0.4</v>
      </c>
      <c r="T8" t="s">
        <v>99</v>
      </c>
    </row>
    <row r="9" spans="1:21">
      <c r="E9" t="s">
        <v>49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50</v>
      </c>
      <c r="N9" s="2">
        <f>N8/K13</f>
        <v>85.658420571428564</v>
      </c>
      <c r="O9" t="s">
        <v>51</v>
      </c>
      <c r="R9" t="s">
        <v>19</v>
      </c>
      <c r="S9" s="1">
        <v>0.26</v>
      </c>
      <c r="T9" t="s">
        <v>199</v>
      </c>
    </row>
    <row r="10" spans="1:21">
      <c r="E10" t="s">
        <v>52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19</v>
      </c>
      <c r="S10" s="1">
        <f>S9*S8</f>
        <v>0.10400000000000001</v>
      </c>
      <c r="T10" t="s">
        <v>99</v>
      </c>
    </row>
    <row r="11" spans="1:21">
      <c r="E11" t="s">
        <v>53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218</v>
      </c>
      <c r="S11" s="1">
        <f>S7/Settings!G14</f>
        <v>20.416666666666664</v>
      </c>
      <c r="T11" t="s">
        <v>99</v>
      </c>
    </row>
    <row r="12" spans="1:21">
      <c r="R12" t="s">
        <v>217</v>
      </c>
      <c r="S12" s="1">
        <f>S10/Settings!$G$15</f>
        <v>34.666666666666671</v>
      </c>
      <c r="T12" t="s">
        <v>99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219</v>
      </c>
      <c r="S13" s="1">
        <f>$S$4/S11</f>
        <v>2.0688551020408168</v>
      </c>
      <c r="T13" t="s">
        <v>199</v>
      </c>
    </row>
    <row r="14" spans="1:21">
      <c r="R14" t="s">
        <v>220</v>
      </c>
      <c r="S14" s="1">
        <f>$S$4/S12</f>
        <v>1.218436298076923</v>
      </c>
      <c r="T14" t="s">
        <v>199</v>
      </c>
    </row>
    <row r="16" spans="1:21">
      <c r="R16" t="s">
        <v>221</v>
      </c>
      <c r="S16" s="1" t="s">
        <v>225</v>
      </c>
    </row>
    <row r="17" spans="18:20">
      <c r="R17" t="s">
        <v>222</v>
      </c>
      <c r="S17" s="1" t="s">
        <v>226</v>
      </c>
    </row>
    <row r="18" spans="18:20">
      <c r="R18" t="s">
        <v>223</v>
      </c>
      <c r="S18" s="1">
        <v>7.3</v>
      </c>
      <c r="T18" t="s">
        <v>93</v>
      </c>
    </row>
    <row r="19" spans="18:20">
      <c r="R19" t="s">
        <v>224</v>
      </c>
      <c r="S19" s="1">
        <f>'R Variables'!$B$11*Wetlands!S18+'R Variables'!$B$12</f>
        <v>84.334187499999999</v>
      </c>
      <c r="T19" t="s">
        <v>99</v>
      </c>
    </row>
    <row r="20" spans="18:20">
      <c r="R20" t="s">
        <v>227</v>
      </c>
      <c r="S20" s="1">
        <v>25</v>
      </c>
      <c r="T20" t="s">
        <v>102</v>
      </c>
    </row>
    <row r="21" spans="18:20">
      <c r="R21" t="s">
        <v>227</v>
      </c>
      <c r="S21" s="1">
        <f>S20/Settings!G3</f>
        <v>2.5000000000000001E-3</v>
      </c>
      <c r="T21" t="s">
        <v>2</v>
      </c>
    </row>
    <row r="22" spans="18:20">
      <c r="R22" t="s">
        <v>228</v>
      </c>
      <c r="S22" s="1">
        <v>13</v>
      </c>
      <c r="T22" t="s">
        <v>229</v>
      </c>
    </row>
    <row r="23" spans="18:20">
      <c r="R23" t="s">
        <v>228</v>
      </c>
      <c r="S23" s="1">
        <f>S22*Settings!$G$7</f>
        <v>13000</v>
      </c>
      <c r="T23" t="s">
        <v>206</v>
      </c>
    </row>
    <row r="24" spans="18:20">
      <c r="R24" t="s">
        <v>216</v>
      </c>
      <c r="S24" s="1">
        <v>1.36</v>
      </c>
      <c r="T24" t="s">
        <v>230</v>
      </c>
    </row>
    <row r="25" spans="18:20">
      <c r="R25" t="s">
        <v>216</v>
      </c>
      <c r="S25" s="1">
        <f>S24*$S$23</f>
        <v>17680</v>
      </c>
      <c r="T25" t="s">
        <v>231</v>
      </c>
    </row>
    <row r="26" spans="18:20">
      <c r="R26" t="s">
        <v>19</v>
      </c>
      <c r="S26" s="1">
        <v>0.19</v>
      </c>
      <c r="T26" t="s">
        <v>199</v>
      </c>
    </row>
    <row r="27" spans="18:20">
      <c r="R27" t="s">
        <v>19</v>
      </c>
      <c r="S27" s="1">
        <f>S26*S25</f>
        <v>3359.2</v>
      </c>
      <c r="T27" t="s">
        <v>231</v>
      </c>
    </row>
    <row r="28" spans="18:20">
      <c r="R28" t="s">
        <v>19</v>
      </c>
      <c r="S28" s="1">
        <f>S27*Settings!$G$2</f>
        <v>1226947.8</v>
      </c>
      <c r="T28" t="s">
        <v>232</v>
      </c>
    </row>
    <row r="29" spans="18:20">
      <c r="R29" t="s">
        <v>19</v>
      </c>
      <c r="S29" s="1" t="e">
        <f>S28/(Settings!$G$4*Settings!$G$34)</f>
        <v>#DIV/0!</v>
      </c>
      <c r="T29" t="s">
        <v>100</v>
      </c>
    </row>
    <row r="30" spans="18:20">
      <c r="R30" t="s">
        <v>19</v>
      </c>
      <c r="S30" s="1" t="e">
        <f>S29/S21</f>
        <v>#DIV/0!</v>
      </c>
      <c r="T30" t="s">
        <v>99</v>
      </c>
    </row>
    <row r="31" spans="18:20">
      <c r="R31" t="s">
        <v>217</v>
      </c>
      <c r="S31" s="1" t="e">
        <f>S30/Settings!$G$15</f>
        <v>#DIV/0!</v>
      </c>
      <c r="T31" t="s">
        <v>99</v>
      </c>
    </row>
    <row r="33" spans="18:20">
      <c r="R33" t="s">
        <v>221</v>
      </c>
      <c r="S33" s="1" t="s">
        <v>225</v>
      </c>
    </row>
    <row r="34" spans="18:20">
      <c r="R34" t="s">
        <v>222</v>
      </c>
      <c r="S34" s="1" t="s">
        <v>233</v>
      </c>
    </row>
    <row r="35" spans="18:20">
      <c r="R35" t="s">
        <v>223</v>
      </c>
      <c r="S35" s="1">
        <v>24.8</v>
      </c>
      <c r="T35" t="s">
        <v>93</v>
      </c>
    </row>
    <row r="36" spans="18:20">
      <c r="R36" t="s">
        <v>224</v>
      </c>
      <c r="S36" s="1">
        <f>'R Variables'!$B$11*Wetlands!S35+'R Variables'!$B$12</f>
        <v>68.354500000000002</v>
      </c>
      <c r="T36" t="s">
        <v>99</v>
      </c>
    </row>
    <row r="37" spans="18:20">
      <c r="R37" t="s">
        <v>227</v>
      </c>
      <c r="S37" s="1">
        <v>1.07</v>
      </c>
      <c r="T37" t="s">
        <v>2</v>
      </c>
    </row>
    <row r="38" spans="18:20">
      <c r="R38" t="s">
        <v>228</v>
      </c>
      <c r="S38" s="1">
        <v>4000</v>
      </c>
      <c r="T38" t="s">
        <v>229</v>
      </c>
    </row>
    <row r="39" spans="18:20">
      <c r="R39" t="s">
        <v>228</v>
      </c>
      <c r="S39" s="1">
        <f>S38*Settings!$G$7</f>
        <v>4000000</v>
      </c>
      <c r="T39" t="s">
        <v>206</v>
      </c>
    </row>
    <row r="40" spans="18:20">
      <c r="R40" t="s">
        <v>216</v>
      </c>
      <c r="S40" s="1">
        <v>1.9</v>
      </c>
      <c r="T40" t="s">
        <v>230</v>
      </c>
    </row>
    <row r="41" spans="18:20">
      <c r="R41" t="s">
        <v>216</v>
      </c>
      <c r="S41" s="1">
        <f>S40*$S$23</f>
        <v>24700</v>
      </c>
      <c r="T41" t="s">
        <v>231</v>
      </c>
    </row>
    <row r="42" spans="18:20">
      <c r="R42" t="s">
        <v>19</v>
      </c>
      <c r="S42" s="1">
        <v>0.44</v>
      </c>
      <c r="T42" t="s">
        <v>199</v>
      </c>
    </row>
    <row r="43" spans="18:20">
      <c r="R43" t="s">
        <v>19</v>
      </c>
      <c r="S43" s="1">
        <f>S42*S41</f>
        <v>10868</v>
      </c>
      <c r="T43" t="s">
        <v>231</v>
      </c>
    </row>
    <row r="44" spans="18:20">
      <c r="R44" t="s">
        <v>19</v>
      </c>
      <c r="S44" s="1">
        <f>S43*Settings!$G$2</f>
        <v>3969537</v>
      </c>
      <c r="T44" t="s">
        <v>232</v>
      </c>
    </row>
    <row r="45" spans="18:20">
      <c r="R45" t="s">
        <v>19</v>
      </c>
      <c r="S45" s="1" t="e">
        <f>S44/(Settings!$G$4*Settings!$G$34)</f>
        <v>#DIV/0!</v>
      </c>
      <c r="T45" t="s">
        <v>100</v>
      </c>
    </row>
    <row r="46" spans="18:20">
      <c r="R46" t="s">
        <v>19</v>
      </c>
      <c r="S46" s="1" t="e">
        <f>S45/S37</f>
        <v>#DIV/0!</v>
      </c>
      <c r="T46" t="s">
        <v>99</v>
      </c>
    </row>
    <row r="47" spans="18:20">
      <c r="R47" t="s">
        <v>217</v>
      </c>
      <c r="S47" s="1" t="e">
        <f>S46/Settings!$G$15</f>
        <v>#DIV/0!</v>
      </c>
      <c r="T47" t="s">
        <v>99</v>
      </c>
    </row>
    <row r="51" spans="18:20">
      <c r="R51" t="s">
        <v>23</v>
      </c>
      <c r="T51" t="s">
        <v>99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261</v>
      </c>
      <c r="B1" s="1" t="s">
        <v>62</v>
      </c>
      <c r="C1" t="s">
        <v>63</v>
      </c>
      <c r="D1" t="s">
        <v>262</v>
      </c>
    </row>
    <row r="2" spans="1:4">
      <c r="A2" t="s">
        <v>264</v>
      </c>
      <c r="B2" s="1">
        <f>[1]A!$R$66</f>
        <v>8766049.1899999995</v>
      </c>
      <c r="C2" t="s">
        <v>14</v>
      </c>
      <c r="D2" t="s">
        <v>263</v>
      </c>
    </row>
    <row r="3" spans="1:4">
      <c r="A3" t="s">
        <v>264</v>
      </c>
      <c r="B3" s="1">
        <f>'Highway Costs'!B2*Settings!G29*Settings!G28</f>
        <v>14107553603.434601</v>
      </c>
      <c r="C3" t="s">
        <v>185</v>
      </c>
    </row>
    <row r="4" spans="1:4">
      <c r="A4" t="s">
        <v>267</v>
      </c>
      <c r="B4" s="1">
        <v>12</v>
      </c>
      <c r="C4" t="s">
        <v>15</v>
      </c>
      <c r="D4" t="s">
        <v>276</v>
      </c>
    </row>
    <row r="5" spans="1:4">
      <c r="A5" t="s">
        <v>267</v>
      </c>
      <c r="B5" s="1">
        <f>B4/Settings!G20</f>
        <v>3.6575998829568039</v>
      </c>
      <c r="C5" t="s">
        <v>185</v>
      </c>
    </row>
    <row r="6" spans="1:4">
      <c r="A6" t="s">
        <v>268</v>
      </c>
      <c r="B6" s="1">
        <f>B5*B3</f>
        <v>51599786408.729233</v>
      </c>
      <c r="C6" t="s">
        <v>3</v>
      </c>
    </row>
    <row r="7" spans="1:4">
      <c r="A7" t="s">
        <v>268</v>
      </c>
      <c r="B7" s="1">
        <f>B6/Settings!G3</f>
        <v>5159978.6408729237</v>
      </c>
      <c r="C7" t="s">
        <v>2</v>
      </c>
    </row>
    <row r="8" spans="1:4">
      <c r="A8" t="s">
        <v>269</v>
      </c>
      <c r="B8" s="1">
        <f>1000*[2]HF2!$E$67</f>
        <v>105423740057.83682</v>
      </c>
      <c r="C8" t="s">
        <v>92</v>
      </c>
      <c r="D8" t="s">
        <v>265</v>
      </c>
    </row>
    <row r="9" spans="1:4">
      <c r="A9" t="s">
        <v>270</v>
      </c>
      <c r="B9" s="1">
        <f>1000*[2]HF2!$I$67</f>
        <v>51442240042.163231</v>
      </c>
      <c r="C9" t="s">
        <v>92</v>
      </c>
      <c r="D9" t="s">
        <v>265</v>
      </c>
    </row>
    <row r="10" spans="1:4">
      <c r="A10" t="s">
        <v>271</v>
      </c>
      <c r="B10" s="1">
        <f>B9+B8</f>
        <v>156865980100.00006</v>
      </c>
      <c r="C10" t="s">
        <v>92</v>
      </c>
    </row>
    <row r="11" spans="1:4">
      <c r="A11" t="s">
        <v>271</v>
      </c>
      <c r="B11" s="1">
        <f>B10/B7</f>
        <v>30400.509579137084</v>
      </c>
      <c r="C11" t="s">
        <v>272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2018-01-02T18:28:36Z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