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520" yWindow="760" windowWidth="25600" windowHeight="16060" tabRatio="653"/>
  </bookViews>
  <sheets>
    <sheet name="Settings" sheetId="1" r:id="rId1"/>
    <sheet name="Population" sheetId="9" r:id="rId2"/>
    <sheet name="Boundaries" sheetId="2" r:id="rId3"/>
    <sheet name="Wetlands" sheetId="5" r:id="rId4"/>
    <sheet name="Economics" sheetId="7" r:id="rId5"/>
    <sheet name="Blank" sheetId="4" r:id="rId6"/>
    <sheet name="ATS Locations" sheetId="10" r:id="rId7"/>
    <sheet name="R Variables" sheetId="12" r:id="rId8"/>
    <sheet name="R Population" sheetId="13" r:id="rId9"/>
    <sheet name="MS units" sheetId="14" r:id="rId10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14" l="1"/>
  <c r="D23" i="14"/>
  <c r="D22" i="14"/>
  <c r="D21" i="14"/>
  <c r="D20" i="14"/>
  <c r="D19" i="14"/>
  <c r="D18" i="14"/>
  <c r="D17" i="14"/>
  <c r="D16" i="14"/>
  <c r="D15" i="14"/>
  <c r="D14" i="14"/>
  <c r="B15" i="14"/>
  <c r="B14" i="14"/>
  <c r="D13" i="14"/>
  <c r="B13" i="14"/>
  <c r="D12" i="14"/>
  <c r="B12" i="14"/>
  <c r="S23" i="5"/>
  <c r="S41" i="5"/>
  <c r="S43" i="5"/>
  <c r="S44" i="5"/>
  <c r="S45" i="5"/>
  <c r="S46" i="5"/>
  <c r="S47" i="5"/>
  <c r="S25" i="5"/>
  <c r="S27" i="5"/>
  <c r="S28" i="5"/>
  <c r="S29" i="5"/>
  <c r="S39" i="5"/>
  <c r="G3" i="1"/>
  <c r="B5" i="1"/>
  <c r="B10" i="12"/>
  <c r="B3" i="1"/>
  <c r="B9" i="12"/>
  <c r="B11" i="12"/>
  <c r="B12" i="12"/>
  <c r="S36" i="5"/>
  <c r="S21" i="5"/>
  <c r="S30" i="5"/>
  <c r="S31" i="5"/>
  <c r="S10" i="5"/>
  <c r="S12" i="5"/>
  <c r="S19" i="5"/>
  <c r="S4" i="5"/>
  <c r="S14" i="5"/>
  <c r="S7" i="5"/>
  <c r="S11" i="5"/>
  <c r="S13" i="5"/>
  <c r="B2" i="14"/>
  <c r="B10" i="14"/>
  <c r="B11" i="14"/>
  <c r="G25" i="1"/>
  <c r="G24" i="1"/>
  <c r="D9" i="14"/>
  <c r="D8" i="14"/>
  <c r="D7" i="14"/>
  <c r="D6" i="14"/>
  <c r="D5" i="14"/>
  <c r="B4" i="14"/>
  <c r="D4" i="14"/>
  <c r="C4" i="14"/>
  <c r="B9" i="1"/>
  <c r="B7" i="1"/>
  <c r="B3" i="14"/>
  <c r="D3" i="14"/>
  <c r="D2" i="14"/>
  <c r="C3" i="14"/>
  <c r="A5" i="1"/>
  <c r="A7" i="1"/>
  <c r="C2" i="14"/>
  <c r="A3" i="13"/>
  <c r="B3" i="13"/>
  <c r="A4" i="13"/>
  <c r="B4" i="13"/>
  <c r="A5" i="13"/>
  <c r="B5" i="13"/>
  <c r="A6" i="13"/>
  <c r="B6" i="13"/>
  <c r="A7" i="13"/>
  <c r="B7" i="13"/>
  <c r="A8" i="13"/>
  <c r="B8" i="13"/>
  <c r="A9" i="13"/>
  <c r="B9" i="13"/>
  <c r="A10" i="13"/>
  <c r="B10" i="13"/>
  <c r="A11" i="13"/>
  <c r="B11" i="13"/>
  <c r="A12" i="13"/>
  <c r="B12" i="13"/>
  <c r="A13" i="13"/>
  <c r="B13" i="13"/>
  <c r="A14" i="13"/>
  <c r="B14" i="13"/>
  <c r="A15" i="13"/>
  <c r="B15" i="13"/>
  <c r="A16" i="13"/>
  <c r="B16" i="13"/>
  <c r="A17" i="13"/>
  <c r="B17" i="13"/>
  <c r="A18" i="13"/>
  <c r="B18" i="13"/>
  <c r="A19" i="13"/>
  <c r="B19" i="13"/>
  <c r="A20" i="13"/>
  <c r="B20" i="13"/>
  <c r="A21" i="13"/>
  <c r="B21" i="13"/>
  <c r="A22" i="13"/>
  <c r="B22" i="13"/>
  <c r="A23" i="13"/>
  <c r="B23" i="13"/>
  <c r="A24" i="13"/>
  <c r="B24" i="13"/>
  <c r="A25" i="13"/>
  <c r="B25" i="13"/>
  <c r="A26" i="13"/>
  <c r="B26" i="13"/>
  <c r="A27" i="13"/>
  <c r="B27" i="13"/>
  <c r="A28" i="13"/>
  <c r="B28" i="13"/>
  <c r="A29" i="13"/>
  <c r="B29" i="13"/>
  <c r="A30" i="13"/>
  <c r="B30" i="13"/>
  <c r="A31" i="13"/>
  <c r="B31" i="13"/>
  <c r="A32" i="13"/>
  <c r="B32" i="13"/>
  <c r="A33" i="13"/>
  <c r="B33" i="13"/>
  <c r="A34" i="13"/>
  <c r="B34" i="13"/>
  <c r="A35" i="13"/>
  <c r="B35" i="13"/>
  <c r="A36" i="13"/>
  <c r="B36" i="13"/>
  <c r="A37" i="13"/>
  <c r="B37" i="13"/>
  <c r="A38" i="13"/>
  <c r="B38" i="13"/>
  <c r="A39" i="13"/>
  <c r="B39" i="13"/>
  <c r="A40" i="13"/>
  <c r="B40" i="13"/>
  <c r="A41" i="13"/>
  <c r="B41" i="13"/>
  <c r="A42" i="13"/>
  <c r="B42" i="13"/>
  <c r="A43" i="13"/>
  <c r="B43" i="13"/>
  <c r="A44" i="13"/>
  <c r="B44" i="13"/>
  <c r="A45" i="13"/>
  <c r="B45" i="13"/>
  <c r="A46" i="13"/>
  <c r="B46" i="13"/>
  <c r="A47" i="13"/>
  <c r="B47" i="13"/>
  <c r="A48" i="13"/>
  <c r="B48" i="13"/>
  <c r="A49" i="13"/>
  <c r="B49" i="13"/>
  <c r="A50" i="13"/>
  <c r="B50" i="13"/>
  <c r="A51" i="13"/>
  <c r="B51" i="13"/>
  <c r="A52" i="13"/>
  <c r="B52" i="13"/>
  <c r="A53" i="13"/>
  <c r="B53" i="13"/>
  <c r="A54" i="13"/>
  <c r="B54" i="13"/>
  <c r="A55" i="13"/>
  <c r="B55" i="13"/>
  <c r="A56" i="13"/>
  <c r="B56" i="13"/>
  <c r="A57" i="13"/>
  <c r="B57" i="13"/>
  <c r="A58" i="13"/>
  <c r="B58" i="13"/>
  <c r="A59" i="13"/>
  <c r="B59" i="13"/>
  <c r="A60" i="13"/>
  <c r="B60" i="13"/>
  <c r="A61" i="13"/>
  <c r="B61" i="13"/>
  <c r="A62" i="13"/>
  <c r="B62" i="13"/>
  <c r="A63" i="13"/>
  <c r="B63" i="13"/>
  <c r="A64" i="13"/>
  <c r="B64" i="13"/>
  <c r="A65" i="13"/>
  <c r="B65" i="13"/>
  <c r="A66" i="13"/>
  <c r="B66" i="13"/>
  <c r="A67" i="13"/>
  <c r="B67" i="13"/>
  <c r="A68" i="13"/>
  <c r="B68" i="13"/>
  <c r="A69" i="13"/>
  <c r="B69" i="13"/>
  <c r="A70" i="13"/>
  <c r="B70" i="13"/>
  <c r="A71" i="13"/>
  <c r="B71" i="13"/>
  <c r="A72" i="13"/>
  <c r="B72" i="13"/>
  <c r="A73" i="13"/>
  <c r="B73" i="13"/>
  <c r="A74" i="13"/>
  <c r="B74" i="13"/>
  <c r="A75" i="13"/>
  <c r="B75" i="13"/>
  <c r="A76" i="13"/>
  <c r="B76" i="13"/>
  <c r="A77" i="13"/>
  <c r="B77" i="13"/>
  <c r="A78" i="13"/>
  <c r="B78" i="13"/>
  <c r="A79" i="13"/>
  <c r="B79" i="13"/>
  <c r="A80" i="13"/>
  <c r="B80" i="13"/>
  <c r="A81" i="13"/>
  <c r="B81" i="13"/>
  <c r="A82" i="13"/>
  <c r="B82" i="13"/>
  <c r="A83" i="13"/>
  <c r="B83" i="13"/>
  <c r="A84" i="13"/>
  <c r="B84" i="13"/>
  <c r="A85" i="13"/>
  <c r="B85" i="13"/>
  <c r="A86" i="13"/>
  <c r="B86" i="13"/>
  <c r="A87" i="13"/>
  <c r="B87" i="13"/>
  <c r="A88" i="13"/>
  <c r="B88" i="13"/>
  <c r="A89" i="13"/>
  <c r="B89" i="13"/>
  <c r="A90" i="13"/>
  <c r="B90" i="13"/>
  <c r="A91" i="13"/>
  <c r="B91" i="13"/>
  <c r="A92" i="13"/>
  <c r="B92" i="13"/>
  <c r="A93" i="13"/>
  <c r="B93" i="13"/>
  <c r="A94" i="13"/>
  <c r="B94" i="13"/>
  <c r="A95" i="13"/>
  <c r="B95" i="13"/>
  <c r="A96" i="13"/>
  <c r="B96" i="13"/>
  <c r="A97" i="13"/>
  <c r="B97" i="13"/>
  <c r="A98" i="13"/>
  <c r="B98" i="13"/>
  <c r="A99" i="13"/>
  <c r="B99" i="13"/>
  <c r="A100" i="13"/>
  <c r="B100" i="13"/>
  <c r="A101" i="13"/>
  <c r="B101" i="13"/>
  <c r="A102" i="13"/>
  <c r="B102" i="13"/>
  <c r="A103" i="13"/>
  <c r="B103" i="13"/>
  <c r="A104" i="13"/>
  <c r="B104" i="13"/>
  <c r="A105" i="13"/>
  <c r="B105" i="13"/>
  <c r="A106" i="13"/>
  <c r="B106" i="13"/>
  <c r="A107" i="13"/>
  <c r="B107" i="13"/>
  <c r="A108" i="13"/>
  <c r="B108" i="13"/>
  <c r="A109" i="13"/>
  <c r="B109" i="13"/>
  <c r="A110" i="13"/>
  <c r="B110" i="13"/>
  <c r="A111" i="13"/>
  <c r="B111" i="13"/>
  <c r="A112" i="13"/>
  <c r="B112" i="13"/>
  <c r="A113" i="13"/>
  <c r="B113" i="13"/>
  <c r="A114" i="13"/>
  <c r="B114" i="13"/>
  <c r="A115" i="13"/>
  <c r="B115" i="13"/>
  <c r="A116" i="13"/>
  <c r="B116" i="13"/>
  <c r="A117" i="13"/>
  <c r="B117" i="13"/>
  <c r="A118" i="13"/>
  <c r="B118" i="13"/>
  <c r="A119" i="13"/>
  <c r="B119" i="13"/>
  <c r="A120" i="13"/>
  <c r="B120" i="13"/>
  <c r="A121" i="13"/>
  <c r="B121" i="13"/>
  <c r="A122" i="13"/>
  <c r="B122" i="13"/>
  <c r="A123" i="13"/>
  <c r="B123" i="13"/>
  <c r="A124" i="13"/>
  <c r="B124" i="13"/>
  <c r="A125" i="13"/>
  <c r="B125" i="13"/>
  <c r="A126" i="13"/>
  <c r="B126" i="13"/>
  <c r="A127" i="13"/>
  <c r="B127" i="13"/>
  <c r="A128" i="13"/>
  <c r="B128" i="13"/>
  <c r="A129" i="13"/>
  <c r="B129" i="13"/>
  <c r="A130" i="13"/>
  <c r="B130" i="13"/>
  <c r="A131" i="13"/>
  <c r="B131" i="13"/>
  <c r="A132" i="13"/>
  <c r="B132" i="13"/>
  <c r="A133" i="13"/>
  <c r="B133" i="13"/>
  <c r="A134" i="13"/>
  <c r="B134" i="13"/>
  <c r="A135" i="13"/>
  <c r="B135" i="13"/>
  <c r="A136" i="13"/>
  <c r="B136" i="13"/>
  <c r="A137" i="13"/>
  <c r="B137" i="13"/>
  <c r="A138" i="13"/>
  <c r="B138" i="13"/>
  <c r="A139" i="13"/>
  <c r="B139" i="13"/>
  <c r="A140" i="13"/>
  <c r="B140" i="13"/>
  <c r="A141" i="13"/>
  <c r="B141" i="13"/>
  <c r="A142" i="13"/>
  <c r="B142" i="13"/>
  <c r="A143" i="13"/>
  <c r="B143" i="13"/>
  <c r="A144" i="13"/>
  <c r="B144" i="13"/>
  <c r="A145" i="13"/>
  <c r="B145" i="13"/>
  <c r="A146" i="13"/>
  <c r="B146" i="13"/>
  <c r="A147" i="13"/>
  <c r="B147" i="13"/>
  <c r="A148" i="13"/>
  <c r="B148" i="13"/>
  <c r="A149" i="13"/>
  <c r="B149" i="13"/>
  <c r="A150" i="13"/>
  <c r="B150" i="13"/>
  <c r="A151" i="13"/>
  <c r="B151" i="13"/>
  <c r="A152" i="13"/>
  <c r="B152" i="13"/>
  <c r="A153" i="13"/>
  <c r="B153" i="13"/>
  <c r="A154" i="13"/>
  <c r="B154" i="13"/>
  <c r="A155" i="13"/>
  <c r="B155" i="13"/>
  <c r="A156" i="13"/>
  <c r="B156" i="13"/>
  <c r="A157" i="13"/>
  <c r="B157" i="13"/>
  <c r="A158" i="13"/>
  <c r="B158" i="13"/>
  <c r="A159" i="13"/>
  <c r="B159" i="13"/>
  <c r="A160" i="13"/>
  <c r="B160" i="13"/>
  <c r="A161" i="13"/>
  <c r="B161" i="13"/>
  <c r="A162" i="13"/>
  <c r="B162" i="13"/>
  <c r="A163" i="13"/>
  <c r="B163" i="13"/>
  <c r="A164" i="13"/>
  <c r="B164" i="13"/>
  <c r="A165" i="13"/>
  <c r="B165" i="13"/>
  <c r="A166" i="13"/>
  <c r="B166" i="13"/>
  <c r="A167" i="13"/>
  <c r="B167" i="13"/>
  <c r="A168" i="13"/>
  <c r="B168" i="13"/>
  <c r="A169" i="13"/>
  <c r="B169" i="13"/>
  <c r="A170" i="13"/>
  <c r="B170" i="13"/>
  <c r="A171" i="13"/>
  <c r="B171" i="13"/>
  <c r="A172" i="13"/>
  <c r="B172" i="13"/>
  <c r="A173" i="13"/>
  <c r="B173" i="13"/>
  <c r="A174" i="13"/>
  <c r="B174" i="13"/>
  <c r="A175" i="13"/>
  <c r="B175" i="13"/>
  <c r="A176" i="13"/>
  <c r="B176" i="13"/>
  <c r="A177" i="13"/>
  <c r="B177" i="13"/>
  <c r="A178" i="13"/>
  <c r="B178" i="13"/>
  <c r="A179" i="13"/>
  <c r="B179" i="13"/>
  <c r="A180" i="13"/>
  <c r="B180" i="13"/>
  <c r="A181" i="13"/>
  <c r="B181" i="13"/>
  <c r="A182" i="13"/>
  <c r="B182" i="13"/>
  <c r="A183" i="13"/>
  <c r="B183" i="13"/>
  <c r="A184" i="13"/>
  <c r="B184" i="13"/>
  <c r="A185" i="13"/>
  <c r="B185" i="13"/>
  <c r="A186" i="13"/>
  <c r="B186" i="13"/>
  <c r="A187" i="13"/>
  <c r="B187" i="13"/>
  <c r="A188" i="13"/>
  <c r="B188" i="13"/>
  <c r="A189" i="13"/>
  <c r="B189" i="13"/>
  <c r="A190" i="13"/>
  <c r="B190" i="13"/>
  <c r="A191" i="13"/>
  <c r="B191" i="13"/>
  <c r="A192" i="13"/>
  <c r="B192" i="13"/>
  <c r="A193" i="13"/>
  <c r="B193" i="13"/>
  <c r="A194" i="13"/>
  <c r="B194" i="13"/>
  <c r="A195" i="13"/>
  <c r="B195" i="13"/>
  <c r="A196" i="13"/>
  <c r="B196" i="13"/>
  <c r="A197" i="13"/>
  <c r="B197" i="13"/>
  <c r="A198" i="13"/>
  <c r="B198" i="13"/>
  <c r="A199" i="13"/>
  <c r="B199" i="13"/>
  <c r="A200" i="13"/>
  <c r="B200" i="13"/>
  <c r="A201" i="13"/>
  <c r="B201" i="13"/>
  <c r="A202" i="13"/>
  <c r="B202" i="13"/>
  <c r="A203" i="13"/>
  <c r="B203" i="13"/>
  <c r="A204" i="13"/>
  <c r="B204" i="13"/>
  <c r="A205" i="13"/>
  <c r="B205" i="13"/>
  <c r="A206" i="13"/>
  <c r="B206" i="13"/>
  <c r="A207" i="13"/>
  <c r="B207" i="13"/>
  <c r="A208" i="13"/>
  <c r="B208" i="13"/>
  <c r="A208" i="9"/>
  <c r="B208" i="9"/>
  <c r="B2" i="13"/>
  <c r="A2" i="13"/>
  <c r="B38" i="1"/>
  <c r="B40" i="1"/>
  <c r="B41" i="1"/>
  <c r="B48" i="1"/>
  <c r="C29" i="12"/>
  <c r="B29" i="12"/>
  <c r="C28" i="12"/>
  <c r="B28" i="12"/>
  <c r="C27" i="12"/>
  <c r="B27" i="12"/>
  <c r="C26" i="12"/>
  <c r="B26" i="12"/>
  <c r="C23" i="12"/>
  <c r="B23" i="12"/>
  <c r="C14" i="12"/>
  <c r="B14" i="12"/>
  <c r="C12" i="12"/>
  <c r="C18" i="12"/>
  <c r="C13" i="12"/>
  <c r="B13" i="12"/>
  <c r="B25" i="1"/>
  <c r="B23" i="1"/>
  <c r="C6" i="12"/>
  <c r="G11" i="1"/>
  <c r="B10" i="1"/>
  <c r="B42" i="1"/>
  <c r="B45" i="1"/>
  <c r="B46" i="1"/>
  <c r="B6" i="12"/>
  <c r="C5" i="12"/>
  <c r="B44" i="1"/>
  <c r="B5" i="12"/>
  <c r="B4" i="12"/>
  <c r="B2" i="12"/>
  <c r="C4" i="12"/>
  <c r="C2" i="12"/>
  <c r="C3" i="12"/>
  <c r="B3" i="12"/>
  <c r="C17" i="12"/>
  <c r="B17" i="12"/>
  <c r="C16" i="12"/>
  <c r="B16" i="12"/>
  <c r="C15" i="12"/>
  <c r="B15" i="12"/>
  <c r="C22" i="12"/>
  <c r="B22" i="12"/>
  <c r="C21" i="12"/>
  <c r="B8" i="7"/>
  <c r="B21" i="12"/>
  <c r="C20" i="12"/>
  <c r="B7" i="7"/>
  <c r="B20" i="12"/>
  <c r="B18" i="12"/>
  <c r="B19" i="12"/>
  <c r="B24" i="12"/>
  <c r="B25" i="12"/>
  <c r="C24" i="12"/>
  <c r="C25" i="12"/>
  <c r="G21" i="1"/>
  <c r="B19" i="1"/>
  <c r="B70" i="1"/>
  <c r="B72" i="1"/>
  <c r="B29" i="1"/>
  <c r="B30" i="1"/>
  <c r="B34" i="1"/>
  <c r="B32" i="1"/>
  <c r="B33" i="1"/>
  <c r="B21" i="1"/>
  <c r="B17" i="1"/>
  <c r="A15" i="1"/>
  <c r="A17" i="1"/>
  <c r="B15" i="1"/>
  <c r="B59" i="1"/>
  <c r="B61" i="1"/>
  <c r="A71" i="1"/>
  <c r="A72" i="1"/>
  <c r="B71" i="1"/>
  <c r="B78" i="1"/>
  <c r="B73" i="1"/>
  <c r="B74" i="1"/>
  <c r="B82" i="1"/>
  <c r="B81" i="1"/>
  <c r="B83" i="1"/>
  <c r="B84" i="1"/>
  <c r="AG6" i="2"/>
  <c r="AG4" i="2"/>
  <c r="B85" i="1"/>
  <c r="B86" i="1"/>
  <c r="B88" i="1"/>
  <c r="B87" i="1"/>
  <c r="A84" i="1"/>
  <c r="B77" i="1"/>
  <c r="B60" i="1"/>
  <c r="B67" i="1"/>
  <c r="B66" i="1"/>
  <c r="B64" i="1"/>
  <c r="B65" i="1"/>
  <c r="B62" i="1"/>
  <c r="B63" i="1"/>
  <c r="B75" i="1"/>
  <c r="B76" i="1"/>
  <c r="A74" i="1"/>
  <c r="A19" i="1"/>
  <c r="B20" i="1"/>
  <c r="B16" i="1"/>
  <c r="A20" i="1"/>
  <c r="A16" i="1"/>
  <c r="A3" i="1"/>
  <c r="AE6" i="2"/>
  <c r="AC13" i="2"/>
  <c r="AC12" i="2"/>
  <c r="AC11" i="2"/>
  <c r="AC10" i="2"/>
  <c r="AC9" i="2"/>
  <c r="AC8" i="2"/>
  <c r="AC7" i="2"/>
  <c r="AC6" i="2"/>
  <c r="AC5" i="2"/>
  <c r="AC4" i="2"/>
  <c r="AC3" i="2"/>
  <c r="AD13" i="2"/>
  <c r="AD12" i="2"/>
  <c r="AD11" i="2"/>
  <c r="AD10" i="2"/>
  <c r="AD9" i="2"/>
  <c r="AD8" i="2"/>
  <c r="AD7" i="2"/>
  <c r="AD6" i="2"/>
  <c r="AD5" i="2"/>
  <c r="AD4" i="2"/>
  <c r="AD3" i="2"/>
  <c r="AE12" i="2"/>
  <c r="AE11" i="2"/>
  <c r="AG16" i="2"/>
  <c r="AG15" i="2"/>
  <c r="AG14" i="2"/>
  <c r="AG12" i="2"/>
  <c r="AG13" i="2"/>
  <c r="J6" i="2"/>
  <c r="P15" i="2"/>
  <c r="P16" i="2"/>
  <c r="P17" i="2"/>
  <c r="P18" i="2"/>
  <c r="P19" i="2"/>
  <c r="P20" i="2"/>
  <c r="P21" i="2"/>
  <c r="P22" i="2"/>
  <c r="P23" i="2"/>
  <c r="P24" i="2"/>
  <c r="P25" i="2"/>
  <c r="P26" i="2"/>
  <c r="AG3" i="2"/>
  <c r="N4" i="2"/>
  <c r="N3" i="2"/>
  <c r="AE13" i="2"/>
  <c r="AE10" i="2"/>
  <c r="AE9" i="2"/>
  <c r="AE8" i="2"/>
  <c r="AE7" i="2"/>
  <c r="AE5" i="2"/>
  <c r="AE4" i="2"/>
  <c r="AE3" i="2"/>
  <c r="AG5" i="2"/>
  <c r="AG7" i="2"/>
  <c r="AG11" i="2"/>
  <c r="J13" i="2"/>
  <c r="AG10" i="2"/>
  <c r="G12" i="2"/>
  <c r="AG9" i="2"/>
  <c r="F12" i="2"/>
  <c r="AG8" i="2"/>
  <c r="D13" i="2"/>
  <c r="D12" i="2"/>
  <c r="D11" i="2"/>
  <c r="D10" i="2"/>
  <c r="D9" i="2"/>
  <c r="D8" i="2"/>
  <c r="D7" i="2"/>
  <c r="D6" i="2"/>
  <c r="D5" i="2"/>
  <c r="D4" i="2"/>
  <c r="D3" i="2"/>
  <c r="B40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B17" i="9"/>
  <c r="B16" i="9"/>
  <c r="G17" i="9"/>
  <c r="B18" i="9"/>
  <c r="G18" i="9"/>
  <c r="B19" i="9"/>
  <c r="G19" i="9"/>
  <c r="B20" i="9"/>
  <c r="G20" i="9"/>
  <c r="B21" i="9"/>
  <c r="G21" i="9"/>
  <c r="B22" i="9"/>
  <c r="G22" i="9"/>
  <c r="B23" i="9"/>
  <c r="G23" i="9"/>
  <c r="B24" i="9"/>
  <c r="G24" i="9"/>
  <c r="B25" i="9"/>
  <c r="G25" i="9"/>
  <c r="B26" i="9"/>
  <c r="G26" i="9"/>
  <c r="B27" i="9"/>
  <c r="G27" i="9"/>
  <c r="B28" i="9"/>
  <c r="G28" i="9"/>
  <c r="B29" i="9"/>
  <c r="G29" i="9"/>
  <c r="B30" i="9"/>
  <c r="G30" i="9"/>
  <c r="B31" i="9"/>
  <c r="G31" i="9"/>
  <c r="B32" i="9"/>
  <c r="G32" i="9"/>
  <c r="B33" i="9"/>
  <c r="G33" i="9"/>
  <c r="B34" i="9"/>
  <c r="G34" i="9"/>
  <c r="B35" i="9"/>
  <c r="G35" i="9"/>
  <c r="B36" i="9"/>
  <c r="G36" i="9"/>
  <c r="B37" i="9"/>
  <c r="G37" i="9"/>
  <c r="B38" i="9"/>
  <c r="G38" i="9"/>
  <c r="B39" i="9"/>
  <c r="G39" i="9"/>
  <c r="G40" i="9"/>
  <c r="I1" i="9" a="1"/>
  <c r="I1" i="9"/>
  <c r="J1" i="9"/>
  <c r="F41" i="9"/>
  <c r="B41" i="9"/>
  <c r="A42" i="9"/>
  <c r="F42" i="9"/>
  <c r="B42" i="9"/>
  <c r="A43" i="9"/>
  <c r="F43" i="9"/>
  <c r="B43" i="9"/>
  <c r="A44" i="9"/>
  <c r="F44" i="9"/>
  <c r="B44" i="9"/>
  <c r="A45" i="9"/>
  <c r="F45" i="9"/>
  <c r="B45" i="9"/>
  <c r="A46" i="9"/>
  <c r="F46" i="9"/>
  <c r="B46" i="9"/>
  <c r="A47" i="9"/>
  <c r="F47" i="9"/>
  <c r="B47" i="9"/>
  <c r="A48" i="9"/>
  <c r="F48" i="9"/>
  <c r="B48" i="9"/>
  <c r="A49" i="9"/>
  <c r="F49" i="9"/>
  <c r="B49" i="9"/>
  <c r="A50" i="9"/>
  <c r="F50" i="9"/>
  <c r="B50" i="9"/>
  <c r="A51" i="9"/>
  <c r="F51" i="9"/>
  <c r="B51" i="9"/>
  <c r="A52" i="9"/>
  <c r="F52" i="9"/>
  <c r="B52" i="9"/>
  <c r="A53" i="9"/>
  <c r="F53" i="9"/>
  <c r="B53" i="9"/>
  <c r="A54" i="9"/>
  <c r="F54" i="9"/>
  <c r="B54" i="9"/>
  <c r="A55" i="9"/>
  <c r="F55" i="9"/>
  <c r="B55" i="9"/>
  <c r="A56" i="9"/>
  <c r="F56" i="9"/>
  <c r="B56" i="9"/>
  <c r="A57" i="9"/>
  <c r="F57" i="9"/>
  <c r="B57" i="9"/>
  <c r="A58" i="9"/>
  <c r="F58" i="9"/>
  <c r="B58" i="9"/>
  <c r="A59" i="9"/>
  <c r="F59" i="9"/>
  <c r="B59" i="9"/>
  <c r="A60" i="9"/>
  <c r="F60" i="9"/>
  <c r="B60" i="9"/>
  <c r="A61" i="9"/>
  <c r="F61" i="9"/>
  <c r="B61" i="9"/>
  <c r="A62" i="9"/>
  <c r="F62" i="9"/>
  <c r="B62" i="9"/>
  <c r="A63" i="9"/>
  <c r="F63" i="9"/>
  <c r="B63" i="9"/>
  <c r="A64" i="9"/>
  <c r="F64" i="9"/>
  <c r="B64" i="9"/>
  <c r="A65" i="9"/>
  <c r="F65" i="9"/>
  <c r="B65" i="9"/>
  <c r="A66" i="9"/>
  <c r="F66" i="9"/>
  <c r="B66" i="9"/>
  <c r="A67" i="9"/>
  <c r="F67" i="9"/>
  <c r="B67" i="9"/>
  <c r="A68" i="9"/>
  <c r="F68" i="9"/>
  <c r="B68" i="9"/>
  <c r="A69" i="9"/>
  <c r="F69" i="9"/>
  <c r="B69" i="9"/>
  <c r="A70" i="9"/>
  <c r="F70" i="9"/>
  <c r="B70" i="9"/>
  <c r="A71" i="9"/>
  <c r="F71" i="9"/>
  <c r="B71" i="9"/>
  <c r="A72" i="9"/>
  <c r="F72" i="9"/>
  <c r="B72" i="9"/>
  <c r="A73" i="9"/>
  <c r="F73" i="9"/>
  <c r="B73" i="9"/>
  <c r="A74" i="9"/>
  <c r="F74" i="9"/>
  <c r="B74" i="9"/>
  <c r="A75" i="9"/>
  <c r="F75" i="9"/>
  <c r="B75" i="9"/>
  <c r="A76" i="9"/>
  <c r="F76" i="9"/>
  <c r="B76" i="9"/>
  <c r="A77" i="9"/>
  <c r="F77" i="9"/>
  <c r="B77" i="9"/>
  <c r="A78" i="9"/>
  <c r="F78" i="9"/>
  <c r="B78" i="9"/>
  <c r="A79" i="9"/>
  <c r="F79" i="9"/>
  <c r="B79" i="9"/>
  <c r="A80" i="9"/>
  <c r="F80" i="9"/>
  <c r="B80" i="9"/>
  <c r="A81" i="9"/>
  <c r="F81" i="9"/>
  <c r="B81" i="9"/>
  <c r="A82" i="9"/>
  <c r="F82" i="9"/>
  <c r="B82" i="9"/>
  <c r="A83" i="9"/>
  <c r="F83" i="9"/>
  <c r="B83" i="9"/>
  <c r="A84" i="9"/>
  <c r="F84" i="9"/>
  <c r="B84" i="9"/>
  <c r="A85" i="9"/>
  <c r="F85" i="9"/>
  <c r="B85" i="9"/>
  <c r="A86" i="9"/>
  <c r="F86" i="9"/>
  <c r="B86" i="9"/>
  <c r="A87" i="9"/>
  <c r="F87" i="9"/>
  <c r="B87" i="9"/>
  <c r="A88" i="9"/>
  <c r="F88" i="9"/>
  <c r="B88" i="9"/>
  <c r="A89" i="9"/>
  <c r="F89" i="9"/>
  <c r="B89" i="9"/>
  <c r="A90" i="9"/>
  <c r="F90" i="9"/>
  <c r="B90" i="9"/>
  <c r="A91" i="9"/>
  <c r="F91" i="9"/>
  <c r="B91" i="9"/>
  <c r="A92" i="9"/>
  <c r="F92" i="9"/>
  <c r="B92" i="9"/>
  <c r="A93" i="9"/>
  <c r="F93" i="9"/>
  <c r="B93" i="9"/>
  <c r="A94" i="9"/>
  <c r="F94" i="9"/>
  <c r="B94" i="9"/>
  <c r="A95" i="9"/>
  <c r="F95" i="9"/>
  <c r="B95" i="9"/>
  <c r="A96" i="9"/>
  <c r="F96" i="9"/>
  <c r="B96" i="9"/>
  <c r="A97" i="9"/>
  <c r="F97" i="9"/>
  <c r="B97" i="9"/>
  <c r="A98" i="9"/>
  <c r="F98" i="9"/>
  <c r="B98" i="9"/>
  <c r="A99" i="9"/>
  <c r="F99" i="9"/>
  <c r="B99" i="9"/>
  <c r="A100" i="9"/>
  <c r="F100" i="9"/>
  <c r="B100" i="9"/>
  <c r="A101" i="9"/>
  <c r="F101" i="9"/>
  <c r="B101" i="9"/>
  <c r="A102" i="9"/>
  <c r="F102" i="9"/>
  <c r="B102" i="9"/>
  <c r="A103" i="9"/>
  <c r="F103" i="9"/>
  <c r="B103" i="9"/>
  <c r="A104" i="9"/>
  <c r="F104" i="9"/>
  <c r="B104" i="9"/>
  <c r="A105" i="9"/>
  <c r="F105" i="9"/>
  <c r="B105" i="9"/>
  <c r="A106" i="9"/>
  <c r="F106" i="9"/>
  <c r="B106" i="9"/>
  <c r="A107" i="9"/>
  <c r="F107" i="9"/>
  <c r="B107" i="9"/>
  <c r="A108" i="9"/>
  <c r="F108" i="9"/>
  <c r="B108" i="9"/>
  <c r="A109" i="9"/>
  <c r="F109" i="9"/>
  <c r="B109" i="9"/>
  <c r="A110" i="9"/>
  <c r="F110" i="9"/>
  <c r="B110" i="9"/>
  <c r="A111" i="9"/>
  <c r="F111" i="9"/>
  <c r="B111" i="9"/>
  <c r="A112" i="9"/>
  <c r="F112" i="9"/>
  <c r="B112" i="9"/>
  <c r="A113" i="9"/>
  <c r="F113" i="9"/>
  <c r="B113" i="9"/>
  <c r="A114" i="9"/>
  <c r="F114" i="9"/>
  <c r="B114" i="9"/>
  <c r="A115" i="9"/>
  <c r="F115" i="9"/>
  <c r="B115" i="9"/>
  <c r="A116" i="9"/>
  <c r="F116" i="9"/>
  <c r="B116" i="9"/>
  <c r="A117" i="9"/>
  <c r="F117" i="9"/>
  <c r="B117" i="9"/>
  <c r="A118" i="9"/>
  <c r="F118" i="9"/>
  <c r="B118" i="9"/>
  <c r="A119" i="9"/>
  <c r="F119" i="9"/>
  <c r="B119" i="9"/>
  <c r="A120" i="9"/>
  <c r="F120" i="9"/>
  <c r="B120" i="9"/>
  <c r="A121" i="9"/>
  <c r="F121" i="9"/>
  <c r="B121" i="9"/>
  <c r="A122" i="9"/>
  <c r="F122" i="9"/>
  <c r="B122" i="9"/>
  <c r="A123" i="9"/>
  <c r="F123" i="9"/>
  <c r="B123" i="9"/>
  <c r="A124" i="9"/>
  <c r="F124" i="9"/>
  <c r="B124" i="9"/>
  <c r="A125" i="9"/>
  <c r="F125" i="9"/>
  <c r="B125" i="9"/>
  <c r="A126" i="9"/>
  <c r="F126" i="9"/>
  <c r="B126" i="9"/>
  <c r="A127" i="9"/>
  <c r="F127" i="9"/>
  <c r="B127" i="9"/>
  <c r="A128" i="9"/>
  <c r="F128" i="9"/>
  <c r="B128" i="9"/>
  <c r="A129" i="9"/>
  <c r="F129" i="9"/>
  <c r="B129" i="9"/>
  <c r="A130" i="9"/>
  <c r="F130" i="9"/>
  <c r="B130" i="9"/>
  <c r="A131" i="9"/>
  <c r="F131" i="9"/>
  <c r="B131" i="9"/>
  <c r="A132" i="9"/>
  <c r="F132" i="9"/>
  <c r="B132" i="9"/>
  <c r="A133" i="9"/>
  <c r="F133" i="9"/>
  <c r="B133" i="9"/>
  <c r="A134" i="9"/>
  <c r="F134" i="9"/>
  <c r="B134" i="9"/>
  <c r="A135" i="9"/>
  <c r="F135" i="9"/>
  <c r="B135" i="9"/>
  <c r="A136" i="9"/>
  <c r="F136" i="9"/>
  <c r="B136" i="9"/>
  <c r="A137" i="9"/>
  <c r="F137" i="9"/>
  <c r="B137" i="9"/>
  <c r="A138" i="9"/>
  <c r="F138" i="9"/>
  <c r="B138" i="9"/>
  <c r="A139" i="9"/>
  <c r="F139" i="9"/>
  <c r="B139" i="9"/>
  <c r="A140" i="9"/>
  <c r="F140" i="9"/>
  <c r="B140" i="9"/>
  <c r="A141" i="9"/>
  <c r="F141" i="9"/>
  <c r="B141" i="9"/>
  <c r="A142" i="9"/>
  <c r="F142" i="9"/>
  <c r="B142" i="9"/>
  <c r="A143" i="9"/>
  <c r="F143" i="9"/>
  <c r="B143" i="9"/>
  <c r="A144" i="9"/>
  <c r="F144" i="9"/>
  <c r="B144" i="9"/>
  <c r="A145" i="9"/>
  <c r="F145" i="9"/>
  <c r="B145" i="9"/>
  <c r="A146" i="9"/>
  <c r="F146" i="9"/>
  <c r="B146" i="9"/>
  <c r="A147" i="9"/>
  <c r="F147" i="9"/>
  <c r="B147" i="9"/>
  <c r="A148" i="9"/>
  <c r="F148" i="9"/>
  <c r="B148" i="9"/>
  <c r="A149" i="9"/>
  <c r="F149" i="9"/>
  <c r="B149" i="9"/>
  <c r="A150" i="9"/>
  <c r="F150" i="9"/>
  <c r="B150" i="9"/>
  <c r="A151" i="9"/>
  <c r="F151" i="9"/>
  <c r="B151" i="9"/>
  <c r="A152" i="9"/>
  <c r="F152" i="9"/>
  <c r="B152" i="9"/>
  <c r="A153" i="9"/>
  <c r="F153" i="9"/>
  <c r="B153" i="9"/>
  <c r="A154" i="9"/>
  <c r="F154" i="9"/>
  <c r="B154" i="9"/>
  <c r="A155" i="9"/>
  <c r="F155" i="9"/>
  <c r="B155" i="9"/>
  <c r="A156" i="9"/>
  <c r="F156" i="9"/>
  <c r="B156" i="9"/>
  <c r="A157" i="9"/>
  <c r="F157" i="9"/>
  <c r="B157" i="9"/>
  <c r="A158" i="9"/>
  <c r="F158" i="9"/>
  <c r="B158" i="9"/>
  <c r="A159" i="9"/>
  <c r="F159" i="9"/>
  <c r="B159" i="9"/>
  <c r="A160" i="9"/>
  <c r="F160" i="9"/>
  <c r="B160" i="9"/>
  <c r="A161" i="9"/>
  <c r="F161" i="9"/>
  <c r="B161" i="9"/>
  <c r="A162" i="9"/>
  <c r="F162" i="9"/>
  <c r="B162" i="9"/>
  <c r="A163" i="9"/>
  <c r="F163" i="9"/>
  <c r="B163" i="9"/>
  <c r="A164" i="9"/>
  <c r="F164" i="9"/>
  <c r="B164" i="9"/>
  <c r="A165" i="9"/>
  <c r="F165" i="9"/>
  <c r="B165" i="9"/>
  <c r="A166" i="9"/>
  <c r="F166" i="9"/>
  <c r="B166" i="9"/>
  <c r="A167" i="9"/>
  <c r="F167" i="9"/>
  <c r="B167" i="9"/>
  <c r="A168" i="9"/>
  <c r="F168" i="9"/>
  <c r="B168" i="9"/>
  <c r="A169" i="9"/>
  <c r="F169" i="9"/>
  <c r="B169" i="9"/>
  <c r="A170" i="9"/>
  <c r="F170" i="9"/>
  <c r="B170" i="9"/>
  <c r="A171" i="9"/>
  <c r="F171" i="9"/>
  <c r="B171" i="9"/>
  <c r="A172" i="9"/>
  <c r="F172" i="9"/>
  <c r="B172" i="9"/>
  <c r="A173" i="9"/>
  <c r="F173" i="9"/>
  <c r="B173" i="9"/>
  <c r="A174" i="9"/>
  <c r="F174" i="9"/>
  <c r="B174" i="9"/>
  <c r="A175" i="9"/>
  <c r="F175" i="9"/>
  <c r="B175" i="9"/>
  <c r="A176" i="9"/>
  <c r="F176" i="9"/>
  <c r="B176" i="9"/>
  <c r="A177" i="9"/>
  <c r="F177" i="9"/>
  <c r="B177" i="9"/>
  <c r="A178" i="9"/>
  <c r="F178" i="9"/>
  <c r="B178" i="9"/>
  <c r="A179" i="9"/>
  <c r="F179" i="9"/>
  <c r="B179" i="9"/>
  <c r="A180" i="9"/>
  <c r="F180" i="9"/>
  <c r="B180" i="9"/>
  <c r="A181" i="9"/>
  <c r="F181" i="9"/>
  <c r="B181" i="9"/>
  <c r="A182" i="9"/>
  <c r="F182" i="9"/>
  <c r="B182" i="9"/>
  <c r="A183" i="9"/>
  <c r="F183" i="9"/>
  <c r="B183" i="9"/>
  <c r="A184" i="9"/>
  <c r="F184" i="9"/>
  <c r="B184" i="9"/>
  <c r="A185" i="9"/>
  <c r="F185" i="9"/>
  <c r="B185" i="9"/>
  <c r="A186" i="9"/>
  <c r="F186" i="9"/>
  <c r="B186" i="9"/>
  <c r="A187" i="9"/>
  <c r="F187" i="9"/>
  <c r="B187" i="9"/>
  <c r="A188" i="9"/>
  <c r="F188" i="9"/>
  <c r="B188" i="9"/>
  <c r="A189" i="9"/>
  <c r="F189" i="9"/>
  <c r="B189" i="9"/>
  <c r="A190" i="9"/>
  <c r="F190" i="9"/>
  <c r="B190" i="9"/>
  <c r="A191" i="9"/>
  <c r="F191" i="9"/>
  <c r="B191" i="9"/>
  <c r="A192" i="9"/>
  <c r="F192" i="9"/>
  <c r="B192" i="9"/>
  <c r="A193" i="9"/>
  <c r="F193" i="9"/>
  <c r="B193" i="9"/>
  <c r="A194" i="9"/>
  <c r="F194" i="9"/>
  <c r="B194" i="9"/>
  <c r="A195" i="9"/>
  <c r="F195" i="9"/>
  <c r="B195" i="9"/>
  <c r="A196" i="9"/>
  <c r="F196" i="9"/>
  <c r="B196" i="9"/>
  <c r="A197" i="9"/>
  <c r="F197" i="9"/>
  <c r="B197" i="9"/>
  <c r="A198" i="9"/>
  <c r="F198" i="9"/>
  <c r="B198" i="9"/>
  <c r="A199" i="9"/>
  <c r="F199" i="9"/>
  <c r="B199" i="9"/>
  <c r="A200" i="9"/>
  <c r="F200" i="9"/>
  <c r="B200" i="9"/>
  <c r="A201" i="9"/>
  <c r="F201" i="9"/>
  <c r="B201" i="9"/>
  <c r="A202" i="9"/>
  <c r="F202" i="9"/>
  <c r="B202" i="9"/>
  <c r="A203" i="9"/>
  <c r="F203" i="9"/>
  <c r="B203" i="9"/>
  <c r="A204" i="9"/>
  <c r="F204" i="9"/>
  <c r="B204" i="9"/>
  <c r="A205" i="9"/>
  <c r="F205" i="9"/>
  <c r="B205" i="9"/>
  <c r="A206" i="9"/>
  <c r="F206" i="9"/>
  <c r="B206" i="9"/>
  <c r="A207" i="9"/>
  <c r="F207" i="9"/>
  <c r="B207" i="9"/>
  <c r="T207" i="9"/>
  <c r="T206" i="9"/>
  <c r="T205" i="9"/>
  <c r="T204" i="9"/>
  <c r="T203" i="9"/>
  <c r="T202" i="9"/>
  <c r="T201" i="9"/>
  <c r="T200" i="9"/>
  <c r="T199" i="9"/>
  <c r="T198" i="9"/>
  <c r="T197" i="9"/>
  <c r="T196" i="9"/>
  <c r="T195" i="9"/>
  <c r="T194" i="9"/>
  <c r="T193" i="9"/>
  <c r="T192" i="9"/>
  <c r="T191" i="9"/>
  <c r="T190" i="9"/>
  <c r="T189" i="9"/>
  <c r="T188" i="9"/>
  <c r="T187" i="9"/>
  <c r="T186" i="9"/>
  <c r="T185" i="9"/>
  <c r="T184" i="9"/>
  <c r="T183" i="9"/>
  <c r="T182" i="9"/>
  <c r="T181" i="9"/>
  <c r="T180" i="9"/>
  <c r="T179" i="9"/>
  <c r="T178" i="9"/>
  <c r="T177" i="9"/>
  <c r="T176" i="9"/>
  <c r="T175" i="9"/>
  <c r="T174" i="9"/>
  <c r="T173" i="9"/>
  <c r="T172" i="9"/>
  <c r="T171" i="9"/>
  <c r="T170" i="9"/>
  <c r="T169" i="9"/>
  <c r="T168" i="9"/>
  <c r="T167" i="9"/>
  <c r="T166" i="9"/>
  <c r="T165" i="9"/>
  <c r="T164" i="9"/>
  <c r="T163" i="9"/>
  <c r="T162" i="9"/>
  <c r="T161" i="9"/>
  <c r="T160" i="9"/>
  <c r="T159" i="9"/>
  <c r="T158" i="9"/>
  <c r="T157" i="9"/>
  <c r="T156" i="9"/>
  <c r="T155" i="9"/>
  <c r="T154" i="9"/>
  <c r="T153" i="9"/>
  <c r="T152" i="9"/>
  <c r="T151" i="9"/>
  <c r="T150" i="9"/>
  <c r="T149" i="9"/>
  <c r="T148" i="9"/>
  <c r="T147" i="9"/>
  <c r="T146" i="9"/>
  <c r="T145" i="9"/>
  <c r="T144" i="9"/>
  <c r="T143" i="9"/>
  <c r="T142" i="9"/>
  <c r="T141" i="9"/>
  <c r="T140" i="9"/>
  <c r="T139" i="9"/>
  <c r="T138" i="9"/>
  <c r="T137" i="9"/>
  <c r="T136" i="9"/>
  <c r="T135" i="9"/>
  <c r="T134" i="9"/>
  <c r="T133" i="9"/>
  <c r="T132" i="9"/>
  <c r="T131" i="9"/>
  <c r="T130" i="9"/>
  <c r="T129" i="9"/>
  <c r="T128" i="9"/>
  <c r="T127" i="9"/>
  <c r="T126" i="9"/>
  <c r="T125" i="9"/>
  <c r="T124" i="9"/>
  <c r="T123" i="9"/>
  <c r="T122" i="9"/>
  <c r="T121" i="9"/>
  <c r="T120" i="9"/>
  <c r="T119" i="9"/>
  <c r="T118" i="9"/>
  <c r="T117" i="9"/>
  <c r="T116" i="9"/>
  <c r="T115" i="9"/>
  <c r="T114" i="9"/>
  <c r="T113" i="9"/>
  <c r="T112" i="9"/>
  <c r="T111" i="9"/>
  <c r="T110" i="9"/>
  <c r="T109" i="9"/>
  <c r="T108" i="9"/>
  <c r="T107" i="9"/>
  <c r="T106" i="9"/>
  <c r="T105" i="9"/>
  <c r="T104" i="9"/>
  <c r="T103" i="9"/>
  <c r="T102" i="9"/>
  <c r="T101" i="9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B15" i="9"/>
  <c r="T15" i="9"/>
  <c r="B14" i="9"/>
  <c r="T14" i="9"/>
  <c r="B13" i="9"/>
  <c r="T13" i="9"/>
  <c r="B12" i="9"/>
  <c r="T12" i="9"/>
  <c r="B11" i="9"/>
  <c r="T11" i="9"/>
  <c r="B10" i="9"/>
  <c r="T10" i="9"/>
  <c r="B9" i="9"/>
  <c r="T9" i="9"/>
  <c r="B8" i="9"/>
  <c r="T8" i="9"/>
  <c r="B7" i="9"/>
  <c r="T7" i="9"/>
  <c r="T6" i="9"/>
  <c r="H207" i="9"/>
  <c r="E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F1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B6" i="9"/>
  <c r="C6" i="9"/>
  <c r="B5" i="9"/>
  <c r="C5" i="9"/>
  <c r="B4" i="9"/>
  <c r="C4" i="9"/>
  <c r="B3" i="9"/>
  <c r="C3" i="9"/>
  <c r="B2" i="9"/>
  <c r="C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K13" i="2"/>
  <c r="B11" i="1"/>
  <c r="I3" i="5"/>
  <c r="N4" i="5"/>
  <c r="J3" i="5"/>
  <c r="K3" i="5"/>
  <c r="I4" i="5"/>
  <c r="J4" i="5"/>
  <c r="K4" i="5"/>
  <c r="I5" i="5"/>
  <c r="J5" i="5"/>
  <c r="K5" i="5"/>
  <c r="I6" i="5"/>
  <c r="J6" i="5"/>
  <c r="K6" i="5"/>
  <c r="I7" i="5"/>
  <c r="J7" i="5"/>
  <c r="K7" i="5"/>
  <c r="I8" i="5"/>
  <c r="J8" i="5"/>
  <c r="K8" i="5"/>
  <c r="I9" i="5"/>
  <c r="J9" i="5"/>
  <c r="K9" i="5"/>
  <c r="I10" i="5"/>
  <c r="J10" i="5"/>
  <c r="K10" i="5"/>
  <c r="I11" i="5"/>
  <c r="J11" i="5"/>
  <c r="K11" i="5"/>
  <c r="K13" i="5"/>
  <c r="J13" i="5"/>
  <c r="N5" i="5"/>
  <c r="N6" i="5"/>
  <c r="N8" i="5"/>
  <c r="N9" i="5"/>
  <c r="N3" i="5"/>
  <c r="B43" i="1"/>
  <c r="B113" i="1"/>
  <c r="B115" i="1"/>
  <c r="B116" i="1"/>
  <c r="C52" i="1"/>
  <c r="C53" i="1"/>
  <c r="C54" i="1"/>
  <c r="C55" i="1"/>
  <c r="D54" i="1"/>
  <c r="D53" i="1"/>
  <c r="G9" i="1"/>
  <c r="D52" i="1"/>
</calcChain>
</file>

<file path=xl/sharedStrings.xml><?xml version="1.0" encoding="utf-8"?>
<sst xmlns="http://schemas.openxmlformats.org/spreadsheetml/2006/main" count="1015" uniqueCount="441">
  <si>
    <t>Parameters</t>
  </si>
  <si>
    <t>yr</t>
  </si>
  <si>
    <t>d</t>
  </si>
  <si>
    <t>ha</t>
  </si>
  <si>
    <t>m^2</t>
  </si>
  <si>
    <t>t</t>
  </si>
  <si>
    <t>g</t>
  </si>
  <si>
    <t>Global P applied</t>
  </si>
  <si>
    <t>kg</t>
  </si>
  <si>
    <t>C</t>
  </si>
  <si>
    <t>N</t>
  </si>
  <si>
    <t>lb</t>
  </si>
  <si>
    <t>P</t>
  </si>
  <si>
    <t>g C</t>
  </si>
  <si>
    <t>g CO2</t>
  </si>
  <si>
    <t>Tg</t>
  </si>
  <si>
    <t>Net atmospheric C</t>
  </si>
  <si>
    <t>Pg</t>
  </si>
  <si>
    <t>mi</t>
  </si>
  <si>
    <t>ft</t>
  </si>
  <si>
    <t>Gross World Product</t>
  </si>
  <si>
    <t>Biomass implied</t>
  </si>
  <si>
    <t>N removed</t>
  </si>
  <si>
    <t>Road</t>
  </si>
  <si>
    <t>Atmospheric pressure</t>
  </si>
  <si>
    <t>C removed</t>
  </si>
  <si>
    <t>Road width</t>
  </si>
  <si>
    <t>Road area</t>
  </si>
  <si>
    <t>Earth Surface</t>
  </si>
  <si>
    <t>Atmosphere mass</t>
  </si>
  <si>
    <t>1 ppm</t>
  </si>
  <si>
    <t>11 Gt</t>
  </si>
  <si>
    <t>ppm</t>
  </si>
  <si>
    <t>400 ppm</t>
  </si>
  <si>
    <t>P removed</t>
  </si>
  <si>
    <t>Climate change</t>
  </si>
  <si>
    <t>Biogeochemical flows</t>
  </si>
  <si>
    <t>Freshwater use</t>
  </si>
  <si>
    <t>Stratospheric ozone depletion</t>
  </si>
  <si>
    <t>Ocean acidification</t>
  </si>
  <si>
    <t>Ωarag</t>
  </si>
  <si>
    <t>Land system change</t>
  </si>
  <si>
    <t>Novel entities</t>
  </si>
  <si>
    <t>Atmospheric aerosol loading</t>
  </si>
  <si>
    <t>NA</t>
  </si>
  <si>
    <t>m^3</t>
  </si>
  <si>
    <t>L</t>
  </si>
  <si>
    <t>ac</t>
  </si>
  <si>
    <t>Total N</t>
  </si>
  <si>
    <t>Wetland surface area per PE</t>
  </si>
  <si>
    <t>Vergeles et al., 2015</t>
  </si>
  <si>
    <t>gal</t>
  </si>
  <si>
    <t>min</t>
  </si>
  <si>
    <t>max</t>
  </si>
  <si>
    <t>Site</t>
  </si>
  <si>
    <t>Area (m^2)</t>
  </si>
  <si>
    <t>Discharge (m^3 d^-1)</t>
  </si>
  <si>
    <t>Residence time (d)</t>
  </si>
  <si>
    <t>Capacity (L d^-1)</t>
  </si>
  <si>
    <t>Capacity (L m^-1)</t>
  </si>
  <si>
    <t>L min^-1 m^-2</t>
  </si>
  <si>
    <t>VF</t>
  </si>
  <si>
    <t>B1</t>
  </si>
  <si>
    <t>HF</t>
  </si>
  <si>
    <t>B2</t>
  </si>
  <si>
    <t>day</t>
  </si>
  <si>
    <t>B3</t>
  </si>
  <si>
    <t>10 mgd</t>
  </si>
  <si>
    <t>mlpd</t>
  </si>
  <si>
    <t>B4</t>
  </si>
  <si>
    <t>10 mgd/2.5 ac</t>
  </si>
  <si>
    <t>mlpd/ha</t>
  </si>
  <si>
    <t>B5</t>
  </si>
  <si>
    <t>B6</t>
  </si>
  <si>
    <t>B7</t>
  </si>
  <si>
    <t>S-154</t>
  </si>
  <si>
    <t>Their best</t>
  </si>
  <si>
    <t>B8</t>
  </si>
  <si>
    <t>B9</t>
  </si>
  <si>
    <t>Parameters and Results</t>
  </si>
  <si>
    <t>Year</t>
  </si>
  <si>
    <t>Capex Low</t>
  </si>
  <si>
    <t>Capex High</t>
  </si>
  <si>
    <t>Operator Load</t>
  </si>
  <si>
    <t>Operator Salary</t>
  </si>
  <si>
    <t>Maintenance</t>
  </si>
  <si>
    <t>Opex Low</t>
  </si>
  <si>
    <t>Opex High</t>
  </si>
  <si>
    <t>% $ Increment</t>
  </si>
  <si>
    <t>Code</t>
  </si>
  <si>
    <t>CC</t>
  </si>
  <si>
    <t>BFP</t>
  </si>
  <si>
    <t>BFN</t>
  </si>
  <si>
    <t>FU</t>
  </si>
  <si>
    <t>OA</t>
  </si>
  <si>
    <t>NE</t>
  </si>
  <si>
    <t>AL</t>
  </si>
  <si>
    <t>OD</t>
  </si>
  <si>
    <t>LC</t>
  </si>
  <si>
    <t>ZoUHigh</t>
  </si>
  <si>
    <t>[CO2] ppm</t>
  </si>
  <si>
    <t>P Tg yr^-1</t>
  </si>
  <si>
    <t>N Tg yr^-1</t>
  </si>
  <si>
    <t>Maximum consumptive blue water use km^3 yr^-1</t>
  </si>
  <si>
    <t>Reduction from pre-industrial level assessed by latitude</t>
  </si>
  <si>
    <t>Global forested land % of original</t>
  </si>
  <si>
    <t>Extinction Rate E/MSY</t>
  </si>
  <si>
    <t>ZoULow</t>
  </si>
  <si>
    <t>CtrlVar</t>
  </si>
  <si>
    <t>Bound</t>
  </si>
  <si>
    <t>Rate</t>
  </si>
  <si>
    <t>ppm yr^-1</t>
  </si>
  <si>
    <t>Functional Diversity</t>
  </si>
  <si>
    <t>Population</t>
  </si>
  <si>
    <t>World Bank Data</t>
  </si>
  <si>
    <t>URL</t>
  </si>
  <si>
    <t>http://databank.worldbank.org/data/reports.aspx?source=Health%20Nutrition%20and%20Population%20Statistics:%20Population%20estimates%20and%20projections</t>
  </si>
  <si>
    <t>Health Nutrition and Population Statistics: Population estimates and projections</t>
  </si>
  <si>
    <t>Series</t>
  </si>
  <si>
    <t>Population, total</t>
  </si>
  <si>
    <t>Time</t>
  </si>
  <si>
    <t>2012-2050</t>
  </si>
  <si>
    <t>World</t>
  </si>
  <si>
    <t>Country</t>
  </si>
  <si>
    <t>Data</t>
  </si>
  <si>
    <t>Projected</t>
  </si>
  <si>
    <t>Linear</t>
  </si>
  <si>
    <t>NL Growth</t>
  </si>
  <si>
    <t>L Growth</t>
  </si>
  <si>
    <t>Database</t>
  </si>
  <si>
    <t>Value</t>
  </si>
  <si>
    <t>Unit</t>
  </si>
  <si>
    <t>Strong divisor</t>
  </si>
  <si>
    <t>Weak divisor</t>
  </si>
  <si>
    <t>Medium divisor</t>
  </si>
  <si>
    <t>Calculation Parameters</t>
  </si>
  <si>
    <t>Boundaries worksheet</t>
  </si>
  <si>
    <t>Interval 1</t>
  </si>
  <si>
    <t>Interval 2</t>
  </si>
  <si>
    <t>Interval 3</t>
  </si>
  <si>
    <t>Starting Values</t>
  </si>
  <si>
    <t>NP reduction Years 1-50</t>
  </si>
  <si>
    <t>NP reduction Years 50-100</t>
  </si>
  <si>
    <t>NP reduction Years 100-200</t>
  </si>
  <si>
    <t>C reduction Years 1-50</t>
  </si>
  <si>
    <t>C reduction Years 50-100</t>
  </si>
  <si>
    <t>C reduction Years 100-200</t>
  </si>
  <si>
    <t>BIE</t>
  </si>
  <si>
    <t>Generated Code</t>
  </si>
  <si>
    <t>Boundary Interaction Strengths</t>
  </si>
  <si>
    <t>Line Thickness</t>
  </si>
  <si>
    <t>Relative Effect</t>
  </si>
  <si>
    <t>Vbf</t>
  </si>
  <si>
    <t>Boundary Interactions Vectors</t>
  </si>
  <si>
    <t>Rates of Change</t>
  </si>
  <si>
    <t>Index</t>
  </si>
  <si>
    <t>Biosphere Integrity</t>
  </si>
  <si>
    <t>Sub-bound</t>
  </si>
  <si>
    <t>BII</t>
  </si>
  <si>
    <t>E/MSY</t>
  </si>
  <si>
    <t>Vnpf</t>
  </si>
  <si>
    <t>Vbr</t>
  </si>
  <si>
    <t>Boundary Interactions Adjacency Matrix</t>
  </si>
  <si>
    <t>BIB</t>
  </si>
  <si>
    <t>Redfield Ratios</t>
  </si>
  <si>
    <t>Atom</t>
  </si>
  <si>
    <t>Molar ratio</t>
  </si>
  <si>
    <t>Mass component</t>
  </si>
  <si>
    <t>Mass fraction</t>
  </si>
  <si>
    <t>mol C</t>
  </si>
  <si>
    <t>mol N</t>
  </si>
  <si>
    <t>mol P</t>
  </si>
  <si>
    <t>Conversion Factors, Constants</t>
  </si>
  <si>
    <t>Road Construction</t>
  </si>
  <si>
    <t>US Roads</t>
  </si>
  <si>
    <t>$</t>
  </si>
  <si>
    <t>Global N excess</t>
  </si>
  <si>
    <t>Global P excess</t>
  </si>
  <si>
    <t>mol O</t>
  </si>
  <si>
    <t>ATS area implied (low prod)</t>
  </si>
  <si>
    <t>ATS area implied (high prod)</t>
  </si>
  <si>
    <t>Derived values, N removal</t>
  </si>
  <si>
    <t>Derived values, P removal</t>
  </si>
  <si>
    <t>Derived values, C removal</t>
  </si>
  <si>
    <t>{Adey et al., 2013, #773}</t>
  </si>
  <si>
    <t>{Carpenter et al., 1991, #87446}</t>
  </si>
  <si>
    <t>{Chen et al., 2015, #5692}</t>
  </si>
  <si>
    <t>{D'Aiuto et al., 2015, #56014}</t>
  </si>
  <si>
    <t>{Huang et al., 2013, #766}</t>
  </si>
  <si>
    <t>{Mulbry et al., 2010, #528}</t>
  </si>
  <si>
    <t>{Ray et al., 2015, #84240}</t>
  </si>
  <si>
    <t>{Rothman et al., 2013, #23278}</t>
  </si>
  <si>
    <t>{Sandefur et al., 2011, #789}</t>
  </si>
  <si>
    <t>{Sandefur et al., 2014, #73121}</t>
  </si>
  <si>
    <t>{Sindelar et al., 2015, #38897}</t>
  </si>
  <si>
    <t>{Morrissey et al., 1988, #63991}</t>
  </si>
  <si>
    <t>US$</t>
  </si>
  <si>
    <t>Pg C yr-1</t>
  </si>
  <si>
    <t>T C yr-1</t>
  </si>
  <si>
    <t>T BM yr-1</t>
  </si>
  <si>
    <t>Tg yr-1</t>
  </si>
  <si>
    <t>Pg BM yr-1</t>
  </si>
  <si>
    <t>Ag/Global PP</t>
  </si>
  <si>
    <t>Ha</t>
  </si>
  <si>
    <t>$ ha-1</t>
  </si>
  <si>
    <t>$ ha-1 yr-1</t>
  </si>
  <si>
    <t>cm</t>
  </si>
  <si>
    <t>in</t>
  </si>
  <si>
    <t>Mg</t>
  </si>
  <si>
    <t>ton</t>
  </si>
  <si>
    <t>$ yr-1</t>
  </si>
  <si>
    <t>deg</t>
  </si>
  <si>
    <t>var</t>
  </si>
  <si>
    <t>val</t>
  </si>
  <si>
    <t>unit</t>
  </si>
  <si>
    <t>t ha-1 yr-1 deg-1</t>
  </si>
  <si>
    <t>g m-2 d-1</t>
  </si>
  <si>
    <t>t ha-1 yr-1</t>
  </si>
  <si>
    <t>g yr-1</t>
  </si>
  <si>
    <t>g d-1</t>
  </si>
  <si>
    <t>t yr-1</t>
  </si>
  <si>
    <t>Pg yr-1</t>
  </si>
  <si>
    <t>m2</t>
  </si>
  <si>
    <t>in2</t>
  </si>
  <si>
    <t>ft2</t>
  </si>
  <si>
    <t>lb in-2</t>
  </si>
  <si>
    <t>kg m-2</t>
  </si>
  <si>
    <t>ppm yr-1</t>
  </si>
  <si>
    <t>opex yr-1</t>
  </si>
  <si>
    <t>ha emp-1</t>
  </si>
  <si>
    <t>note</t>
  </si>
  <si>
    <t>gC</t>
  </si>
  <si>
    <t>gN</t>
  </si>
  <si>
    <t>gP</t>
  </si>
  <si>
    <t>gBiomass</t>
  </si>
  <si>
    <t>group</t>
  </si>
  <si>
    <t>econ</t>
  </si>
  <si>
    <t>ecol</t>
  </si>
  <si>
    <t>hectares per employee</t>
  </si>
  <si>
    <t>employee salary</t>
  </si>
  <si>
    <t>maintenance proportion</t>
  </si>
  <si>
    <t>model y intercept</t>
  </si>
  <si>
    <t>model high latitude</t>
  </si>
  <si>
    <t>model slope</t>
  </si>
  <si>
    <t>high OPEX</t>
  </si>
  <si>
    <t>low OPEX</t>
  </si>
  <si>
    <t>high biomass productivity</t>
  </si>
  <si>
    <t>low biomass productivity</t>
  </si>
  <si>
    <t>C:biomass ratio</t>
  </si>
  <si>
    <t>N:biomass ratio</t>
  </si>
  <si>
    <t>P:biomass ratio</t>
  </si>
  <si>
    <t>Baseline</t>
  </si>
  <si>
    <t>low CAPEX</t>
  </si>
  <si>
    <t>high CAPEX</t>
  </si>
  <si>
    <t>Growth rate, atmospheric CO2</t>
  </si>
  <si>
    <t>Baseline CO2 mass, atmosphere</t>
  </si>
  <si>
    <t>Kangas and Mulbry, 2013</t>
  </si>
  <si>
    <t>prod</t>
  </si>
  <si>
    <t>pilot</t>
  </si>
  <si>
    <t>PC-South</t>
  </si>
  <si>
    <t>citation</t>
  </si>
  <si>
    <t>long</t>
  </si>
  <si>
    <t>lat</t>
  </si>
  <si>
    <t>type</t>
  </si>
  <si>
    <t>Patterson, CA</t>
  </si>
  <si>
    <t>Egret Marsh, FL</t>
  </si>
  <si>
    <t>S-154, FL</t>
  </si>
  <si>
    <t>Dalton Utilities, GA</t>
  </si>
  <si>
    <t>Santa Fe River, FL</t>
  </si>
  <si>
    <t>Powell Creek, FL</t>
  </si>
  <si>
    <t>Lake Lawne, FL</t>
  </si>
  <si>
    <t>Everglades STA-1W, FL</t>
  </si>
  <si>
    <t>Taylor Creek, FL</t>
  </si>
  <si>
    <t>Osprey Marsh, FL</t>
  </si>
  <si>
    <t>Spring Creek, AK</t>
  </si>
  <si>
    <t>Gloucester Point, VA</t>
  </si>
  <si>
    <t>Fall River, TX</t>
  </si>
  <si>
    <t>{Stewart, 2004, #96157}</t>
  </si>
  <si>
    <t>HMI Aquaculture</t>
  </si>
  <si>
    <t>{HydroMentia, 2017, #63002}</t>
  </si>
  <si>
    <t>Peach Bottom PA</t>
  </si>
  <si>
    <t>Rockaway, NY</t>
  </si>
  <si>
    <t>MPA Dundalk, MD</t>
  </si>
  <si>
    <t>MPA DMCF, MD</t>
  </si>
  <si>
    <t>2012-2014, 2016</t>
  </si>
  <si>
    <t>City of Durham, NC</t>
  </si>
  <si>
    <t>2015-2017</t>
  </si>
  <si>
    <t>ENMU, NM</t>
  </si>
  <si>
    <t>2009-2010</t>
  </si>
  <si>
    <t>2010-2017</t>
  </si>
  <si>
    <t>2010-2013</t>
  </si>
  <si>
    <t>2010-2011</t>
  </si>
  <si>
    <t>2013-2017</t>
  </si>
  <si>
    <t>2014-2017</t>
  </si>
  <si>
    <t>Fayetteville, AK</t>
  </si>
  <si>
    <t>years active</t>
  </si>
  <si>
    <t>2007-2009</t>
  </si>
  <si>
    <t>2003-2004</t>
  </si>
  <si>
    <t>2000-2002</t>
  </si>
  <si>
    <t>1995-1996</t>
  </si>
  <si>
    <t>name</t>
  </si>
  <si>
    <t>{Adey et al., 1996, #59863}</t>
  </si>
  <si>
    <t>{Bothwell, 1983, #24121}</t>
  </si>
  <si>
    <t>{Bothwell, 1989, #88089}</t>
  </si>
  <si>
    <t>{Chang et al., 2011, #74666}</t>
  </si>
  <si>
    <t>{Craggs et al., 1996, #78913}</t>
  </si>
  <si>
    <t>{Liu et al., 2016, #46476}</t>
  </si>
  <si>
    <t>{Mayr et al., 2015, #17666}</t>
  </si>
  <si>
    <t>{Mulbry et al., 2008, #98411}</t>
  </si>
  <si>
    <t>{Sukačová et al., 2015, #3065}</t>
  </si>
  <si>
    <t>{HydroMentia, 2013, #95236}</t>
  </si>
  <si>
    <t>Mosaic Fertilizer</t>
  </si>
  <si>
    <t>status</t>
  </si>
  <si>
    <t>good</t>
  </si>
  <si>
    <t>unk</t>
  </si>
  <si>
    <t>{Adey and Loveland, 2007, #51828}</t>
  </si>
  <si>
    <t>{Adey et al., 1993, #62}</t>
  </si>
  <si>
    <t>GBR Aquarium</t>
  </si>
  <si>
    <t>m</t>
  </si>
  <si>
    <t>ATS productivity (high lat)</t>
  </si>
  <si>
    <t>ATS productivity (equator)</t>
  </si>
  <si>
    <t>model equator latitude</t>
  </si>
  <si>
    <t>model productivity, high lat</t>
  </si>
  <si>
    <t>model productivity, low lat</t>
  </si>
  <si>
    <t>World NPP</t>
  </si>
  <si>
    <t>Kg</t>
  </si>
  <si>
    <t>Kg yr-1</t>
  </si>
  <si>
    <t>Field et al., 1998</t>
  </si>
  <si>
    <t>Ag NPP</t>
  </si>
  <si>
    <t>(unit)</t>
  </si>
  <si>
    <t>(val)</t>
  </si>
  <si>
    <t>Facility Long Life</t>
  </si>
  <si>
    <t>Facility Short Life</t>
  </si>
  <si>
    <t>facility lifetime (long)</t>
  </si>
  <si>
    <t>facility lifetime (short)</t>
  </si>
  <si>
    <t>annual spending increase</t>
  </si>
  <si>
    <t>prp</t>
  </si>
  <si>
    <t>fast buildout</t>
  </si>
  <si>
    <t>slow buildout</t>
  </si>
  <si>
    <t>final year</t>
  </si>
  <si>
    <t>Rapid buildout</t>
  </si>
  <si>
    <t>Slow buildout</t>
  </si>
  <si>
    <t>Final year</t>
  </si>
  <si>
    <t>C Growth Rate</t>
  </si>
  <si>
    <t>1 ppm C</t>
  </si>
  <si>
    <t>year</t>
  </si>
  <si>
    <t>population</t>
  </si>
  <si>
    <t>Paragraph</t>
  </si>
  <si>
    <t>ATS Intro</t>
  </si>
  <si>
    <t xml:space="preserve">Value </t>
  </si>
  <si>
    <t>(Value)</t>
  </si>
  <si>
    <t>(Unit)</t>
  </si>
  <si>
    <t>ton ac-1 yr-1</t>
  </si>
  <si>
    <t>ATS productivity (Adey et al.)</t>
  </si>
  <si>
    <t>ATS Operation</t>
  </si>
  <si>
    <t>L d-1</t>
  </si>
  <si>
    <t>m3</t>
  </si>
  <si>
    <t>yd3</t>
  </si>
  <si>
    <t>gal d-1</t>
  </si>
  <si>
    <t>checking</t>
  </si>
  <si>
    <t>{HydroMentia, 2013, #63002}</t>
  </si>
  <si>
    <t>{Yan and Arellano, 2015, #82538}</t>
  </si>
  <si>
    <t>gray</t>
  </si>
  <si>
    <t>$ ac-1</t>
  </si>
  <si>
    <t>$ ac-1 yr-1</t>
  </si>
  <si>
    <t>Biomass Fate</t>
  </si>
  <si>
    <t>$ t-1</t>
  </si>
  <si>
    <t>$ ton-1</t>
  </si>
  <si>
    <t>Note</t>
  </si>
  <si>
    <t>OpEx lo</t>
  </si>
  <si>
    <t>OpEx hi</t>
  </si>
  <si>
    <t>{Verhoeven and Meuleman, 1999, #34609}</t>
  </si>
  <si>
    <t>Lauwersoog, NL</t>
  </si>
  <si>
    <t>Total P</t>
  </si>
  <si>
    <t>Biomass, P</t>
  </si>
  <si>
    <t>Biomass, N</t>
  </si>
  <si>
    <t>ATS/N</t>
  </si>
  <si>
    <t>ATS/P</t>
  </si>
  <si>
    <t>Citation</t>
  </si>
  <si>
    <t>Location</t>
  </si>
  <si>
    <t>Latitude</t>
  </si>
  <si>
    <t>Modeled ATS productivity</t>
  </si>
  <si>
    <t>{Zhang et al., 2015, #93587}</t>
  </si>
  <si>
    <t>Peradenia, Sri Lanka</t>
  </si>
  <si>
    <t>Area</t>
  </si>
  <si>
    <t>HLR</t>
  </si>
  <si>
    <t>m3 d-1</t>
  </si>
  <si>
    <t>mg L-1</t>
  </si>
  <si>
    <t>mg d-1</t>
  </si>
  <si>
    <t>mg yr-1</t>
  </si>
  <si>
    <t>mg</t>
  </si>
  <si>
    <t>Global Primary Production</t>
  </si>
  <si>
    <t>Ag Primary Production</t>
  </si>
  <si>
    <t>ATS/Global PP</t>
  </si>
  <si>
    <t>Hsin-Hai, Taiwan</t>
  </si>
  <si>
    <t>Area per operator</t>
  </si>
  <si>
    <t>To Retire</t>
  </si>
  <si>
    <t>ATS HLR</t>
  </si>
  <si>
    <t>Tons C per ppm C</t>
  </si>
  <si>
    <t>Basin Ranking</t>
  </si>
  <si>
    <t>Nutrient Excesses</t>
  </si>
  <si>
    <t>N excess</t>
  </si>
  <si>
    <t>ton yr-1</t>
  </si>
  <si>
    <t>P excess</t>
  </si>
  <si>
    <t>0° prod</t>
  </si>
  <si>
    <t>70° prod</t>
  </si>
  <si>
    <t>Mean prod</t>
  </si>
  <si>
    <t>Total biomass</t>
  </si>
  <si>
    <t>N limited biomass</t>
  </si>
  <si>
    <t>P limited biomass</t>
  </si>
  <si>
    <t>N limited bm, basins</t>
  </si>
  <si>
    <t>P limited bm, basins</t>
  </si>
  <si>
    <t>Basin biomass</t>
  </si>
  <si>
    <t>C_prp</t>
  </si>
  <si>
    <t>N_prp</t>
  </si>
  <si>
    <t>P_prp</t>
  </si>
  <si>
    <t>CO2_bl</t>
  </si>
  <si>
    <t>CO2_gr</t>
  </si>
  <si>
    <t>mod_lat_hi</t>
  </si>
  <si>
    <t>mod_lat_eq</t>
  </si>
  <si>
    <t>mod_prod_hi</t>
  </si>
  <si>
    <t>mod_prod_lo</t>
  </si>
  <si>
    <t>mod_m</t>
  </si>
  <si>
    <t>mod_b</t>
  </si>
  <si>
    <t>world_npp</t>
  </si>
  <si>
    <t>ag_npp</t>
  </si>
  <si>
    <t>emp_ha</t>
  </si>
  <si>
    <t>emp_sal</t>
  </si>
  <si>
    <t>mnt_prp</t>
  </si>
  <si>
    <t>cap_lo</t>
  </si>
  <si>
    <t>cap_hi</t>
  </si>
  <si>
    <t>op_lo</t>
  </si>
  <si>
    <t>op_hi</t>
  </si>
  <si>
    <t>op_life_long</t>
  </si>
  <si>
    <t>op_life_short</t>
  </si>
  <si>
    <t>prod_hi</t>
  </si>
  <si>
    <t>prod_lo</t>
  </si>
  <si>
    <t>inc_prp</t>
  </si>
  <si>
    <t>build_yr_lo</t>
  </si>
  <si>
    <t>build_yr_hi</t>
  </si>
  <si>
    <t>final_yr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</si>
</sst>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E+00"/>
    <numFmt numFmtId="165" formatCode="0.000"/>
  </numFmts>
  <fonts count="9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Arial"/>
    </font>
    <font>
      <b/>
      <sz val="12"/>
      <color theme="0"/>
      <name val="Calibri"/>
    </font>
    <font>
      <sz val="12"/>
      <color theme="0"/>
      <name val="Calibri"/>
    </font>
    <font>
      <sz val="12"/>
      <color theme="4" tint="0.7999816888943144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5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Font="1"/>
    <xf numFmtId="164" fontId="0" fillId="0" borderId="0" xfId="0" applyNumberFormat="1" applyFont="1"/>
    <xf numFmtId="4" fontId="5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4" borderId="0" xfId="0" applyFill="1"/>
    <xf numFmtId="165" fontId="0" fillId="4" borderId="0" xfId="0" applyNumberFormat="1" applyFill="1"/>
    <xf numFmtId="2" fontId="0" fillId="4" borderId="0" xfId="0" applyNumberFormat="1" applyFill="1"/>
    <xf numFmtId="0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applyNumberFormat="1" applyFill="1"/>
    <xf numFmtId="0" fontId="0" fillId="0" borderId="0" xfId="0" applyAlignment="1">
      <alignment horizontal="right"/>
    </xf>
    <xf numFmtId="0" fontId="7" fillId="3" borderId="0" xfId="0" applyFont="1" applyFill="1" applyAlignment="1">
      <alignment horizontal="center"/>
    </xf>
    <xf numFmtId="165" fontId="0" fillId="0" borderId="0" xfId="0" applyNumberFormat="1"/>
    <xf numFmtId="2" fontId="0" fillId="0" borderId="0" xfId="0" applyNumberFormat="1" applyAlignment="1"/>
    <xf numFmtId="2" fontId="0" fillId="0" borderId="0" xfId="0" applyNumberFormat="1"/>
    <xf numFmtId="0" fontId="0" fillId="0" borderId="0" xfId="0" applyFont="1" applyAlignment="1"/>
    <xf numFmtId="0" fontId="0" fillId="0" borderId="0" xfId="0" quotePrefix="1" applyFont="1" applyAlignment="1"/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6" borderId="0" xfId="0" applyFill="1"/>
    <xf numFmtId="164" fontId="0" fillId="6" borderId="0" xfId="0" applyNumberFormat="1" applyFill="1"/>
    <xf numFmtId="1" fontId="0" fillId="0" borderId="0" xfId="0" applyNumberFormat="1"/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5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420E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Nonlinear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Population!$C$2:$C$206</c:f>
              <c:numCache>
                <c:formatCode>0.0E+00</c:formatCode>
                <c:ptCount val="205"/>
                <c:pt idx="0">
                  <c:v>6.19558956E9</c:v>
                </c:pt>
                <c:pt idx="1">
                  <c:v>6.2747340841E9</c:v>
                </c:pt>
                <c:pt idx="2">
                  <c:v>6.3539764272E9</c:v>
                </c:pt>
                <c:pt idx="3">
                  <c:v>6.433748714E9</c:v>
                </c:pt>
                <c:pt idx="4">
                  <c:v>6.5139599037E9</c:v>
                </c:pt>
                <c:pt idx="5">
                  <c:v>6.5947224623E9</c:v>
                </c:pt>
                <c:pt idx="6">
                  <c:v>6.675832678E9</c:v>
                </c:pt>
                <c:pt idx="7">
                  <c:v>6.7583025226E9</c:v>
                </c:pt>
                <c:pt idx="8">
                  <c:v>6.8409557055E9</c:v>
                </c:pt>
                <c:pt idx="9">
                  <c:v>6.9236840846E9</c:v>
                </c:pt>
                <c:pt idx="10">
                  <c:v>7.0069079891E9</c:v>
                </c:pt>
                <c:pt idx="11">
                  <c:v>7.0894515507E9</c:v>
                </c:pt>
                <c:pt idx="12">
                  <c:v>7.1760921921E9</c:v>
                </c:pt>
                <c:pt idx="13">
                  <c:v>7.2607802783E9</c:v>
                </c:pt>
                <c:pt idx="14">
                  <c:v>7.3466330374E9</c:v>
                </c:pt>
                <c:pt idx="15">
                  <c:v>7.429693E9</c:v>
                </c:pt>
                <c:pt idx="16">
                  <c:v>7.512207E9</c:v>
                </c:pt>
                <c:pt idx="17">
                  <c:v>7.593902E9</c:v>
                </c:pt>
                <c:pt idx="18">
                  <c:v>7.67473E9</c:v>
                </c:pt>
                <c:pt idx="19">
                  <c:v>7.754619E9</c:v>
                </c:pt>
                <c:pt idx="20">
                  <c:v>7.833567E9</c:v>
                </c:pt>
                <c:pt idx="21">
                  <c:v>7.911542E9</c:v>
                </c:pt>
                <c:pt idx="22">
                  <c:v>7.988484E9</c:v>
                </c:pt>
                <c:pt idx="23">
                  <c:v>8.064405E9</c:v>
                </c:pt>
                <c:pt idx="24">
                  <c:v>8.139303E9</c:v>
                </c:pt>
                <c:pt idx="25">
                  <c:v>8.213166E9</c:v>
                </c:pt>
                <c:pt idx="26">
                  <c:v>8.285985E9</c:v>
                </c:pt>
                <c:pt idx="27">
                  <c:v>8.357801E9</c:v>
                </c:pt>
                <c:pt idx="28">
                  <c:v>8.428633E9</c:v>
                </c:pt>
                <c:pt idx="29">
                  <c:v>8.498534E9</c:v>
                </c:pt>
                <c:pt idx="30">
                  <c:v>8.567514E9</c:v>
                </c:pt>
                <c:pt idx="31">
                  <c:v>8.635565E9</c:v>
                </c:pt>
                <c:pt idx="32">
                  <c:v>8.702716E9</c:v>
                </c:pt>
                <c:pt idx="33">
                  <c:v>8.76901E9</c:v>
                </c:pt>
                <c:pt idx="34">
                  <c:v>8.834517E9</c:v>
                </c:pt>
                <c:pt idx="35">
                  <c:v>8.899266E9</c:v>
                </c:pt>
                <c:pt idx="36">
                  <c:v>8.963266E9</c:v>
                </c:pt>
                <c:pt idx="37">
                  <c:v>9.02654E9</c:v>
                </c:pt>
                <c:pt idx="38">
                  <c:v>9.08908E9</c:v>
                </c:pt>
              </c:numCache>
            </c:numRef>
          </c:val>
          <c:smooth val="0"/>
        </c:ser>
        <c:ser>
          <c:idx val="2"/>
          <c:order val="1"/>
          <c:tx>
            <c:v>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Population!$D$2:$D$206</c:f>
              <c:numCache>
                <c:formatCode>0.0E+00</c:formatCode>
                <c:ptCount val="205"/>
                <c:pt idx="15">
                  <c:v>7.429693E9</c:v>
                </c:pt>
                <c:pt idx="16">
                  <c:v>7.512207E9</c:v>
                </c:pt>
                <c:pt idx="17">
                  <c:v>7.593902E9</c:v>
                </c:pt>
                <c:pt idx="18">
                  <c:v>7.67473E9</c:v>
                </c:pt>
                <c:pt idx="19">
                  <c:v>7.754619E9</c:v>
                </c:pt>
                <c:pt idx="20">
                  <c:v>7.833567E9</c:v>
                </c:pt>
                <c:pt idx="21">
                  <c:v>7.911542E9</c:v>
                </c:pt>
                <c:pt idx="22">
                  <c:v>7.988484E9</c:v>
                </c:pt>
                <c:pt idx="23">
                  <c:v>8.064405E9</c:v>
                </c:pt>
                <c:pt idx="24">
                  <c:v>8.139303E9</c:v>
                </c:pt>
                <c:pt idx="25">
                  <c:v>8.213166E9</c:v>
                </c:pt>
                <c:pt idx="26">
                  <c:v>8.285985E9</c:v>
                </c:pt>
                <c:pt idx="27">
                  <c:v>8.357801E9</c:v>
                </c:pt>
                <c:pt idx="28">
                  <c:v>8.428633E9</c:v>
                </c:pt>
                <c:pt idx="29">
                  <c:v>8.498534E9</c:v>
                </c:pt>
                <c:pt idx="30">
                  <c:v>8.567514E9</c:v>
                </c:pt>
                <c:pt idx="31">
                  <c:v>8.635565E9</c:v>
                </c:pt>
                <c:pt idx="32">
                  <c:v>8.702716E9</c:v>
                </c:pt>
                <c:pt idx="33">
                  <c:v>8.76901E9</c:v>
                </c:pt>
                <c:pt idx="34">
                  <c:v>8.834517E9</c:v>
                </c:pt>
                <c:pt idx="35">
                  <c:v>8.899266E9</c:v>
                </c:pt>
                <c:pt idx="36">
                  <c:v>8.963266E9</c:v>
                </c:pt>
                <c:pt idx="37">
                  <c:v>9.02654E9</c:v>
                </c:pt>
                <c:pt idx="38">
                  <c:v>9.08908E9</c:v>
                </c:pt>
              </c:numCache>
            </c:numRef>
          </c:val>
          <c:smooth val="0"/>
        </c:ser>
        <c:ser>
          <c:idx val="3"/>
          <c:order val="2"/>
          <c:tx>
            <c:v>Projected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Population!$E$2:$E$206</c:f>
              <c:numCache>
                <c:formatCode>0.0E+00</c:formatCode>
                <c:ptCount val="205"/>
                <c:pt idx="39">
                  <c:v>9.15000516253696E9</c:v>
                </c:pt>
                <c:pt idx="40">
                  <c:v>9.20999618153487E9</c:v>
                </c:pt>
                <c:pt idx="41">
                  <c:v>9.26905305699374E9</c:v>
                </c:pt>
                <c:pt idx="42">
                  <c:v>9.32717578891357E9</c:v>
                </c:pt>
                <c:pt idx="43">
                  <c:v>9.38436437729435E9</c:v>
                </c:pt>
                <c:pt idx="44">
                  <c:v>9.44061882213609E9</c:v>
                </c:pt>
                <c:pt idx="45">
                  <c:v>9.49593912343879E9</c:v>
                </c:pt>
                <c:pt idx="46">
                  <c:v>9.55032528120244E9</c:v>
                </c:pt>
                <c:pt idx="47">
                  <c:v>9.60377729542705E9</c:v>
                </c:pt>
                <c:pt idx="48">
                  <c:v>9.65629516611261E9</c:v>
                </c:pt>
                <c:pt idx="49">
                  <c:v>9.70787889325914E9</c:v>
                </c:pt>
                <c:pt idx="50">
                  <c:v>9.75852847686662E9</c:v>
                </c:pt>
                <c:pt idx="51">
                  <c:v>9.80824391693505E9</c:v>
                </c:pt>
                <c:pt idx="52">
                  <c:v>9.85702521346444E9</c:v>
                </c:pt>
                <c:pt idx="53">
                  <c:v>9.90487236645479E9</c:v>
                </c:pt>
                <c:pt idx="54">
                  <c:v>9.9517853759061E9</c:v>
                </c:pt>
                <c:pt idx="55">
                  <c:v>9.99776424181836E9</c:v>
                </c:pt>
                <c:pt idx="56">
                  <c:v>1.00428089641916E10</c:v>
                </c:pt>
                <c:pt idx="57">
                  <c:v>1.00869195430257E10</c:v>
                </c:pt>
                <c:pt idx="58">
                  <c:v>1.01300959783209E10</c:v>
                </c:pt>
                <c:pt idx="59">
                  <c:v>1.0172338270077E10</c:v>
                </c:pt>
                <c:pt idx="60">
                  <c:v>1.0213646418294E10</c:v>
                </c:pt>
                <c:pt idx="61">
                  <c:v>1.0254020422972E10</c:v>
                </c:pt>
                <c:pt idx="62">
                  <c:v>1.0293460284111E10</c:v>
                </c:pt>
                <c:pt idx="63">
                  <c:v>1.03319660017109E10</c:v>
                </c:pt>
                <c:pt idx="64">
                  <c:v>1.03695375757717E10</c:v>
                </c:pt>
                <c:pt idx="65">
                  <c:v>1.04061750062936E10</c:v>
                </c:pt>
                <c:pt idx="66">
                  <c:v>1.04418782932764E10</c:v>
                </c:pt>
                <c:pt idx="67">
                  <c:v>1.04766474367201E10</c:v>
                </c:pt>
                <c:pt idx="68">
                  <c:v>1.05104824366248E10</c:v>
                </c:pt>
                <c:pt idx="69">
                  <c:v>1.05433832929904E10</c:v>
                </c:pt>
                <c:pt idx="70">
                  <c:v>1.0575350005817E10</c:v>
                </c:pt>
                <c:pt idx="71">
                  <c:v>1.06063825751046E10</c:v>
                </c:pt>
                <c:pt idx="72">
                  <c:v>1.06364810008531E10</c:v>
                </c:pt>
                <c:pt idx="73">
                  <c:v>1.06656452830626E10</c:v>
                </c:pt>
                <c:pt idx="74">
                  <c:v>1.0693875421733E10</c:v>
                </c:pt>
                <c:pt idx="75">
                  <c:v>1.07211714168644E10</c:v>
                </c:pt>
                <c:pt idx="76">
                  <c:v>1.07475332684568E10</c:v>
                </c:pt>
                <c:pt idx="77">
                  <c:v>1.07729609765101E10</c:v>
                </c:pt>
                <c:pt idx="78">
                  <c:v>1.07974545410244E10</c:v>
                </c:pt>
                <c:pt idx="79">
                  <c:v>1.08210139619996E10</c:v>
                </c:pt>
                <c:pt idx="80">
                  <c:v>1.08436392394357E10</c:v>
                </c:pt>
                <c:pt idx="81">
                  <c:v>1.08653303733329E10</c:v>
                </c:pt>
                <c:pt idx="82">
                  <c:v>1.0886087363691E10</c:v>
                </c:pt>
                <c:pt idx="83">
                  <c:v>1.090591021051E10</c:v>
                </c:pt>
                <c:pt idx="84">
                  <c:v>1.092479891379E10</c:v>
                </c:pt>
                <c:pt idx="85">
                  <c:v>1.0942753473531E10</c:v>
                </c:pt>
                <c:pt idx="86">
                  <c:v>1.09597738897329E10</c:v>
                </c:pt>
                <c:pt idx="87">
                  <c:v>1.09758601623957E10</c:v>
                </c:pt>
                <c:pt idx="88">
                  <c:v>1.09910122915196E10</c:v>
                </c:pt>
                <c:pt idx="89">
                  <c:v>1.10052302771044E10</c:v>
                </c:pt>
                <c:pt idx="90">
                  <c:v>1.10185141191501E10</c:v>
                </c:pt>
                <c:pt idx="91">
                  <c:v>1.10308638176568E10</c:v>
                </c:pt>
                <c:pt idx="92">
                  <c:v>1.10422793726244E10</c:v>
                </c:pt>
                <c:pt idx="93">
                  <c:v>1.1052760784053E10</c:v>
                </c:pt>
                <c:pt idx="94">
                  <c:v>1.10623080519426E10</c:v>
                </c:pt>
                <c:pt idx="95">
                  <c:v>1.10709211762931E10</c:v>
                </c:pt>
                <c:pt idx="96">
                  <c:v>1.10786001571046E10</c:v>
                </c:pt>
                <c:pt idx="97">
                  <c:v>1.1085344994377E10</c:v>
                </c:pt>
                <c:pt idx="98">
                  <c:v>1.10911556881104E10</c:v>
                </c:pt>
                <c:pt idx="99">
                  <c:v>1.10960322383048E10</c:v>
                </c:pt>
                <c:pt idx="100">
                  <c:v>1.10999746449601E10</c:v>
                </c:pt>
                <c:pt idx="101">
                  <c:v>1.11029829080763E10</c:v>
                </c:pt>
                <c:pt idx="102">
                  <c:v>1.11050570276536E10</c:v>
                </c:pt>
                <c:pt idx="103">
                  <c:v>1.11061970036917E10</c:v>
                </c:pt>
                <c:pt idx="104">
                  <c:v>1.11064028361909E10</c:v>
                </c:pt>
                <c:pt idx="105">
                  <c:v>1.1105674525151E10</c:v>
                </c:pt>
                <c:pt idx="106">
                  <c:v>1.1104012070572E10</c:v>
                </c:pt>
                <c:pt idx="107">
                  <c:v>1.1101415472454E10</c:v>
                </c:pt>
                <c:pt idx="108">
                  <c:v>1.1097884730797E10</c:v>
                </c:pt>
                <c:pt idx="109">
                  <c:v>1.10934198456009E10</c:v>
                </c:pt>
                <c:pt idx="110">
                  <c:v>1.10880208168657E10</c:v>
                </c:pt>
                <c:pt idx="111">
                  <c:v>1.10816876445916E10</c:v>
                </c:pt>
                <c:pt idx="112">
                  <c:v>1.10744203287783E10</c:v>
                </c:pt>
                <c:pt idx="113">
                  <c:v>1.10662188694261E10</c:v>
                </c:pt>
                <c:pt idx="114">
                  <c:v>1.10570832665348E10</c:v>
                </c:pt>
                <c:pt idx="115">
                  <c:v>1.10470135201044E10</c:v>
                </c:pt>
                <c:pt idx="116">
                  <c:v>1.1036009630135E10</c:v>
                </c:pt>
                <c:pt idx="117">
                  <c:v>1.10240715966266E10</c:v>
                </c:pt>
                <c:pt idx="118">
                  <c:v>1.10111994195791E10</c:v>
                </c:pt>
                <c:pt idx="119">
                  <c:v>1.09973930989926E10</c:v>
                </c:pt>
                <c:pt idx="120">
                  <c:v>1.0982652634867E10</c:v>
                </c:pt>
                <c:pt idx="121">
                  <c:v>1.09669780272024E10</c:v>
                </c:pt>
                <c:pt idx="122">
                  <c:v>1.09503692759988E10</c:v>
                </c:pt>
                <c:pt idx="123">
                  <c:v>1.09328263812561E10</c:v>
                </c:pt>
                <c:pt idx="124">
                  <c:v>1.09143493429744E10</c:v>
                </c:pt>
                <c:pt idx="125">
                  <c:v>1.08949381611536E10</c:v>
                </c:pt>
                <c:pt idx="126">
                  <c:v>1.08745928357937E10</c:v>
                </c:pt>
                <c:pt idx="127">
                  <c:v>1.08533133668949E10</c:v>
                </c:pt>
                <c:pt idx="128">
                  <c:v>1.0831099754457E10</c:v>
                </c:pt>
                <c:pt idx="129">
                  <c:v>1.080795199848E10</c:v>
                </c:pt>
                <c:pt idx="130">
                  <c:v>1.0783870098964E10</c:v>
                </c:pt>
                <c:pt idx="131">
                  <c:v>1.0758854055909E10</c:v>
                </c:pt>
                <c:pt idx="132">
                  <c:v>1.07329038693149E10</c:v>
                </c:pt>
                <c:pt idx="133">
                  <c:v>1.07060195391817E10</c:v>
                </c:pt>
                <c:pt idx="134">
                  <c:v>1.06782010655096E10</c:v>
                </c:pt>
                <c:pt idx="135">
                  <c:v>1.06494484482983E10</c:v>
                </c:pt>
                <c:pt idx="136">
                  <c:v>1.06197616875481E10</c:v>
                </c:pt>
                <c:pt idx="137">
                  <c:v>1.05891407832588E10</c:v>
                </c:pt>
                <c:pt idx="138">
                  <c:v>1.05575857354304E10</c:v>
                </c:pt>
                <c:pt idx="139">
                  <c:v>1.0525096544063E10</c:v>
                </c:pt>
                <c:pt idx="140">
                  <c:v>1.04916732091566E10</c:v>
                </c:pt>
                <c:pt idx="141">
                  <c:v>1.04573157307111E10</c:v>
                </c:pt>
                <c:pt idx="142">
                  <c:v>1.04220241087266E10</c:v>
                </c:pt>
                <c:pt idx="143">
                  <c:v>1.0385798343203E10</c:v>
                </c:pt>
                <c:pt idx="144">
                  <c:v>1.03486384341404E10</c:v>
                </c:pt>
                <c:pt idx="145">
                  <c:v>1.03105443815388E10</c:v>
                </c:pt>
                <c:pt idx="146">
                  <c:v>1.02715161853981E10</c:v>
                </c:pt>
                <c:pt idx="147">
                  <c:v>1.02315538457183E10</c:v>
                </c:pt>
                <c:pt idx="148">
                  <c:v>1.01906573624996E10</c:v>
                </c:pt>
                <c:pt idx="149">
                  <c:v>1.01488267357417E10</c:v>
                </c:pt>
                <c:pt idx="150">
                  <c:v>1.01060619654449E10</c:v>
                </c:pt>
                <c:pt idx="151">
                  <c:v>1.0062363051609E10</c:v>
                </c:pt>
                <c:pt idx="152">
                  <c:v>1.0017729994234E10</c:v>
                </c:pt>
                <c:pt idx="153">
                  <c:v>9.97216279332E9</c:v>
                </c:pt>
                <c:pt idx="154">
                  <c:v>9.92566144886695E9</c:v>
                </c:pt>
                <c:pt idx="155">
                  <c:v>9.87822596087486E9</c:v>
                </c:pt>
                <c:pt idx="156">
                  <c:v>9.82985632934373E9</c:v>
                </c:pt>
                <c:pt idx="157">
                  <c:v>9.78055255427356E9</c:v>
                </c:pt>
                <c:pt idx="158">
                  <c:v>9.73031463566434E9</c:v>
                </c:pt>
                <c:pt idx="159">
                  <c:v>9.67914257351607E9</c:v>
                </c:pt>
                <c:pt idx="160">
                  <c:v>9.62703636782877E9</c:v>
                </c:pt>
                <c:pt idx="161">
                  <c:v>9.57399601860242E9</c:v>
                </c:pt>
                <c:pt idx="162">
                  <c:v>9.52002152583703E9</c:v>
                </c:pt>
                <c:pt idx="163">
                  <c:v>9.46511288953259E9</c:v>
                </c:pt>
                <c:pt idx="164">
                  <c:v>9.40927010968911E9</c:v>
                </c:pt>
                <c:pt idx="165">
                  <c:v>9.3524931863066E9</c:v>
                </c:pt>
                <c:pt idx="166">
                  <c:v>9.29478211938502E9</c:v>
                </c:pt>
                <c:pt idx="167">
                  <c:v>9.23613690892441E9</c:v>
                </c:pt>
                <c:pt idx="168">
                  <c:v>9.17655755492476E9</c:v>
                </c:pt>
                <c:pt idx="169">
                  <c:v>9.11604405738607E9</c:v>
                </c:pt>
                <c:pt idx="170">
                  <c:v>9.05459641630833E9</c:v>
                </c:pt>
                <c:pt idx="171">
                  <c:v>8.99221463169154E9</c:v>
                </c:pt>
                <c:pt idx="172">
                  <c:v>8.92889870353572E9</c:v>
                </c:pt>
                <c:pt idx="173">
                  <c:v>8.86464863184085E9</c:v>
                </c:pt>
                <c:pt idx="174">
                  <c:v>8.79946441660693E9</c:v>
                </c:pt>
                <c:pt idx="175">
                  <c:v>8.73334605783398E9</c:v>
                </c:pt>
                <c:pt idx="176">
                  <c:v>8.66629355552198E9</c:v>
                </c:pt>
                <c:pt idx="177">
                  <c:v>8.59830690967093E9</c:v>
                </c:pt>
                <c:pt idx="178">
                  <c:v>8.52938612028085E9</c:v>
                </c:pt>
                <c:pt idx="179">
                  <c:v>8.45953118735171E9</c:v>
                </c:pt>
                <c:pt idx="180">
                  <c:v>8.38874211088354E9</c:v>
                </c:pt>
                <c:pt idx="181">
                  <c:v>8.31701889087632E9</c:v>
                </c:pt>
                <c:pt idx="182">
                  <c:v>8.24436152733006E9</c:v>
                </c:pt>
                <c:pt idx="183">
                  <c:v>8.17077002024476E9</c:v>
                </c:pt>
                <c:pt idx="184">
                  <c:v>8.09624436962041E9</c:v>
                </c:pt>
                <c:pt idx="185">
                  <c:v>8.02078457545702E9</c:v>
                </c:pt>
                <c:pt idx="186">
                  <c:v>7.94439063775458E9</c:v>
                </c:pt>
                <c:pt idx="187">
                  <c:v>7.8670625565131E9</c:v>
                </c:pt>
                <c:pt idx="188">
                  <c:v>7.78880033173258E9</c:v>
                </c:pt>
                <c:pt idx="189">
                  <c:v>7.70960396341302E9</c:v>
                </c:pt>
                <c:pt idx="190">
                  <c:v>7.62947345155441E9</c:v>
                </c:pt>
                <c:pt idx="191">
                  <c:v>7.54840879615675E9</c:v>
                </c:pt>
                <c:pt idx="192">
                  <c:v>7.46640999722006E9</c:v>
                </c:pt>
                <c:pt idx="193">
                  <c:v>7.38347705474432E9</c:v>
                </c:pt>
                <c:pt idx="194">
                  <c:v>7.29960996872954E9</c:v>
                </c:pt>
                <c:pt idx="195">
                  <c:v>7.21480873917571E9</c:v>
                </c:pt>
                <c:pt idx="196">
                  <c:v>7.12907336608284E9</c:v>
                </c:pt>
                <c:pt idx="197">
                  <c:v>7.04240384945093E9</c:v>
                </c:pt>
                <c:pt idx="198">
                  <c:v>6.95480018927997E9</c:v>
                </c:pt>
                <c:pt idx="199">
                  <c:v>6.86626238556997E9</c:v>
                </c:pt>
                <c:pt idx="200">
                  <c:v>6.77679043832092E9</c:v>
                </c:pt>
                <c:pt idx="201">
                  <c:v>6.68638434753283E9</c:v>
                </c:pt>
                <c:pt idx="202">
                  <c:v>6.5950441132057E9</c:v>
                </c:pt>
                <c:pt idx="203">
                  <c:v>6.50276973533953E9</c:v>
                </c:pt>
                <c:pt idx="204">
                  <c:v>6.40956121393431E9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595800"/>
        <c:axId val="2100592728"/>
      </c:lineChart>
      <c:catAx>
        <c:axId val="2100595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0592728"/>
        <c:crosses val="autoZero"/>
        <c:auto val="1"/>
        <c:lblAlgn val="ctr"/>
        <c:lblOffset val="100"/>
        <c:noMultiLvlLbl val="0"/>
      </c:catAx>
      <c:valAx>
        <c:axId val="2100592728"/>
        <c:scaling>
          <c:orientation val="minMax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00595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 Growth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Nonlinear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Population!$F$3:$F$206</c:f>
              <c:numCache>
                <c:formatCode>0.0E+00</c:formatCode>
                <c:ptCount val="204"/>
                <c:pt idx="0">
                  <c:v>7.91445241000004E7</c:v>
                </c:pt>
                <c:pt idx="1">
                  <c:v>7.92423430999994E7</c:v>
                </c:pt>
                <c:pt idx="2">
                  <c:v>7.97722868000002E7</c:v>
                </c:pt>
                <c:pt idx="3">
                  <c:v>8.02111896999998E7</c:v>
                </c:pt>
                <c:pt idx="4">
                  <c:v>8.07625586000004E7</c:v>
                </c:pt>
                <c:pt idx="5">
                  <c:v>8.11102156999998E7</c:v>
                </c:pt>
                <c:pt idx="6">
                  <c:v>8.24698446000004E7</c:v>
                </c:pt>
                <c:pt idx="7">
                  <c:v>8.26531828999996E7</c:v>
                </c:pt>
                <c:pt idx="8">
                  <c:v>8.27283791000004E7</c:v>
                </c:pt>
                <c:pt idx="9">
                  <c:v>8.32239045E7</c:v>
                </c:pt>
                <c:pt idx="10">
                  <c:v>8.25435615999994E7</c:v>
                </c:pt>
                <c:pt idx="11">
                  <c:v>8.66406414000006E7</c:v>
                </c:pt>
                <c:pt idx="12">
                  <c:v>8.46880861999998E7</c:v>
                </c:pt>
                <c:pt idx="13">
                  <c:v>8.58527590999994E7</c:v>
                </c:pt>
                <c:pt idx="14">
                  <c:v>8.30599626000004E7</c:v>
                </c:pt>
                <c:pt idx="38">
                  <c:v>6.09251625369565E7</c:v>
                </c:pt>
                <c:pt idx="39">
                  <c:v>5.99910189979131E7</c:v>
                </c:pt>
                <c:pt idx="40">
                  <c:v>5.90568754588697E7</c:v>
                </c:pt>
                <c:pt idx="41">
                  <c:v>5.81227319198263E7</c:v>
                </c:pt>
                <c:pt idx="42">
                  <c:v>5.71885883807826E7</c:v>
                </c:pt>
                <c:pt idx="43">
                  <c:v>5.62544448417392E7</c:v>
                </c:pt>
                <c:pt idx="44">
                  <c:v>5.53203013026958E7</c:v>
                </c:pt>
                <c:pt idx="45">
                  <c:v>5.43861577636523E7</c:v>
                </c:pt>
                <c:pt idx="46">
                  <c:v>5.34520142246087E7</c:v>
                </c:pt>
                <c:pt idx="47">
                  <c:v>5.25178706855652E7</c:v>
                </c:pt>
                <c:pt idx="48">
                  <c:v>5.15837271465218E7</c:v>
                </c:pt>
                <c:pt idx="49">
                  <c:v>5.06495836074784E7</c:v>
                </c:pt>
                <c:pt idx="50">
                  <c:v>4.97154400684347E7</c:v>
                </c:pt>
                <c:pt idx="51">
                  <c:v>4.87812965293913E7</c:v>
                </c:pt>
                <c:pt idx="52">
                  <c:v>4.78471529903479E7</c:v>
                </c:pt>
                <c:pt idx="53">
                  <c:v>4.69130094513044E7</c:v>
                </c:pt>
                <c:pt idx="54">
                  <c:v>4.5978865912261E7</c:v>
                </c:pt>
                <c:pt idx="55">
                  <c:v>4.50447223732173E7</c:v>
                </c:pt>
                <c:pt idx="56">
                  <c:v>4.41105788341739E7</c:v>
                </c:pt>
                <c:pt idx="57">
                  <c:v>4.31764352951305E7</c:v>
                </c:pt>
                <c:pt idx="58">
                  <c:v>4.22422917560871E7</c:v>
                </c:pt>
                <c:pt idx="59">
                  <c:v>4.13081482170434E7</c:v>
                </c:pt>
                <c:pt idx="60">
                  <c:v>4.0374004678E7</c:v>
                </c:pt>
                <c:pt idx="61">
                  <c:v>3.94398611389565E7</c:v>
                </c:pt>
                <c:pt idx="62">
                  <c:v>3.85057175999131E7</c:v>
                </c:pt>
                <c:pt idx="63">
                  <c:v>3.75715740608695E7</c:v>
                </c:pt>
                <c:pt idx="64">
                  <c:v>3.6637430521826E7</c:v>
                </c:pt>
                <c:pt idx="65">
                  <c:v>3.57032869827826E7</c:v>
                </c:pt>
                <c:pt idx="66">
                  <c:v>3.47691434437392E7</c:v>
                </c:pt>
                <c:pt idx="67">
                  <c:v>3.38349999046957E7</c:v>
                </c:pt>
                <c:pt idx="68">
                  <c:v>3.29008563656521E7</c:v>
                </c:pt>
                <c:pt idx="69">
                  <c:v>3.19667128266087E7</c:v>
                </c:pt>
                <c:pt idx="70">
                  <c:v>3.10325692875652E7</c:v>
                </c:pt>
                <c:pt idx="71">
                  <c:v>3.00984257485218E7</c:v>
                </c:pt>
                <c:pt idx="72">
                  <c:v>2.91642822094781E7</c:v>
                </c:pt>
                <c:pt idx="73">
                  <c:v>2.82301386704347E7</c:v>
                </c:pt>
                <c:pt idx="74">
                  <c:v>2.72959951313913E7</c:v>
                </c:pt>
                <c:pt idx="75">
                  <c:v>2.63618515923479E7</c:v>
                </c:pt>
                <c:pt idx="76">
                  <c:v>2.54277080533042E7</c:v>
                </c:pt>
                <c:pt idx="77">
                  <c:v>2.44935645142608E7</c:v>
                </c:pt>
                <c:pt idx="78">
                  <c:v>2.35594209752173E7</c:v>
                </c:pt>
                <c:pt idx="79">
                  <c:v>2.26252774361739E7</c:v>
                </c:pt>
                <c:pt idx="80">
                  <c:v>2.16911338971303E7</c:v>
                </c:pt>
                <c:pt idx="81">
                  <c:v>2.07569903580868E7</c:v>
                </c:pt>
                <c:pt idx="82">
                  <c:v>1.98228468190434E7</c:v>
                </c:pt>
                <c:pt idx="83">
                  <c:v>1.888870328E7</c:v>
                </c:pt>
                <c:pt idx="84">
                  <c:v>1.79545597409565E7</c:v>
                </c:pt>
                <c:pt idx="85">
                  <c:v>1.70204162019129E7</c:v>
                </c:pt>
                <c:pt idx="86">
                  <c:v>1.60862726628695E7</c:v>
                </c:pt>
                <c:pt idx="87">
                  <c:v>1.5152129123826E7</c:v>
                </c:pt>
                <c:pt idx="88">
                  <c:v>1.42179855847826E7</c:v>
                </c:pt>
                <c:pt idx="89">
                  <c:v>1.32838420457389E7</c:v>
                </c:pt>
                <c:pt idx="90">
                  <c:v>1.23496985066955E7</c:v>
                </c:pt>
                <c:pt idx="91">
                  <c:v>1.14155549676521E7</c:v>
                </c:pt>
                <c:pt idx="92">
                  <c:v>1.04814114286087E7</c:v>
                </c:pt>
                <c:pt idx="93">
                  <c:v>9.547267889565E6</c:v>
                </c:pt>
                <c:pt idx="94">
                  <c:v>8.61312435052156E6</c:v>
                </c:pt>
                <c:pt idx="95">
                  <c:v>7.67898081147814E6</c:v>
                </c:pt>
                <c:pt idx="96">
                  <c:v>6.74483727243471E6</c:v>
                </c:pt>
                <c:pt idx="97">
                  <c:v>5.81069373339129E6</c:v>
                </c:pt>
                <c:pt idx="98">
                  <c:v>4.87655019434762E6</c:v>
                </c:pt>
                <c:pt idx="99">
                  <c:v>3.94240665530419E6</c:v>
                </c:pt>
                <c:pt idx="100">
                  <c:v>3.00826311626077E6</c:v>
                </c:pt>
                <c:pt idx="101">
                  <c:v>2.07411957721734E6</c:v>
                </c:pt>
                <c:pt idx="102">
                  <c:v>1.13997603817368E6</c:v>
                </c:pt>
                <c:pt idx="103">
                  <c:v>205832.499130249</c:v>
                </c:pt>
                <c:pt idx="104">
                  <c:v>-728311.0399131775</c:v>
                </c:pt>
                <c:pt idx="105">
                  <c:v>-1.6624545789566E6</c:v>
                </c:pt>
                <c:pt idx="106">
                  <c:v>-2.59659811800027E6</c:v>
                </c:pt>
                <c:pt idx="107">
                  <c:v>-3.5307416570437E6</c:v>
                </c:pt>
                <c:pt idx="108">
                  <c:v>-4.46488519608712E6</c:v>
                </c:pt>
                <c:pt idx="109">
                  <c:v>-5.39902873513055E6</c:v>
                </c:pt>
                <c:pt idx="110">
                  <c:v>-6.33317227417421E6</c:v>
                </c:pt>
                <c:pt idx="111">
                  <c:v>-7.26731581321764E6</c:v>
                </c:pt>
                <c:pt idx="112">
                  <c:v>-8.20145935226107E6</c:v>
                </c:pt>
                <c:pt idx="113">
                  <c:v>-9.13560289130449E6</c:v>
                </c:pt>
                <c:pt idx="114">
                  <c:v>-1.00697464303479E7</c:v>
                </c:pt>
                <c:pt idx="115">
                  <c:v>-1.10038899693916E7</c:v>
                </c:pt>
                <c:pt idx="116">
                  <c:v>-1.1938033508435E7</c:v>
                </c:pt>
                <c:pt idx="117">
                  <c:v>-1.28721770474784E7</c:v>
                </c:pt>
                <c:pt idx="118">
                  <c:v>-1.38063205865219E7</c:v>
                </c:pt>
                <c:pt idx="119">
                  <c:v>-1.47404641255655E7</c:v>
                </c:pt>
                <c:pt idx="120">
                  <c:v>-1.5674607664609E7</c:v>
                </c:pt>
                <c:pt idx="121">
                  <c:v>-1.66087512036524E7</c:v>
                </c:pt>
                <c:pt idx="122">
                  <c:v>-1.75428947426958E7</c:v>
                </c:pt>
                <c:pt idx="123">
                  <c:v>-1.84770382817395E7</c:v>
                </c:pt>
                <c:pt idx="124">
                  <c:v>-1.94111818207829E7</c:v>
                </c:pt>
                <c:pt idx="125">
                  <c:v>-2.03453253598263E7</c:v>
                </c:pt>
                <c:pt idx="126">
                  <c:v>-2.12794688988698E7</c:v>
                </c:pt>
                <c:pt idx="127">
                  <c:v>-2.22136124379132E7</c:v>
                </c:pt>
                <c:pt idx="128">
                  <c:v>-2.31477559769568E7</c:v>
                </c:pt>
                <c:pt idx="129">
                  <c:v>-2.40818995160003E7</c:v>
                </c:pt>
                <c:pt idx="130">
                  <c:v>-2.50160430550437E7</c:v>
                </c:pt>
                <c:pt idx="131">
                  <c:v>-2.59501865940871E7</c:v>
                </c:pt>
                <c:pt idx="132">
                  <c:v>-2.68843301331308E7</c:v>
                </c:pt>
                <c:pt idx="133">
                  <c:v>-2.78184736721742E7</c:v>
                </c:pt>
                <c:pt idx="134">
                  <c:v>-2.87526172112176E7</c:v>
                </c:pt>
                <c:pt idx="135">
                  <c:v>-2.96867607502611E7</c:v>
                </c:pt>
                <c:pt idx="136">
                  <c:v>-3.06209042893047E7</c:v>
                </c:pt>
                <c:pt idx="137">
                  <c:v>-3.15550478283482E7</c:v>
                </c:pt>
                <c:pt idx="138">
                  <c:v>-3.24891913673916E7</c:v>
                </c:pt>
                <c:pt idx="139">
                  <c:v>-3.3423334906435E7</c:v>
                </c:pt>
                <c:pt idx="140">
                  <c:v>-3.43574784454787E7</c:v>
                </c:pt>
                <c:pt idx="141">
                  <c:v>-3.52916219845221E7</c:v>
                </c:pt>
                <c:pt idx="142">
                  <c:v>-3.62257655235655E7</c:v>
                </c:pt>
                <c:pt idx="143">
                  <c:v>-3.7159909062609E7</c:v>
                </c:pt>
                <c:pt idx="144">
                  <c:v>-3.80940526016524E7</c:v>
                </c:pt>
                <c:pt idx="145">
                  <c:v>-3.9028196140696E7</c:v>
                </c:pt>
                <c:pt idx="146">
                  <c:v>-3.99623396797395E7</c:v>
                </c:pt>
                <c:pt idx="147">
                  <c:v>-4.08964832187829E7</c:v>
                </c:pt>
                <c:pt idx="148">
                  <c:v>-4.18306267578263E7</c:v>
                </c:pt>
                <c:pt idx="149">
                  <c:v>-4.276477029687E7</c:v>
                </c:pt>
                <c:pt idx="150">
                  <c:v>-4.36989138359134E7</c:v>
                </c:pt>
                <c:pt idx="151">
                  <c:v>-4.46330573749569E7</c:v>
                </c:pt>
                <c:pt idx="152">
                  <c:v>-4.55672009140003E7</c:v>
                </c:pt>
                <c:pt idx="153">
                  <c:v>-4.65013444530439E7</c:v>
                </c:pt>
                <c:pt idx="154">
                  <c:v>-4.74354879920874E7</c:v>
                </c:pt>
                <c:pt idx="155">
                  <c:v>-4.83696315311308E7</c:v>
                </c:pt>
                <c:pt idx="156">
                  <c:v>-4.93037750701742E7</c:v>
                </c:pt>
                <c:pt idx="157">
                  <c:v>-5.02379186092176E7</c:v>
                </c:pt>
                <c:pt idx="158">
                  <c:v>-5.11720621482613E7</c:v>
                </c:pt>
                <c:pt idx="159">
                  <c:v>-5.21062056873047E7</c:v>
                </c:pt>
                <c:pt idx="160">
                  <c:v>-5.30403492263482E7</c:v>
                </c:pt>
                <c:pt idx="161">
                  <c:v>-5.39744927653916E7</c:v>
                </c:pt>
                <c:pt idx="162">
                  <c:v>-5.49086363044352E7</c:v>
                </c:pt>
                <c:pt idx="163">
                  <c:v>-5.58427798434787E7</c:v>
                </c:pt>
                <c:pt idx="164">
                  <c:v>-5.67769233825221E7</c:v>
                </c:pt>
                <c:pt idx="165">
                  <c:v>-5.77110669215655E7</c:v>
                </c:pt>
                <c:pt idx="166">
                  <c:v>-5.86452104606092E7</c:v>
                </c:pt>
                <c:pt idx="167">
                  <c:v>-5.95793539996526E7</c:v>
                </c:pt>
                <c:pt idx="168">
                  <c:v>-6.05134975386961E7</c:v>
                </c:pt>
                <c:pt idx="169">
                  <c:v>-6.14476410777395E7</c:v>
                </c:pt>
                <c:pt idx="170">
                  <c:v>-6.23817846167831E7</c:v>
                </c:pt>
                <c:pt idx="171">
                  <c:v>-6.33159281558266E7</c:v>
                </c:pt>
                <c:pt idx="172">
                  <c:v>-6.425007169487E7</c:v>
                </c:pt>
                <c:pt idx="173">
                  <c:v>-6.51842152339134E7</c:v>
                </c:pt>
                <c:pt idx="174">
                  <c:v>-6.61183587729569E7</c:v>
                </c:pt>
                <c:pt idx="175">
                  <c:v>-6.70525023120005E7</c:v>
                </c:pt>
                <c:pt idx="176">
                  <c:v>-6.79866458510439E7</c:v>
                </c:pt>
                <c:pt idx="177">
                  <c:v>-6.89207893900874E7</c:v>
                </c:pt>
                <c:pt idx="178">
                  <c:v>-6.98549329291308E7</c:v>
                </c:pt>
                <c:pt idx="179">
                  <c:v>-7.07890764681745E7</c:v>
                </c:pt>
                <c:pt idx="180">
                  <c:v>-7.17232200072179E7</c:v>
                </c:pt>
                <c:pt idx="181">
                  <c:v>-7.26573635462613E7</c:v>
                </c:pt>
                <c:pt idx="182">
                  <c:v>-7.35915070853047E7</c:v>
                </c:pt>
                <c:pt idx="183">
                  <c:v>-7.45256506243484E7</c:v>
                </c:pt>
                <c:pt idx="184">
                  <c:v>-7.54597941633918E7</c:v>
                </c:pt>
                <c:pt idx="185">
                  <c:v>-7.63939377024352E7</c:v>
                </c:pt>
                <c:pt idx="186">
                  <c:v>-7.73280812414787E7</c:v>
                </c:pt>
                <c:pt idx="187">
                  <c:v>-7.82622247805221E7</c:v>
                </c:pt>
                <c:pt idx="188">
                  <c:v>-7.91963683195658E7</c:v>
                </c:pt>
                <c:pt idx="189">
                  <c:v>-8.01305118586092E7</c:v>
                </c:pt>
                <c:pt idx="190">
                  <c:v>-8.10646553976526E7</c:v>
                </c:pt>
                <c:pt idx="191">
                  <c:v>-8.19987989366961E7</c:v>
                </c:pt>
                <c:pt idx="192">
                  <c:v>-8.29329424757397E7</c:v>
                </c:pt>
                <c:pt idx="193">
                  <c:v>-8.38670860147831E7</c:v>
                </c:pt>
                <c:pt idx="194">
                  <c:v>-8.48012295538266E7</c:v>
                </c:pt>
                <c:pt idx="195">
                  <c:v>-8.573537309287E7</c:v>
                </c:pt>
                <c:pt idx="196">
                  <c:v>-8.66695166319137E7</c:v>
                </c:pt>
                <c:pt idx="197">
                  <c:v>-8.76036601709571E7</c:v>
                </c:pt>
                <c:pt idx="198">
                  <c:v>-8.85378037100005E7</c:v>
                </c:pt>
                <c:pt idx="199">
                  <c:v>-8.94719472490439E7</c:v>
                </c:pt>
                <c:pt idx="200">
                  <c:v>-9.04060907880876E7</c:v>
                </c:pt>
                <c:pt idx="201">
                  <c:v>-9.1340234327131E7</c:v>
                </c:pt>
                <c:pt idx="202">
                  <c:v>-9.22743778661745E7</c:v>
                </c:pt>
                <c:pt idx="203">
                  <c:v>-9.32085214052179E7</c:v>
                </c:pt>
              </c:numCache>
            </c:numRef>
          </c:val>
          <c:smooth val="0"/>
        </c:ser>
        <c:ser>
          <c:idx val="2"/>
          <c:order val="1"/>
          <c:tx>
            <c:v>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Population!$G$3:$G$206</c:f>
              <c:numCache>
                <c:formatCode>0.0E+00</c:formatCode>
                <c:ptCount val="204"/>
                <c:pt idx="14">
                  <c:v>8.30599626000004E7</c:v>
                </c:pt>
                <c:pt idx="15">
                  <c:v>8.2514E7</c:v>
                </c:pt>
                <c:pt idx="16">
                  <c:v>8.1695E7</c:v>
                </c:pt>
                <c:pt idx="17">
                  <c:v>8.0828E7</c:v>
                </c:pt>
                <c:pt idx="18">
                  <c:v>7.9889E7</c:v>
                </c:pt>
                <c:pt idx="19">
                  <c:v>7.8948E7</c:v>
                </c:pt>
                <c:pt idx="20">
                  <c:v>7.7975E7</c:v>
                </c:pt>
                <c:pt idx="21">
                  <c:v>7.6942E7</c:v>
                </c:pt>
                <c:pt idx="22">
                  <c:v>7.5921E7</c:v>
                </c:pt>
                <c:pt idx="23">
                  <c:v>7.4898E7</c:v>
                </c:pt>
                <c:pt idx="24">
                  <c:v>7.3863E7</c:v>
                </c:pt>
                <c:pt idx="25">
                  <c:v>7.2819E7</c:v>
                </c:pt>
                <c:pt idx="26">
                  <c:v>7.1816E7</c:v>
                </c:pt>
                <c:pt idx="27">
                  <c:v>7.0832E7</c:v>
                </c:pt>
                <c:pt idx="28">
                  <c:v>6.9901E7</c:v>
                </c:pt>
                <c:pt idx="29">
                  <c:v>6.898E7</c:v>
                </c:pt>
                <c:pt idx="30">
                  <c:v>6.8051E7</c:v>
                </c:pt>
                <c:pt idx="31">
                  <c:v>6.7151E7</c:v>
                </c:pt>
                <c:pt idx="32">
                  <c:v>6.6294E7</c:v>
                </c:pt>
                <c:pt idx="33">
                  <c:v>6.5507E7</c:v>
                </c:pt>
                <c:pt idx="34">
                  <c:v>6.4749E7</c:v>
                </c:pt>
                <c:pt idx="35">
                  <c:v>6.4E7</c:v>
                </c:pt>
                <c:pt idx="36">
                  <c:v>6.3274E7</c:v>
                </c:pt>
                <c:pt idx="37">
                  <c:v>6.254E7</c:v>
                </c:pt>
              </c:numCache>
            </c:numRef>
          </c:val>
          <c:smooth val="0"/>
        </c:ser>
        <c:ser>
          <c:idx val="0"/>
          <c:order val="2"/>
          <c:tx>
            <c:v>Projected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Population!$H$3:$H$206</c:f>
              <c:numCache>
                <c:formatCode>0.0E+00</c:formatCode>
                <c:ptCount val="204"/>
                <c:pt idx="38">
                  <c:v>6.09251625369568E7</c:v>
                </c:pt>
                <c:pt idx="39">
                  <c:v>5.99910189979134E7</c:v>
                </c:pt>
                <c:pt idx="40">
                  <c:v>5.90568754588699E7</c:v>
                </c:pt>
                <c:pt idx="41">
                  <c:v>5.81227319198265E7</c:v>
                </c:pt>
                <c:pt idx="42">
                  <c:v>5.71885883807831E7</c:v>
                </c:pt>
                <c:pt idx="43">
                  <c:v>5.62544448417397E7</c:v>
                </c:pt>
                <c:pt idx="44">
                  <c:v>5.53203013026962E7</c:v>
                </c:pt>
                <c:pt idx="45">
                  <c:v>5.43861577636528E7</c:v>
                </c:pt>
                <c:pt idx="46">
                  <c:v>5.34520142246094E7</c:v>
                </c:pt>
                <c:pt idx="47">
                  <c:v>5.2517870685566E7</c:v>
                </c:pt>
                <c:pt idx="48">
                  <c:v>5.15837271465225E7</c:v>
                </c:pt>
                <c:pt idx="49">
                  <c:v>5.06495836074791E7</c:v>
                </c:pt>
                <c:pt idx="50">
                  <c:v>4.97154400684357E7</c:v>
                </c:pt>
                <c:pt idx="51">
                  <c:v>4.87812965293922E7</c:v>
                </c:pt>
                <c:pt idx="52">
                  <c:v>4.78471529903488E7</c:v>
                </c:pt>
                <c:pt idx="53">
                  <c:v>4.69130094513054E7</c:v>
                </c:pt>
                <c:pt idx="54">
                  <c:v>4.5978865912262E7</c:v>
                </c:pt>
                <c:pt idx="55">
                  <c:v>4.50447223732166E7</c:v>
                </c:pt>
                <c:pt idx="56">
                  <c:v>4.41105788341732E7</c:v>
                </c:pt>
                <c:pt idx="57">
                  <c:v>4.31764352951298E7</c:v>
                </c:pt>
                <c:pt idx="58">
                  <c:v>4.22422917560863E7</c:v>
                </c:pt>
                <c:pt idx="59">
                  <c:v>4.13081482170429E7</c:v>
                </c:pt>
                <c:pt idx="60">
                  <c:v>4.03740046779995E7</c:v>
                </c:pt>
                <c:pt idx="61">
                  <c:v>3.94398611389561E7</c:v>
                </c:pt>
                <c:pt idx="62">
                  <c:v>3.85057175999126E7</c:v>
                </c:pt>
                <c:pt idx="63">
                  <c:v>3.75715740608692E7</c:v>
                </c:pt>
                <c:pt idx="64">
                  <c:v>3.66374305218258E7</c:v>
                </c:pt>
                <c:pt idx="65">
                  <c:v>3.57032869827824E7</c:v>
                </c:pt>
                <c:pt idx="66">
                  <c:v>3.47691434437389E7</c:v>
                </c:pt>
                <c:pt idx="67">
                  <c:v>3.38349999046955E7</c:v>
                </c:pt>
                <c:pt idx="68">
                  <c:v>3.29008563656521E7</c:v>
                </c:pt>
                <c:pt idx="69">
                  <c:v>3.19667128266087E7</c:v>
                </c:pt>
                <c:pt idx="70">
                  <c:v>3.10325692875652E7</c:v>
                </c:pt>
                <c:pt idx="71">
                  <c:v>3.00984257485218E7</c:v>
                </c:pt>
                <c:pt idx="72">
                  <c:v>2.91642822094784E7</c:v>
                </c:pt>
                <c:pt idx="73">
                  <c:v>2.8230138670435E7</c:v>
                </c:pt>
                <c:pt idx="74">
                  <c:v>2.72959951313915E7</c:v>
                </c:pt>
                <c:pt idx="75">
                  <c:v>2.63618515923481E7</c:v>
                </c:pt>
                <c:pt idx="76">
                  <c:v>2.54277080533047E7</c:v>
                </c:pt>
                <c:pt idx="77">
                  <c:v>2.44935645142612E7</c:v>
                </c:pt>
                <c:pt idx="78">
                  <c:v>2.35594209752178E7</c:v>
                </c:pt>
                <c:pt idx="79">
                  <c:v>2.26252774361744E7</c:v>
                </c:pt>
                <c:pt idx="80">
                  <c:v>2.1691133897131E7</c:v>
                </c:pt>
                <c:pt idx="81">
                  <c:v>2.07569903580875E7</c:v>
                </c:pt>
                <c:pt idx="82">
                  <c:v>1.98228468190441E7</c:v>
                </c:pt>
                <c:pt idx="83">
                  <c:v>1.88887032800007E7</c:v>
                </c:pt>
                <c:pt idx="84">
                  <c:v>1.79545597409573E7</c:v>
                </c:pt>
                <c:pt idx="85">
                  <c:v>1.70204162019119E7</c:v>
                </c:pt>
                <c:pt idx="86">
                  <c:v>1.60862726628685E7</c:v>
                </c:pt>
                <c:pt idx="87">
                  <c:v>1.51521291238251E7</c:v>
                </c:pt>
                <c:pt idx="88">
                  <c:v>1.42179855847816E7</c:v>
                </c:pt>
                <c:pt idx="89">
                  <c:v>1.32838420457382E7</c:v>
                </c:pt>
                <c:pt idx="90">
                  <c:v>1.23496985066948E7</c:v>
                </c:pt>
                <c:pt idx="91">
                  <c:v>1.14155549676514E7</c:v>
                </c:pt>
                <c:pt idx="92">
                  <c:v>1.04814114286079E7</c:v>
                </c:pt>
                <c:pt idx="93">
                  <c:v>9.54726788956451E6</c:v>
                </c:pt>
                <c:pt idx="94">
                  <c:v>8.61312435052109E6</c:v>
                </c:pt>
                <c:pt idx="95">
                  <c:v>7.67898081147766E6</c:v>
                </c:pt>
                <c:pt idx="96">
                  <c:v>6.74483727243423E6</c:v>
                </c:pt>
                <c:pt idx="97">
                  <c:v>5.81069373339081E6</c:v>
                </c:pt>
                <c:pt idx="98">
                  <c:v>4.87655019434738E6</c:v>
                </c:pt>
                <c:pt idx="99">
                  <c:v>3.94240665530396E6</c:v>
                </c:pt>
                <c:pt idx="100">
                  <c:v>3.00826311626053E6</c:v>
                </c:pt>
                <c:pt idx="101">
                  <c:v>2.0741195772171E6</c:v>
                </c:pt>
                <c:pt idx="102">
                  <c:v>1.13997603817368E6</c:v>
                </c:pt>
                <c:pt idx="103">
                  <c:v>205832.499130249</c:v>
                </c:pt>
                <c:pt idx="104">
                  <c:v>-728311.0399131775</c:v>
                </c:pt>
                <c:pt idx="105">
                  <c:v>-1.6624545789566E6</c:v>
                </c:pt>
                <c:pt idx="106">
                  <c:v>-2.59659811800003E6</c:v>
                </c:pt>
                <c:pt idx="107">
                  <c:v>-3.53074165704346E6</c:v>
                </c:pt>
                <c:pt idx="108">
                  <c:v>-4.46488519608688E6</c:v>
                </c:pt>
                <c:pt idx="109">
                  <c:v>-5.39902873513031E6</c:v>
                </c:pt>
                <c:pt idx="110">
                  <c:v>-6.33317227417374E6</c:v>
                </c:pt>
                <c:pt idx="111">
                  <c:v>-7.26731581321716E6</c:v>
                </c:pt>
                <c:pt idx="112">
                  <c:v>-8.2014593522606E6</c:v>
                </c:pt>
                <c:pt idx="113">
                  <c:v>-9.13560289130402E6</c:v>
                </c:pt>
                <c:pt idx="114">
                  <c:v>-1.00697464303474E7</c:v>
                </c:pt>
                <c:pt idx="115">
                  <c:v>-1.10038899693909E7</c:v>
                </c:pt>
                <c:pt idx="116">
                  <c:v>-1.19380335084343E7</c:v>
                </c:pt>
                <c:pt idx="117">
                  <c:v>-1.28721770474777E7</c:v>
                </c:pt>
                <c:pt idx="118">
                  <c:v>-1.38063205865211E7</c:v>
                </c:pt>
                <c:pt idx="119">
                  <c:v>-1.47404641255646E7</c:v>
                </c:pt>
                <c:pt idx="120">
                  <c:v>-1.5674607664608E7</c:v>
                </c:pt>
                <c:pt idx="121">
                  <c:v>-1.66087512036514E7</c:v>
                </c:pt>
                <c:pt idx="122">
                  <c:v>-1.75428947426949E7</c:v>
                </c:pt>
                <c:pt idx="123">
                  <c:v>-1.84770382817402E7</c:v>
                </c:pt>
                <c:pt idx="124">
                  <c:v>-1.94111818207836E7</c:v>
                </c:pt>
                <c:pt idx="125">
                  <c:v>-2.0345325359827E7</c:v>
                </c:pt>
                <c:pt idx="126">
                  <c:v>-2.12794688988705E7</c:v>
                </c:pt>
                <c:pt idx="127">
                  <c:v>-2.22136124379139E7</c:v>
                </c:pt>
                <c:pt idx="128">
                  <c:v>-2.31477559769573E7</c:v>
                </c:pt>
                <c:pt idx="129">
                  <c:v>-2.40818995160007E7</c:v>
                </c:pt>
                <c:pt idx="130">
                  <c:v>-2.50160430550442E7</c:v>
                </c:pt>
                <c:pt idx="131">
                  <c:v>-2.59501865940876E7</c:v>
                </c:pt>
                <c:pt idx="132">
                  <c:v>-2.6884330133131E7</c:v>
                </c:pt>
                <c:pt idx="133">
                  <c:v>-2.78184736721745E7</c:v>
                </c:pt>
                <c:pt idx="134">
                  <c:v>-2.87526172112179E7</c:v>
                </c:pt>
                <c:pt idx="135">
                  <c:v>-2.96867607502613E7</c:v>
                </c:pt>
                <c:pt idx="136">
                  <c:v>-3.06209042893047E7</c:v>
                </c:pt>
                <c:pt idx="137">
                  <c:v>-3.15550478283482E7</c:v>
                </c:pt>
                <c:pt idx="138">
                  <c:v>-3.24891913673916E7</c:v>
                </c:pt>
                <c:pt idx="139">
                  <c:v>-3.3423334906435E7</c:v>
                </c:pt>
                <c:pt idx="140">
                  <c:v>-3.43574784454784E7</c:v>
                </c:pt>
                <c:pt idx="141">
                  <c:v>-3.52916219845219E7</c:v>
                </c:pt>
                <c:pt idx="142">
                  <c:v>-3.62257655235653E7</c:v>
                </c:pt>
                <c:pt idx="143">
                  <c:v>-3.71599090626087E7</c:v>
                </c:pt>
                <c:pt idx="144">
                  <c:v>-3.80940526016521E7</c:v>
                </c:pt>
                <c:pt idx="145">
                  <c:v>-3.90281961406956E7</c:v>
                </c:pt>
                <c:pt idx="146">
                  <c:v>-3.9962339679739E7</c:v>
                </c:pt>
                <c:pt idx="147">
                  <c:v>-4.08964832187824E7</c:v>
                </c:pt>
                <c:pt idx="148">
                  <c:v>-4.18306267578259E7</c:v>
                </c:pt>
                <c:pt idx="149">
                  <c:v>-4.27647702968693E7</c:v>
                </c:pt>
                <c:pt idx="150">
                  <c:v>-4.36989138359127E7</c:v>
                </c:pt>
                <c:pt idx="151">
                  <c:v>-4.46330573749561E7</c:v>
                </c:pt>
                <c:pt idx="152">
                  <c:v>-4.55672009139996E7</c:v>
                </c:pt>
                <c:pt idx="153">
                  <c:v>-4.65013444530449E7</c:v>
                </c:pt>
                <c:pt idx="154">
                  <c:v>-4.74354879920883E7</c:v>
                </c:pt>
                <c:pt idx="155">
                  <c:v>-4.83696315311317E7</c:v>
                </c:pt>
                <c:pt idx="156">
                  <c:v>-4.93037750701752E7</c:v>
                </c:pt>
                <c:pt idx="157">
                  <c:v>-5.02379186092186E7</c:v>
                </c:pt>
                <c:pt idx="158">
                  <c:v>-5.1172062148262E7</c:v>
                </c:pt>
                <c:pt idx="159">
                  <c:v>-5.21062056873054E7</c:v>
                </c:pt>
                <c:pt idx="160">
                  <c:v>-5.30403492263489E7</c:v>
                </c:pt>
                <c:pt idx="161">
                  <c:v>-5.39744927653923E7</c:v>
                </c:pt>
                <c:pt idx="162">
                  <c:v>-5.49086363044357E7</c:v>
                </c:pt>
                <c:pt idx="163">
                  <c:v>-5.58427798434792E7</c:v>
                </c:pt>
                <c:pt idx="164">
                  <c:v>-5.67769233825226E7</c:v>
                </c:pt>
                <c:pt idx="165">
                  <c:v>-5.7711066921566E7</c:v>
                </c:pt>
                <c:pt idx="166">
                  <c:v>-5.86452104606094E7</c:v>
                </c:pt>
                <c:pt idx="167">
                  <c:v>-5.95793539996529E7</c:v>
                </c:pt>
                <c:pt idx="168">
                  <c:v>-6.05134975386963E7</c:v>
                </c:pt>
                <c:pt idx="169">
                  <c:v>-6.14476410777397E7</c:v>
                </c:pt>
                <c:pt idx="170">
                  <c:v>-6.23817846167831E7</c:v>
                </c:pt>
                <c:pt idx="171">
                  <c:v>-6.33159281558266E7</c:v>
                </c:pt>
                <c:pt idx="172">
                  <c:v>-6.425007169487E7</c:v>
                </c:pt>
                <c:pt idx="173">
                  <c:v>-6.51842152339134E7</c:v>
                </c:pt>
                <c:pt idx="174">
                  <c:v>-6.61183587729569E7</c:v>
                </c:pt>
                <c:pt idx="175">
                  <c:v>-6.70525023120003E7</c:v>
                </c:pt>
                <c:pt idx="176">
                  <c:v>-6.79866458510437E7</c:v>
                </c:pt>
                <c:pt idx="177">
                  <c:v>-6.89207893900871E7</c:v>
                </c:pt>
                <c:pt idx="178">
                  <c:v>-6.98549329291306E7</c:v>
                </c:pt>
                <c:pt idx="179">
                  <c:v>-7.0789076468174E7</c:v>
                </c:pt>
                <c:pt idx="180">
                  <c:v>-7.17232200072174E7</c:v>
                </c:pt>
                <c:pt idx="181">
                  <c:v>-7.26573635462608E7</c:v>
                </c:pt>
                <c:pt idx="182">
                  <c:v>-7.35915070853043E7</c:v>
                </c:pt>
                <c:pt idx="183">
                  <c:v>-7.45256506243486E7</c:v>
                </c:pt>
                <c:pt idx="184">
                  <c:v>-7.54597941633921E7</c:v>
                </c:pt>
                <c:pt idx="185">
                  <c:v>-7.63939377024355E7</c:v>
                </c:pt>
                <c:pt idx="186">
                  <c:v>-7.73280812414789E7</c:v>
                </c:pt>
                <c:pt idx="187">
                  <c:v>-7.82622247805223E7</c:v>
                </c:pt>
                <c:pt idx="188">
                  <c:v>-7.91963683195658E7</c:v>
                </c:pt>
                <c:pt idx="189">
                  <c:v>-8.01305118586092E7</c:v>
                </c:pt>
                <c:pt idx="190">
                  <c:v>-8.10646553976526E7</c:v>
                </c:pt>
                <c:pt idx="191">
                  <c:v>-8.19987989366961E7</c:v>
                </c:pt>
                <c:pt idx="192">
                  <c:v>-8.29329424757395E7</c:v>
                </c:pt>
                <c:pt idx="193">
                  <c:v>-8.38670860147829E7</c:v>
                </c:pt>
                <c:pt idx="194">
                  <c:v>-8.48012295538263E7</c:v>
                </c:pt>
                <c:pt idx="195">
                  <c:v>-8.57353730928698E7</c:v>
                </c:pt>
                <c:pt idx="196">
                  <c:v>-8.66695166319132E7</c:v>
                </c:pt>
                <c:pt idx="197">
                  <c:v>-8.76036601709576E7</c:v>
                </c:pt>
                <c:pt idx="198">
                  <c:v>-8.8537803710001E7</c:v>
                </c:pt>
                <c:pt idx="199">
                  <c:v>-8.94719472490444E7</c:v>
                </c:pt>
                <c:pt idx="200">
                  <c:v>-9.04060907880879E7</c:v>
                </c:pt>
                <c:pt idx="201">
                  <c:v>-9.13402343271313E7</c:v>
                </c:pt>
                <c:pt idx="202">
                  <c:v>-9.22743778661747E7</c:v>
                </c:pt>
                <c:pt idx="203">
                  <c:v>-9.32085214052181E7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536056"/>
        <c:axId val="2100533032"/>
      </c:lineChart>
      <c:catAx>
        <c:axId val="2100536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0533032"/>
        <c:crossesAt val="-1.2E8"/>
        <c:auto val="1"/>
        <c:lblAlgn val="ctr"/>
        <c:lblOffset val="100"/>
        <c:noMultiLvlLbl val="0"/>
      </c:catAx>
      <c:valAx>
        <c:axId val="2100533032"/>
        <c:scaling>
          <c:orientation val="minMax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00536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16</xdr:row>
      <xdr:rowOff>12700</xdr:rowOff>
    </xdr:from>
    <xdr:to>
      <xdr:col>12</xdr:col>
      <xdr:colOff>812800</xdr:colOff>
      <xdr:row>30</xdr:row>
      <xdr:rowOff>88900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2</xdr:row>
      <xdr:rowOff>12700</xdr:rowOff>
    </xdr:from>
    <xdr:to>
      <xdr:col>12</xdr:col>
      <xdr:colOff>800100</xdr:colOff>
      <xdr:row>15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zoomScale="150" zoomScaleNormal="150" zoomScalePageLayoutView="150" workbookViewId="0">
      <selection activeCell="D2" sqref="D2"/>
    </sheetView>
  </sheetViews>
  <sheetFormatPr baseColWidth="10" defaultColWidth="8.83203125" defaultRowHeight="15" x14ac:dyDescent="0"/>
  <cols>
    <col min="1" max="1" width="24.33203125" bestFit="1" customWidth="1"/>
    <col min="2" max="2" width="12.1640625" bestFit="1" customWidth="1"/>
    <col min="3" max="3" width="15.33203125" bestFit="1" customWidth="1"/>
    <col min="4" max="4" width="12.1640625" bestFit="1" customWidth="1"/>
    <col min="5" max="5" width="2.6640625" customWidth="1"/>
    <col min="6" max="6" width="9" bestFit="1" customWidth="1"/>
    <col min="7" max="7" width="8.83203125" bestFit="1" customWidth="1"/>
    <col min="8" max="8" width="9.6640625" bestFit="1" customWidth="1"/>
    <col min="9" max="9" width="2.6640625" customWidth="1"/>
    <col min="10" max="10" width="19.6640625" bestFit="1" customWidth="1"/>
    <col min="11" max="11" width="10.33203125" bestFit="1" customWidth="1"/>
    <col min="12" max="12" width="15.33203125" bestFit="1" customWidth="1"/>
    <col min="13" max="13" width="12.1640625" bestFit="1" customWidth="1"/>
    <col min="14" max="14" width="2.83203125" customWidth="1"/>
    <col min="15" max="15" width="16.33203125" bestFit="1" customWidth="1"/>
    <col min="19" max="19" width="11.5" bestFit="1" customWidth="1"/>
  </cols>
  <sheetData>
    <row r="1" spans="1:11">
      <c r="A1" s="44" t="s">
        <v>0</v>
      </c>
      <c r="B1" s="44"/>
      <c r="C1" s="44"/>
      <c r="D1" t="s">
        <v>368</v>
      </c>
      <c r="F1" s="41" t="s">
        <v>172</v>
      </c>
      <c r="G1" s="41"/>
      <c r="H1" s="41"/>
    </row>
    <row r="2" spans="1:11">
      <c r="A2" s="37" t="s">
        <v>319</v>
      </c>
      <c r="B2" s="38">
        <v>15</v>
      </c>
      <c r="C2" s="37" t="s">
        <v>216</v>
      </c>
      <c r="F2" t="s">
        <v>1</v>
      </c>
      <c r="G2" s="1">
        <v>365.25</v>
      </c>
      <c r="H2" t="s">
        <v>2</v>
      </c>
    </row>
    <row r="3" spans="1:11">
      <c r="A3" s="37" t="str">
        <f>A2</f>
        <v>ATS productivity (high lat)</v>
      </c>
      <c r="B3" s="38">
        <f>B2*$G$2*$G$3/$G$4</f>
        <v>54.787500000000001</v>
      </c>
      <c r="C3" s="37" t="s">
        <v>217</v>
      </c>
      <c r="F3" t="s">
        <v>3</v>
      </c>
      <c r="G3" s="1">
        <f>100*100</f>
        <v>10000</v>
      </c>
      <c r="H3" t="s">
        <v>222</v>
      </c>
    </row>
    <row r="4" spans="1:11">
      <c r="A4" s="37" t="s">
        <v>320</v>
      </c>
      <c r="B4" s="38">
        <v>25</v>
      </c>
      <c r="C4" s="37" t="s">
        <v>216</v>
      </c>
      <c r="F4" t="s">
        <v>5</v>
      </c>
      <c r="G4" s="1">
        <v>1000000</v>
      </c>
      <c r="H4" t="s">
        <v>6</v>
      </c>
    </row>
    <row r="5" spans="1:11">
      <c r="A5" s="37" t="str">
        <f>A4</f>
        <v>ATS productivity (equator)</v>
      </c>
      <c r="B5" s="38">
        <f>B4*$G$2*$G$3/$G$4</f>
        <v>91.3125</v>
      </c>
      <c r="C5" s="37" t="s">
        <v>217</v>
      </c>
      <c r="F5" t="s">
        <v>5</v>
      </c>
      <c r="G5" s="1">
        <v>1000</v>
      </c>
      <c r="H5" t="s">
        <v>8</v>
      </c>
    </row>
    <row r="6" spans="1:11">
      <c r="A6" s="37" t="s">
        <v>353</v>
      </c>
      <c r="B6" s="38">
        <v>40</v>
      </c>
      <c r="C6" s="37" t="s">
        <v>216</v>
      </c>
      <c r="F6" t="s">
        <v>325</v>
      </c>
      <c r="G6" s="1">
        <v>1000</v>
      </c>
      <c r="H6" t="s">
        <v>6</v>
      </c>
    </row>
    <row r="7" spans="1:11">
      <c r="A7" s="37" t="str">
        <f>A6</f>
        <v>ATS productivity (Adey et al.)</v>
      </c>
      <c r="B7" s="38">
        <f>B6*$G$2*$G$3/$G$4</f>
        <v>146.1</v>
      </c>
      <c r="C7" s="37" t="s">
        <v>217</v>
      </c>
      <c r="F7" t="s">
        <v>15</v>
      </c>
      <c r="G7" s="1">
        <v>1000000000000</v>
      </c>
      <c r="H7" t="s">
        <v>6</v>
      </c>
      <c r="K7" s="1"/>
    </row>
    <row r="8" spans="1:11">
      <c r="A8" s="37" t="s">
        <v>397</v>
      </c>
      <c r="B8" s="38">
        <v>40000000</v>
      </c>
      <c r="C8" s="37" t="s">
        <v>355</v>
      </c>
      <c r="F8" t="s">
        <v>17</v>
      </c>
      <c r="G8" s="1">
        <v>1000000000000000</v>
      </c>
      <c r="H8" t="s">
        <v>6</v>
      </c>
      <c r="K8" s="1"/>
    </row>
    <row r="9" spans="1:11">
      <c r="A9" s="37" t="s">
        <v>397</v>
      </c>
      <c r="B9" s="38">
        <f>B8*G19</f>
        <v>10566880</v>
      </c>
      <c r="C9" s="37" t="s">
        <v>358</v>
      </c>
      <c r="F9" t="s">
        <v>216</v>
      </c>
      <c r="G9" s="1">
        <f>G3*G2/G4</f>
        <v>3.6524999999999999</v>
      </c>
      <c r="H9" t="s">
        <v>217</v>
      </c>
      <c r="K9" s="1"/>
    </row>
    <row r="10" spans="1:11">
      <c r="A10" s="37" t="s">
        <v>16</v>
      </c>
      <c r="B10" s="38">
        <f>40000000000/G11</f>
        <v>10916659471.299574</v>
      </c>
      <c r="C10" s="37" t="s">
        <v>220</v>
      </c>
      <c r="F10" t="s">
        <v>356</v>
      </c>
      <c r="G10" s="1">
        <v>1000</v>
      </c>
      <c r="H10" s="1" t="s">
        <v>46</v>
      </c>
      <c r="K10" s="1"/>
    </row>
    <row r="11" spans="1:11">
      <c r="A11" s="37" t="s">
        <v>16</v>
      </c>
      <c r="B11" s="38">
        <f>G4*B10/G2</f>
        <v>29888184726350.648</v>
      </c>
      <c r="C11" s="37" t="s">
        <v>219</v>
      </c>
      <c r="F11" t="s">
        <v>13</v>
      </c>
      <c r="G11" s="1">
        <f>(G12+2*G14)/G12</f>
        <v>3.6641245524935475</v>
      </c>
      <c r="H11" t="s">
        <v>14</v>
      </c>
    </row>
    <row r="12" spans="1:11">
      <c r="A12" s="37" t="s">
        <v>395</v>
      </c>
      <c r="B12" s="38">
        <v>5</v>
      </c>
      <c r="C12" s="37" t="s">
        <v>3</v>
      </c>
      <c r="F12" t="s">
        <v>169</v>
      </c>
      <c r="G12" s="1">
        <v>12.010999999999999</v>
      </c>
      <c r="H12" t="s">
        <v>6</v>
      </c>
    </row>
    <row r="13" spans="1:11">
      <c r="A13" s="37" t="s">
        <v>20</v>
      </c>
      <c r="B13" s="38">
        <v>107500000000000</v>
      </c>
      <c r="C13" s="37" t="s">
        <v>196</v>
      </c>
      <c r="F13" t="s">
        <v>170</v>
      </c>
      <c r="G13" s="1">
        <v>14.007</v>
      </c>
      <c r="H13" t="s">
        <v>6</v>
      </c>
    </row>
    <row r="14" spans="1:11">
      <c r="A14" t="s">
        <v>176</v>
      </c>
      <c r="B14" s="1">
        <v>49642700000000</v>
      </c>
      <c r="C14" t="s">
        <v>218</v>
      </c>
      <c r="F14" t="s">
        <v>178</v>
      </c>
      <c r="G14" s="1">
        <v>15.9994</v>
      </c>
      <c r="H14" t="s">
        <v>6</v>
      </c>
    </row>
    <row r="15" spans="1:11">
      <c r="A15" t="str">
        <f>A14</f>
        <v>Global N excess</v>
      </c>
      <c r="B15" s="1">
        <f>B14/G2</f>
        <v>135914305270.36276</v>
      </c>
      <c r="C15" t="s">
        <v>219</v>
      </c>
      <c r="F15" t="s">
        <v>171</v>
      </c>
      <c r="G15" s="1">
        <v>30.97</v>
      </c>
      <c r="H15" t="s">
        <v>6</v>
      </c>
      <c r="K15" s="1"/>
    </row>
    <row r="16" spans="1:11">
      <c r="A16" t="str">
        <f>A14</f>
        <v>Global N excess</v>
      </c>
      <c r="B16" s="1">
        <f>B14/G4</f>
        <v>49642700</v>
      </c>
      <c r="C16" t="s">
        <v>220</v>
      </c>
      <c r="F16" t="s">
        <v>234</v>
      </c>
      <c r="G16" s="1">
        <v>0.5</v>
      </c>
      <c r="H16" t="s">
        <v>231</v>
      </c>
      <c r="K16" s="1"/>
    </row>
    <row r="17" spans="1:11">
      <c r="A17" t="str">
        <f>A15</f>
        <v>Global N excess</v>
      </c>
      <c r="B17" s="1">
        <f>B14/$G$7</f>
        <v>49.642699999999998</v>
      </c>
      <c r="C17" t="s">
        <v>200</v>
      </c>
      <c r="E17" s="1"/>
      <c r="F17" t="s">
        <v>234</v>
      </c>
      <c r="G17" s="1">
        <v>4.8000000000000001E-2</v>
      </c>
      <c r="H17" t="s">
        <v>232</v>
      </c>
      <c r="K17" s="1"/>
    </row>
    <row r="18" spans="1:11">
      <c r="A18" t="s">
        <v>177</v>
      </c>
      <c r="B18" s="1">
        <v>9100721000000</v>
      </c>
      <c r="C18" t="s">
        <v>218</v>
      </c>
      <c r="F18" t="s">
        <v>234</v>
      </c>
      <c r="G18" s="1">
        <v>3.0000000000000001E-3</v>
      </c>
      <c r="H18" t="s">
        <v>233</v>
      </c>
    </row>
    <row r="19" spans="1:11">
      <c r="A19" t="str">
        <f>A18</f>
        <v>Global P excess</v>
      </c>
      <c r="B19" s="1">
        <f>B18/G2</f>
        <v>24916416153.319645</v>
      </c>
      <c r="C19" t="s">
        <v>219</v>
      </c>
      <c r="F19" t="s">
        <v>46</v>
      </c>
      <c r="G19" s="1">
        <v>0.26417200000000002</v>
      </c>
      <c r="H19" t="s">
        <v>51</v>
      </c>
    </row>
    <row r="20" spans="1:11">
      <c r="A20" t="str">
        <f>A18</f>
        <v>Global P excess</v>
      </c>
      <c r="B20" s="1">
        <f>B18/G4</f>
        <v>9100721</v>
      </c>
      <c r="C20" t="s">
        <v>220</v>
      </c>
      <c r="F20" t="s">
        <v>203</v>
      </c>
      <c r="G20" s="1">
        <v>2.47105</v>
      </c>
      <c r="H20" t="s">
        <v>47</v>
      </c>
    </row>
    <row r="21" spans="1:11">
      <c r="A21" t="s">
        <v>177</v>
      </c>
      <c r="B21" s="1">
        <f>B18/$G$7</f>
        <v>9.1007210000000001</v>
      </c>
      <c r="C21" t="s">
        <v>200</v>
      </c>
      <c r="F21" t="s">
        <v>206</v>
      </c>
      <c r="G21" s="1">
        <f>1/2.54</f>
        <v>0.39370078740157477</v>
      </c>
      <c r="H21" t="s">
        <v>207</v>
      </c>
    </row>
    <row r="22" spans="1:11">
      <c r="A22" t="s">
        <v>324</v>
      </c>
      <c r="B22" s="1">
        <v>330</v>
      </c>
      <c r="C22" t="s">
        <v>221</v>
      </c>
      <c r="F22" t="s">
        <v>318</v>
      </c>
      <c r="G22" s="1">
        <v>3.28084</v>
      </c>
      <c r="H22" s="1" t="s">
        <v>19</v>
      </c>
      <c r="I22" s="1"/>
    </row>
    <row r="23" spans="1:11">
      <c r="A23" t="s">
        <v>324</v>
      </c>
      <c r="B23" s="1">
        <f>B22*$G$8/$G$6</f>
        <v>330000000000000</v>
      </c>
      <c r="C23" t="s">
        <v>326</v>
      </c>
      <c r="F23" t="s">
        <v>356</v>
      </c>
      <c r="G23" s="1">
        <v>1.3079499999999999</v>
      </c>
      <c r="H23" s="1" t="s">
        <v>357</v>
      </c>
    </row>
    <row r="24" spans="1:11">
      <c r="A24" t="s">
        <v>328</v>
      </c>
      <c r="B24" s="1">
        <v>9.1</v>
      </c>
      <c r="C24" t="s">
        <v>221</v>
      </c>
      <c r="F24" t="s">
        <v>208</v>
      </c>
      <c r="G24" s="1">
        <f>1000000*G25/2000</f>
        <v>1.1023099999999999</v>
      </c>
      <c r="H24" s="1" t="s">
        <v>209</v>
      </c>
    </row>
    <row r="25" spans="1:11">
      <c r="A25" t="s">
        <v>328</v>
      </c>
      <c r="B25" s="1">
        <f>B24*$G$8/$G$6</f>
        <v>9100000000000</v>
      </c>
      <c r="C25" t="s">
        <v>326</v>
      </c>
      <c r="F25" t="s">
        <v>6</v>
      </c>
      <c r="G25" s="1">
        <f>0.00220462</f>
        <v>2.20462E-3</v>
      </c>
      <c r="H25" t="s">
        <v>11</v>
      </c>
    </row>
    <row r="26" spans="1:11">
      <c r="A26" t="s">
        <v>20</v>
      </c>
      <c r="B26" s="2">
        <v>107500000000000</v>
      </c>
      <c r="C26" t="s">
        <v>175</v>
      </c>
      <c r="F26" t="s">
        <v>224</v>
      </c>
      <c r="G26" s="1">
        <v>9.2902999999999998E-6</v>
      </c>
      <c r="H26" t="s">
        <v>3</v>
      </c>
    </row>
    <row r="27" spans="1:11">
      <c r="A27" t="s">
        <v>7</v>
      </c>
      <c r="B27" s="1">
        <v>22000000000000</v>
      </c>
      <c r="C27" t="s">
        <v>218</v>
      </c>
      <c r="F27" t="s">
        <v>18</v>
      </c>
      <c r="G27" s="1">
        <v>5280</v>
      </c>
      <c r="H27" t="s">
        <v>19</v>
      </c>
    </row>
    <row r="28" spans="1:11">
      <c r="A28" t="s">
        <v>391</v>
      </c>
      <c r="B28" s="1">
        <v>104.9</v>
      </c>
      <c r="C28" t="s">
        <v>197</v>
      </c>
      <c r="F28" t="s">
        <v>11</v>
      </c>
      <c r="G28" s="1">
        <v>0.453592</v>
      </c>
      <c r="H28" t="s">
        <v>8</v>
      </c>
    </row>
    <row r="29" spans="1:11">
      <c r="A29" t="s">
        <v>391</v>
      </c>
      <c r="B29" s="1">
        <f>B28*G8/G4</f>
        <v>104900000000</v>
      </c>
      <c r="C29" t="s">
        <v>198</v>
      </c>
      <c r="E29" s="1"/>
      <c r="F29" t="s">
        <v>223</v>
      </c>
      <c r="G29" s="1">
        <v>6.4515999999999998E-4</v>
      </c>
      <c r="H29" t="s">
        <v>222</v>
      </c>
    </row>
    <row r="30" spans="1:11">
      <c r="A30" t="s">
        <v>391</v>
      </c>
      <c r="B30" s="1">
        <f>($B$29/$G$16)*G4/G8</f>
        <v>209.8</v>
      </c>
      <c r="C30" t="s">
        <v>199</v>
      </c>
      <c r="F30" s="43" t="s">
        <v>396</v>
      </c>
      <c r="G30" s="43"/>
      <c r="H30" s="43"/>
    </row>
    <row r="31" spans="1:11">
      <c r="A31" s="1" t="s">
        <v>392</v>
      </c>
      <c r="B31" s="2">
        <v>9100000000</v>
      </c>
      <c r="C31" t="s">
        <v>199</v>
      </c>
      <c r="F31" t="s">
        <v>6</v>
      </c>
      <c r="G31">
        <v>1000</v>
      </c>
      <c r="H31" s="1" t="s">
        <v>390</v>
      </c>
    </row>
    <row r="32" spans="1:11">
      <c r="A32" s="1" t="s">
        <v>392</v>
      </c>
      <c r="B32" s="2">
        <f>B31*G4/G8</f>
        <v>9.1</v>
      </c>
      <c r="C32" t="s">
        <v>201</v>
      </c>
    </row>
    <row r="33" spans="1:13">
      <c r="A33" t="s">
        <v>202</v>
      </c>
      <c r="B33" s="2">
        <f>B32/B30</f>
        <v>4.3374642516682549E-2</v>
      </c>
      <c r="C33" t="s">
        <v>336</v>
      </c>
      <c r="M33" s="31"/>
    </row>
    <row r="34" spans="1:13">
      <c r="A34" t="s">
        <v>393</v>
      </c>
      <c r="B34" s="1">
        <f>B72/B30</f>
        <v>1.4459359707658085E-2</v>
      </c>
      <c r="C34" t="s">
        <v>336</v>
      </c>
    </row>
    <row r="35" spans="1:13">
      <c r="B35" s="1"/>
    </row>
    <row r="36" spans="1:13">
      <c r="A36" s="40" t="s">
        <v>398</v>
      </c>
      <c r="B36" s="40"/>
      <c r="C36" s="40"/>
    </row>
    <row r="37" spans="1:13">
      <c r="A37" t="s">
        <v>24</v>
      </c>
      <c r="B37">
        <v>14.7</v>
      </c>
      <c r="C37" t="s">
        <v>225</v>
      </c>
    </row>
    <row r="38" spans="1:13">
      <c r="A38" t="s">
        <v>24</v>
      </c>
      <c r="B38" s="1">
        <f>B37*G28/G29</f>
        <v>10335.11439022878</v>
      </c>
      <c r="C38" t="s">
        <v>226</v>
      </c>
    </row>
    <row r="39" spans="1:13">
      <c r="A39" t="s">
        <v>28</v>
      </c>
      <c r="B39" s="2">
        <v>510100000000000</v>
      </c>
      <c r="C39" t="s">
        <v>222</v>
      </c>
    </row>
    <row r="40" spans="1:13">
      <c r="A40" t="s">
        <v>29</v>
      </c>
      <c r="B40" s="1">
        <f>B38*B39</f>
        <v>5.2719418504557005E+18</v>
      </c>
      <c r="C40" t="s">
        <v>8</v>
      </c>
    </row>
    <row r="41" spans="1:13">
      <c r="A41" t="s">
        <v>30</v>
      </c>
      <c r="B41" s="1">
        <f>B40/1000000</f>
        <v>5271941850455.7002</v>
      </c>
      <c r="C41" t="s">
        <v>8</v>
      </c>
    </row>
    <row r="42" spans="1:13">
      <c r="A42" s="37" t="s">
        <v>344</v>
      </c>
      <c r="B42" s="38">
        <f>B41/G5</f>
        <v>5271941850.4556999</v>
      </c>
      <c r="C42" s="37" t="s">
        <v>5</v>
      </c>
    </row>
    <row r="43" spans="1:13">
      <c r="A43" t="s">
        <v>31</v>
      </c>
      <c r="B43" s="1">
        <f>11000000000/B42</f>
        <v>2.0865177029691959</v>
      </c>
      <c r="C43" t="s">
        <v>32</v>
      </c>
    </row>
    <row r="44" spans="1:13">
      <c r="A44" t="s">
        <v>33</v>
      </c>
      <c r="B44" s="1">
        <f>B42*400</f>
        <v>2108776740182.28</v>
      </c>
      <c r="C44" t="s">
        <v>5</v>
      </c>
    </row>
    <row r="45" spans="1:13">
      <c r="A45" s="37" t="s">
        <v>343</v>
      </c>
      <c r="B45" s="38">
        <f>B10/B42</f>
        <v>2.0707093858320822</v>
      </c>
      <c r="C45" s="37" t="s">
        <v>227</v>
      </c>
    </row>
    <row r="46" spans="1:13">
      <c r="A46" s="37" t="s">
        <v>343</v>
      </c>
      <c r="B46" s="38">
        <f>B45*B42</f>
        <v>10916659471.299574</v>
      </c>
      <c r="C46" s="37" t="s">
        <v>220</v>
      </c>
    </row>
    <row r="47" spans="1:13">
      <c r="A47" t="s">
        <v>251</v>
      </c>
      <c r="B47">
        <v>410</v>
      </c>
      <c r="C47" t="s">
        <v>32</v>
      </c>
      <c r="E47" s="1"/>
    </row>
    <row r="48" spans="1:13">
      <c r="A48" t="s">
        <v>251</v>
      </c>
      <c r="B48" s="1">
        <f>B47*B41</f>
        <v>2161496158686837</v>
      </c>
      <c r="C48" t="s">
        <v>8</v>
      </c>
    </row>
    <row r="49" spans="1:5">
      <c r="B49" s="1"/>
    </row>
    <row r="50" spans="1:5">
      <c r="A50" s="41" t="s">
        <v>164</v>
      </c>
      <c r="B50" s="41"/>
      <c r="C50" s="41"/>
      <c r="D50" s="41"/>
      <c r="E50" s="1"/>
    </row>
    <row r="51" spans="1:5">
      <c r="A51" t="s">
        <v>165</v>
      </c>
      <c r="B51" s="1" t="s">
        <v>166</v>
      </c>
      <c r="C51" t="s">
        <v>167</v>
      </c>
      <c r="D51" t="s">
        <v>168</v>
      </c>
    </row>
    <row r="52" spans="1:5">
      <c r="A52" t="s">
        <v>9</v>
      </c>
      <c r="B52" s="1">
        <v>106</v>
      </c>
      <c r="C52" s="1">
        <f>G12*B52</f>
        <v>1273.1659999999999</v>
      </c>
      <c r="D52" s="1">
        <f>C52/C$55</f>
        <v>0.83308860865513967</v>
      </c>
    </row>
    <row r="53" spans="1:5">
      <c r="A53" t="s">
        <v>10</v>
      </c>
      <c r="B53" s="1">
        <v>16</v>
      </c>
      <c r="C53" s="1">
        <f>G13*B53</f>
        <v>224.11199999999999</v>
      </c>
      <c r="D53" s="1">
        <f>C53/C$55</f>
        <v>0.1466463558270647</v>
      </c>
    </row>
    <row r="54" spans="1:5">
      <c r="A54" t="s">
        <v>12</v>
      </c>
      <c r="B54" s="1">
        <v>1</v>
      </c>
      <c r="C54" s="1">
        <f>G15*B54</f>
        <v>30.97</v>
      </c>
      <c r="D54" s="1">
        <f>C54/C$55</f>
        <v>2.026503551779554E-2</v>
      </c>
    </row>
    <row r="55" spans="1:5">
      <c r="B55" s="1"/>
      <c r="C55" s="1">
        <f>SUM(C52:C54)</f>
        <v>1528.248</v>
      </c>
      <c r="D55" s="1"/>
    </row>
    <row r="56" spans="1:5">
      <c r="A56" s="1"/>
      <c r="B56" s="2"/>
    </row>
    <row r="58" spans="1:5">
      <c r="A58" s="41" t="s">
        <v>181</v>
      </c>
      <c r="B58" s="41"/>
      <c r="C58" s="41"/>
      <c r="D58" s="35"/>
    </row>
    <row r="59" spans="1:5">
      <c r="A59" t="s">
        <v>21</v>
      </c>
      <c r="B59" s="1">
        <f>B15/G17</f>
        <v>2831548026465.8906</v>
      </c>
      <c r="C59" t="s">
        <v>219</v>
      </c>
    </row>
    <row r="60" spans="1:5">
      <c r="A60" t="s">
        <v>21</v>
      </c>
      <c r="B60" s="1">
        <f>B59*G2/G4</f>
        <v>1034222916.6666665</v>
      </c>
      <c r="C60" t="s">
        <v>220</v>
      </c>
    </row>
    <row r="61" spans="1:5">
      <c r="A61" t="s">
        <v>21</v>
      </c>
      <c r="B61" s="1">
        <f>B59*$G$2/$G$8</f>
        <v>1.0342229166666665</v>
      </c>
      <c r="C61" t="s">
        <v>221</v>
      </c>
    </row>
    <row r="62" spans="1:5">
      <c r="A62" t="s">
        <v>179</v>
      </c>
      <c r="B62" s="1">
        <f>B59/B2</f>
        <v>188769868431.05939</v>
      </c>
      <c r="C62" t="s">
        <v>222</v>
      </c>
    </row>
    <row r="63" spans="1:5">
      <c r="A63" t="s">
        <v>179</v>
      </c>
      <c r="B63" s="1">
        <f>B62/G3</f>
        <v>18876986.843105938</v>
      </c>
      <c r="C63" t="s">
        <v>3</v>
      </c>
    </row>
    <row r="64" spans="1:5">
      <c r="A64" t="s">
        <v>180</v>
      </c>
      <c r="B64" s="1">
        <f>B59/B4</f>
        <v>113261921058.63562</v>
      </c>
      <c r="C64" t="s">
        <v>222</v>
      </c>
    </row>
    <row r="65" spans="1:9">
      <c r="A65" t="s">
        <v>180</v>
      </c>
      <c r="B65" s="1">
        <f>B64/G3</f>
        <v>11326192.105863562</v>
      </c>
      <c r="C65" t="s">
        <v>3</v>
      </c>
    </row>
    <row r="66" spans="1:9">
      <c r="A66" t="s">
        <v>34</v>
      </c>
      <c r="B66" s="1">
        <f>B60*G18</f>
        <v>3102668.7499999995</v>
      </c>
      <c r="C66" t="s">
        <v>220</v>
      </c>
    </row>
    <row r="67" spans="1:9">
      <c r="A67" t="s">
        <v>25</v>
      </c>
      <c r="B67" s="1">
        <f>B60*G16</f>
        <v>517111458.33333325</v>
      </c>
      <c r="C67" t="s">
        <v>220</v>
      </c>
    </row>
    <row r="68" spans="1:9">
      <c r="B68" s="1"/>
    </row>
    <row r="69" spans="1:9">
      <c r="A69" s="41" t="s">
        <v>182</v>
      </c>
      <c r="B69" s="41"/>
      <c r="C69" s="41"/>
      <c r="D69" s="35"/>
      <c r="I69" s="8"/>
    </row>
    <row r="70" spans="1:9">
      <c r="A70" t="s">
        <v>21</v>
      </c>
      <c r="B70" s="1">
        <f>B19/G18</f>
        <v>8305472051106.5479</v>
      </c>
      <c r="C70" t="s">
        <v>219</v>
      </c>
      <c r="H70" s="11"/>
      <c r="I70" s="15"/>
    </row>
    <row r="71" spans="1:9">
      <c r="A71" t="str">
        <f>A70</f>
        <v>Biomass implied</v>
      </c>
      <c r="B71" s="1">
        <f>G2*B70/G4</f>
        <v>3033573666.6666665</v>
      </c>
      <c r="C71" t="s">
        <v>220</v>
      </c>
      <c r="H71" s="14"/>
    </row>
    <row r="72" spans="1:9">
      <c r="A72" t="str">
        <f>A71</f>
        <v>Biomass implied</v>
      </c>
      <c r="B72" s="1">
        <f>B70*$G$2/$G$8</f>
        <v>3.0335736666666664</v>
      </c>
      <c r="C72" t="s">
        <v>221</v>
      </c>
    </row>
    <row r="73" spans="1:9">
      <c r="A73" t="s">
        <v>179</v>
      </c>
      <c r="B73" s="1">
        <f>B70/B2</f>
        <v>553698136740.43652</v>
      </c>
      <c r="C73" t="s">
        <v>222</v>
      </c>
    </row>
    <row r="74" spans="1:9">
      <c r="A74" t="str">
        <f>A73</f>
        <v>ATS area implied (low prod)</v>
      </c>
      <c r="B74" s="1">
        <f>B73/G3</f>
        <v>55369813.674043655</v>
      </c>
      <c r="C74" t="s">
        <v>3</v>
      </c>
    </row>
    <row r="75" spans="1:9">
      <c r="A75" t="s">
        <v>180</v>
      </c>
      <c r="B75" s="1">
        <f>B70/B4</f>
        <v>332218882044.2619</v>
      </c>
      <c r="C75" t="s">
        <v>222</v>
      </c>
    </row>
    <row r="76" spans="1:9">
      <c r="A76" t="s">
        <v>180</v>
      </c>
      <c r="B76" s="1">
        <f>B75/G3</f>
        <v>33221888.204426192</v>
      </c>
      <c r="C76" t="s">
        <v>3</v>
      </c>
    </row>
    <row r="77" spans="1:9">
      <c r="A77" t="s">
        <v>22</v>
      </c>
      <c r="B77" s="1">
        <f>B71*G17</f>
        <v>145611536</v>
      </c>
      <c r="C77" t="s">
        <v>220</v>
      </c>
    </row>
    <row r="78" spans="1:9">
      <c r="A78" t="s">
        <v>25</v>
      </c>
      <c r="B78" s="1">
        <f>B71*G16</f>
        <v>1516786833.3333333</v>
      </c>
      <c r="C78" t="s">
        <v>220</v>
      </c>
    </row>
    <row r="79" spans="1:9">
      <c r="B79" s="1"/>
    </row>
    <row r="80" spans="1:9">
      <c r="A80" s="40" t="s">
        <v>183</v>
      </c>
      <c r="B80" s="40"/>
      <c r="C80" s="40"/>
      <c r="D80" s="34"/>
    </row>
    <row r="81" spans="1:4">
      <c r="A81" t="s">
        <v>21</v>
      </c>
      <c r="B81" s="1">
        <f>G4*B82/G2</f>
        <v>59776369452701.297</v>
      </c>
      <c r="C81" t="s">
        <v>219</v>
      </c>
    </row>
    <row r="82" spans="1:4">
      <c r="A82" t="s">
        <v>21</v>
      </c>
      <c r="B82" s="1">
        <f>B10/G16</f>
        <v>21833318942.599148</v>
      </c>
      <c r="C82" t="s">
        <v>220</v>
      </c>
    </row>
    <row r="83" spans="1:4">
      <c r="A83" t="s">
        <v>179</v>
      </c>
      <c r="B83" s="1">
        <f>B81/B2</f>
        <v>3985091296846.7529</v>
      </c>
      <c r="C83" t="s">
        <v>222</v>
      </c>
    </row>
    <row r="84" spans="1:4">
      <c r="A84" t="str">
        <f>A83</f>
        <v>ATS area implied (low prod)</v>
      </c>
      <c r="B84" s="1">
        <f>B83/G3</f>
        <v>398509129.68467528</v>
      </c>
      <c r="C84" t="s">
        <v>3</v>
      </c>
    </row>
    <row r="85" spans="1:4">
      <c r="A85" t="s">
        <v>180</v>
      </c>
      <c r="B85" s="1">
        <f>B81/B4</f>
        <v>2391054778108.0518</v>
      </c>
      <c r="C85" t="s">
        <v>222</v>
      </c>
    </row>
    <row r="86" spans="1:4">
      <c r="A86" t="s">
        <v>180</v>
      </c>
      <c r="B86" s="1">
        <f>B85/G3</f>
        <v>239105477.81080517</v>
      </c>
      <c r="C86" t="s">
        <v>3</v>
      </c>
    </row>
    <row r="87" spans="1:4">
      <c r="A87" t="s">
        <v>22</v>
      </c>
      <c r="B87" s="1">
        <f>B82*G17</f>
        <v>1047999309.2447591</v>
      </c>
      <c r="C87" t="s">
        <v>220</v>
      </c>
    </row>
    <row r="88" spans="1:4">
      <c r="A88" t="s">
        <v>34</v>
      </c>
      <c r="B88" s="1">
        <f>B82*G18</f>
        <v>65499956.827797443</v>
      </c>
      <c r="C88" t="s">
        <v>220</v>
      </c>
    </row>
    <row r="90" spans="1:4">
      <c r="A90" s="42" t="s">
        <v>136</v>
      </c>
      <c r="B90" s="42"/>
      <c r="C90" s="42"/>
      <c r="D90" s="36"/>
    </row>
    <row r="91" spans="1:4">
      <c r="A91" s="16" t="s">
        <v>135</v>
      </c>
    </row>
    <row r="92" spans="1:4">
      <c r="A92" s="9" t="s">
        <v>137</v>
      </c>
      <c r="B92" s="8">
        <v>50</v>
      </c>
      <c r="C92" t="s">
        <v>1</v>
      </c>
    </row>
    <row r="93" spans="1:4">
      <c r="A93" s="9" t="s">
        <v>138</v>
      </c>
      <c r="B93" s="8">
        <v>100</v>
      </c>
      <c r="C93" t="s">
        <v>1</v>
      </c>
    </row>
    <row r="94" spans="1:4">
      <c r="A94" s="9" t="s">
        <v>139</v>
      </c>
      <c r="B94" s="8">
        <v>200</v>
      </c>
      <c r="C94" t="s">
        <v>1</v>
      </c>
    </row>
    <row r="95" spans="1:4">
      <c r="A95" s="9" t="s">
        <v>132</v>
      </c>
      <c r="B95" s="8">
        <v>2</v>
      </c>
    </row>
    <row r="96" spans="1:4">
      <c r="A96" s="9" t="s">
        <v>134</v>
      </c>
      <c r="B96" s="8">
        <v>4</v>
      </c>
    </row>
    <row r="97" spans="1:4">
      <c r="A97" s="13" t="s">
        <v>133</v>
      </c>
      <c r="B97" s="8">
        <v>6</v>
      </c>
    </row>
    <row r="98" spans="1:4">
      <c r="A98" s="13" t="s">
        <v>141</v>
      </c>
      <c r="B98" s="8">
        <v>1.545806E-3</v>
      </c>
    </row>
    <row r="99" spans="1:4">
      <c r="A99" s="13" t="s">
        <v>142</v>
      </c>
      <c r="B99" s="8">
        <v>0.18188969999999999</v>
      </c>
    </row>
    <row r="100" spans="1:4">
      <c r="A100" s="10" t="s">
        <v>143</v>
      </c>
      <c r="B100" s="8">
        <v>1</v>
      </c>
    </row>
    <row r="101" spans="1:4">
      <c r="A101" s="13" t="s">
        <v>144</v>
      </c>
      <c r="B101">
        <v>1.4659849999999999E-4</v>
      </c>
    </row>
    <row r="102" spans="1:4">
      <c r="A102" s="13" t="s">
        <v>145</v>
      </c>
      <c r="B102">
        <v>1.724974E-2</v>
      </c>
    </row>
    <row r="103" spans="1:4">
      <c r="A103" s="10" t="s">
        <v>146</v>
      </c>
      <c r="B103">
        <v>9.4836279999999995E-2</v>
      </c>
    </row>
    <row r="111" spans="1:4">
      <c r="A111" s="40" t="s">
        <v>173</v>
      </c>
      <c r="B111" s="40"/>
      <c r="C111" s="40"/>
      <c r="D111" s="34"/>
    </row>
    <row r="112" spans="1:4">
      <c r="A112" t="s">
        <v>174</v>
      </c>
      <c r="B112" s="1">
        <v>11194445</v>
      </c>
      <c r="C112" t="s">
        <v>18</v>
      </c>
    </row>
    <row r="113" spans="1:3">
      <c r="A113" t="s">
        <v>23</v>
      </c>
      <c r="B113" s="1">
        <f>B112*$G$27</f>
        <v>59106669600</v>
      </c>
      <c r="C113" t="s">
        <v>19</v>
      </c>
    </row>
    <row r="114" spans="1:3">
      <c r="A114" t="s">
        <v>26</v>
      </c>
      <c r="B114" s="1">
        <v>20</v>
      </c>
      <c r="C114" t="s">
        <v>19</v>
      </c>
    </row>
    <row r="115" spans="1:3">
      <c r="A115" t="s">
        <v>27</v>
      </c>
      <c r="B115" s="1">
        <f>B114*B113</f>
        <v>1182133392000</v>
      </c>
      <c r="C115" t="s">
        <v>224</v>
      </c>
    </row>
    <row r="116" spans="1:3">
      <c r="A116" t="s">
        <v>27</v>
      </c>
      <c r="B116" s="1">
        <f>B115*G26</f>
        <v>10982373.8516976</v>
      </c>
      <c r="C116" t="s">
        <v>3</v>
      </c>
    </row>
  </sheetData>
  <mergeCells count="10">
    <mergeCell ref="A36:C36"/>
    <mergeCell ref="A111:C111"/>
    <mergeCell ref="A50:D50"/>
    <mergeCell ref="A90:C90"/>
    <mergeCell ref="F1:H1"/>
    <mergeCell ref="A69:C69"/>
    <mergeCell ref="A58:C58"/>
    <mergeCell ref="A80:C80"/>
    <mergeCell ref="F30:H30"/>
    <mergeCell ref="A1:C1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8"/>
  <sheetViews>
    <sheetView workbookViewId="0">
      <pane xSplit="1" ySplit="1" topLeftCell="B2" activePane="bottomRight" state="frozenSplit"/>
      <selection pane="topRight" activeCell="B21" sqref="B21"/>
      <selection pane="bottomLeft" activeCell="A2" sqref="A2"/>
      <selection pane="bottomRight" activeCell="B208" sqref="B208"/>
    </sheetView>
  </sheetViews>
  <sheetFormatPr baseColWidth="10" defaultRowHeight="15" x14ac:dyDescent="0"/>
  <cols>
    <col min="2" max="2" width="15.33203125" bestFit="1" customWidth="1"/>
    <col min="3" max="5" width="15.33203125" customWidth="1"/>
    <col min="9" max="9" width="11" bestFit="1" customWidth="1"/>
    <col min="10" max="10" width="12.83203125" bestFit="1" customWidth="1"/>
    <col min="15" max="15" width="15.6640625" bestFit="1" customWidth="1"/>
    <col min="16" max="16" width="11.33203125" bestFit="1" customWidth="1"/>
    <col min="17" max="17" width="8.83203125" bestFit="1" customWidth="1"/>
    <col min="18" max="18" width="137.6640625" bestFit="1" customWidth="1"/>
    <col min="19" max="19" width="11" bestFit="1" customWidth="1"/>
    <col min="20" max="20" width="17.5" bestFit="1" customWidth="1"/>
  </cols>
  <sheetData>
    <row r="1" spans="1:71">
      <c r="A1" t="s">
        <v>80</v>
      </c>
      <c r="B1" t="s">
        <v>113</v>
      </c>
      <c r="C1" t="s">
        <v>124</v>
      </c>
      <c r="D1" t="s">
        <v>126</v>
      </c>
      <c r="E1" t="s">
        <v>125</v>
      </c>
      <c r="F1" t="s">
        <v>127</v>
      </c>
      <c r="G1" t="s">
        <v>128</v>
      </c>
      <c r="H1" t="s">
        <v>125</v>
      </c>
      <c r="I1">
        <f t="array" ref="I1:J1">LINEST(G17:G40,A17:A40)</f>
        <v>-934143.53904348216</v>
      </c>
      <c r="J1">
        <v>1976853561.1151385</v>
      </c>
      <c r="O1" s="5" t="s">
        <v>114</v>
      </c>
      <c r="P1" s="5"/>
      <c r="Q1" s="5" t="s">
        <v>115</v>
      </c>
      <c r="R1" s="5" t="s">
        <v>116</v>
      </c>
      <c r="S1" s="5"/>
      <c r="T1" s="5" t="s">
        <v>148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6"/>
    </row>
    <row r="2" spans="1:71">
      <c r="A2">
        <v>2012</v>
      </c>
      <c r="B2" s="1">
        <f t="shared" ref="B2:B40" si="0">O2</f>
        <v>6195589560</v>
      </c>
      <c r="C2" s="1">
        <f>B2</f>
        <v>6195589560</v>
      </c>
      <c r="D2" s="1"/>
      <c r="E2" s="1"/>
      <c r="O2" s="5">
        <v>6195589560</v>
      </c>
      <c r="Q2" t="s">
        <v>129</v>
      </c>
      <c r="R2" t="s">
        <v>117</v>
      </c>
    </row>
    <row r="3" spans="1:71">
      <c r="A3">
        <f>A2+1</f>
        <v>2013</v>
      </c>
      <c r="B3" s="1">
        <f t="shared" si="0"/>
        <v>6274734084.1000004</v>
      </c>
      <c r="C3" s="1">
        <f t="shared" ref="C3:C40" si="1">B3</f>
        <v>6274734084.1000004</v>
      </c>
      <c r="D3" s="1"/>
      <c r="E3" s="1"/>
      <c r="F3" s="1">
        <f>B3-B2</f>
        <v>79144524.100000381</v>
      </c>
      <c r="G3" s="1"/>
      <c r="H3" s="1"/>
      <c r="O3" s="5">
        <v>6274734084.1000004</v>
      </c>
      <c r="Q3" t="s">
        <v>123</v>
      </c>
      <c r="R3" t="s">
        <v>122</v>
      </c>
    </row>
    <row r="4" spans="1:71">
      <c r="A4">
        <f t="shared" ref="A4:A51" si="2">A3+1</f>
        <v>2014</v>
      </c>
      <c r="B4" s="1">
        <f t="shared" si="0"/>
        <v>6353976427.1999998</v>
      </c>
      <c r="C4" s="1">
        <f t="shared" si="1"/>
        <v>6353976427.1999998</v>
      </c>
      <c r="D4" s="1"/>
      <c r="E4" s="1"/>
      <c r="F4" s="1">
        <f t="shared" ref="F4:F17" si="3">B4-B3</f>
        <v>79242343.099999428</v>
      </c>
      <c r="G4" s="1"/>
      <c r="H4" s="1"/>
      <c r="O4" s="5">
        <v>6353976427.1999998</v>
      </c>
      <c r="Q4" t="s">
        <v>118</v>
      </c>
      <c r="R4" t="s">
        <v>119</v>
      </c>
    </row>
    <row r="5" spans="1:71">
      <c r="A5">
        <f t="shared" si="2"/>
        <v>2015</v>
      </c>
      <c r="B5" s="1">
        <f t="shared" si="0"/>
        <v>6433748714</v>
      </c>
      <c r="C5" s="1">
        <f t="shared" si="1"/>
        <v>6433748714</v>
      </c>
      <c r="D5" s="1"/>
      <c r="E5" s="1"/>
      <c r="F5" s="1">
        <f t="shared" si="3"/>
        <v>79772286.800000191</v>
      </c>
      <c r="G5" s="1"/>
      <c r="H5" s="1"/>
      <c r="O5" s="5">
        <v>6433748714</v>
      </c>
      <c r="Q5" t="s">
        <v>120</v>
      </c>
      <c r="R5" t="s">
        <v>121</v>
      </c>
    </row>
    <row r="6" spans="1:71">
      <c r="A6">
        <f t="shared" si="2"/>
        <v>2016</v>
      </c>
      <c r="B6" s="1">
        <f t="shared" si="0"/>
        <v>6513959903.6999998</v>
      </c>
      <c r="C6" s="1">
        <f t="shared" si="1"/>
        <v>6513959903.6999998</v>
      </c>
      <c r="D6" s="1"/>
      <c r="E6" s="1"/>
      <c r="F6" s="1">
        <f t="shared" si="3"/>
        <v>80211189.699999809</v>
      </c>
      <c r="G6" s="1"/>
      <c r="H6" s="1"/>
      <c r="O6" s="5">
        <v>6513959903.6999998</v>
      </c>
      <c r="T6" t="str">
        <f>"pop &lt;- c("</f>
        <v>pop &lt;- c(</v>
      </c>
    </row>
    <row r="7" spans="1:71">
      <c r="A7">
        <f t="shared" si="2"/>
        <v>2017</v>
      </c>
      <c r="B7" s="1">
        <f t="shared" si="0"/>
        <v>6594722462.3000002</v>
      </c>
      <c r="C7" s="1">
        <f t="shared" si="1"/>
        <v>6594722462.3000002</v>
      </c>
      <c r="D7" s="1"/>
      <c r="E7" s="1"/>
      <c r="F7" s="1">
        <f t="shared" si="3"/>
        <v>80762558.600000381</v>
      </c>
      <c r="G7" s="1"/>
      <c r="H7" s="1"/>
      <c r="O7" s="5">
        <v>6594722462.3000002</v>
      </c>
      <c r="T7" t="str">
        <f t="shared" ref="T7:T38" si="4">B7&amp;","</f>
        <v>6594722462.3,</v>
      </c>
    </row>
    <row r="8" spans="1:71">
      <c r="A8">
        <f t="shared" si="2"/>
        <v>2018</v>
      </c>
      <c r="B8" s="1">
        <f t="shared" si="0"/>
        <v>6675832678</v>
      </c>
      <c r="C8" s="1">
        <f t="shared" si="1"/>
        <v>6675832678</v>
      </c>
      <c r="D8" s="1"/>
      <c r="E8" s="1"/>
      <c r="F8" s="1">
        <f t="shared" si="3"/>
        <v>81110215.699999809</v>
      </c>
      <c r="G8" s="1"/>
      <c r="H8" s="1"/>
      <c r="O8" s="5">
        <v>6675832678</v>
      </c>
      <c r="T8" t="str">
        <f t="shared" si="4"/>
        <v>6675832678,</v>
      </c>
    </row>
    <row r="9" spans="1:71">
      <c r="A9">
        <f t="shared" si="2"/>
        <v>2019</v>
      </c>
      <c r="B9" s="1">
        <f t="shared" si="0"/>
        <v>6758302522.6000004</v>
      </c>
      <c r="C9" s="1">
        <f t="shared" si="1"/>
        <v>6758302522.6000004</v>
      </c>
      <c r="D9" s="1"/>
      <c r="E9" s="1"/>
      <c r="F9" s="1">
        <f t="shared" si="3"/>
        <v>82469844.600000381</v>
      </c>
      <c r="G9" s="1"/>
      <c r="H9" s="1"/>
      <c r="O9" s="5">
        <v>6758302522.6000004</v>
      </c>
      <c r="T9" t="str">
        <f t="shared" si="4"/>
        <v>6758302522.6,</v>
      </c>
    </row>
    <row r="10" spans="1:71">
      <c r="A10">
        <f t="shared" si="2"/>
        <v>2020</v>
      </c>
      <c r="B10" s="1">
        <f t="shared" si="0"/>
        <v>6840955705.5</v>
      </c>
      <c r="C10" s="1">
        <f t="shared" si="1"/>
        <v>6840955705.5</v>
      </c>
      <c r="D10" s="1"/>
      <c r="E10" s="1"/>
      <c r="F10" s="1">
        <f t="shared" si="3"/>
        <v>82653182.899999619</v>
      </c>
      <c r="G10" s="1"/>
      <c r="H10" s="1"/>
      <c r="O10" s="5">
        <v>6840955705.5</v>
      </c>
      <c r="T10" t="str">
        <f t="shared" si="4"/>
        <v>6840955705.5,</v>
      </c>
    </row>
    <row r="11" spans="1:71">
      <c r="A11">
        <f t="shared" si="2"/>
        <v>2021</v>
      </c>
      <c r="B11" s="1">
        <f t="shared" si="0"/>
        <v>6923684084.6000004</v>
      </c>
      <c r="C11" s="1">
        <f t="shared" si="1"/>
        <v>6923684084.6000004</v>
      </c>
      <c r="D11" s="1"/>
      <c r="E11" s="1"/>
      <c r="F11" s="1">
        <f t="shared" si="3"/>
        <v>82728379.100000381</v>
      </c>
      <c r="G11" s="1"/>
      <c r="H11" s="1"/>
      <c r="O11" s="5">
        <v>6923684084.6000004</v>
      </c>
      <c r="T11" t="str">
        <f t="shared" si="4"/>
        <v>6923684084.6,</v>
      </c>
    </row>
    <row r="12" spans="1:71">
      <c r="A12">
        <f t="shared" si="2"/>
        <v>2022</v>
      </c>
      <c r="B12" s="1">
        <f t="shared" si="0"/>
        <v>7006907989.1000004</v>
      </c>
      <c r="C12" s="1">
        <f t="shared" si="1"/>
        <v>7006907989.1000004</v>
      </c>
      <c r="D12" s="1"/>
      <c r="E12" s="1"/>
      <c r="F12" s="1">
        <f t="shared" si="3"/>
        <v>83223904.5</v>
      </c>
      <c r="G12" s="1"/>
      <c r="H12" s="1"/>
      <c r="O12" s="5">
        <v>7006907989.1000004</v>
      </c>
      <c r="T12" t="str">
        <f t="shared" si="4"/>
        <v>7006907989.1,</v>
      </c>
    </row>
    <row r="13" spans="1:71">
      <c r="A13">
        <f t="shared" si="2"/>
        <v>2023</v>
      </c>
      <c r="B13" s="1">
        <f t="shared" si="0"/>
        <v>7089451550.6999998</v>
      </c>
      <c r="C13" s="1">
        <f t="shared" si="1"/>
        <v>7089451550.6999998</v>
      </c>
      <c r="D13" s="1"/>
      <c r="E13" s="1"/>
      <c r="F13" s="1">
        <f t="shared" si="3"/>
        <v>82543561.599999428</v>
      </c>
      <c r="G13" s="1"/>
      <c r="H13" s="1"/>
      <c r="O13" s="5">
        <v>7089451550.6999998</v>
      </c>
      <c r="T13" t="str">
        <f t="shared" si="4"/>
        <v>7089451550.7,</v>
      </c>
    </row>
    <row r="14" spans="1:71">
      <c r="A14">
        <f t="shared" si="2"/>
        <v>2024</v>
      </c>
      <c r="B14" s="1">
        <f t="shared" si="0"/>
        <v>7176092192.1000004</v>
      </c>
      <c r="C14" s="1">
        <f t="shared" si="1"/>
        <v>7176092192.1000004</v>
      </c>
      <c r="D14" s="1"/>
      <c r="E14" s="1"/>
      <c r="F14" s="1">
        <f t="shared" si="3"/>
        <v>86640641.400000572</v>
      </c>
      <c r="G14" s="1"/>
      <c r="H14" s="1"/>
      <c r="O14" s="5">
        <v>7176092192.1000004</v>
      </c>
      <c r="T14" t="str">
        <f t="shared" si="4"/>
        <v>7176092192.1,</v>
      </c>
    </row>
    <row r="15" spans="1:71">
      <c r="A15">
        <f t="shared" si="2"/>
        <v>2025</v>
      </c>
      <c r="B15" s="1">
        <f t="shared" si="0"/>
        <v>7260780278.3000002</v>
      </c>
      <c r="C15" s="1">
        <f t="shared" si="1"/>
        <v>7260780278.3000002</v>
      </c>
      <c r="D15" s="1"/>
      <c r="E15" s="1"/>
      <c r="F15" s="1">
        <f t="shared" si="3"/>
        <v>84688086.199999809</v>
      </c>
      <c r="G15" s="1"/>
      <c r="H15" s="1"/>
      <c r="O15" s="5">
        <v>7260780278.3000002</v>
      </c>
      <c r="T15" t="str">
        <f t="shared" si="4"/>
        <v>7260780278.3,</v>
      </c>
    </row>
    <row r="16" spans="1:71">
      <c r="A16">
        <f t="shared" si="2"/>
        <v>2026</v>
      </c>
      <c r="B16" s="1">
        <f t="shared" si="0"/>
        <v>7346633037.3999996</v>
      </c>
      <c r="C16" s="1">
        <f t="shared" si="1"/>
        <v>7346633037.3999996</v>
      </c>
      <c r="D16" s="1"/>
      <c r="E16" s="1"/>
      <c r="F16" s="1">
        <f t="shared" si="3"/>
        <v>85852759.099999428</v>
      </c>
      <c r="G16" s="1"/>
      <c r="H16" s="1"/>
      <c r="O16" s="5">
        <v>7346633037.3999996</v>
      </c>
      <c r="T16" t="str">
        <f t="shared" si="4"/>
        <v>7346633037.4,</v>
      </c>
    </row>
    <row r="17" spans="1:20">
      <c r="A17">
        <f t="shared" si="2"/>
        <v>2027</v>
      </c>
      <c r="B17" s="1">
        <f t="shared" si="0"/>
        <v>7429693000</v>
      </c>
      <c r="C17" s="1">
        <f t="shared" si="1"/>
        <v>7429693000</v>
      </c>
      <c r="D17" s="1">
        <f>B17</f>
        <v>7429693000</v>
      </c>
      <c r="E17" s="1"/>
      <c r="F17" s="1">
        <f t="shared" si="3"/>
        <v>83059962.600000381</v>
      </c>
      <c r="G17" s="4">
        <f t="shared" ref="G17:G40" si="5">B17-B16</f>
        <v>83059962.600000381</v>
      </c>
      <c r="H17" s="4"/>
      <c r="O17" s="5">
        <v>7429693000</v>
      </c>
      <c r="T17" t="str">
        <f t="shared" si="4"/>
        <v>7429693000,</v>
      </c>
    </row>
    <row r="18" spans="1:20">
      <c r="A18">
        <f t="shared" si="2"/>
        <v>2028</v>
      </c>
      <c r="B18" s="1">
        <f t="shared" si="0"/>
        <v>7512207000</v>
      </c>
      <c r="C18" s="1">
        <f t="shared" si="1"/>
        <v>7512207000</v>
      </c>
      <c r="D18" s="1">
        <f t="shared" ref="D18:D40" si="6">B18</f>
        <v>7512207000</v>
      </c>
      <c r="E18" s="1"/>
      <c r="G18" s="4">
        <f t="shared" si="5"/>
        <v>82514000</v>
      </c>
      <c r="H18" s="4"/>
      <c r="O18" s="5">
        <v>7512207000</v>
      </c>
      <c r="T18" t="str">
        <f t="shared" si="4"/>
        <v>7512207000,</v>
      </c>
    </row>
    <row r="19" spans="1:20">
      <c r="A19">
        <f t="shared" si="2"/>
        <v>2029</v>
      </c>
      <c r="B19" s="1">
        <f t="shared" si="0"/>
        <v>7593902000</v>
      </c>
      <c r="C19" s="1">
        <f t="shared" si="1"/>
        <v>7593902000</v>
      </c>
      <c r="D19" s="1">
        <f t="shared" si="6"/>
        <v>7593902000</v>
      </c>
      <c r="E19" s="1"/>
      <c r="G19" s="4">
        <f t="shared" si="5"/>
        <v>81695000</v>
      </c>
      <c r="H19" s="4"/>
      <c r="O19" s="5">
        <v>7593902000</v>
      </c>
      <c r="T19" t="str">
        <f t="shared" si="4"/>
        <v>7593902000,</v>
      </c>
    </row>
    <row r="20" spans="1:20">
      <c r="A20">
        <f t="shared" si="2"/>
        <v>2030</v>
      </c>
      <c r="B20" s="1">
        <f t="shared" si="0"/>
        <v>7674730000</v>
      </c>
      <c r="C20" s="1">
        <f t="shared" si="1"/>
        <v>7674730000</v>
      </c>
      <c r="D20" s="1">
        <f t="shared" si="6"/>
        <v>7674730000</v>
      </c>
      <c r="E20" s="1"/>
      <c r="G20" s="4">
        <f t="shared" si="5"/>
        <v>80828000</v>
      </c>
      <c r="H20" s="4"/>
      <c r="O20" s="5">
        <v>7674730000</v>
      </c>
      <c r="T20" t="str">
        <f t="shared" si="4"/>
        <v>7674730000,</v>
      </c>
    </row>
    <row r="21" spans="1:20">
      <c r="A21">
        <f t="shared" si="2"/>
        <v>2031</v>
      </c>
      <c r="B21" s="1">
        <f t="shared" si="0"/>
        <v>7754619000</v>
      </c>
      <c r="C21" s="1">
        <f t="shared" si="1"/>
        <v>7754619000</v>
      </c>
      <c r="D21" s="1">
        <f t="shared" si="6"/>
        <v>7754619000</v>
      </c>
      <c r="E21" s="1"/>
      <c r="G21" s="4">
        <f t="shared" si="5"/>
        <v>79889000</v>
      </c>
      <c r="H21" s="4"/>
      <c r="O21" s="5">
        <v>7754619000</v>
      </c>
      <c r="T21" t="str">
        <f t="shared" si="4"/>
        <v>7754619000,</v>
      </c>
    </row>
    <row r="22" spans="1:20">
      <c r="A22">
        <f t="shared" si="2"/>
        <v>2032</v>
      </c>
      <c r="B22" s="1">
        <f t="shared" si="0"/>
        <v>7833567000</v>
      </c>
      <c r="C22" s="1">
        <f t="shared" si="1"/>
        <v>7833567000</v>
      </c>
      <c r="D22" s="1">
        <f t="shared" si="6"/>
        <v>7833567000</v>
      </c>
      <c r="E22" s="1"/>
      <c r="G22" s="4">
        <f t="shared" si="5"/>
        <v>78948000</v>
      </c>
      <c r="H22" s="4"/>
      <c r="O22" s="5">
        <v>7833567000</v>
      </c>
      <c r="T22" t="str">
        <f t="shared" si="4"/>
        <v>7833567000,</v>
      </c>
    </row>
    <row r="23" spans="1:20">
      <c r="A23">
        <f t="shared" si="2"/>
        <v>2033</v>
      </c>
      <c r="B23" s="1">
        <f t="shared" si="0"/>
        <v>7911542000</v>
      </c>
      <c r="C23" s="1">
        <f t="shared" si="1"/>
        <v>7911542000</v>
      </c>
      <c r="D23" s="1">
        <f t="shared" si="6"/>
        <v>7911542000</v>
      </c>
      <c r="E23" s="1"/>
      <c r="G23" s="4">
        <f t="shared" si="5"/>
        <v>77975000</v>
      </c>
      <c r="H23" s="4"/>
      <c r="O23" s="5">
        <v>7911542000</v>
      </c>
      <c r="T23" t="str">
        <f t="shared" si="4"/>
        <v>7911542000,</v>
      </c>
    </row>
    <row r="24" spans="1:20">
      <c r="A24">
        <f t="shared" si="2"/>
        <v>2034</v>
      </c>
      <c r="B24" s="1">
        <f t="shared" si="0"/>
        <v>7988484000</v>
      </c>
      <c r="C24" s="1">
        <f t="shared" si="1"/>
        <v>7988484000</v>
      </c>
      <c r="D24" s="1">
        <f t="shared" si="6"/>
        <v>7988484000</v>
      </c>
      <c r="E24" s="1"/>
      <c r="G24" s="4">
        <f t="shared" si="5"/>
        <v>76942000</v>
      </c>
      <c r="H24" s="4"/>
      <c r="O24" s="5">
        <v>7988484000</v>
      </c>
      <c r="T24" t="str">
        <f t="shared" si="4"/>
        <v>7988484000,</v>
      </c>
    </row>
    <row r="25" spans="1:20">
      <c r="A25">
        <f t="shared" si="2"/>
        <v>2035</v>
      </c>
      <c r="B25" s="1">
        <f t="shared" si="0"/>
        <v>8064405000</v>
      </c>
      <c r="C25" s="1">
        <f t="shared" si="1"/>
        <v>8064405000</v>
      </c>
      <c r="D25" s="1">
        <f t="shared" si="6"/>
        <v>8064405000</v>
      </c>
      <c r="E25" s="1"/>
      <c r="G25" s="4">
        <f t="shared" si="5"/>
        <v>75921000</v>
      </c>
      <c r="H25" s="4"/>
      <c r="O25" s="5">
        <v>8064405000</v>
      </c>
      <c r="T25" t="str">
        <f t="shared" si="4"/>
        <v>8064405000,</v>
      </c>
    </row>
    <row r="26" spans="1:20">
      <c r="A26">
        <f t="shared" si="2"/>
        <v>2036</v>
      </c>
      <c r="B26" s="1">
        <f t="shared" si="0"/>
        <v>8139303000</v>
      </c>
      <c r="C26" s="1">
        <f t="shared" si="1"/>
        <v>8139303000</v>
      </c>
      <c r="D26" s="1">
        <f t="shared" si="6"/>
        <v>8139303000</v>
      </c>
      <c r="E26" s="1"/>
      <c r="G26" s="4">
        <f t="shared" si="5"/>
        <v>74898000</v>
      </c>
      <c r="H26" s="4"/>
      <c r="O26" s="5">
        <v>8139303000</v>
      </c>
      <c r="T26" t="str">
        <f t="shared" si="4"/>
        <v>8139303000,</v>
      </c>
    </row>
    <row r="27" spans="1:20">
      <c r="A27">
        <f t="shared" si="2"/>
        <v>2037</v>
      </c>
      <c r="B27" s="1">
        <f t="shared" si="0"/>
        <v>8213166000</v>
      </c>
      <c r="C27" s="1">
        <f t="shared" si="1"/>
        <v>8213166000</v>
      </c>
      <c r="D27" s="1">
        <f t="shared" si="6"/>
        <v>8213166000</v>
      </c>
      <c r="E27" s="1"/>
      <c r="G27" s="4">
        <f t="shared" si="5"/>
        <v>73863000</v>
      </c>
      <c r="H27" s="4"/>
      <c r="O27" s="5">
        <v>8213166000</v>
      </c>
      <c r="T27" t="str">
        <f t="shared" si="4"/>
        <v>8213166000,</v>
      </c>
    </row>
    <row r="28" spans="1:20">
      <c r="A28">
        <f t="shared" si="2"/>
        <v>2038</v>
      </c>
      <c r="B28" s="1">
        <f t="shared" si="0"/>
        <v>8285985000</v>
      </c>
      <c r="C28" s="1">
        <f t="shared" si="1"/>
        <v>8285985000</v>
      </c>
      <c r="D28" s="1">
        <f t="shared" si="6"/>
        <v>8285985000</v>
      </c>
      <c r="E28" s="1"/>
      <c r="G28" s="4">
        <f t="shared" si="5"/>
        <v>72819000</v>
      </c>
      <c r="H28" s="4"/>
      <c r="O28" s="5">
        <v>8285985000</v>
      </c>
      <c r="T28" t="str">
        <f t="shared" si="4"/>
        <v>8285985000,</v>
      </c>
    </row>
    <row r="29" spans="1:20">
      <c r="A29">
        <f t="shared" si="2"/>
        <v>2039</v>
      </c>
      <c r="B29" s="1">
        <f t="shared" si="0"/>
        <v>8357801000</v>
      </c>
      <c r="C29" s="1">
        <f t="shared" si="1"/>
        <v>8357801000</v>
      </c>
      <c r="D29" s="1">
        <f t="shared" si="6"/>
        <v>8357801000</v>
      </c>
      <c r="E29" s="1"/>
      <c r="G29" s="4">
        <f t="shared" si="5"/>
        <v>71816000</v>
      </c>
      <c r="H29" s="4"/>
      <c r="O29" s="5">
        <v>8357801000</v>
      </c>
      <c r="T29" t="str">
        <f t="shared" si="4"/>
        <v>8357801000,</v>
      </c>
    </row>
    <row r="30" spans="1:20">
      <c r="A30">
        <f t="shared" si="2"/>
        <v>2040</v>
      </c>
      <c r="B30" s="1">
        <f t="shared" si="0"/>
        <v>8428633000</v>
      </c>
      <c r="C30" s="1">
        <f t="shared" si="1"/>
        <v>8428633000</v>
      </c>
      <c r="D30" s="1">
        <f t="shared" si="6"/>
        <v>8428633000</v>
      </c>
      <c r="E30" s="1"/>
      <c r="G30" s="4">
        <f t="shared" si="5"/>
        <v>70832000</v>
      </c>
      <c r="H30" s="4"/>
      <c r="O30" s="5">
        <v>8428633000</v>
      </c>
      <c r="T30" t="str">
        <f t="shared" si="4"/>
        <v>8428633000,</v>
      </c>
    </row>
    <row r="31" spans="1:20">
      <c r="A31">
        <f t="shared" si="2"/>
        <v>2041</v>
      </c>
      <c r="B31" s="1">
        <f t="shared" si="0"/>
        <v>8498534000</v>
      </c>
      <c r="C31" s="1">
        <f t="shared" si="1"/>
        <v>8498534000</v>
      </c>
      <c r="D31" s="1">
        <f t="shared" si="6"/>
        <v>8498534000</v>
      </c>
      <c r="E31" s="1"/>
      <c r="G31" s="4">
        <f t="shared" si="5"/>
        <v>69901000</v>
      </c>
      <c r="H31" s="4"/>
      <c r="O31" s="5">
        <v>8498534000</v>
      </c>
      <c r="T31" t="str">
        <f t="shared" si="4"/>
        <v>8498534000,</v>
      </c>
    </row>
    <row r="32" spans="1:20">
      <c r="A32">
        <f t="shared" si="2"/>
        <v>2042</v>
      </c>
      <c r="B32" s="1">
        <f t="shared" si="0"/>
        <v>8567514000</v>
      </c>
      <c r="C32" s="1">
        <f t="shared" si="1"/>
        <v>8567514000</v>
      </c>
      <c r="D32" s="1">
        <f t="shared" si="6"/>
        <v>8567514000</v>
      </c>
      <c r="E32" s="1"/>
      <c r="G32" s="4">
        <f t="shared" si="5"/>
        <v>68980000</v>
      </c>
      <c r="H32" s="4"/>
      <c r="O32" s="5">
        <v>8567514000</v>
      </c>
      <c r="T32" t="str">
        <f t="shared" si="4"/>
        <v>8567514000,</v>
      </c>
    </row>
    <row r="33" spans="1:20">
      <c r="A33">
        <f t="shared" si="2"/>
        <v>2043</v>
      </c>
      <c r="B33" s="1">
        <f t="shared" si="0"/>
        <v>8635565000</v>
      </c>
      <c r="C33" s="1">
        <f t="shared" si="1"/>
        <v>8635565000</v>
      </c>
      <c r="D33" s="1">
        <f t="shared" si="6"/>
        <v>8635565000</v>
      </c>
      <c r="E33" s="1"/>
      <c r="G33" s="4">
        <f t="shared" si="5"/>
        <v>68051000</v>
      </c>
      <c r="H33" s="4"/>
      <c r="O33" s="5">
        <v>8635565000</v>
      </c>
      <c r="T33" t="str">
        <f t="shared" si="4"/>
        <v>8635565000,</v>
      </c>
    </row>
    <row r="34" spans="1:20">
      <c r="A34">
        <f t="shared" si="2"/>
        <v>2044</v>
      </c>
      <c r="B34" s="1">
        <f t="shared" si="0"/>
        <v>8702716000</v>
      </c>
      <c r="C34" s="1">
        <f t="shared" si="1"/>
        <v>8702716000</v>
      </c>
      <c r="D34" s="1">
        <f t="shared" si="6"/>
        <v>8702716000</v>
      </c>
      <c r="E34" s="1"/>
      <c r="G34" s="4">
        <f t="shared" si="5"/>
        <v>67151000</v>
      </c>
      <c r="H34" s="4"/>
      <c r="O34" s="5">
        <v>8702716000</v>
      </c>
      <c r="T34" t="str">
        <f t="shared" si="4"/>
        <v>8702716000,</v>
      </c>
    </row>
    <row r="35" spans="1:20">
      <c r="A35">
        <f t="shared" si="2"/>
        <v>2045</v>
      </c>
      <c r="B35" s="1">
        <f t="shared" si="0"/>
        <v>8769010000</v>
      </c>
      <c r="C35" s="1">
        <f t="shared" si="1"/>
        <v>8769010000</v>
      </c>
      <c r="D35" s="1">
        <f t="shared" si="6"/>
        <v>8769010000</v>
      </c>
      <c r="E35" s="1"/>
      <c r="G35" s="4">
        <f t="shared" si="5"/>
        <v>66294000</v>
      </c>
      <c r="H35" s="4"/>
      <c r="O35" s="5">
        <v>8769010000</v>
      </c>
      <c r="T35" t="str">
        <f t="shared" si="4"/>
        <v>8769010000,</v>
      </c>
    </row>
    <row r="36" spans="1:20">
      <c r="A36">
        <f t="shared" si="2"/>
        <v>2046</v>
      </c>
      <c r="B36" s="1">
        <f t="shared" si="0"/>
        <v>8834517000</v>
      </c>
      <c r="C36" s="1">
        <f t="shared" si="1"/>
        <v>8834517000</v>
      </c>
      <c r="D36" s="1">
        <f t="shared" si="6"/>
        <v>8834517000</v>
      </c>
      <c r="E36" s="1"/>
      <c r="G36" s="4">
        <f t="shared" si="5"/>
        <v>65507000</v>
      </c>
      <c r="H36" s="4"/>
      <c r="O36" s="5">
        <v>8834517000</v>
      </c>
      <c r="T36" t="str">
        <f t="shared" si="4"/>
        <v>8834517000,</v>
      </c>
    </row>
    <row r="37" spans="1:20">
      <c r="A37">
        <f t="shared" si="2"/>
        <v>2047</v>
      </c>
      <c r="B37" s="1">
        <f t="shared" si="0"/>
        <v>8899266000</v>
      </c>
      <c r="C37" s="1">
        <f t="shared" si="1"/>
        <v>8899266000</v>
      </c>
      <c r="D37" s="1">
        <f t="shared" si="6"/>
        <v>8899266000</v>
      </c>
      <c r="E37" s="1"/>
      <c r="G37" s="4">
        <f t="shared" si="5"/>
        <v>64749000</v>
      </c>
      <c r="H37" s="4"/>
      <c r="O37" s="5">
        <v>8899266000</v>
      </c>
      <c r="T37" t="str">
        <f t="shared" si="4"/>
        <v>8899266000,</v>
      </c>
    </row>
    <row r="38" spans="1:20">
      <c r="A38">
        <f t="shared" si="2"/>
        <v>2048</v>
      </c>
      <c r="B38" s="1">
        <f t="shared" si="0"/>
        <v>8963266000</v>
      </c>
      <c r="C38" s="1">
        <f t="shared" si="1"/>
        <v>8963266000</v>
      </c>
      <c r="D38" s="1">
        <f t="shared" si="6"/>
        <v>8963266000</v>
      </c>
      <c r="E38" s="1"/>
      <c r="G38" s="4">
        <f t="shared" si="5"/>
        <v>64000000</v>
      </c>
      <c r="H38" s="4"/>
      <c r="O38" s="5">
        <v>8963266000</v>
      </c>
      <c r="T38" t="str">
        <f t="shared" si="4"/>
        <v>8963266000,</v>
      </c>
    </row>
    <row r="39" spans="1:20">
      <c r="A39">
        <f t="shared" si="2"/>
        <v>2049</v>
      </c>
      <c r="B39" s="1">
        <f t="shared" si="0"/>
        <v>9026540000</v>
      </c>
      <c r="C39" s="1">
        <f t="shared" si="1"/>
        <v>9026540000</v>
      </c>
      <c r="D39" s="1">
        <f t="shared" si="6"/>
        <v>9026540000</v>
      </c>
      <c r="E39" s="1"/>
      <c r="G39" s="4">
        <f t="shared" si="5"/>
        <v>63274000</v>
      </c>
      <c r="H39" s="4"/>
      <c r="O39" s="5">
        <v>9026540000</v>
      </c>
      <c r="T39" t="str">
        <f t="shared" ref="T39:T70" si="7">B39&amp;","</f>
        <v>9026540000,</v>
      </c>
    </row>
    <row r="40" spans="1:20">
      <c r="A40">
        <f t="shared" si="2"/>
        <v>2050</v>
      </c>
      <c r="B40" s="1">
        <f t="shared" si="0"/>
        <v>9089080000</v>
      </c>
      <c r="C40" s="1">
        <f t="shared" si="1"/>
        <v>9089080000</v>
      </c>
      <c r="D40" s="1">
        <f t="shared" si="6"/>
        <v>9089080000</v>
      </c>
      <c r="E40" s="1"/>
      <c r="G40" s="4">
        <f t="shared" si="5"/>
        <v>62540000</v>
      </c>
      <c r="H40" s="4"/>
      <c r="O40" s="5">
        <v>9089080000</v>
      </c>
      <c r="T40" t="str">
        <f t="shared" si="7"/>
        <v>9089080000,</v>
      </c>
    </row>
    <row r="41" spans="1:20">
      <c r="A41">
        <f t="shared" si="2"/>
        <v>2051</v>
      </c>
      <c r="B41" s="1">
        <f>B40+F41</f>
        <v>9150005162.5369568</v>
      </c>
      <c r="C41" s="1"/>
      <c r="D41" s="1"/>
      <c r="E41" s="1">
        <f>B41</f>
        <v>9150005162.5369568</v>
      </c>
      <c r="F41" s="1">
        <f>A41*$I$1+$J$1</f>
        <v>60925162.536956549</v>
      </c>
      <c r="G41" s="1"/>
      <c r="H41" s="1">
        <f>B41-B40</f>
        <v>60925162.536956787</v>
      </c>
      <c r="O41" s="5">
        <v>9150846000</v>
      </c>
      <c r="T41" t="str">
        <f t="shared" si="7"/>
        <v>9150005162.53696,</v>
      </c>
    </row>
    <row r="42" spans="1:20">
      <c r="A42">
        <f t="shared" si="2"/>
        <v>2052</v>
      </c>
      <c r="B42" s="1">
        <f t="shared" ref="B42:B105" si="8">B41+F42</f>
        <v>9209996181.5348701</v>
      </c>
      <c r="C42" s="1"/>
      <c r="D42" s="1"/>
      <c r="E42" s="1">
        <f t="shared" ref="E42:E105" si="9">B42</f>
        <v>9209996181.5348701</v>
      </c>
      <c r="F42" s="1">
        <f t="shared" ref="F42:F105" si="10">A42*$I$1+$J$1</f>
        <v>59991018.997913122</v>
      </c>
      <c r="G42" s="1"/>
      <c r="H42" s="1">
        <f t="shared" ref="H42:H105" si="11">B42-B41</f>
        <v>59991018.997913361</v>
      </c>
      <c r="O42" s="5">
        <v>9211802000</v>
      </c>
      <c r="T42" t="str">
        <f t="shared" si="7"/>
        <v>9209996181.53487,</v>
      </c>
    </row>
    <row r="43" spans="1:20">
      <c r="A43">
        <f t="shared" si="2"/>
        <v>2053</v>
      </c>
      <c r="B43" s="1">
        <f t="shared" si="8"/>
        <v>9269053056.9937401</v>
      </c>
      <c r="C43" s="1"/>
      <c r="D43" s="1"/>
      <c r="E43" s="1">
        <f t="shared" si="9"/>
        <v>9269053056.9937401</v>
      </c>
      <c r="F43" s="1">
        <f t="shared" si="10"/>
        <v>59056875.458869696</v>
      </c>
      <c r="G43" s="1"/>
      <c r="H43" s="1">
        <f t="shared" si="11"/>
        <v>59056875.458869934</v>
      </c>
      <c r="O43" s="5">
        <v>9271890000</v>
      </c>
      <c r="T43" t="str">
        <f t="shared" si="7"/>
        <v>9269053056.99374,</v>
      </c>
    </row>
    <row r="44" spans="1:20">
      <c r="A44">
        <f t="shared" si="2"/>
        <v>2054</v>
      </c>
      <c r="B44" s="1">
        <f t="shared" si="8"/>
        <v>9327175788.9135666</v>
      </c>
      <c r="C44" s="1"/>
      <c r="D44" s="1"/>
      <c r="E44" s="1">
        <f t="shared" si="9"/>
        <v>9327175788.9135666</v>
      </c>
      <c r="F44" s="1">
        <f t="shared" si="10"/>
        <v>58122731.919826269</v>
      </c>
      <c r="G44" s="1"/>
      <c r="H44" s="1">
        <f t="shared" si="11"/>
        <v>58122731.919826508</v>
      </c>
      <c r="O44" s="5">
        <v>9331044000</v>
      </c>
      <c r="T44" t="str">
        <f t="shared" si="7"/>
        <v>9327175788.91357,</v>
      </c>
    </row>
    <row r="45" spans="1:20">
      <c r="A45">
        <f t="shared" si="2"/>
        <v>2055</v>
      </c>
      <c r="B45" s="1">
        <f t="shared" si="8"/>
        <v>9384364377.2943497</v>
      </c>
      <c r="C45" s="1"/>
      <c r="D45" s="1"/>
      <c r="E45" s="1">
        <f t="shared" si="9"/>
        <v>9384364377.2943497</v>
      </c>
      <c r="F45" s="1">
        <f t="shared" si="10"/>
        <v>57188588.380782604</v>
      </c>
      <c r="G45" s="1"/>
      <c r="H45" s="1">
        <f t="shared" si="11"/>
        <v>57188588.380783081</v>
      </c>
      <c r="O45" s="5">
        <v>9389204000</v>
      </c>
      <c r="T45" t="str">
        <f t="shared" si="7"/>
        <v>9384364377.29435,</v>
      </c>
    </row>
    <row r="46" spans="1:20">
      <c r="A46">
        <f t="shared" si="2"/>
        <v>2056</v>
      </c>
      <c r="B46" s="1">
        <f t="shared" si="8"/>
        <v>9440618822.1360893</v>
      </c>
      <c r="C46" s="1"/>
      <c r="D46" s="1"/>
      <c r="E46" s="1">
        <f t="shared" si="9"/>
        <v>9440618822.1360893</v>
      </c>
      <c r="F46" s="1">
        <f t="shared" si="10"/>
        <v>56254444.841739178</v>
      </c>
      <c r="G46" s="1"/>
      <c r="H46" s="1">
        <f t="shared" si="11"/>
        <v>56254444.841739655</v>
      </c>
      <c r="O46" s="5">
        <v>9446305000</v>
      </c>
      <c r="T46" t="str">
        <f t="shared" si="7"/>
        <v>9440618822.13609,</v>
      </c>
    </row>
    <row r="47" spans="1:20">
      <c r="A47">
        <f t="shared" si="2"/>
        <v>2057</v>
      </c>
      <c r="B47" s="1">
        <f t="shared" si="8"/>
        <v>9495939123.4387856</v>
      </c>
      <c r="C47" s="1"/>
      <c r="D47" s="1"/>
      <c r="E47" s="1">
        <f t="shared" si="9"/>
        <v>9495939123.4387856</v>
      </c>
      <c r="F47" s="1">
        <f t="shared" si="10"/>
        <v>55320301.302695751</v>
      </c>
      <c r="G47" s="1"/>
      <c r="H47" s="1">
        <f t="shared" si="11"/>
        <v>55320301.302696228</v>
      </c>
      <c r="O47" s="5">
        <v>9502332000</v>
      </c>
      <c r="T47" t="str">
        <f t="shared" si="7"/>
        <v>9495939123.43879,</v>
      </c>
    </row>
    <row r="48" spans="1:20">
      <c r="A48">
        <f t="shared" si="2"/>
        <v>2058</v>
      </c>
      <c r="B48" s="1">
        <f t="shared" si="8"/>
        <v>9550325281.2024384</v>
      </c>
      <c r="C48" s="1"/>
      <c r="D48" s="1"/>
      <c r="E48" s="1">
        <f t="shared" si="9"/>
        <v>9550325281.2024384</v>
      </c>
      <c r="F48" s="1">
        <f t="shared" si="10"/>
        <v>54386157.763652325</v>
      </c>
      <c r="G48" s="1"/>
      <c r="H48" s="1">
        <f t="shared" si="11"/>
        <v>54386157.763652802</v>
      </c>
      <c r="O48" s="5">
        <v>9557267000</v>
      </c>
      <c r="T48" t="str">
        <f t="shared" si="7"/>
        <v>9550325281.20244,</v>
      </c>
    </row>
    <row r="49" spans="1:20">
      <c r="A49">
        <f t="shared" si="2"/>
        <v>2059</v>
      </c>
      <c r="B49" s="1">
        <f t="shared" si="8"/>
        <v>9603777295.4270477</v>
      </c>
      <c r="C49" s="1"/>
      <c r="D49" s="1"/>
      <c r="E49" s="1">
        <f t="shared" si="9"/>
        <v>9603777295.4270477</v>
      </c>
      <c r="F49" s="1">
        <f t="shared" si="10"/>
        <v>53452014.22460866</v>
      </c>
      <c r="G49" s="1"/>
      <c r="H49" s="1">
        <f t="shared" si="11"/>
        <v>53452014.224609375</v>
      </c>
      <c r="O49" s="5">
        <v>9611088000</v>
      </c>
      <c r="T49" t="str">
        <f t="shared" si="7"/>
        <v>9603777295.42705,</v>
      </c>
    </row>
    <row r="50" spans="1:20">
      <c r="A50">
        <f t="shared" si="2"/>
        <v>2060</v>
      </c>
      <c r="B50" s="1">
        <f t="shared" si="8"/>
        <v>9656295166.1126137</v>
      </c>
      <c r="C50" s="1"/>
      <c r="D50" s="1"/>
      <c r="E50" s="1">
        <f t="shared" si="9"/>
        <v>9656295166.1126137</v>
      </c>
      <c r="F50" s="1">
        <f t="shared" si="10"/>
        <v>52517870.685565233</v>
      </c>
      <c r="G50" s="1"/>
      <c r="H50" s="1">
        <f t="shared" si="11"/>
        <v>52517870.685565948</v>
      </c>
      <c r="O50" s="5">
        <v>9663780000</v>
      </c>
      <c r="T50" t="str">
        <f t="shared" si="7"/>
        <v>9656295166.11261,</v>
      </c>
    </row>
    <row r="51" spans="1:20">
      <c r="A51">
        <f t="shared" si="2"/>
        <v>2061</v>
      </c>
      <c r="B51" s="1">
        <f t="shared" si="8"/>
        <v>9707878893.2591362</v>
      </c>
      <c r="C51" s="1"/>
      <c r="D51" s="1"/>
      <c r="E51" s="1">
        <f t="shared" si="9"/>
        <v>9707878893.2591362</v>
      </c>
      <c r="F51" s="1">
        <f t="shared" si="10"/>
        <v>51583727.146521807</v>
      </c>
      <c r="G51" s="1"/>
      <c r="H51" s="1">
        <f t="shared" si="11"/>
        <v>51583727.146522522</v>
      </c>
      <c r="O51" s="5">
        <v>9714894000</v>
      </c>
      <c r="T51" t="str">
        <f t="shared" si="7"/>
        <v>9707878893.25914,</v>
      </c>
    </row>
    <row r="52" spans="1:20">
      <c r="A52">
        <f>A51+1</f>
        <v>2062</v>
      </c>
      <c r="B52" s="1">
        <f t="shared" si="8"/>
        <v>9758528476.8666153</v>
      </c>
      <c r="C52" s="1"/>
      <c r="D52" s="1"/>
      <c r="E52" s="1">
        <f t="shared" si="9"/>
        <v>9758528476.8666153</v>
      </c>
      <c r="F52" s="1">
        <f t="shared" si="10"/>
        <v>50649583.60747838</v>
      </c>
      <c r="G52" s="1"/>
      <c r="H52" s="1">
        <f t="shared" si="11"/>
        <v>50649583.607479095</v>
      </c>
      <c r="T52" t="str">
        <f t="shared" si="7"/>
        <v>9758528476.86662,</v>
      </c>
    </row>
    <row r="53" spans="1:20">
      <c r="A53">
        <f t="shared" ref="A53:A116" si="12">A52+1</f>
        <v>2063</v>
      </c>
      <c r="B53" s="1">
        <f t="shared" si="8"/>
        <v>9808243916.935051</v>
      </c>
      <c r="C53" s="1"/>
      <c r="D53" s="1"/>
      <c r="E53" s="1">
        <f t="shared" si="9"/>
        <v>9808243916.935051</v>
      </c>
      <c r="F53" s="1">
        <f t="shared" si="10"/>
        <v>49715440.068434715</v>
      </c>
      <c r="G53" s="1"/>
      <c r="H53" s="1">
        <f t="shared" si="11"/>
        <v>49715440.068435669</v>
      </c>
      <c r="T53" t="str">
        <f t="shared" si="7"/>
        <v>9808243916.93505,</v>
      </c>
    </row>
    <row r="54" spans="1:20">
      <c r="A54">
        <f t="shared" si="12"/>
        <v>2064</v>
      </c>
      <c r="B54" s="1">
        <f t="shared" si="8"/>
        <v>9857025213.4644432</v>
      </c>
      <c r="C54" s="1"/>
      <c r="D54" s="1"/>
      <c r="E54" s="1">
        <f t="shared" si="9"/>
        <v>9857025213.4644432</v>
      </c>
      <c r="F54" s="1">
        <f t="shared" si="10"/>
        <v>48781296.529391289</v>
      </c>
      <c r="G54" s="1"/>
      <c r="H54" s="1">
        <f t="shared" si="11"/>
        <v>48781296.529392242</v>
      </c>
      <c r="T54" t="str">
        <f t="shared" si="7"/>
        <v>9857025213.46444,</v>
      </c>
    </row>
    <row r="55" spans="1:20">
      <c r="A55">
        <f t="shared" si="12"/>
        <v>2065</v>
      </c>
      <c r="B55" s="1">
        <f t="shared" si="8"/>
        <v>9904872366.454792</v>
      </c>
      <c r="C55" s="1"/>
      <c r="D55" s="1"/>
      <c r="E55" s="1">
        <f t="shared" si="9"/>
        <v>9904872366.454792</v>
      </c>
      <c r="F55" s="1">
        <f t="shared" si="10"/>
        <v>47847152.990347862</v>
      </c>
      <c r="G55" s="1"/>
      <c r="H55" s="1">
        <f t="shared" si="11"/>
        <v>47847152.990348816</v>
      </c>
      <c r="T55" t="str">
        <f t="shared" si="7"/>
        <v>9904872366.45479,</v>
      </c>
    </row>
    <row r="56" spans="1:20">
      <c r="A56">
        <f t="shared" si="12"/>
        <v>2066</v>
      </c>
      <c r="B56" s="1">
        <f t="shared" si="8"/>
        <v>9951785375.9060974</v>
      </c>
      <c r="C56" s="1"/>
      <c r="D56" s="1"/>
      <c r="E56" s="1">
        <f t="shared" si="9"/>
        <v>9951785375.9060974</v>
      </c>
      <c r="F56" s="1">
        <f t="shared" si="10"/>
        <v>46913009.451304436</v>
      </c>
      <c r="G56" s="1"/>
      <c r="H56" s="1">
        <f t="shared" si="11"/>
        <v>46913009.451305389</v>
      </c>
      <c r="T56" t="str">
        <f t="shared" si="7"/>
        <v>9951785375.9061,</v>
      </c>
    </row>
    <row r="57" spans="1:20">
      <c r="A57">
        <f t="shared" si="12"/>
        <v>2067</v>
      </c>
      <c r="B57" s="1">
        <f t="shared" si="8"/>
        <v>9997764241.8183594</v>
      </c>
      <c r="C57" s="1"/>
      <c r="D57" s="1"/>
      <c r="E57" s="1">
        <f t="shared" si="9"/>
        <v>9997764241.8183594</v>
      </c>
      <c r="F57" s="1">
        <f t="shared" si="10"/>
        <v>45978865.912261009</v>
      </c>
      <c r="G57" s="1"/>
      <c r="H57" s="1">
        <f t="shared" si="11"/>
        <v>45978865.912261963</v>
      </c>
      <c r="T57" t="str">
        <f t="shared" si="7"/>
        <v>9997764241.81836,</v>
      </c>
    </row>
    <row r="58" spans="1:20">
      <c r="A58">
        <f t="shared" si="12"/>
        <v>2068</v>
      </c>
      <c r="B58" s="1">
        <f t="shared" si="8"/>
        <v>10042808964.191576</v>
      </c>
      <c r="C58" s="1"/>
      <c r="D58" s="1"/>
      <c r="E58" s="1">
        <f t="shared" si="9"/>
        <v>10042808964.191576</v>
      </c>
      <c r="F58" s="1">
        <f t="shared" si="10"/>
        <v>45044722.373217344</v>
      </c>
      <c r="G58" s="1"/>
      <c r="H58" s="1">
        <f t="shared" si="11"/>
        <v>45044722.373216629</v>
      </c>
      <c r="T58" t="str">
        <f t="shared" si="7"/>
        <v>10042808964.1916,</v>
      </c>
    </row>
    <row r="59" spans="1:20">
      <c r="A59">
        <f t="shared" si="12"/>
        <v>2069</v>
      </c>
      <c r="B59" s="1">
        <f t="shared" si="8"/>
        <v>10086919543.025749</v>
      </c>
      <c r="C59" s="1"/>
      <c r="D59" s="1"/>
      <c r="E59" s="1">
        <f t="shared" si="9"/>
        <v>10086919543.025749</v>
      </c>
      <c r="F59" s="1">
        <f t="shared" si="10"/>
        <v>44110578.834173918</v>
      </c>
      <c r="G59" s="1"/>
      <c r="H59" s="1">
        <f t="shared" si="11"/>
        <v>44110578.834173203</v>
      </c>
      <c r="T59" t="str">
        <f t="shared" si="7"/>
        <v>10086919543.0257,</v>
      </c>
    </row>
    <row r="60" spans="1:20">
      <c r="A60">
        <f t="shared" si="12"/>
        <v>2070</v>
      </c>
      <c r="B60" s="1">
        <f t="shared" si="8"/>
        <v>10130095978.320879</v>
      </c>
      <c r="C60" s="1"/>
      <c r="D60" s="1"/>
      <c r="E60" s="1">
        <f t="shared" si="9"/>
        <v>10130095978.320879</v>
      </c>
      <c r="F60" s="1">
        <f t="shared" si="10"/>
        <v>43176435.295130491</v>
      </c>
      <c r="G60" s="1"/>
      <c r="H60" s="1">
        <f t="shared" si="11"/>
        <v>43176435.295129776</v>
      </c>
      <c r="T60" t="str">
        <f t="shared" si="7"/>
        <v>10130095978.3209,</v>
      </c>
    </row>
    <row r="61" spans="1:20">
      <c r="A61">
        <f t="shared" si="12"/>
        <v>2071</v>
      </c>
      <c r="B61" s="1">
        <f t="shared" si="8"/>
        <v>10172338270.076965</v>
      </c>
      <c r="C61" s="1"/>
      <c r="D61" s="1"/>
      <c r="E61" s="1">
        <f t="shared" si="9"/>
        <v>10172338270.076965</v>
      </c>
      <c r="F61" s="1">
        <f t="shared" si="10"/>
        <v>42242291.756087065</v>
      </c>
      <c r="G61" s="1"/>
      <c r="H61" s="1">
        <f t="shared" si="11"/>
        <v>42242291.756086349</v>
      </c>
      <c r="T61" t="str">
        <f t="shared" si="7"/>
        <v>10172338270.077,</v>
      </c>
    </row>
    <row r="62" spans="1:20">
      <c r="A62">
        <f t="shared" si="12"/>
        <v>2072</v>
      </c>
      <c r="B62" s="1">
        <f t="shared" si="8"/>
        <v>10213646418.294008</v>
      </c>
      <c r="C62" s="1"/>
      <c r="D62" s="1"/>
      <c r="E62" s="1">
        <f t="shared" si="9"/>
        <v>10213646418.294008</v>
      </c>
      <c r="F62" s="1">
        <f t="shared" si="10"/>
        <v>41308148.2170434</v>
      </c>
      <c r="G62" s="1"/>
      <c r="H62" s="1">
        <f t="shared" si="11"/>
        <v>41308148.217042923</v>
      </c>
      <c r="T62" t="str">
        <f t="shared" si="7"/>
        <v>10213646418.294,</v>
      </c>
    </row>
    <row r="63" spans="1:20">
      <c r="A63">
        <f t="shared" si="12"/>
        <v>2073</v>
      </c>
      <c r="B63" s="1">
        <f t="shared" si="8"/>
        <v>10254020422.972008</v>
      </c>
      <c r="C63" s="1"/>
      <c r="D63" s="1"/>
      <c r="E63" s="1">
        <f t="shared" si="9"/>
        <v>10254020422.972008</v>
      </c>
      <c r="F63" s="1">
        <f t="shared" si="10"/>
        <v>40374004.677999973</v>
      </c>
      <c r="G63" s="1"/>
      <c r="H63" s="1">
        <f t="shared" si="11"/>
        <v>40374004.677999496</v>
      </c>
      <c r="T63" t="str">
        <f t="shared" si="7"/>
        <v>10254020422.972,</v>
      </c>
    </row>
    <row r="64" spans="1:20">
      <c r="A64">
        <f t="shared" si="12"/>
        <v>2074</v>
      </c>
      <c r="B64" s="1">
        <f t="shared" si="8"/>
        <v>10293460284.110964</v>
      </c>
      <c r="C64" s="1"/>
      <c r="D64" s="1"/>
      <c r="E64" s="1">
        <f t="shared" si="9"/>
        <v>10293460284.110964</v>
      </c>
      <c r="F64" s="1">
        <f t="shared" si="10"/>
        <v>39439861.138956547</v>
      </c>
      <c r="G64" s="1"/>
      <c r="H64" s="1">
        <f t="shared" si="11"/>
        <v>39439861.13895607</v>
      </c>
      <c r="T64" t="str">
        <f t="shared" si="7"/>
        <v>10293460284.111,</v>
      </c>
    </row>
    <row r="65" spans="1:20">
      <c r="A65">
        <f t="shared" si="12"/>
        <v>2075</v>
      </c>
      <c r="B65" s="1">
        <f t="shared" si="8"/>
        <v>10331966001.710876</v>
      </c>
      <c r="C65" s="1"/>
      <c r="D65" s="1"/>
      <c r="E65" s="1">
        <f t="shared" si="9"/>
        <v>10331966001.710876</v>
      </c>
      <c r="F65" s="1">
        <f t="shared" si="10"/>
        <v>38505717.59991312</v>
      </c>
      <c r="G65" s="1"/>
      <c r="H65" s="1">
        <f t="shared" si="11"/>
        <v>38505717.599912643</v>
      </c>
      <c r="T65" t="str">
        <f t="shared" si="7"/>
        <v>10331966001.7109,</v>
      </c>
    </row>
    <row r="66" spans="1:20">
      <c r="A66">
        <f t="shared" si="12"/>
        <v>2076</v>
      </c>
      <c r="B66" s="1">
        <f t="shared" si="8"/>
        <v>10369537575.771746</v>
      </c>
      <c r="C66" s="1"/>
      <c r="D66" s="1"/>
      <c r="E66" s="1">
        <f t="shared" si="9"/>
        <v>10369537575.771746</v>
      </c>
      <c r="F66" s="1">
        <f t="shared" si="10"/>
        <v>37571574.060869455</v>
      </c>
      <c r="G66" s="1"/>
      <c r="H66" s="1">
        <f t="shared" si="11"/>
        <v>37571574.060869217</v>
      </c>
      <c r="T66" t="str">
        <f t="shared" si="7"/>
        <v>10369537575.7717,</v>
      </c>
    </row>
    <row r="67" spans="1:20">
      <c r="A67">
        <f t="shared" si="12"/>
        <v>2077</v>
      </c>
      <c r="B67" s="1">
        <f t="shared" si="8"/>
        <v>10406175006.293571</v>
      </c>
      <c r="C67" s="1"/>
      <c r="D67" s="1"/>
      <c r="E67" s="1">
        <f t="shared" si="9"/>
        <v>10406175006.293571</v>
      </c>
      <c r="F67" s="1">
        <f t="shared" si="10"/>
        <v>36637430.521826029</v>
      </c>
      <c r="G67" s="1"/>
      <c r="H67" s="1">
        <f t="shared" si="11"/>
        <v>36637430.52182579</v>
      </c>
      <c r="T67" t="str">
        <f t="shared" si="7"/>
        <v>10406175006.2936,</v>
      </c>
    </row>
    <row r="68" spans="1:20">
      <c r="A68">
        <f t="shared" si="12"/>
        <v>2078</v>
      </c>
      <c r="B68" s="1">
        <f t="shared" si="8"/>
        <v>10441878293.276354</v>
      </c>
      <c r="C68" s="1"/>
      <c r="D68" s="1"/>
      <c r="E68" s="1">
        <f t="shared" si="9"/>
        <v>10441878293.276354</v>
      </c>
      <c r="F68" s="1">
        <f t="shared" si="10"/>
        <v>35703286.982782602</v>
      </c>
      <c r="G68" s="1"/>
      <c r="H68" s="1">
        <f t="shared" si="11"/>
        <v>35703286.982782364</v>
      </c>
      <c r="T68" t="str">
        <f t="shared" si="7"/>
        <v>10441878293.2764,</v>
      </c>
    </row>
    <row r="69" spans="1:20">
      <c r="A69">
        <f t="shared" si="12"/>
        <v>2079</v>
      </c>
      <c r="B69" s="1">
        <f t="shared" si="8"/>
        <v>10476647436.720093</v>
      </c>
      <c r="C69" s="1"/>
      <c r="D69" s="1"/>
      <c r="E69" s="1">
        <f t="shared" si="9"/>
        <v>10476647436.720093</v>
      </c>
      <c r="F69" s="1">
        <f t="shared" si="10"/>
        <v>34769143.443739176</v>
      </c>
      <c r="G69" s="1"/>
      <c r="H69" s="1">
        <f t="shared" si="11"/>
        <v>34769143.443738937</v>
      </c>
      <c r="T69" t="str">
        <f t="shared" si="7"/>
        <v>10476647436.7201,</v>
      </c>
    </row>
    <row r="70" spans="1:20">
      <c r="A70">
        <f t="shared" si="12"/>
        <v>2080</v>
      </c>
      <c r="B70" s="1">
        <f t="shared" si="8"/>
        <v>10510482436.624788</v>
      </c>
      <c r="C70" s="1"/>
      <c r="D70" s="1"/>
      <c r="E70" s="1">
        <f t="shared" si="9"/>
        <v>10510482436.624788</v>
      </c>
      <c r="F70" s="1">
        <f t="shared" si="10"/>
        <v>33834999.904695749</v>
      </c>
      <c r="G70" s="1"/>
      <c r="H70" s="1">
        <f t="shared" si="11"/>
        <v>33834999.904695511</v>
      </c>
      <c r="T70" t="str">
        <f t="shared" si="7"/>
        <v>10510482436.6248,</v>
      </c>
    </row>
    <row r="71" spans="1:20">
      <c r="A71">
        <f t="shared" si="12"/>
        <v>2081</v>
      </c>
      <c r="B71" s="1">
        <f t="shared" si="8"/>
        <v>10543383292.99044</v>
      </c>
      <c r="C71" s="1"/>
      <c r="D71" s="1"/>
      <c r="E71" s="1">
        <f t="shared" si="9"/>
        <v>10543383292.99044</v>
      </c>
      <c r="F71" s="1">
        <f t="shared" si="10"/>
        <v>32900856.365652084</v>
      </c>
      <c r="G71" s="1"/>
      <c r="H71" s="1">
        <f t="shared" si="11"/>
        <v>32900856.365652084</v>
      </c>
      <c r="T71" t="str">
        <f t="shared" ref="T71:T102" si="13">B71&amp;","</f>
        <v>10543383292.9904,</v>
      </c>
    </row>
    <row r="72" spans="1:20">
      <c r="A72">
        <f t="shared" si="12"/>
        <v>2082</v>
      </c>
      <c r="B72" s="1">
        <f t="shared" si="8"/>
        <v>10575350005.817049</v>
      </c>
      <c r="C72" s="1"/>
      <c r="D72" s="1"/>
      <c r="E72" s="1">
        <f t="shared" si="9"/>
        <v>10575350005.817049</v>
      </c>
      <c r="F72" s="1">
        <f t="shared" si="10"/>
        <v>31966712.826608658</v>
      </c>
      <c r="G72" s="1"/>
      <c r="H72" s="1">
        <f t="shared" si="11"/>
        <v>31966712.826608658</v>
      </c>
      <c r="T72" t="str">
        <f t="shared" si="13"/>
        <v>10575350005.817,</v>
      </c>
    </row>
    <row r="73" spans="1:20">
      <c r="A73">
        <f t="shared" si="12"/>
        <v>2083</v>
      </c>
      <c r="B73" s="1">
        <f t="shared" si="8"/>
        <v>10606382575.104614</v>
      </c>
      <c r="C73" s="1"/>
      <c r="D73" s="1"/>
      <c r="E73" s="1">
        <f t="shared" si="9"/>
        <v>10606382575.104614</v>
      </c>
      <c r="F73" s="1">
        <f t="shared" si="10"/>
        <v>31032569.287565231</v>
      </c>
      <c r="G73" s="1"/>
      <c r="H73" s="1">
        <f t="shared" si="11"/>
        <v>31032569.287565231</v>
      </c>
      <c r="T73" t="str">
        <f t="shared" si="13"/>
        <v>10606382575.1046,</v>
      </c>
    </row>
    <row r="74" spans="1:20">
      <c r="A74">
        <f t="shared" si="12"/>
        <v>2084</v>
      </c>
      <c r="B74" s="1">
        <f t="shared" si="8"/>
        <v>10636481000.853136</v>
      </c>
      <c r="C74" s="1"/>
      <c r="D74" s="1"/>
      <c r="E74" s="1">
        <f t="shared" si="9"/>
        <v>10636481000.853136</v>
      </c>
      <c r="F74" s="1">
        <f t="shared" si="10"/>
        <v>30098425.748521805</v>
      </c>
      <c r="G74" s="1"/>
      <c r="H74" s="1">
        <f t="shared" si="11"/>
        <v>30098425.748521805</v>
      </c>
      <c r="T74" t="str">
        <f t="shared" si="13"/>
        <v>10636481000.8531,</v>
      </c>
    </row>
    <row r="75" spans="1:20">
      <c r="A75">
        <f t="shared" si="12"/>
        <v>2085</v>
      </c>
      <c r="B75" s="1">
        <f t="shared" si="8"/>
        <v>10665645283.062614</v>
      </c>
      <c r="C75" s="1"/>
      <c r="D75" s="1"/>
      <c r="E75" s="1">
        <f t="shared" si="9"/>
        <v>10665645283.062614</v>
      </c>
      <c r="F75" s="1">
        <f t="shared" si="10"/>
        <v>29164282.20947814</v>
      </c>
      <c r="G75" s="1"/>
      <c r="H75" s="1">
        <f t="shared" si="11"/>
        <v>29164282.209478378</v>
      </c>
      <c r="T75" t="str">
        <f t="shared" si="13"/>
        <v>10665645283.0626,</v>
      </c>
    </row>
    <row r="76" spans="1:20">
      <c r="A76">
        <f t="shared" si="12"/>
        <v>2086</v>
      </c>
      <c r="B76" s="1">
        <f t="shared" si="8"/>
        <v>10693875421.733049</v>
      </c>
      <c r="C76" s="1"/>
      <c r="D76" s="1"/>
      <c r="E76" s="1">
        <f t="shared" si="9"/>
        <v>10693875421.733049</v>
      </c>
      <c r="F76" s="1">
        <f t="shared" si="10"/>
        <v>28230138.670434713</v>
      </c>
      <c r="G76" s="1"/>
      <c r="H76" s="1">
        <f t="shared" si="11"/>
        <v>28230138.670434952</v>
      </c>
      <c r="T76" t="str">
        <f t="shared" si="13"/>
        <v>10693875421.733,</v>
      </c>
    </row>
    <row r="77" spans="1:20">
      <c r="A77">
        <f t="shared" si="12"/>
        <v>2087</v>
      </c>
      <c r="B77" s="1">
        <f t="shared" si="8"/>
        <v>10721171416.864441</v>
      </c>
      <c r="C77" s="1"/>
      <c r="D77" s="1"/>
      <c r="E77" s="1">
        <f t="shared" si="9"/>
        <v>10721171416.864441</v>
      </c>
      <c r="F77" s="1">
        <f t="shared" si="10"/>
        <v>27295995.131391287</v>
      </c>
      <c r="G77" s="1"/>
      <c r="H77" s="1">
        <f t="shared" si="11"/>
        <v>27295995.131391525</v>
      </c>
      <c r="T77" t="str">
        <f t="shared" si="13"/>
        <v>10721171416.8644,</v>
      </c>
    </row>
    <row r="78" spans="1:20">
      <c r="A78">
        <f t="shared" si="12"/>
        <v>2088</v>
      </c>
      <c r="B78" s="1">
        <f t="shared" si="8"/>
        <v>10747533268.456789</v>
      </c>
      <c r="C78" s="1"/>
      <c r="D78" s="1"/>
      <c r="E78" s="1">
        <f t="shared" si="9"/>
        <v>10747533268.456789</v>
      </c>
      <c r="F78" s="1">
        <f t="shared" si="10"/>
        <v>26361851.59234786</v>
      </c>
      <c r="G78" s="1"/>
      <c r="H78" s="1">
        <f t="shared" si="11"/>
        <v>26361851.592348099</v>
      </c>
      <c r="T78" t="str">
        <f t="shared" si="13"/>
        <v>10747533268.4568,</v>
      </c>
    </row>
    <row r="79" spans="1:20">
      <c r="A79">
        <f t="shared" si="12"/>
        <v>2089</v>
      </c>
      <c r="B79" s="1">
        <f t="shared" si="8"/>
        <v>10772960976.510094</v>
      </c>
      <c r="C79" s="1"/>
      <c r="D79" s="1"/>
      <c r="E79" s="1">
        <f t="shared" si="9"/>
        <v>10772960976.510094</v>
      </c>
      <c r="F79" s="1">
        <f t="shared" si="10"/>
        <v>25427708.053304195</v>
      </c>
      <c r="G79" s="1"/>
      <c r="H79" s="1">
        <f t="shared" si="11"/>
        <v>25427708.053304672</v>
      </c>
      <c r="T79" t="str">
        <f t="shared" si="13"/>
        <v>10772960976.5101,</v>
      </c>
    </row>
    <row r="80" spans="1:20">
      <c r="A80">
        <f t="shared" si="12"/>
        <v>2090</v>
      </c>
      <c r="B80" s="1">
        <f t="shared" si="8"/>
        <v>10797454541.024355</v>
      </c>
      <c r="C80" s="1"/>
      <c r="D80" s="1"/>
      <c r="E80" s="1">
        <f t="shared" si="9"/>
        <v>10797454541.024355</v>
      </c>
      <c r="F80" s="1">
        <f t="shared" si="10"/>
        <v>24493564.514260769</v>
      </c>
      <c r="G80" s="1"/>
      <c r="H80" s="1">
        <f t="shared" si="11"/>
        <v>24493564.514261246</v>
      </c>
      <c r="T80" t="str">
        <f t="shared" si="13"/>
        <v>10797454541.0244,</v>
      </c>
    </row>
    <row r="81" spans="1:20">
      <c r="A81">
        <f t="shared" si="12"/>
        <v>2091</v>
      </c>
      <c r="B81" s="1">
        <f t="shared" si="8"/>
        <v>10821013961.999573</v>
      </c>
      <c r="C81" s="1"/>
      <c r="D81" s="1"/>
      <c r="E81" s="1">
        <f t="shared" si="9"/>
        <v>10821013961.999573</v>
      </c>
      <c r="F81" s="1">
        <f t="shared" si="10"/>
        <v>23559420.975217342</v>
      </c>
      <c r="G81" s="1"/>
      <c r="H81" s="1">
        <f t="shared" si="11"/>
        <v>23559420.975217819</v>
      </c>
      <c r="T81" t="str">
        <f t="shared" si="13"/>
        <v>10821013961.9996,</v>
      </c>
    </row>
    <row r="82" spans="1:20">
      <c r="A82">
        <f t="shared" si="12"/>
        <v>2092</v>
      </c>
      <c r="B82" s="1">
        <f t="shared" si="8"/>
        <v>10843639239.435747</v>
      </c>
      <c r="C82" s="1"/>
      <c r="D82" s="1"/>
      <c r="E82" s="1">
        <f t="shared" si="9"/>
        <v>10843639239.435747</v>
      </c>
      <c r="F82" s="1">
        <f t="shared" si="10"/>
        <v>22625277.436173916</v>
      </c>
      <c r="G82" s="1"/>
      <c r="H82" s="1">
        <f t="shared" si="11"/>
        <v>22625277.436174393</v>
      </c>
      <c r="T82" t="str">
        <f t="shared" si="13"/>
        <v>10843639239.4357,</v>
      </c>
    </row>
    <row r="83" spans="1:20">
      <c r="A83">
        <f t="shared" si="12"/>
        <v>2093</v>
      </c>
      <c r="B83" s="1">
        <f t="shared" si="8"/>
        <v>10865330373.332878</v>
      </c>
      <c r="C83" s="1"/>
      <c r="D83" s="1"/>
      <c r="E83" s="1">
        <f t="shared" si="9"/>
        <v>10865330373.332878</v>
      </c>
      <c r="F83" s="1">
        <f t="shared" si="10"/>
        <v>21691133.897130251</v>
      </c>
      <c r="G83" s="1"/>
      <c r="H83" s="1">
        <f t="shared" si="11"/>
        <v>21691133.897130966</v>
      </c>
      <c r="T83" t="str">
        <f t="shared" si="13"/>
        <v>10865330373.3329,</v>
      </c>
    </row>
    <row r="84" spans="1:20">
      <c r="A84">
        <f t="shared" si="12"/>
        <v>2094</v>
      </c>
      <c r="B84" s="1">
        <f t="shared" si="8"/>
        <v>10886087363.690966</v>
      </c>
      <c r="C84" s="1"/>
      <c r="D84" s="1"/>
      <c r="E84" s="1">
        <f t="shared" si="9"/>
        <v>10886087363.690966</v>
      </c>
      <c r="F84" s="1">
        <f t="shared" si="10"/>
        <v>20756990.358086824</v>
      </c>
      <c r="G84" s="1"/>
      <c r="H84" s="1">
        <f t="shared" si="11"/>
        <v>20756990.35808754</v>
      </c>
      <c r="T84" t="str">
        <f t="shared" si="13"/>
        <v>10886087363.691,</v>
      </c>
    </row>
    <row r="85" spans="1:20">
      <c r="A85">
        <f t="shared" si="12"/>
        <v>2095</v>
      </c>
      <c r="B85" s="1">
        <f t="shared" si="8"/>
        <v>10905910210.51001</v>
      </c>
      <c r="C85" s="1"/>
      <c r="D85" s="1"/>
      <c r="E85" s="1">
        <f t="shared" si="9"/>
        <v>10905910210.51001</v>
      </c>
      <c r="F85" s="1">
        <f t="shared" si="10"/>
        <v>19822846.819043398</v>
      </c>
      <c r="G85" s="1"/>
      <c r="H85" s="1">
        <f t="shared" si="11"/>
        <v>19822846.819044113</v>
      </c>
      <c r="T85" t="str">
        <f t="shared" si="13"/>
        <v>10905910210.51,</v>
      </c>
    </row>
    <row r="86" spans="1:20">
      <c r="A86">
        <f t="shared" si="12"/>
        <v>2096</v>
      </c>
      <c r="B86" s="1">
        <f t="shared" si="8"/>
        <v>10924798913.79001</v>
      </c>
      <c r="C86" s="1"/>
      <c r="D86" s="1"/>
      <c r="E86" s="1">
        <f t="shared" si="9"/>
        <v>10924798913.79001</v>
      </c>
      <c r="F86" s="1">
        <f t="shared" si="10"/>
        <v>18888703.279999971</v>
      </c>
      <c r="G86" s="1"/>
      <c r="H86" s="1">
        <f t="shared" si="11"/>
        <v>18888703.280000687</v>
      </c>
      <c r="T86" t="str">
        <f t="shared" si="13"/>
        <v>10924798913.79,</v>
      </c>
    </row>
    <row r="87" spans="1:20">
      <c r="A87">
        <f t="shared" si="12"/>
        <v>2097</v>
      </c>
      <c r="B87" s="1">
        <f t="shared" si="8"/>
        <v>10942753473.530968</v>
      </c>
      <c r="C87" s="1"/>
      <c r="D87" s="1"/>
      <c r="E87" s="1">
        <f t="shared" si="9"/>
        <v>10942753473.530968</v>
      </c>
      <c r="F87" s="1">
        <f t="shared" si="10"/>
        <v>17954559.740956545</v>
      </c>
      <c r="G87" s="1"/>
      <c r="H87" s="1">
        <f t="shared" si="11"/>
        <v>17954559.74095726</v>
      </c>
      <c r="T87" t="str">
        <f t="shared" si="13"/>
        <v>10942753473.531,</v>
      </c>
    </row>
    <row r="88" spans="1:20">
      <c r="A88">
        <f t="shared" si="12"/>
        <v>2098</v>
      </c>
      <c r="B88" s="1">
        <f t="shared" si="8"/>
        <v>10959773889.73288</v>
      </c>
      <c r="C88" s="1"/>
      <c r="D88" s="1"/>
      <c r="E88" s="1">
        <f t="shared" si="9"/>
        <v>10959773889.73288</v>
      </c>
      <c r="F88" s="1">
        <f t="shared" si="10"/>
        <v>17020416.20191288</v>
      </c>
      <c r="G88" s="1"/>
      <c r="H88" s="1">
        <f t="shared" si="11"/>
        <v>17020416.201911926</v>
      </c>
      <c r="T88" t="str">
        <f t="shared" si="13"/>
        <v>10959773889.7329,</v>
      </c>
    </row>
    <row r="89" spans="1:20">
      <c r="A89">
        <f t="shared" si="12"/>
        <v>2099</v>
      </c>
      <c r="B89" s="1">
        <f t="shared" si="8"/>
        <v>10975860162.395748</v>
      </c>
      <c r="C89" s="1"/>
      <c r="D89" s="1"/>
      <c r="E89" s="1">
        <f t="shared" si="9"/>
        <v>10975860162.395748</v>
      </c>
      <c r="F89" s="1">
        <f t="shared" si="10"/>
        <v>16086272.662869453</v>
      </c>
      <c r="G89" s="1"/>
      <c r="H89" s="1">
        <f t="shared" si="11"/>
        <v>16086272.6628685</v>
      </c>
      <c r="T89" t="str">
        <f t="shared" si="13"/>
        <v>10975860162.3957,</v>
      </c>
    </row>
    <row r="90" spans="1:20">
      <c r="A90">
        <f t="shared" si="12"/>
        <v>2100</v>
      </c>
      <c r="B90" s="1">
        <f t="shared" si="8"/>
        <v>10991012291.519573</v>
      </c>
      <c r="C90" s="1"/>
      <c r="D90" s="1"/>
      <c r="E90" s="1">
        <f t="shared" si="9"/>
        <v>10991012291.519573</v>
      </c>
      <c r="F90" s="1">
        <f t="shared" si="10"/>
        <v>15152129.123826027</v>
      </c>
      <c r="G90" s="1"/>
      <c r="H90" s="1">
        <f t="shared" si="11"/>
        <v>15152129.123825073</v>
      </c>
      <c r="T90" t="str">
        <f t="shared" si="13"/>
        <v>10991012291.5196,</v>
      </c>
    </row>
    <row r="91" spans="1:20">
      <c r="A91">
        <f t="shared" si="12"/>
        <v>2101</v>
      </c>
      <c r="B91" s="1">
        <f t="shared" si="8"/>
        <v>11005230277.104355</v>
      </c>
      <c r="C91" s="1"/>
      <c r="D91" s="1"/>
      <c r="E91" s="1">
        <f t="shared" si="9"/>
        <v>11005230277.104355</v>
      </c>
      <c r="F91" s="1">
        <f t="shared" si="10"/>
        <v>14217985.5847826</v>
      </c>
      <c r="G91" s="1"/>
      <c r="H91" s="1">
        <f t="shared" si="11"/>
        <v>14217985.584781647</v>
      </c>
      <c r="T91" t="str">
        <f t="shared" si="13"/>
        <v>11005230277.1044,</v>
      </c>
    </row>
    <row r="92" spans="1:20">
      <c r="A92">
        <f t="shared" si="12"/>
        <v>2102</v>
      </c>
      <c r="B92" s="1">
        <f t="shared" si="8"/>
        <v>11018514119.150093</v>
      </c>
      <c r="C92" s="1"/>
      <c r="D92" s="1"/>
      <c r="E92" s="1">
        <f t="shared" si="9"/>
        <v>11018514119.150093</v>
      </c>
      <c r="F92" s="1">
        <f t="shared" si="10"/>
        <v>13283842.045738935</v>
      </c>
      <c r="G92" s="1"/>
      <c r="H92" s="1">
        <f t="shared" si="11"/>
        <v>13283842.04573822</v>
      </c>
      <c r="T92" t="str">
        <f t="shared" si="13"/>
        <v>11018514119.1501,</v>
      </c>
    </row>
    <row r="93" spans="1:20">
      <c r="A93">
        <f t="shared" si="12"/>
        <v>2103</v>
      </c>
      <c r="B93" s="1">
        <f t="shared" si="8"/>
        <v>11030863817.656788</v>
      </c>
      <c r="C93" s="1"/>
      <c r="D93" s="1"/>
      <c r="E93" s="1">
        <f t="shared" si="9"/>
        <v>11030863817.656788</v>
      </c>
      <c r="F93" s="1">
        <f t="shared" si="10"/>
        <v>12349698.506695509</v>
      </c>
      <c r="G93" s="1"/>
      <c r="H93" s="1">
        <f t="shared" si="11"/>
        <v>12349698.506694794</v>
      </c>
      <c r="T93" t="str">
        <f t="shared" si="13"/>
        <v>11030863817.6568,</v>
      </c>
    </row>
    <row r="94" spans="1:20">
      <c r="A94">
        <f t="shared" si="12"/>
        <v>2104</v>
      </c>
      <c r="B94" s="1">
        <f t="shared" si="8"/>
        <v>11042279372.624439</v>
      </c>
      <c r="C94" s="1"/>
      <c r="D94" s="1"/>
      <c r="E94" s="1">
        <f t="shared" si="9"/>
        <v>11042279372.624439</v>
      </c>
      <c r="F94" s="1">
        <f t="shared" si="10"/>
        <v>11415554.967652082</v>
      </c>
      <c r="G94" s="1"/>
      <c r="H94" s="1">
        <f t="shared" si="11"/>
        <v>11415554.967651367</v>
      </c>
      <c r="T94" t="str">
        <f t="shared" si="13"/>
        <v>11042279372.6244,</v>
      </c>
    </row>
    <row r="95" spans="1:20">
      <c r="A95">
        <f t="shared" si="12"/>
        <v>2105</v>
      </c>
      <c r="B95" s="1">
        <f t="shared" si="8"/>
        <v>11052760784.053047</v>
      </c>
      <c r="C95" s="1"/>
      <c r="D95" s="1"/>
      <c r="E95" s="1">
        <f t="shared" si="9"/>
        <v>11052760784.053047</v>
      </c>
      <c r="F95" s="1">
        <f t="shared" si="10"/>
        <v>10481411.428608656</v>
      </c>
      <c r="G95" s="1"/>
      <c r="H95" s="1">
        <f t="shared" si="11"/>
        <v>10481411.428607941</v>
      </c>
      <c r="T95" t="str">
        <f t="shared" si="13"/>
        <v>11052760784.053,</v>
      </c>
    </row>
    <row r="96" spans="1:20">
      <c r="A96">
        <f t="shared" si="12"/>
        <v>2106</v>
      </c>
      <c r="B96" s="1">
        <f t="shared" si="8"/>
        <v>11062308051.942612</v>
      </c>
      <c r="C96" s="1"/>
      <c r="D96" s="1"/>
      <c r="E96" s="1">
        <f t="shared" si="9"/>
        <v>11062308051.942612</v>
      </c>
      <c r="F96" s="1">
        <f t="shared" si="10"/>
        <v>9547267.889564991</v>
      </c>
      <c r="G96" s="1"/>
      <c r="H96" s="1">
        <f t="shared" si="11"/>
        <v>9547267.8895645142</v>
      </c>
      <c r="T96" t="str">
        <f t="shared" si="13"/>
        <v>11062308051.9426,</v>
      </c>
    </row>
    <row r="97" spans="1:20">
      <c r="A97">
        <f t="shared" si="12"/>
        <v>2107</v>
      </c>
      <c r="B97" s="1">
        <f t="shared" si="8"/>
        <v>11070921176.293133</v>
      </c>
      <c r="C97" s="1"/>
      <c r="D97" s="1"/>
      <c r="E97" s="1">
        <f t="shared" si="9"/>
        <v>11070921176.293133</v>
      </c>
      <c r="F97" s="1">
        <f t="shared" si="10"/>
        <v>8613124.3505215645</v>
      </c>
      <c r="G97" s="1"/>
      <c r="H97" s="1">
        <f t="shared" si="11"/>
        <v>8613124.3505210876</v>
      </c>
      <c r="T97" t="str">
        <f t="shared" si="13"/>
        <v>11070921176.2931,</v>
      </c>
    </row>
    <row r="98" spans="1:20">
      <c r="A98">
        <f t="shared" si="12"/>
        <v>2108</v>
      </c>
      <c r="B98" s="1">
        <f t="shared" si="8"/>
        <v>11078600157.10461</v>
      </c>
      <c r="C98" s="1"/>
      <c r="D98" s="1"/>
      <c r="E98" s="1">
        <f t="shared" si="9"/>
        <v>11078600157.10461</v>
      </c>
      <c r="F98" s="1">
        <f t="shared" si="10"/>
        <v>7678980.811478138</v>
      </c>
      <c r="G98" s="1"/>
      <c r="H98" s="1">
        <f t="shared" si="11"/>
        <v>7678980.8114776611</v>
      </c>
      <c r="T98" t="str">
        <f t="shared" si="13"/>
        <v>11078600157.1046,</v>
      </c>
    </row>
    <row r="99" spans="1:20">
      <c r="A99">
        <f t="shared" si="12"/>
        <v>2109</v>
      </c>
      <c r="B99" s="1">
        <f t="shared" si="8"/>
        <v>11085344994.377045</v>
      </c>
      <c r="C99" s="1"/>
      <c r="D99" s="1"/>
      <c r="E99" s="1">
        <f t="shared" si="9"/>
        <v>11085344994.377045</v>
      </c>
      <c r="F99" s="1">
        <f t="shared" si="10"/>
        <v>6744837.2724347115</v>
      </c>
      <c r="G99" s="1"/>
      <c r="H99" s="1">
        <f t="shared" si="11"/>
        <v>6744837.2724342346</v>
      </c>
      <c r="T99" t="str">
        <f t="shared" si="13"/>
        <v>11085344994.377,</v>
      </c>
    </row>
    <row r="100" spans="1:20">
      <c r="A100">
        <f t="shared" si="12"/>
        <v>2110</v>
      </c>
      <c r="B100" s="1">
        <f t="shared" si="8"/>
        <v>11091155688.110435</v>
      </c>
      <c r="C100" s="1"/>
      <c r="D100" s="1"/>
      <c r="E100" s="1">
        <f t="shared" si="9"/>
        <v>11091155688.110435</v>
      </c>
      <c r="F100" s="1">
        <f t="shared" si="10"/>
        <v>5810693.7333912849</v>
      </c>
      <c r="G100" s="1"/>
      <c r="H100" s="1">
        <f t="shared" si="11"/>
        <v>5810693.7333908081</v>
      </c>
      <c r="T100" t="str">
        <f t="shared" si="13"/>
        <v>11091155688.1104,</v>
      </c>
    </row>
    <row r="101" spans="1:20">
      <c r="A101">
        <f t="shared" si="12"/>
        <v>2111</v>
      </c>
      <c r="B101" s="1">
        <f t="shared" si="8"/>
        <v>11096032238.304783</v>
      </c>
      <c r="C101" s="1"/>
      <c r="D101" s="1"/>
      <c r="E101" s="1">
        <f t="shared" si="9"/>
        <v>11096032238.304783</v>
      </c>
      <c r="F101" s="1">
        <f t="shared" si="10"/>
        <v>4876550.19434762</v>
      </c>
      <c r="G101" s="1"/>
      <c r="H101" s="1">
        <f t="shared" si="11"/>
        <v>4876550.1943473816</v>
      </c>
      <c r="T101" t="str">
        <f t="shared" si="13"/>
        <v>11096032238.3048,</v>
      </c>
    </row>
    <row r="102" spans="1:20">
      <c r="A102">
        <f t="shared" si="12"/>
        <v>2112</v>
      </c>
      <c r="B102" s="1">
        <f t="shared" si="8"/>
        <v>11099974644.960087</v>
      </c>
      <c r="C102" s="1"/>
      <c r="D102" s="1"/>
      <c r="E102" s="1">
        <f t="shared" si="9"/>
        <v>11099974644.960087</v>
      </c>
      <c r="F102" s="1">
        <f t="shared" si="10"/>
        <v>3942406.6553041935</v>
      </c>
      <c r="G102" s="1"/>
      <c r="H102" s="1">
        <f t="shared" si="11"/>
        <v>3942406.6553039551</v>
      </c>
      <c r="T102" t="str">
        <f t="shared" si="13"/>
        <v>11099974644.9601,</v>
      </c>
    </row>
    <row r="103" spans="1:20">
      <c r="A103">
        <f t="shared" si="12"/>
        <v>2113</v>
      </c>
      <c r="B103" s="1">
        <f t="shared" si="8"/>
        <v>11102982908.076347</v>
      </c>
      <c r="C103" s="1"/>
      <c r="D103" s="1"/>
      <c r="E103" s="1">
        <f t="shared" si="9"/>
        <v>11102982908.076347</v>
      </c>
      <c r="F103" s="1">
        <f t="shared" si="10"/>
        <v>3008263.116260767</v>
      </c>
      <c r="G103" s="1"/>
      <c r="H103" s="1">
        <f t="shared" si="11"/>
        <v>3008263.1162605286</v>
      </c>
      <c r="T103" t="str">
        <f t="shared" ref="T103:T134" si="14">B103&amp;","</f>
        <v>11102982908.0763,</v>
      </c>
    </row>
    <row r="104" spans="1:20">
      <c r="A104">
        <f t="shared" si="12"/>
        <v>2114</v>
      </c>
      <c r="B104" s="1">
        <f t="shared" si="8"/>
        <v>11105057027.653564</v>
      </c>
      <c r="C104" s="1"/>
      <c r="D104" s="1"/>
      <c r="E104" s="1">
        <f t="shared" si="9"/>
        <v>11105057027.653564</v>
      </c>
      <c r="F104" s="1">
        <f t="shared" si="10"/>
        <v>2074119.5772173405</v>
      </c>
      <c r="G104" s="1"/>
      <c r="H104" s="1">
        <f t="shared" si="11"/>
        <v>2074119.5772171021</v>
      </c>
      <c r="T104" t="str">
        <f t="shared" si="14"/>
        <v>11105057027.6536,</v>
      </c>
    </row>
    <row r="105" spans="1:20">
      <c r="A105">
        <f t="shared" si="12"/>
        <v>2115</v>
      </c>
      <c r="B105" s="1">
        <f t="shared" si="8"/>
        <v>11106197003.691738</v>
      </c>
      <c r="C105" s="1"/>
      <c r="D105" s="1"/>
      <c r="E105" s="1">
        <f t="shared" si="9"/>
        <v>11106197003.691738</v>
      </c>
      <c r="F105" s="1">
        <f t="shared" si="10"/>
        <v>1139976.0381736755</v>
      </c>
      <c r="G105" s="1"/>
      <c r="H105" s="1">
        <f t="shared" si="11"/>
        <v>1139976.0381736755</v>
      </c>
      <c r="T105" t="str">
        <f t="shared" si="14"/>
        <v>11106197003.6917,</v>
      </c>
    </row>
    <row r="106" spans="1:20">
      <c r="A106">
        <f t="shared" si="12"/>
        <v>2116</v>
      </c>
      <c r="B106" s="1">
        <f t="shared" ref="B106:B169" si="15">B105+F106</f>
        <v>11106402836.190868</v>
      </c>
      <c r="C106" s="1"/>
      <c r="D106" s="1"/>
      <c r="E106" s="1">
        <f t="shared" ref="E106:E169" si="16">B106</f>
        <v>11106402836.190868</v>
      </c>
      <c r="F106" s="1">
        <f t="shared" ref="F106:F169" si="17">A106*$I$1+$J$1</f>
        <v>205832.49913024902</v>
      </c>
      <c r="G106" s="1"/>
      <c r="H106" s="1">
        <f t="shared" ref="H106:H169" si="18">B106-B105</f>
        <v>205832.49913024902</v>
      </c>
      <c r="T106" t="str">
        <f t="shared" si="14"/>
        <v>11106402836.1909,</v>
      </c>
    </row>
    <row r="107" spans="1:20">
      <c r="A107">
        <f t="shared" si="12"/>
        <v>2117</v>
      </c>
      <c r="B107" s="1">
        <f t="shared" si="15"/>
        <v>11105674525.150955</v>
      </c>
      <c r="C107" s="1"/>
      <c r="D107" s="1"/>
      <c r="E107" s="1">
        <f t="shared" si="16"/>
        <v>11105674525.150955</v>
      </c>
      <c r="F107" s="1">
        <f t="shared" si="17"/>
        <v>-728311.03991317749</v>
      </c>
      <c r="G107" s="1"/>
      <c r="H107" s="1">
        <f t="shared" si="18"/>
        <v>-728311.03991317749</v>
      </c>
      <c r="T107" t="str">
        <f t="shared" si="14"/>
        <v>11105674525.151,</v>
      </c>
    </row>
    <row r="108" spans="1:20">
      <c r="A108">
        <f t="shared" si="12"/>
        <v>2118</v>
      </c>
      <c r="B108" s="1">
        <f t="shared" si="15"/>
        <v>11104012070.571999</v>
      </c>
      <c r="C108" s="1"/>
      <c r="D108" s="1"/>
      <c r="E108" s="1">
        <f t="shared" si="16"/>
        <v>11104012070.571999</v>
      </c>
      <c r="F108" s="1">
        <f t="shared" si="17"/>
        <v>-1662454.578956604</v>
      </c>
      <c r="G108" s="1"/>
      <c r="H108" s="1">
        <f t="shared" si="18"/>
        <v>-1662454.578956604</v>
      </c>
      <c r="T108" t="str">
        <f t="shared" si="14"/>
        <v>11104012070.572,</v>
      </c>
    </row>
    <row r="109" spans="1:20">
      <c r="A109">
        <f t="shared" si="12"/>
        <v>2119</v>
      </c>
      <c r="B109" s="1">
        <f t="shared" si="15"/>
        <v>11101415472.453999</v>
      </c>
      <c r="C109" s="1"/>
      <c r="D109" s="1"/>
      <c r="E109" s="1">
        <f t="shared" si="16"/>
        <v>11101415472.453999</v>
      </c>
      <c r="F109" s="1">
        <f t="shared" si="17"/>
        <v>-2596598.1180002689</v>
      </c>
      <c r="G109" s="1"/>
      <c r="H109" s="1">
        <f t="shared" si="18"/>
        <v>-2596598.1180000305</v>
      </c>
      <c r="T109" t="str">
        <f t="shared" si="14"/>
        <v>11101415472.454,</v>
      </c>
    </row>
    <row r="110" spans="1:20">
      <c r="A110">
        <f t="shared" si="12"/>
        <v>2120</v>
      </c>
      <c r="B110" s="1">
        <f t="shared" si="15"/>
        <v>11097884730.796955</v>
      </c>
      <c r="C110" s="1"/>
      <c r="D110" s="1"/>
      <c r="E110" s="1">
        <f t="shared" si="16"/>
        <v>11097884730.796955</v>
      </c>
      <c r="F110" s="1">
        <f t="shared" si="17"/>
        <v>-3530741.6570436954</v>
      </c>
      <c r="G110" s="1"/>
      <c r="H110" s="1">
        <f t="shared" si="18"/>
        <v>-3530741.657043457</v>
      </c>
      <c r="T110" t="str">
        <f t="shared" si="14"/>
        <v>11097884730.797,</v>
      </c>
    </row>
    <row r="111" spans="1:20">
      <c r="A111">
        <f t="shared" si="12"/>
        <v>2121</v>
      </c>
      <c r="B111" s="1">
        <f t="shared" si="15"/>
        <v>11093419845.600868</v>
      </c>
      <c r="C111" s="1"/>
      <c r="D111" s="1"/>
      <c r="E111" s="1">
        <f t="shared" si="16"/>
        <v>11093419845.600868</v>
      </c>
      <c r="F111" s="1">
        <f t="shared" si="17"/>
        <v>-4464885.196087122</v>
      </c>
      <c r="G111" s="1"/>
      <c r="H111" s="1">
        <f t="shared" si="18"/>
        <v>-4464885.1960868835</v>
      </c>
      <c r="T111" t="str">
        <f t="shared" si="14"/>
        <v>11093419845.6009,</v>
      </c>
    </row>
    <row r="112" spans="1:20">
      <c r="A112">
        <f t="shared" si="12"/>
        <v>2122</v>
      </c>
      <c r="B112" s="1">
        <f t="shared" si="15"/>
        <v>11088020816.865738</v>
      </c>
      <c r="C112" s="1"/>
      <c r="D112" s="1"/>
      <c r="E112" s="1">
        <f t="shared" si="16"/>
        <v>11088020816.865738</v>
      </c>
      <c r="F112" s="1">
        <f t="shared" si="17"/>
        <v>-5399028.7351305485</v>
      </c>
      <c r="G112" s="1"/>
      <c r="H112" s="1">
        <f t="shared" si="18"/>
        <v>-5399028.7351303101</v>
      </c>
      <c r="T112" t="str">
        <f t="shared" si="14"/>
        <v>11088020816.8657,</v>
      </c>
    </row>
    <row r="113" spans="1:20">
      <c r="A113">
        <f t="shared" si="12"/>
        <v>2123</v>
      </c>
      <c r="B113" s="1">
        <f t="shared" si="15"/>
        <v>11081687644.591564</v>
      </c>
      <c r="C113" s="1"/>
      <c r="D113" s="1"/>
      <c r="E113" s="1">
        <f t="shared" si="16"/>
        <v>11081687644.591564</v>
      </c>
      <c r="F113" s="1">
        <f t="shared" si="17"/>
        <v>-6333172.2741742134</v>
      </c>
      <c r="G113" s="1"/>
      <c r="H113" s="1">
        <f t="shared" si="18"/>
        <v>-6333172.2741737366</v>
      </c>
      <c r="T113" t="str">
        <f t="shared" si="14"/>
        <v>11081687644.5916,</v>
      </c>
    </row>
    <row r="114" spans="1:20">
      <c r="A114">
        <f t="shared" si="12"/>
        <v>2124</v>
      </c>
      <c r="B114" s="1">
        <f t="shared" si="15"/>
        <v>11074420328.778347</v>
      </c>
      <c r="C114" s="1"/>
      <c r="D114" s="1"/>
      <c r="E114" s="1">
        <f t="shared" si="16"/>
        <v>11074420328.778347</v>
      </c>
      <c r="F114" s="1">
        <f t="shared" si="17"/>
        <v>-7267315.8132176399</v>
      </c>
      <c r="G114" s="1"/>
      <c r="H114" s="1">
        <f t="shared" si="18"/>
        <v>-7267315.8132171631</v>
      </c>
      <c r="T114" t="str">
        <f t="shared" si="14"/>
        <v>11074420328.7783,</v>
      </c>
    </row>
    <row r="115" spans="1:20">
      <c r="A115">
        <f t="shared" si="12"/>
        <v>2125</v>
      </c>
      <c r="B115" s="1">
        <f t="shared" si="15"/>
        <v>11066218869.426086</v>
      </c>
      <c r="C115" s="1"/>
      <c r="D115" s="1"/>
      <c r="E115" s="1">
        <f t="shared" si="16"/>
        <v>11066218869.426086</v>
      </c>
      <c r="F115" s="1">
        <f t="shared" si="17"/>
        <v>-8201459.3522610664</v>
      </c>
      <c r="G115" s="1"/>
      <c r="H115" s="1">
        <f t="shared" si="18"/>
        <v>-8201459.3522605896</v>
      </c>
      <c r="T115" t="str">
        <f t="shared" si="14"/>
        <v>11066218869.4261,</v>
      </c>
    </row>
    <row r="116" spans="1:20">
      <c r="A116">
        <f t="shared" si="12"/>
        <v>2126</v>
      </c>
      <c r="B116" s="1">
        <f t="shared" si="15"/>
        <v>11057083266.534782</v>
      </c>
      <c r="C116" s="1"/>
      <c r="D116" s="1"/>
      <c r="E116" s="1">
        <f t="shared" si="16"/>
        <v>11057083266.534782</v>
      </c>
      <c r="F116" s="1">
        <f t="shared" si="17"/>
        <v>-9135602.891304493</v>
      </c>
      <c r="G116" s="1"/>
      <c r="H116" s="1">
        <f t="shared" si="18"/>
        <v>-9135602.8913040161</v>
      </c>
      <c r="T116" t="str">
        <f t="shared" si="14"/>
        <v>11057083266.5348,</v>
      </c>
    </row>
    <row r="117" spans="1:20">
      <c r="A117">
        <f t="shared" ref="A117:A180" si="19">A116+1</f>
        <v>2127</v>
      </c>
      <c r="B117" s="1">
        <f t="shared" si="15"/>
        <v>11047013520.104435</v>
      </c>
      <c r="C117" s="1"/>
      <c r="D117" s="1"/>
      <c r="E117" s="1">
        <f t="shared" si="16"/>
        <v>11047013520.104435</v>
      </c>
      <c r="F117" s="1">
        <f t="shared" si="17"/>
        <v>-10069746.430347919</v>
      </c>
      <c r="G117" s="1"/>
      <c r="H117" s="1">
        <f t="shared" si="18"/>
        <v>-10069746.430347443</v>
      </c>
      <c r="T117" t="str">
        <f t="shared" si="14"/>
        <v>11047013520.1044,</v>
      </c>
    </row>
    <row r="118" spans="1:20">
      <c r="A118">
        <f t="shared" si="19"/>
        <v>2128</v>
      </c>
      <c r="B118" s="1">
        <f t="shared" si="15"/>
        <v>11036009630.135044</v>
      </c>
      <c r="C118" s="1"/>
      <c r="D118" s="1"/>
      <c r="E118" s="1">
        <f t="shared" si="16"/>
        <v>11036009630.135044</v>
      </c>
      <c r="F118" s="1">
        <f t="shared" si="17"/>
        <v>-11003889.969391584</v>
      </c>
      <c r="G118" s="1"/>
      <c r="H118" s="1">
        <f t="shared" si="18"/>
        <v>-11003889.969390869</v>
      </c>
      <c r="T118" t="str">
        <f t="shared" si="14"/>
        <v>11036009630.135,</v>
      </c>
    </row>
    <row r="119" spans="1:20">
      <c r="A119">
        <f t="shared" si="19"/>
        <v>2129</v>
      </c>
      <c r="B119" s="1">
        <f t="shared" si="15"/>
        <v>11024071596.62661</v>
      </c>
      <c r="C119" s="1"/>
      <c r="D119" s="1"/>
      <c r="E119" s="1">
        <f t="shared" si="16"/>
        <v>11024071596.62661</v>
      </c>
      <c r="F119" s="1">
        <f t="shared" si="17"/>
        <v>-11938033.508435011</v>
      </c>
      <c r="G119" s="1"/>
      <c r="H119" s="1">
        <f t="shared" si="18"/>
        <v>-11938033.508434296</v>
      </c>
      <c r="T119" t="str">
        <f t="shared" si="14"/>
        <v>11024071596.6266,</v>
      </c>
    </row>
    <row r="120" spans="1:20">
      <c r="A120">
        <f t="shared" si="19"/>
        <v>2130</v>
      </c>
      <c r="B120" s="1">
        <f t="shared" si="15"/>
        <v>11011199419.579132</v>
      </c>
      <c r="C120" s="1"/>
      <c r="D120" s="1"/>
      <c r="E120" s="1">
        <f t="shared" si="16"/>
        <v>11011199419.579132</v>
      </c>
      <c r="F120" s="1">
        <f t="shared" si="17"/>
        <v>-12872177.047478437</v>
      </c>
      <c r="G120" s="1"/>
      <c r="H120" s="1">
        <f t="shared" si="18"/>
        <v>-12872177.047477722</v>
      </c>
      <c r="T120" t="str">
        <f t="shared" si="14"/>
        <v>11011199419.5791,</v>
      </c>
    </row>
    <row r="121" spans="1:20">
      <c r="A121">
        <f t="shared" si="19"/>
        <v>2131</v>
      </c>
      <c r="B121" s="1">
        <f t="shared" si="15"/>
        <v>10997393098.992611</v>
      </c>
      <c r="C121" s="1"/>
      <c r="D121" s="1"/>
      <c r="E121" s="1">
        <f t="shared" si="16"/>
        <v>10997393098.992611</v>
      </c>
      <c r="F121" s="1">
        <f t="shared" si="17"/>
        <v>-13806320.586521864</v>
      </c>
      <c r="G121" s="1"/>
      <c r="H121" s="1">
        <f t="shared" si="18"/>
        <v>-13806320.586521149</v>
      </c>
      <c r="T121" t="str">
        <f t="shared" si="14"/>
        <v>10997393098.9926,</v>
      </c>
    </row>
    <row r="122" spans="1:20">
      <c r="A122">
        <f t="shared" si="19"/>
        <v>2132</v>
      </c>
      <c r="B122" s="1">
        <f t="shared" si="15"/>
        <v>10982652634.867046</v>
      </c>
      <c r="C122" s="1"/>
      <c r="D122" s="1"/>
      <c r="E122" s="1">
        <f t="shared" si="16"/>
        <v>10982652634.867046</v>
      </c>
      <c r="F122" s="1">
        <f t="shared" si="17"/>
        <v>-14740464.125565529</v>
      </c>
      <c r="G122" s="1"/>
      <c r="H122" s="1">
        <f t="shared" si="18"/>
        <v>-14740464.125564575</v>
      </c>
      <c r="T122" t="str">
        <f t="shared" si="14"/>
        <v>10982652634.867,</v>
      </c>
    </row>
    <row r="123" spans="1:20">
      <c r="A123">
        <f t="shared" si="19"/>
        <v>2133</v>
      </c>
      <c r="B123" s="1">
        <f t="shared" si="15"/>
        <v>10966978027.202438</v>
      </c>
      <c r="C123" s="1"/>
      <c r="D123" s="1"/>
      <c r="E123" s="1">
        <f t="shared" si="16"/>
        <v>10966978027.202438</v>
      </c>
      <c r="F123" s="1">
        <f t="shared" si="17"/>
        <v>-15674607.664608955</v>
      </c>
      <c r="G123" s="1"/>
      <c r="H123" s="1">
        <f t="shared" si="18"/>
        <v>-15674607.664608002</v>
      </c>
      <c r="T123" t="str">
        <f t="shared" si="14"/>
        <v>10966978027.2024,</v>
      </c>
    </row>
    <row r="124" spans="1:20">
      <c r="A124">
        <f t="shared" si="19"/>
        <v>2134</v>
      </c>
      <c r="B124" s="1">
        <f t="shared" si="15"/>
        <v>10950369275.998787</v>
      </c>
      <c r="C124" s="1"/>
      <c r="D124" s="1"/>
      <c r="E124" s="1">
        <f t="shared" si="16"/>
        <v>10950369275.998787</v>
      </c>
      <c r="F124" s="1">
        <f t="shared" si="17"/>
        <v>-16608751.203652382</v>
      </c>
      <c r="G124" s="1"/>
      <c r="H124" s="1">
        <f t="shared" si="18"/>
        <v>-16608751.203651428</v>
      </c>
      <c r="T124" t="str">
        <f t="shared" si="14"/>
        <v>10950369275.9988,</v>
      </c>
    </row>
    <row r="125" spans="1:20">
      <c r="A125">
        <f t="shared" si="19"/>
        <v>2135</v>
      </c>
      <c r="B125" s="1">
        <f t="shared" si="15"/>
        <v>10932826381.256092</v>
      </c>
      <c r="C125" s="1"/>
      <c r="D125" s="1"/>
      <c r="E125" s="1">
        <f t="shared" si="16"/>
        <v>10932826381.256092</v>
      </c>
      <c r="F125" s="1">
        <f t="shared" si="17"/>
        <v>-17542894.742695808</v>
      </c>
      <c r="G125" s="1"/>
      <c r="H125" s="1">
        <f t="shared" si="18"/>
        <v>-17542894.742694855</v>
      </c>
      <c r="T125" t="str">
        <f t="shared" si="14"/>
        <v>10932826381.2561,</v>
      </c>
    </row>
    <row r="126" spans="1:20">
      <c r="A126">
        <f t="shared" si="19"/>
        <v>2136</v>
      </c>
      <c r="B126" s="1">
        <f t="shared" si="15"/>
        <v>10914349342.974352</v>
      </c>
      <c r="C126" s="1"/>
      <c r="D126" s="1"/>
      <c r="E126" s="1">
        <f t="shared" si="16"/>
        <v>10914349342.974352</v>
      </c>
      <c r="F126" s="1">
        <f t="shared" si="17"/>
        <v>-18477038.281739473</v>
      </c>
      <c r="G126" s="1"/>
      <c r="H126" s="1">
        <f t="shared" si="18"/>
        <v>-18477038.281740189</v>
      </c>
      <c r="T126" t="str">
        <f t="shared" si="14"/>
        <v>10914349342.9744,</v>
      </c>
    </row>
    <row r="127" spans="1:20">
      <c r="A127">
        <f t="shared" si="19"/>
        <v>2137</v>
      </c>
      <c r="B127" s="1">
        <f t="shared" si="15"/>
        <v>10894938161.153568</v>
      </c>
      <c r="C127" s="1"/>
      <c r="D127" s="1"/>
      <c r="E127" s="1">
        <f t="shared" si="16"/>
        <v>10894938161.153568</v>
      </c>
      <c r="F127" s="1">
        <f t="shared" si="17"/>
        <v>-19411181.8207829</v>
      </c>
      <c r="G127" s="1"/>
      <c r="H127" s="1">
        <f t="shared" si="18"/>
        <v>-19411181.820783615</v>
      </c>
      <c r="T127" t="str">
        <f t="shared" si="14"/>
        <v>10894938161.1536,</v>
      </c>
    </row>
    <row r="128" spans="1:20">
      <c r="A128">
        <f t="shared" si="19"/>
        <v>2138</v>
      </c>
      <c r="B128" s="1">
        <f t="shared" si="15"/>
        <v>10874592835.793741</v>
      </c>
      <c r="C128" s="1"/>
      <c r="D128" s="1"/>
      <c r="E128" s="1">
        <f t="shared" si="16"/>
        <v>10874592835.793741</v>
      </c>
      <c r="F128" s="1">
        <f t="shared" si="17"/>
        <v>-20345325.359826326</v>
      </c>
      <c r="G128" s="1"/>
      <c r="H128" s="1">
        <f t="shared" si="18"/>
        <v>-20345325.359827042</v>
      </c>
      <c r="T128" t="str">
        <f t="shared" si="14"/>
        <v>10874592835.7937,</v>
      </c>
    </row>
    <row r="129" spans="1:20">
      <c r="A129">
        <f t="shared" si="19"/>
        <v>2139</v>
      </c>
      <c r="B129" s="1">
        <f t="shared" si="15"/>
        <v>10853313366.894871</v>
      </c>
      <c r="C129" s="1"/>
      <c r="D129" s="1"/>
      <c r="E129" s="1">
        <f t="shared" si="16"/>
        <v>10853313366.894871</v>
      </c>
      <c r="F129" s="1">
        <f t="shared" si="17"/>
        <v>-21279468.898869753</v>
      </c>
      <c r="G129" s="1"/>
      <c r="H129" s="1">
        <f t="shared" si="18"/>
        <v>-21279468.898870468</v>
      </c>
      <c r="T129" t="str">
        <f t="shared" si="14"/>
        <v>10853313366.8949,</v>
      </c>
    </row>
    <row r="130" spans="1:20">
      <c r="A130">
        <f t="shared" si="19"/>
        <v>2140</v>
      </c>
      <c r="B130" s="1">
        <f t="shared" si="15"/>
        <v>10831099754.456957</v>
      </c>
      <c r="C130" s="1"/>
      <c r="D130" s="1"/>
      <c r="E130" s="1">
        <f t="shared" si="16"/>
        <v>10831099754.456957</v>
      </c>
      <c r="F130" s="1">
        <f t="shared" si="17"/>
        <v>-22213612.437913179</v>
      </c>
      <c r="G130" s="1"/>
      <c r="H130" s="1">
        <f t="shared" si="18"/>
        <v>-22213612.437913895</v>
      </c>
      <c r="T130" t="str">
        <f t="shared" si="14"/>
        <v>10831099754.457,</v>
      </c>
    </row>
    <row r="131" spans="1:20">
      <c r="A131">
        <f t="shared" si="19"/>
        <v>2141</v>
      </c>
      <c r="B131" s="1">
        <f t="shared" si="15"/>
        <v>10807951998.48</v>
      </c>
      <c r="C131" s="1"/>
      <c r="D131" s="1"/>
      <c r="E131" s="1">
        <f t="shared" si="16"/>
        <v>10807951998.48</v>
      </c>
      <c r="F131" s="1">
        <f t="shared" si="17"/>
        <v>-23147755.976956844</v>
      </c>
      <c r="G131" s="1"/>
      <c r="H131" s="1">
        <f t="shared" si="18"/>
        <v>-23147755.976957321</v>
      </c>
      <c r="T131" t="str">
        <f t="shared" si="14"/>
        <v>10807951998.48,</v>
      </c>
    </row>
    <row r="132" spans="1:20">
      <c r="A132">
        <f t="shared" si="19"/>
        <v>2142</v>
      </c>
      <c r="B132" s="1">
        <f t="shared" si="15"/>
        <v>10783870098.963999</v>
      </c>
      <c r="C132" s="1"/>
      <c r="D132" s="1"/>
      <c r="E132" s="1">
        <f t="shared" si="16"/>
        <v>10783870098.963999</v>
      </c>
      <c r="F132" s="1">
        <f t="shared" si="17"/>
        <v>-24081899.516000271</v>
      </c>
      <c r="G132" s="1"/>
      <c r="H132" s="1">
        <f t="shared" si="18"/>
        <v>-24081899.516000748</v>
      </c>
      <c r="T132" t="str">
        <f t="shared" si="14"/>
        <v>10783870098.964,</v>
      </c>
    </row>
    <row r="133" spans="1:20">
      <c r="A133">
        <f t="shared" si="19"/>
        <v>2143</v>
      </c>
      <c r="B133" s="1">
        <f t="shared" si="15"/>
        <v>10758854055.908955</v>
      </c>
      <c r="C133" s="1"/>
      <c r="D133" s="1"/>
      <c r="E133" s="1">
        <f t="shared" si="16"/>
        <v>10758854055.908955</v>
      </c>
      <c r="F133" s="1">
        <f t="shared" si="17"/>
        <v>-25016043.055043697</v>
      </c>
      <c r="G133" s="1"/>
      <c r="H133" s="1">
        <f t="shared" si="18"/>
        <v>-25016043.055044174</v>
      </c>
      <c r="T133" t="str">
        <f t="shared" si="14"/>
        <v>10758854055.909,</v>
      </c>
    </row>
    <row r="134" spans="1:20">
      <c r="A134">
        <f t="shared" si="19"/>
        <v>2144</v>
      </c>
      <c r="B134" s="1">
        <f t="shared" si="15"/>
        <v>10732903869.314867</v>
      </c>
      <c r="C134" s="1"/>
      <c r="D134" s="1"/>
      <c r="E134" s="1">
        <f t="shared" si="16"/>
        <v>10732903869.314867</v>
      </c>
      <c r="F134" s="1">
        <f t="shared" si="17"/>
        <v>-25950186.594087124</v>
      </c>
      <c r="G134" s="1"/>
      <c r="H134" s="1">
        <f t="shared" si="18"/>
        <v>-25950186.594087601</v>
      </c>
      <c r="T134" t="str">
        <f t="shared" si="14"/>
        <v>10732903869.3149,</v>
      </c>
    </row>
    <row r="135" spans="1:20">
      <c r="A135">
        <f t="shared" si="19"/>
        <v>2145</v>
      </c>
      <c r="B135" s="1">
        <f t="shared" si="15"/>
        <v>10706019539.181736</v>
      </c>
      <c r="C135" s="1"/>
      <c r="D135" s="1"/>
      <c r="E135" s="1">
        <f t="shared" si="16"/>
        <v>10706019539.181736</v>
      </c>
      <c r="F135" s="1">
        <f t="shared" si="17"/>
        <v>-26884330.133130789</v>
      </c>
      <c r="G135" s="1"/>
      <c r="H135" s="1">
        <f t="shared" si="18"/>
        <v>-26884330.133131027</v>
      </c>
      <c r="T135" t="str">
        <f t="shared" ref="T135:T166" si="20">B135&amp;","</f>
        <v>10706019539.1817,</v>
      </c>
    </row>
    <row r="136" spans="1:20">
      <c r="A136">
        <f t="shared" si="19"/>
        <v>2146</v>
      </c>
      <c r="B136" s="1">
        <f t="shared" si="15"/>
        <v>10678201065.509562</v>
      </c>
      <c r="C136" s="1"/>
      <c r="D136" s="1"/>
      <c r="E136" s="1">
        <f t="shared" si="16"/>
        <v>10678201065.509562</v>
      </c>
      <c r="F136" s="1">
        <f t="shared" si="17"/>
        <v>-27818473.672174215</v>
      </c>
      <c r="G136" s="1"/>
      <c r="H136" s="1">
        <f t="shared" si="18"/>
        <v>-27818473.672174454</v>
      </c>
      <c r="T136" t="str">
        <f t="shared" si="20"/>
        <v>10678201065.5096,</v>
      </c>
    </row>
    <row r="137" spans="1:20">
      <c r="A137">
        <f t="shared" si="19"/>
        <v>2147</v>
      </c>
      <c r="B137" s="1">
        <f t="shared" si="15"/>
        <v>10649448448.298344</v>
      </c>
      <c r="C137" s="1"/>
      <c r="D137" s="1"/>
      <c r="E137" s="1">
        <f t="shared" si="16"/>
        <v>10649448448.298344</v>
      </c>
      <c r="F137" s="1">
        <f t="shared" si="17"/>
        <v>-28752617.211217642</v>
      </c>
      <c r="G137" s="1"/>
      <c r="H137" s="1">
        <f t="shared" si="18"/>
        <v>-28752617.21121788</v>
      </c>
      <c r="T137" t="str">
        <f t="shared" si="20"/>
        <v>10649448448.2983,</v>
      </c>
    </row>
    <row r="138" spans="1:20">
      <c r="A138">
        <f t="shared" si="19"/>
        <v>2148</v>
      </c>
      <c r="B138" s="1">
        <f t="shared" si="15"/>
        <v>10619761687.548082</v>
      </c>
      <c r="C138" s="1"/>
      <c r="D138" s="1"/>
      <c r="E138" s="1">
        <f t="shared" si="16"/>
        <v>10619761687.548082</v>
      </c>
      <c r="F138" s="1">
        <f t="shared" si="17"/>
        <v>-29686760.750261068</v>
      </c>
      <c r="G138" s="1"/>
      <c r="H138" s="1">
        <f t="shared" si="18"/>
        <v>-29686760.750261307</v>
      </c>
      <c r="T138" t="str">
        <f t="shared" si="20"/>
        <v>10619761687.5481,</v>
      </c>
    </row>
    <row r="139" spans="1:20">
      <c r="A139">
        <f t="shared" si="19"/>
        <v>2149</v>
      </c>
      <c r="B139" s="1">
        <f t="shared" si="15"/>
        <v>10589140783.258778</v>
      </c>
      <c r="C139" s="1"/>
      <c r="D139" s="1"/>
      <c r="E139" s="1">
        <f t="shared" si="16"/>
        <v>10589140783.258778</v>
      </c>
      <c r="F139" s="1">
        <f t="shared" si="17"/>
        <v>-30620904.289304733</v>
      </c>
      <c r="G139" s="1"/>
      <c r="H139" s="1">
        <f t="shared" si="18"/>
        <v>-30620904.289304733</v>
      </c>
      <c r="T139" t="str">
        <f t="shared" si="20"/>
        <v>10589140783.2588,</v>
      </c>
    </row>
    <row r="140" spans="1:20">
      <c r="A140">
        <f t="shared" si="19"/>
        <v>2150</v>
      </c>
      <c r="B140" s="1">
        <f t="shared" si="15"/>
        <v>10557585735.430429</v>
      </c>
      <c r="C140" s="1"/>
      <c r="D140" s="1"/>
      <c r="E140" s="1">
        <f t="shared" si="16"/>
        <v>10557585735.430429</v>
      </c>
      <c r="F140" s="1">
        <f t="shared" si="17"/>
        <v>-31555047.82834816</v>
      </c>
      <c r="G140" s="1"/>
      <c r="H140" s="1">
        <f t="shared" si="18"/>
        <v>-31555047.82834816</v>
      </c>
      <c r="T140" t="str">
        <f t="shared" si="20"/>
        <v>10557585735.4304,</v>
      </c>
    </row>
    <row r="141" spans="1:20">
      <c r="A141">
        <f t="shared" si="19"/>
        <v>2151</v>
      </c>
      <c r="B141" s="1">
        <f t="shared" si="15"/>
        <v>10525096544.063038</v>
      </c>
      <c r="C141" s="1"/>
      <c r="D141" s="1"/>
      <c r="E141" s="1">
        <f t="shared" si="16"/>
        <v>10525096544.063038</v>
      </c>
      <c r="F141" s="1">
        <f t="shared" si="17"/>
        <v>-32489191.367391586</v>
      </c>
      <c r="G141" s="1"/>
      <c r="H141" s="1">
        <f t="shared" si="18"/>
        <v>-32489191.367391586</v>
      </c>
      <c r="T141" t="str">
        <f t="shared" si="20"/>
        <v>10525096544.063,</v>
      </c>
    </row>
    <row r="142" spans="1:20">
      <c r="A142">
        <f t="shared" si="19"/>
        <v>2152</v>
      </c>
      <c r="B142" s="1">
        <f t="shared" si="15"/>
        <v>10491673209.156603</v>
      </c>
      <c r="C142" s="1"/>
      <c r="D142" s="1"/>
      <c r="E142" s="1">
        <f t="shared" si="16"/>
        <v>10491673209.156603</v>
      </c>
      <c r="F142" s="1">
        <f t="shared" si="17"/>
        <v>-33423334.906435013</v>
      </c>
      <c r="G142" s="1"/>
      <c r="H142" s="1">
        <f t="shared" si="18"/>
        <v>-33423334.906435013</v>
      </c>
      <c r="T142" t="str">
        <f t="shared" si="20"/>
        <v>10491673209.1566,</v>
      </c>
    </row>
    <row r="143" spans="1:20">
      <c r="A143">
        <f t="shared" si="19"/>
        <v>2153</v>
      </c>
      <c r="B143" s="1">
        <f t="shared" si="15"/>
        <v>10457315730.711124</v>
      </c>
      <c r="C143" s="1"/>
      <c r="D143" s="1"/>
      <c r="E143" s="1">
        <f t="shared" si="16"/>
        <v>10457315730.711124</v>
      </c>
      <c r="F143" s="1">
        <f t="shared" si="17"/>
        <v>-34357478.445478678</v>
      </c>
      <c r="G143" s="1"/>
      <c r="H143" s="1">
        <f t="shared" si="18"/>
        <v>-34357478.445478439</v>
      </c>
      <c r="T143" t="str">
        <f t="shared" si="20"/>
        <v>10457315730.7111,</v>
      </c>
    </row>
    <row r="144" spans="1:20">
      <c r="A144">
        <f t="shared" si="19"/>
        <v>2154</v>
      </c>
      <c r="B144" s="1">
        <f t="shared" si="15"/>
        <v>10422024108.726603</v>
      </c>
      <c r="C144" s="1"/>
      <c r="D144" s="1"/>
      <c r="E144" s="1">
        <f t="shared" si="16"/>
        <v>10422024108.726603</v>
      </c>
      <c r="F144" s="1">
        <f t="shared" si="17"/>
        <v>-35291621.984522104</v>
      </c>
      <c r="G144" s="1"/>
      <c r="H144" s="1">
        <f t="shared" si="18"/>
        <v>-35291621.984521866</v>
      </c>
      <c r="T144" t="str">
        <f t="shared" si="20"/>
        <v>10422024108.7266,</v>
      </c>
    </row>
    <row r="145" spans="1:20">
      <c r="A145">
        <f t="shared" si="19"/>
        <v>2155</v>
      </c>
      <c r="B145" s="1">
        <f t="shared" si="15"/>
        <v>10385798343.203037</v>
      </c>
      <c r="C145" s="1"/>
      <c r="D145" s="1"/>
      <c r="E145" s="1">
        <f t="shared" si="16"/>
        <v>10385798343.203037</v>
      </c>
      <c r="F145" s="1">
        <f t="shared" si="17"/>
        <v>-36225765.523565531</v>
      </c>
      <c r="G145" s="1"/>
      <c r="H145" s="1">
        <f t="shared" si="18"/>
        <v>-36225765.523565292</v>
      </c>
      <c r="T145" t="str">
        <f t="shared" si="20"/>
        <v>10385798343.203,</v>
      </c>
    </row>
    <row r="146" spans="1:20">
      <c r="A146">
        <f t="shared" si="19"/>
        <v>2156</v>
      </c>
      <c r="B146" s="1">
        <f t="shared" si="15"/>
        <v>10348638434.140429</v>
      </c>
      <c r="C146" s="1"/>
      <c r="D146" s="1"/>
      <c r="E146" s="1">
        <f t="shared" si="16"/>
        <v>10348638434.140429</v>
      </c>
      <c r="F146" s="1">
        <f t="shared" si="17"/>
        <v>-37159909.062608957</v>
      </c>
      <c r="G146" s="1"/>
      <c r="H146" s="1">
        <f t="shared" si="18"/>
        <v>-37159909.062608719</v>
      </c>
      <c r="T146" t="str">
        <f t="shared" si="20"/>
        <v>10348638434.1404,</v>
      </c>
    </row>
    <row r="147" spans="1:20">
      <c r="A147">
        <f t="shared" si="19"/>
        <v>2157</v>
      </c>
      <c r="B147" s="1">
        <f t="shared" si="15"/>
        <v>10310544381.538776</v>
      </c>
      <c r="C147" s="1"/>
      <c r="D147" s="1"/>
      <c r="E147" s="1">
        <f t="shared" si="16"/>
        <v>10310544381.538776</v>
      </c>
      <c r="F147" s="1">
        <f t="shared" si="17"/>
        <v>-38094052.601652384</v>
      </c>
      <c r="G147" s="1"/>
      <c r="H147" s="1">
        <f t="shared" si="18"/>
        <v>-38094052.601652145</v>
      </c>
      <c r="T147" t="str">
        <f t="shared" si="20"/>
        <v>10310544381.5388,</v>
      </c>
    </row>
    <row r="148" spans="1:20">
      <c r="A148">
        <f t="shared" si="19"/>
        <v>2158</v>
      </c>
      <c r="B148" s="1">
        <f t="shared" si="15"/>
        <v>10271516185.398081</v>
      </c>
      <c r="C148" s="1"/>
      <c r="D148" s="1"/>
      <c r="E148" s="1">
        <f t="shared" si="16"/>
        <v>10271516185.398081</v>
      </c>
      <c r="F148" s="1">
        <f t="shared" si="17"/>
        <v>-39028196.140696049</v>
      </c>
      <c r="G148" s="1"/>
      <c r="H148" s="1">
        <f t="shared" si="18"/>
        <v>-39028196.140695572</v>
      </c>
      <c r="T148" t="str">
        <f t="shared" si="20"/>
        <v>10271516185.3981,</v>
      </c>
    </row>
    <row r="149" spans="1:20">
      <c r="A149">
        <f t="shared" si="19"/>
        <v>2159</v>
      </c>
      <c r="B149" s="1">
        <f t="shared" si="15"/>
        <v>10231553845.718342</v>
      </c>
      <c r="C149" s="1"/>
      <c r="D149" s="1"/>
      <c r="E149" s="1">
        <f t="shared" si="16"/>
        <v>10231553845.718342</v>
      </c>
      <c r="F149" s="1">
        <f t="shared" si="17"/>
        <v>-39962339.679739475</v>
      </c>
      <c r="G149" s="1"/>
      <c r="H149" s="1">
        <f t="shared" si="18"/>
        <v>-39962339.679738998</v>
      </c>
      <c r="T149" t="str">
        <f t="shared" si="20"/>
        <v>10231553845.7183,</v>
      </c>
    </row>
    <row r="150" spans="1:20">
      <c r="A150">
        <f t="shared" si="19"/>
        <v>2160</v>
      </c>
      <c r="B150" s="1">
        <f t="shared" si="15"/>
        <v>10190657362.499559</v>
      </c>
      <c r="C150" s="1"/>
      <c r="D150" s="1"/>
      <c r="E150" s="1">
        <f t="shared" si="16"/>
        <v>10190657362.499559</v>
      </c>
      <c r="F150" s="1">
        <f t="shared" si="17"/>
        <v>-40896483.218782902</v>
      </c>
      <c r="G150" s="1"/>
      <c r="H150" s="1">
        <f t="shared" si="18"/>
        <v>-40896483.218782425</v>
      </c>
      <c r="T150" t="str">
        <f t="shared" si="20"/>
        <v>10190657362.4996,</v>
      </c>
    </row>
    <row r="151" spans="1:20">
      <c r="A151">
        <f t="shared" si="19"/>
        <v>2161</v>
      </c>
      <c r="B151" s="1">
        <f t="shared" si="15"/>
        <v>10148826735.741734</v>
      </c>
      <c r="C151" s="1"/>
      <c r="D151" s="1"/>
      <c r="E151" s="1">
        <f t="shared" si="16"/>
        <v>10148826735.741734</v>
      </c>
      <c r="F151" s="1">
        <f t="shared" si="17"/>
        <v>-41830626.757826328</v>
      </c>
      <c r="G151" s="1"/>
      <c r="H151" s="1">
        <f t="shared" si="18"/>
        <v>-41830626.757825851</v>
      </c>
      <c r="T151" t="str">
        <f t="shared" si="20"/>
        <v>10148826735.7417,</v>
      </c>
    </row>
    <row r="152" spans="1:20">
      <c r="A152">
        <f t="shared" si="19"/>
        <v>2162</v>
      </c>
      <c r="B152" s="1">
        <f t="shared" si="15"/>
        <v>10106061965.444864</v>
      </c>
      <c r="C152" s="1"/>
      <c r="D152" s="1"/>
      <c r="E152" s="1">
        <f t="shared" si="16"/>
        <v>10106061965.444864</v>
      </c>
      <c r="F152" s="1">
        <f t="shared" si="17"/>
        <v>-42764770.296869993</v>
      </c>
      <c r="G152" s="1"/>
      <c r="H152" s="1">
        <f t="shared" si="18"/>
        <v>-42764770.296869278</v>
      </c>
      <c r="T152" t="str">
        <f t="shared" si="20"/>
        <v>10106061965.4449,</v>
      </c>
    </row>
    <row r="153" spans="1:20">
      <c r="A153">
        <f t="shared" si="19"/>
        <v>2163</v>
      </c>
      <c r="B153" s="1">
        <f t="shared" si="15"/>
        <v>10062363051.608952</v>
      </c>
      <c r="C153" s="1"/>
      <c r="D153" s="1"/>
      <c r="E153" s="1">
        <f t="shared" si="16"/>
        <v>10062363051.608952</v>
      </c>
      <c r="F153" s="1">
        <f t="shared" si="17"/>
        <v>-43698913.83591342</v>
      </c>
      <c r="G153" s="1"/>
      <c r="H153" s="1">
        <f t="shared" si="18"/>
        <v>-43698913.835912704</v>
      </c>
      <c r="T153" t="str">
        <f t="shared" si="20"/>
        <v>10062363051.609,</v>
      </c>
    </row>
    <row r="154" spans="1:20">
      <c r="A154">
        <f t="shared" si="19"/>
        <v>2164</v>
      </c>
      <c r="B154" s="1">
        <f t="shared" si="15"/>
        <v>10017729994.233995</v>
      </c>
      <c r="C154" s="1"/>
      <c r="D154" s="1"/>
      <c r="E154" s="1">
        <f t="shared" si="16"/>
        <v>10017729994.233995</v>
      </c>
      <c r="F154" s="1">
        <f t="shared" si="17"/>
        <v>-44633057.374956846</v>
      </c>
      <c r="G154" s="1"/>
      <c r="H154" s="1">
        <f t="shared" si="18"/>
        <v>-44633057.374956131</v>
      </c>
      <c r="T154" t="str">
        <f t="shared" si="20"/>
        <v>10017729994.234,</v>
      </c>
    </row>
    <row r="155" spans="1:20">
      <c r="A155">
        <f t="shared" si="19"/>
        <v>2165</v>
      </c>
      <c r="B155" s="1">
        <f t="shared" si="15"/>
        <v>9972162793.3199959</v>
      </c>
      <c r="C155" s="1"/>
      <c r="D155" s="1"/>
      <c r="E155" s="1">
        <f t="shared" si="16"/>
        <v>9972162793.3199959</v>
      </c>
      <c r="F155" s="1">
        <f t="shared" si="17"/>
        <v>-45567200.914000273</v>
      </c>
      <c r="G155" s="1"/>
      <c r="H155" s="1">
        <f t="shared" si="18"/>
        <v>-45567200.913999557</v>
      </c>
      <c r="T155" t="str">
        <f t="shared" si="20"/>
        <v>9972162793.32,</v>
      </c>
    </row>
    <row r="156" spans="1:20">
      <c r="A156">
        <f t="shared" si="19"/>
        <v>2166</v>
      </c>
      <c r="B156" s="1">
        <f t="shared" si="15"/>
        <v>9925661448.866951</v>
      </c>
      <c r="C156" s="1"/>
      <c r="D156" s="1"/>
      <c r="E156" s="1">
        <f t="shared" si="16"/>
        <v>9925661448.866951</v>
      </c>
      <c r="F156" s="1">
        <f t="shared" si="17"/>
        <v>-46501344.453043938</v>
      </c>
      <c r="G156" s="1"/>
      <c r="H156" s="1">
        <f t="shared" si="18"/>
        <v>-46501344.453044891</v>
      </c>
      <c r="T156" t="str">
        <f t="shared" si="20"/>
        <v>9925661448.86695,</v>
      </c>
    </row>
    <row r="157" spans="1:20">
      <c r="A157">
        <f t="shared" si="19"/>
        <v>2167</v>
      </c>
      <c r="B157" s="1">
        <f t="shared" si="15"/>
        <v>9878225960.8748627</v>
      </c>
      <c r="C157" s="1"/>
      <c r="D157" s="1"/>
      <c r="E157" s="1">
        <f t="shared" si="16"/>
        <v>9878225960.8748627</v>
      </c>
      <c r="F157" s="1">
        <f t="shared" si="17"/>
        <v>-47435487.992087364</v>
      </c>
      <c r="G157" s="1"/>
      <c r="H157" s="1">
        <f t="shared" si="18"/>
        <v>-47435487.992088318</v>
      </c>
      <c r="T157" t="str">
        <f t="shared" si="20"/>
        <v>9878225960.87486,</v>
      </c>
    </row>
    <row r="158" spans="1:20">
      <c r="A158">
        <f t="shared" si="19"/>
        <v>2168</v>
      </c>
      <c r="B158" s="1">
        <f t="shared" si="15"/>
        <v>9829856329.3437309</v>
      </c>
      <c r="C158" s="1"/>
      <c r="D158" s="1"/>
      <c r="E158" s="1">
        <f t="shared" si="16"/>
        <v>9829856329.3437309</v>
      </c>
      <c r="F158" s="1">
        <f t="shared" si="17"/>
        <v>-48369631.531130791</v>
      </c>
      <c r="G158" s="1"/>
      <c r="H158" s="1">
        <f t="shared" si="18"/>
        <v>-48369631.531131744</v>
      </c>
      <c r="T158" t="str">
        <f t="shared" si="20"/>
        <v>9829856329.34373,</v>
      </c>
    </row>
    <row r="159" spans="1:20">
      <c r="A159">
        <f t="shared" si="19"/>
        <v>2169</v>
      </c>
      <c r="B159" s="1">
        <f t="shared" si="15"/>
        <v>9780552554.2735558</v>
      </c>
      <c r="C159" s="1"/>
      <c r="D159" s="1"/>
      <c r="E159" s="1">
        <f t="shared" si="16"/>
        <v>9780552554.2735558</v>
      </c>
      <c r="F159" s="1">
        <f t="shared" si="17"/>
        <v>-49303775.070174217</v>
      </c>
      <c r="G159" s="1"/>
      <c r="H159" s="1">
        <f t="shared" si="18"/>
        <v>-49303775.070175171</v>
      </c>
      <c r="T159" t="str">
        <f t="shared" si="20"/>
        <v>9780552554.27356,</v>
      </c>
    </row>
    <row r="160" spans="1:20">
      <c r="A160">
        <f t="shared" si="19"/>
        <v>2170</v>
      </c>
      <c r="B160" s="1">
        <f t="shared" si="15"/>
        <v>9730314635.6643372</v>
      </c>
      <c r="C160" s="1"/>
      <c r="D160" s="1"/>
      <c r="E160" s="1">
        <f t="shared" si="16"/>
        <v>9730314635.6643372</v>
      </c>
      <c r="F160" s="1">
        <f t="shared" si="17"/>
        <v>-50237918.609217644</v>
      </c>
      <c r="G160" s="1"/>
      <c r="H160" s="1">
        <f t="shared" si="18"/>
        <v>-50237918.609218597</v>
      </c>
      <c r="T160" t="str">
        <f t="shared" si="20"/>
        <v>9730314635.66434,</v>
      </c>
    </row>
    <row r="161" spans="1:20">
      <c r="A161">
        <f t="shared" si="19"/>
        <v>2171</v>
      </c>
      <c r="B161" s="1">
        <f t="shared" si="15"/>
        <v>9679142573.5160751</v>
      </c>
      <c r="C161" s="1"/>
      <c r="D161" s="1"/>
      <c r="E161" s="1">
        <f t="shared" si="16"/>
        <v>9679142573.5160751</v>
      </c>
      <c r="F161" s="1">
        <f t="shared" si="17"/>
        <v>-51172062.148261309</v>
      </c>
      <c r="G161" s="1"/>
      <c r="H161" s="1">
        <f t="shared" si="18"/>
        <v>-51172062.148262024</v>
      </c>
      <c r="T161" t="str">
        <f t="shared" si="20"/>
        <v>9679142573.51608,</v>
      </c>
    </row>
    <row r="162" spans="1:20">
      <c r="A162">
        <f t="shared" si="19"/>
        <v>2172</v>
      </c>
      <c r="B162" s="1">
        <f t="shared" si="15"/>
        <v>9627036367.8287697</v>
      </c>
      <c r="C162" s="1"/>
      <c r="D162" s="1"/>
      <c r="E162" s="1">
        <f t="shared" si="16"/>
        <v>9627036367.8287697</v>
      </c>
      <c r="F162" s="1">
        <f t="shared" si="17"/>
        <v>-52106205.687304735</v>
      </c>
      <c r="G162" s="1"/>
      <c r="H162" s="1">
        <f t="shared" si="18"/>
        <v>-52106205.68730545</v>
      </c>
      <c r="T162" t="str">
        <f t="shared" si="20"/>
        <v>9627036367.82877,</v>
      </c>
    </row>
    <row r="163" spans="1:20">
      <c r="A163">
        <f t="shared" si="19"/>
        <v>2173</v>
      </c>
      <c r="B163" s="1">
        <f t="shared" si="15"/>
        <v>9573996018.6024208</v>
      </c>
      <c r="C163" s="1"/>
      <c r="D163" s="1"/>
      <c r="E163" s="1">
        <f t="shared" si="16"/>
        <v>9573996018.6024208</v>
      </c>
      <c r="F163" s="1">
        <f t="shared" si="17"/>
        <v>-53040349.226348162</v>
      </c>
      <c r="G163" s="1"/>
      <c r="H163" s="1">
        <f t="shared" si="18"/>
        <v>-53040349.226348877</v>
      </c>
      <c r="T163" t="str">
        <f t="shared" si="20"/>
        <v>9573996018.60242,</v>
      </c>
    </row>
    <row r="164" spans="1:20">
      <c r="A164">
        <f t="shared" si="19"/>
        <v>2174</v>
      </c>
      <c r="B164" s="1">
        <f t="shared" si="15"/>
        <v>9520021525.8370285</v>
      </c>
      <c r="C164" s="1"/>
      <c r="D164" s="1"/>
      <c r="E164" s="1">
        <f t="shared" si="16"/>
        <v>9520021525.8370285</v>
      </c>
      <c r="F164" s="1">
        <f t="shared" si="17"/>
        <v>-53974492.765391588</v>
      </c>
      <c r="G164" s="1"/>
      <c r="H164" s="1">
        <f t="shared" si="18"/>
        <v>-53974492.765392303</v>
      </c>
      <c r="T164" t="str">
        <f t="shared" si="20"/>
        <v>9520021525.83703,</v>
      </c>
    </row>
    <row r="165" spans="1:20">
      <c r="A165">
        <f t="shared" si="19"/>
        <v>2175</v>
      </c>
      <c r="B165" s="1">
        <f t="shared" si="15"/>
        <v>9465112889.5325928</v>
      </c>
      <c r="C165" s="1"/>
      <c r="D165" s="1"/>
      <c r="E165" s="1">
        <f t="shared" si="16"/>
        <v>9465112889.5325928</v>
      </c>
      <c r="F165" s="1">
        <f t="shared" si="17"/>
        <v>-54908636.304435253</v>
      </c>
      <c r="G165" s="1"/>
      <c r="H165" s="1">
        <f t="shared" si="18"/>
        <v>-54908636.30443573</v>
      </c>
      <c r="T165" t="str">
        <f t="shared" si="20"/>
        <v>9465112889.53259,</v>
      </c>
    </row>
    <row r="166" spans="1:20">
      <c r="A166">
        <f t="shared" si="19"/>
        <v>2176</v>
      </c>
      <c r="B166" s="1">
        <f t="shared" si="15"/>
        <v>9409270109.6891136</v>
      </c>
      <c r="C166" s="1"/>
      <c r="D166" s="1"/>
      <c r="E166" s="1">
        <f t="shared" si="16"/>
        <v>9409270109.6891136</v>
      </c>
      <c r="F166" s="1">
        <f t="shared" si="17"/>
        <v>-55842779.84347868</v>
      </c>
      <c r="G166" s="1"/>
      <c r="H166" s="1">
        <f t="shared" si="18"/>
        <v>-55842779.843479156</v>
      </c>
      <c r="T166" t="str">
        <f t="shared" si="20"/>
        <v>9409270109.68911,</v>
      </c>
    </row>
    <row r="167" spans="1:20">
      <c r="A167">
        <f t="shared" si="19"/>
        <v>2177</v>
      </c>
      <c r="B167" s="1">
        <f t="shared" si="15"/>
        <v>9352493186.306591</v>
      </c>
      <c r="C167" s="1"/>
      <c r="D167" s="1"/>
      <c r="E167" s="1">
        <f t="shared" si="16"/>
        <v>9352493186.306591</v>
      </c>
      <c r="F167" s="1">
        <f t="shared" si="17"/>
        <v>-56776923.382522106</v>
      </c>
      <c r="G167" s="1"/>
      <c r="H167" s="1">
        <f t="shared" si="18"/>
        <v>-56776923.382522583</v>
      </c>
      <c r="T167" t="str">
        <f t="shared" ref="T167:T198" si="21">B167&amp;","</f>
        <v>9352493186.30659,</v>
      </c>
    </row>
    <row r="168" spans="1:20">
      <c r="A168">
        <f t="shared" si="19"/>
        <v>2178</v>
      </c>
      <c r="B168" s="1">
        <f t="shared" si="15"/>
        <v>9294782119.385025</v>
      </c>
      <c r="C168" s="1"/>
      <c r="D168" s="1"/>
      <c r="E168" s="1">
        <f t="shared" si="16"/>
        <v>9294782119.385025</v>
      </c>
      <c r="F168" s="1">
        <f t="shared" si="17"/>
        <v>-57711066.921565533</v>
      </c>
      <c r="G168" s="1"/>
      <c r="H168" s="1">
        <f t="shared" si="18"/>
        <v>-57711066.92156601</v>
      </c>
      <c r="T168" t="str">
        <f t="shared" si="21"/>
        <v>9294782119.38503,</v>
      </c>
    </row>
    <row r="169" spans="1:20">
      <c r="A169">
        <f t="shared" si="19"/>
        <v>2179</v>
      </c>
      <c r="B169" s="1">
        <f t="shared" si="15"/>
        <v>9236136908.9244156</v>
      </c>
      <c r="C169" s="1"/>
      <c r="D169" s="1"/>
      <c r="E169" s="1">
        <f t="shared" si="16"/>
        <v>9236136908.9244156</v>
      </c>
      <c r="F169" s="1">
        <f t="shared" si="17"/>
        <v>-58645210.460609198</v>
      </c>
      <c r="G169" s="1"/>
      <c r="H169" s="1">
        <f t="shared" si="18"/>
        <v>-58645210.460609436</v>
      </c>
      <c r="T169" t="str">
        <f t="shared" si="21"/>
        <v>9236136908.92442,</v>
      </c>
    </row>
    <row r="170" spans="1:20">
      <c r="A170">
        <f t="shared" si="19"/>
        <v>2180</v>
      </c>
      <c r="B170" s="1">
        <f t="shared" ref="B170:B207" si="22">B169+F170</f>
        <v>9176557554.9247627</v>
      </c>
      <c r="C170" s="1"/>
      <c r="D170" s="1"/>
      <c r="E170" s="1">
        <f t="shared" ref="E170:E206" si="23">B170</f>
        <v>9176557554.9247627</v>
      </c>
      <c r="F170" s="1">
        <f t="shared" ref="F170:F206" si="24">A170*$I$1+$J$1</f>
        <v>-59579353.999652624</v>
      </c>
      <c r="G170" s="1"/>
      <c r="H170" s="1">
        <f t="shared" ref="H170:H207" si="25">B170-B169</f>
        <v>-59579353.999652863</v>
      </c>
      <c r="T170" t="str">
        <f t="shared" si="21"/>
        <v>9176557554.92476,</v>
      </c>
    </row>
    <row r="171" spans="1:20">
      <c r="A171">
        <f t="shared" si="19"/>
        <v>2181</v>
      </c>
      <c r="B171" s="1">
        <f t="shared" si="22"/>
        <v>9116044057.3860664</v>
      </c>
      <c r="C171" s="1"/>
      <c r="D171" s="1"/>
      <c r="E171" s="1">
        <f t="shared" si="23"/>
        <v>9116044057.3860664</v>
      </c>
      <c r="F171" s="1">
        <f t="shared" si="24"/>
        <v>-60513497.538696051</v>
      </c>
      <c r="G171" s="1"/>
      <c r="H171" s="1">
        <f t="shared" si="25"/>
        <v>-60513497.538696289</v>
      </c>
      <c r="T171" t="str">
        <f t="shared" si="21"/>
        <v>9116044057.38607,</v>
      </c>
    </row>
    <row r="172" spans="1:20">
      <c r="A172">
        <f t="shared" si="19"/>
        <v>2182</v>
      </c>
      <c r="B172" s="1">
        <f t="shared" si="22"/>
        <v>9054596416.3083267</v>
      </c>
      <c r="C172" s="1"/>
      <c r="D172" s="1"/>
      <c r="E172" s="1">
        <f t="shared" si="23"/>
        <v>9054596416.3083267</v>
      </c>
      <c r="F172" s="1">
        <f t="shared" si="24"/>
        <v>-61447641.077739477</v>
      </c>
      <c r="G172" s="1"/>
      <c r="H172" s="1">
        <f t="shared" si="25"/>
        <v>-61447641.077739716</v>
      </c>
      <c r="T172" t="str">
        <f t="shared" si="21"/>
        <v>9054596416.30833,</v>
      </c>
    </row>
    <row r="173" spans="1:20">
      <c r="A173">
        <f t="shared" si="19"/>
        <v>2183</v>
      </c>
      <c r="B173" s="1">
        <f t="shared" si="22"/>
        <v>8992214631.6915436</v>
      </c>
      <c r="C173" s="1"/>
      <c r="D173" s="1"/>
      <c r="E173" s="1">
        <f t="shared" si="23"/>
        <v>8992214631.6915436</v>
      </c>
      <c r="F173" s="1">
        <f t="shared" si="24"/>
        <v>-62381784.616783142</v>
      </c>
      <c r="G173" s="1"/>
      <c r="H173" s="1">
        <f t="shared" si="25"/>
        <v>-62381784.616783142</v>
      </c>
      <c r="T173" t="str">
        <f t="shared" si="21"/>
        <v>8992214631.69154,</v>
      </c>
    </row>
    <row r="174" spans="1:20">
      <c r="A174">
        <f t="shared" si="19"/>
        <v>2184</v>
      </c>
      <c r="B174" s="1">
        <f t="shared" si="22"/>
        <v>8928898703.535717</v>
      </c>
      <c r="C174" s="1"/>
      <c r="D174" s="1"/>
      <c r="E174" s="1">
        <f t="shared" si="23"/>
        <v>8928898703.535717</v>
      </c>
      <c r="F174" s="1">
        <f t="shared" si="24"/>
        <v>-63315928.155826569</v>
      </c>
      <c r="G174" s="1"/>
      <c r="H174" s="1">
        <f t="shared" si="25"/>
        <v>-63315928.155826569</v>
      </c>
      <c r="T174" t="str">
        <f t="shared" si="21"/>
        <v>8928898703.53572,</v>
      </c>
    </row>
    <row r="175" spans="1:20">
      <c r="A175">
        <f t="shared" si="19"/>
        <v>2185</v>
      </c>
      <c r="B175" s="1">
        <f t="shared" si="22"/>
        <v>8864648631.840847</v>
      </c>
      <c r="C175" s="1"/>
      <c r="D175" s="1"/>
      <c r="E175" s="1">
        <f t="shared" si="23"/>
        <v>8864648631.840847</v>
      </c>
      <c r="F175" s="1">
        <f t="shared" si="24"/>
        <v>-64250071.694869995</v>
      </c>
      <c r="G175" s="1"/>
      <c r="H175" s="1">
        <f t="shared" si="25"/>
        <v>-64250071.694869995</v>
      </c>
      <c r="T175" t="str">
        <f t="shared" si="21"/>
        <v>8864648631.84085,</v>
      </c>
    </row>
    <row r="176" spans="1:20">
      <c r="A176">
        <f t="shared" si="19"/>
        <v>2186</v>
      </c>
      <c r="B176" s="1">
        <f t="shared" si="22"/>
        <v>8799464416.6069336</v>
      </c>
      <c r="C176" s="1"/>
      <c r="D176" s="1"/>
      <c r="E176" s="1">
        <f t="shared" si="23"/>
        <v>8799464416.6069336</v>
      </c>
      <c r="F176" s="1">
        <f t="shared" si="24"/>
        <v>-65184215.233913422</v>
      </c>
      <c r="G176" s="1"/>
      <c r="H176" s="1">
        <f t="shared" si="25"/>
        <v>-65184215.233913422</v>
      </c>
      <c r="T176" t="str">
        <f t="shared" si="21"/>
        <v>8799464416.60693,</v>
      </c>
    </row>
    <row r="177" spans="1:20">
      <c r="A177">
        <f t="shared" si="19"/>
        <v>2187</v>
      </c>
      <c r="B177" s="1">
        <f t="shared" si="22"/>
        <v>8733346057.8339767</v>
      </c>
      <c r="C177" s="1"/>
      <c r="D177" s="1"/>
      <c r="E177" s="1">
        <f t="shared" si="23"/>
        <v>8733346057.8339767</v>
      </c>
      <c r="F177" s="1">
        <f t="shared" si="24"/>
        <v>-66118358.772956848</v>
      </c>
      <c r="G177" s="1"/>
      <c r="H177" s="1">
        <f t="shared" si="25"/>
        <v>-66118358.772956848</v>
      </c>
      <c r="T177" t="str">
        <f t="shared" si="21"/>
        <v>8733346057.83398,</v>
      </c>
    </row>
    <row r="178" spans="1:20">
      <c r="A178">
        <f t="shared" si="19"/>
        <v>2188</v>
      </c>
      <c r="B178" s="1">
        <f t="shared" si="22"/>
        <v>8666293555.5219765</v>
      </c>
      <c r="C178" s="1"/>
      <c r="D178" s="1"/>
      <c r="E178" s="1">
        <f t="shared" si="23"/>
        <v>8666293555.5219765</v>
      </c>
      <c r="F178" s="1">
        <f t="shared" si="24"/>
        <v>-67052502.312000513</v>
      </c>
      <c r="G178" s="1"/>
      <c r="H178" s="1">
        <f t="shared" si="25"/>
        <v>-67052502.312000275</v>
      </c>
      <c r="T178" t="str">
        <f t="shared" si="21"/>
        <v>8666293555.52198,</v>
      </c>
    </row>
    <row r="179" spans="1:20">
      <c r="A179">
        <f t="shared" si="19"/>
        <v>2189</v>
      </c>
      <c r="B179" s="1">
        <f t="shared" si="22"/>
        <v>8598306909.6709328</v>
      </c>
      <c r="C179" s="1"/>
      <c r="D179" s="1"/>
      <c r="E179" s="1">
        <f t="shared" si="23"/>
        <v>8598306909.6709328</v>
      </c>
      <c r="F179" s="1">
        <f t="shared" si="24"/>
        <v>-67986645.85104394</v>
      </c>
      <c r="G179" s="1"/>
      <c r="H179" s="1">
        <f t="shared" si="25"/>
        <v>-67986645.851043701</v>
      </c>
      <c r="T179" t="str">
        <f t="shared" si="21"/>
        <v>8598306909.67093,</v>
      </c>
    </row>
    <row r="180" spans="1:20">
      <c r="A180">
        <f t="shared" si="19"/>
        <v>2190</v>
      </c>
      <c r="B180" s="1">
        <f t="shared" si="22"/>
        <v>8529386120.2808456</v>
      </c>
      <c r="C180" s="1"/>
      <c r="D180" s="1"/>
      <c r="E180" s="1">
        <f t="shared" si="23"/>
        <v>8529386120.2808456</v>
      </c>
      <c r="F180" s="1">
        <f t="shared" si="24"/>
        <v>-68920789.390087366</v>
      </c>
      <c r="G180" s="1"/>
      <c r="H180" s="1">
        <f t="shared" si="25"/>
        <v>-68920789.390087128</v>
      </c>
      <c r="T180" t="str">
        <f t="shared" si="21"/>
        <v>8529386120.28085,</v>
      </c>
    </row>
    <row r="181" spans="1:20">
      <c r="A181">
        <f t="shared" ref="A181:A208" si="26">A180+1</f>
        <v>2191</v>
      </c>
      <c r="B181" s="1">
        <f t="shared" si="22"/>
        <v>8459531187.3517151</v>
      </c>
      <c r="C181" s="1"/>
      <c r="D181" s="1"/>
      <c r="E181" s="1">
        <f t="shared" si="23"/>
        <v>8459531187.3517151</v>
      </c>
      <c r="F181" s="1">
        <f t="shared" si="24"/>
        <v>-69854932.929130793</v>
      </c>
      <c r="G181" s="1"/>
      <c r="H181" s="1">
        <f t="shared" si="25"/>
        <v>-69854932.929130554</v>
      </c>
      <c r="T181" t="str">
        <f t="shared" si="21"/>
        <v>8459531187.35172,</v>
      </c>
    </row>
    <row r="182" spans="1:20">
      <c r="A182">
        <f t="shared" si="26"/>
        <v>2192</v>
      </c>
      <c r="B182" s="1">
        <f t="shared" si="22"/>
        <v>8388742110.8835411</v>
      </c>
      <c r="C182" s="1"/>
      <c r="D182" s="1"/>
      <c r="E182" s="1">
        <f t="shared" si="23"/>
        <v>8388742110.8835411</v>
      </c>
      <c r="F182" s="1">
        <f t="shared" si="24"/>
        <v>-70789076.468174458</v>
      </c>
      <c r="G182" s="1"/>
      <c r="H182" s="1">
        <f t="shared" si="25"/>
        <v>-70789076.468173981</v>
      </c>
      <c r="T182" t="str">
        <f t="shared" si="21"/>
        <v>8388742110.88354,</v>
      </c>
    </row>
    <row r="183" spans="1:20">
      <c r="A183">
        <f t="shared" si="26"/>
        <v>2193</v>
      </c>
      <c r="B183" s="1">
        <f t="shared" si="22"/>
        <v>8317018890.8763237</v>
      </c>
      <c r="C183" s="1"/>
      <c r="D183" s="1"/>
      <c r="E183" s="1">
        <f t="shared" si="23"/>
        <v>8317018890.8763237</v>
      </c>
      <c r="F183" s="1">
        <f t="shared" si="24"/>
        <v>-71723220.007217884</v>
      </c>
      <c r="G183" s="1"/>
      <c r="H183" s="1">
        <f t="shared" si="25"/>
        <v>-71723220.007217407</v>
      </c>
      <c r="T183" t="str">
        <f t="shared" si="21"/>
        <v>8317018890.87632,</v>
      </c>
    </row>
    <row r="184" spans="1:20">
      <c r="A184">
        <f t="shared" si="26"/>
        <v>2194</v>
      </c>
      <c r="B184" s="1">
        <f t="shared" si="22"/>
        <v>8244361527.3300629</v>
      </c>
      <c r="C184" s="1"/>
      <c r="D184" s="1"/>
      <c r="E184" s="1">
        <f t="shared" si="23"/>
        <v>8244361527.3300629</v>
      </c>
      <c r="F184" s="1">
        <f t="shared" si="24"/>
        <v>-72657363.546261311</v>
      </c>
      <c r="G184" s="1"/>
      <c r="H184" s="1">
        <f t="shared" si="25"/>
        <v>-72657363.546260834</v>
      </c>
      <c r="T184" t="str">
        <f t="shared" si="21"/>
        <v>8244361527.33006,</v>
      </c>
    </row>
    <row r="185" spans="1:20">
      <c r="A185">
        <f t="shared" si="26"/>
        <v>2195</v>
      </c>
      <c r="B185" s="1">
        <f t="shared" si="22"/>
        <v>8170770020.2447586</v>
      </c>
      <c r="C185" s="1"/>
      <c r="D185" s="1"/>
      <c r="E185" s="1">
        <f t="shared" si="23"/>
        <v>8170770020.2447586</v>
      </c>
      <c r="F185" s="1">
        <f t="shared" si="24"/>
        <v>-73591507.085304737</v>
      </c>
      <c r="G185" s="1"/>
      <c r="H185" s="1">
        <f t="shared" si="25"/>
        <v>-73591507.08530426</v>
      </c>
      <c r="T185" t="str">
        <f t="shared" si="21"/>
        <v>8170770020.24476,</v>
      </c>
    </row>
    <row r="186" spans="1:20">
      <c r="A186">
        <f t="shared" si="26"/>
        <v>2196</v>
      </c>
      <c r="B186" s="1">
        <f t="shared" si="22"/>
        <v>8096244369.62041</v>
      </c>
      <c r="C186" s="1"/>
      <c r="D186" s="1"/>
      <c r="E186" s="1">
        <f t="shared" si="23"/>
        <v>8096244369.62041</v>
      </c>
      <c r="F186" s="1">
        <f t="shared" si="24"/>
        <v>-74525650.624348402</v>
      </c>
      <c r="G186" s="1"/>
      <c r="H186" s="1">
        <f t="shared" si="25"/>
        <v>-74525650.62434864</v>
      </c>
      <c r="T186" t="str">
        <f t="shared" si="21"/>
        <v>8096244369.62041,</v>
      </c>
    </row>
    <row r="187" spans="1:20">
      <c r="A187">
        <f t="shared" si="26"/>
        <v>2197</v>
      </c>
      <c r="B187" s="1">
        <f t="shared" si="22"/>
        <v>8020784575.4570179</v>
      </c>
      <c r="C187" s="1"/>
      <c r="D187" s="1"/>
      <c r="E187" s="1">
        <f t="shared" si="23"/>
        <v>8020784575.4570179</v>
      </c>
      <c r="F187" s="1">
        <f t="shared" si="24"/>
        <v>-75459794.163391829</v>
      </c>
      <c r="G187" s="1"/>
      <c r="H187" s="1">
        <f t="shared" si="25"/>
        <v>-75459794.163392067</v>
      </c>
      <c r="T187" t="str">
        <f t="shared" si="21"/>
        <v>8020784575.45702,</v>
      </c>
    </row>
    <row r="188" spans="1:20">
      <c r="A188">
        <f t="shared" si="26"/>
        <v>2198</v>
      </c>
      <c r="B188" s="1">
        <f t="shared" si="22"/>
        <v>7944390637.7545824</v>
      </c>
      <c r="C188" s="1"/>
      <c r="D188" s="1"/>
      <c r="E188" s="1">
        <f t="shared" si="23"/>
        <v>7944390637.7545824</v>
      </c>
      <c r="F188" s="1">
        <f t="shared" si="24"/>
        <v>-76393937.702435255</v>
      </c>
      <c r="G188" s="1"/>
      <c r="H188" s="1">
        <f t="shared" si="25"/>
        <v>-76393937.702435493</v>
      </c>
      <c r="T188" t="str">
        <f t="shared" si="21"/>
        <v>7944390637.75458,</v>
      </c>
    </row>
    <row r="189" spans="1:20">
      <c r="A189">
        <f t="shared" si="26"/>
        <v>2199</v>
      </c>
      <c r="B189" s="1">
        <f t="shared" si="22"/>
        <v>7867062556.5131035</v>
      </c>
      <c r="C189" s="1"/>
      <c r="D189" s="1"/>
      <c r="E189" s="1">
        <f t="shared" si="23"/>
        <v>7867062556.5131035</v>
      </c>
      <c r="F189" s="1">
        <f t="shared" si="24"/>
        <v>-77328081.241478682</v>
      </c>
      <c r="G189" s="1"/>
      <c r="H189" s="1">
        <f t="shared" si="25"/>
        <v>-77328081.24147892</v>
      </c>
      <c r="T189" t="str">
        <f t="shared" si="21"/>
        <v>7867062556.5131,</v>
      </c>
    </row>
    <row r="190" spans="1:20">
      <c r="A190">
        <f t="shared" si="26"/>
        <v>2200</v>
      </c>
      <c r="B190" s="1">
        <f t="shared" si="22"/>
        <v>7788800331.7325811</v>
      </c>
      <c r="C190" s="1"/>
      <c r="D190" s="1"/>
      <c r="E190" s="1">
        <f t="shared" si="23"/>
        <v>7788800331.7325811</v>
      </c>
      <c r="F190" s="1">
        <f t="shared" si="24"/>
        <v>-78262224.780522108</v>
      </c>
      <c r="G190" s="1"/>
      <c r="H190" s="1">
        <f t="shared" si="25"/>
        <v>-78262224.780522346</v>
      </c>
      <c r="T190" t="str">
        <f t="shared" si="21"/>
        <v>7788800331.73258,</v>
      </c>
    </row>
    <row r="191" spans="1:20">
      <c r="A191">
        <f t="shared" si="26"/>
        <v>2201</v>
      </c>
      <c r="B191" s="1">
        <f t="shared" si="22"/>
        <v>7709603963.4130154</v>
      </c>
      <c r="C191" s="1"/>
      <c r="D191" s="1"/>
      <c r="E191" s="1">
        <f t="shared" si="23"/>
        <v>7709603963.4130154</v>
      </c>
      <c r="F191" s="1">
        <f t="shared" si="24"/>
        <v>-79196368.319565773</v>
      </c>
      <c r="G191" s="1"/>
      <c r="H191" s="1">
        <f t="shared" si="25"/>
        <v>-79196368.319565773</v>
      </c>
      <c r="T191" t="str">
        <f t="shared" si="21"/>
        <v>7709603963.41302,</v>
      </c>
    </row>
    <row r="192" spans="1:20">
      <c r="A192">
        <f t="shared" si="26"/>
        <v>2202</v>
      </c>
      <c r="B192" s="1">
        <f t="shared" si="22"/>
        <v>7629473451.5544062</v>
      </c>
      <c r="C192" s="1"/>
      <c r="D192" s="1"/>
      <c r="E192" s="1">
        <f t="shared" si="23"/>
        <v>7629473451.5544062</v>
      </c>
      <c r="F192" s="1">
        <f t="shared" si="24"/>
        <v>-80130511.8586092</v>
      </c>
      <c r="G192" s="1"/>
      <c r="H192" s="1">
        <f t="shared" si="25"/>
        <v>-80130511.8586092</v>
      </c>
      <c r="T192" t="str">
        <f t="shared" si="21"/>
        <v>7629473451.55441,</v>
      </c>
    </row>
    <row r="193" spans="1:20">
      <c r="A193">
        <f t="shared" si="26"/>
        <v>2203</v>
      </c>
      <c r="B193" s="1">
        <f t="shared" si="22"/>
        <v>7548408796.1567535</v>
      </c>
      <c r="C193" s="1"/>
      <c r="D193" s="1"/>
      <c r="E193" s="1">
        <f t="shared" si="23"/>
        <v>7548408796.1567535</v>
      </c>
      <c r="F193" s="1">
        <f t="shared" si="24"/>
        <v>-81064655.397652626</v>
      </c>
      <c r="G193" s="1"/>
      <c r="H193" s="1">
        <f t="shared" si="25"/>
        <v>-81064655.397652626</v>
      </c>
      <c r="T193" t="str">
        <f t="shared" si="21"/>
        <v>7548408796.15675,</v>
      </c>
    </row>
    <row r="194" spans="1:20">
      <c r="A194">
        <f t="shared" si="26"/>
        <v>2204</v>
      </c>
      <c r="B194" s="1">
        <f t="shared" si="22"/>
        <v>7466409997.2200575</v>
      </c>
      <c r="C194" s="1"/>
      <c r="D194" s="1"/>
      <c r="E194" s="1">
        <f t="shared" si="23"/>
        <v>7466409997.2200575</v>
      </c>
      <c r="F194" s="1">
        <f t="shared" si="24"/>
        <v>-81998798.936696053</v>
      </c>
      <c r="G194" s="1"/>
      <c r="H194" s="1">
        <f t="shared" si="25"/>
        <v>-81998798.936696053</v>
      </c>
      <c r="T194" t="str">
        <f t="shared" si="21"/>
        <v>7466409997.22006,</v>
      </c>
    </row>
    <row r="195" spans="1:20">
      <c r="A195">
        <f t="shared" si="26"/>
        <v>2205</v>
      </c>
      <c r="B195" s="1">
        <f t="shared" si="22"/>
        <v>7383477054.744318</v>
      </c>
      <c r="C195" s="1"/>
      <c r="D195" s="1"/>
      <c r="E195" s="1">
        <f t="shared" si="23"/>
        <v>7383477054.744318</v>
      </c>
      <c r="F195" s="1">
        <f t="shared" si="24"/>
        <v>-82932942.475739717</v>
      </c>
      <c r="G195" s="1"/>
      <c r="H195" s="1">
        <f t="shared" si="25"/>
        <v>-82932942.475739479</v>
      </c>
      <c r="T195" t="str">
        <f t="shared" si="21"/>
        <v>7383477054.74432,</v>
      </c>
    </row>
    <row r="196" spans="1:20">
      <c r="A196">
        <f t="shared" si="26"/>
        <v>2206</v>
      </c>
      <c r="B196" s="1">
        <f t="shared" si="22"/>
        <v>7299609968.7295351</v>
      </c>
      <c r="C196" s="1"/>
      <c r="D196" s="1"/>
      <c r="E196" s="1">
        <f t="shared" si="23"/>
        <v>7299609968.7295351</v>
      </c>
      <c r="F196" s="1">
        <f t="shared" si="24"/>
        <v>-83867086.014783144</v>
      </c>
      <c r="G196" s="1"/>
      <c r="H196" s="1">
        <f t="shared" si="25"/>
        <v>-83867086.014782906</v>
      </c>
      <c r="T196" t="str">
        <f t="shared" si="21"/>
        <v>7299609968.72954,</v>
      </c>
    </row>
    <row r="197" spans="1:20">
      <c r="A197">
        <f t="shared" si="26"/>
        <v>2207</v>
      </c>
      <c r="B197" s="1">
        <f t="shared" si="22"/>
        <v>7214808739.1757088</v>
      </c>
      <c r="C197" s="1"/>
      <c r="D197" s="1"/>
      <c r="E197" s="1">
        <f t="shared" si="23"/>
        <v>7214808739.1757088</v>
      </c>
      <c r="F197" s="1">
        <f t="shared" si="24"/>
        <v>-84801229.553826571</v>
      </c>
      <c r="G197" s="1"/>
      <c r="H197" s="1">
        <f t="shared" si="25"/>
        <v>-84801229.553826332</v>
      </c>
      <c r="T197" t="str">
        <f t="shared" si="21"/>
        <v>7214808739.17571,</v>
      </c>
    </row>
    <row r="198" spans="1:20">
      <c r="A198">
        <f t="shared" si="26"/>
        <v>2208</v>
      </c>
      <c r="B198" s="1">
        <f t="shared" si="22"/>
        <v>7129073366.082839</v>
      </c>
      <c r="C198" s="1"/>
      <c r="D198" s="1"/>
      <c r="E198" s="1">
        <f t="shared" si="23"/>
        <v>7129073366.082839</v>
      </c>
      <c r="F198" s="1">
        <f t="shared" si="24"/>
        <v>-85735373.092869997</v>
      </c>
      <c r="G198" s="1"/>
      <c r="H198" s="1">
        <f t="shared" si="25"/>
        <v>-85735373.092869759</v>
      </c>
      <c r="T198" t="str">
        <f t="shared" si="21"/>
        <v>7129073366.08284,</v>
      </c>
    </row>
    <row r="199" spans="1:20">
      <c r="A199">
        <f t="shared" si="26"/>
        <v>2209</v>
      </c>
      <c r="B199" s="1">
        <f t="shared" si="22"/>
        <v>7042403849.4509258</v>
      </c>
      <c r="C199" s="1"/>
      <c r="D199" s="1"/>
      <c r="E199" s="1">
        <f t="shared" si="23"/>
        <v>7042403849.4509258</v>
      </c>
      <c r="F199" s="1">
        <f t="shared" si="24"/>
        <v>-86669516.631913662</v>
      </c>
      <c r="G199" s="1"/>
      <c r="H199" s="1">
        <f t="shared" si="25"/>
        <v>-86669516.631913185</v>
      </c>
      <c r="T199" t="str">
        <f t="shared" ref="T199:T206" si="27">B199&amp;","</f>
        <v>7042403849.45093,</v>
      </c>
    </row>
    <row r="200" spans="1:20">
      <c r="A200">
        <f t="shared" si="26"/>
        <v>2210</v>
      </c>
      <c r="B200" s="1">
        <f t="shared" si="22"/>
        <v>6954800189.2799683</v>
      </c>
      <c r="C200" s="1"/>
      <c r="D200" s="1"/>
      <c r="E200" s="1">
        <f t="shared" si="23"/>
        <v>6954800189.2799683</v>
      </c>
      <c r="F200" s="1">
        <f t="shared" si="24"/>
        <v>-87603660.170957088</v>
      </c>
      <c r="G200" s="1"/>
      <c r="H200" s="1">
        <f t="shared" si="25"/>
        <v>-87603660.170957565</v>
      </c>
      <c r="T200" t="str">
        <f t="shared" si="27"/>
        <v>6954800189.27997,</v>
      </c>
    </row>
    <row r="201" spans="1:20">
      <c r="A201">
        <f t="shared" si="26"/>
        <v>2211</v>
      </c>
      <c r="B201" s="1">
        <f t="shared" si="22"/>
        <v>6866262385.5699673</v>
      </c>
      <c r="C201" s="1"/>
      <c r="D201" s="1"/>
      <c r="E201" s="1">
        <f t="shared" si="23"/>
        <v>6866262385.5699673</v>
      </c>
      <c r="F201" s="1">
        <f t="shared" si="24"/>
        <v>-88537803.710000515</v>
      </c>
      <c r="G201" s="1"/>
      <c r="H201" s="1">
        <f t="shared" si="25"/>
        <v>-88537803.710000992</v>
      </c>
      <c r="T201" t="str">
        <f t="shared" si="27"/>
        <v>6866262385.56997,</v>
      </c>
    </row>
    <row r="202" spans="1:20">
      <c r="A202">
        <f t="shared" si="26"/>
        <v>2212</v>
      </c>
      <c r="B202" s="1">
        <f t="shared" si="22"/>
        <v>6776790438.3209229</v>
      </c>
      <c r="C202" s="1"/>
      <c r="D202" s="1"/>
      <c r="E202" s="1">
        <f t="shared" si="23"/>
        <v>6776790438.3209229</v>
      </c>
      <c r="F202" s="1">
        <f t="shared" si="24"/>
        <v>-89471947.249043941</v>
      </c>
      <c r="G202" s="1"/>
      <c r="H202" s="1">
        <f t="shared" si="25"/>
        <v>-89471947.249044418</v>
      </c>
      <c r="T202" t="str">
        <f t="shared" si="27"/>
        <v>6776790438.32092,</v>
      </c>
    </row>
    <row r="203" spans="1:20">
      <c r="A203">
        <f t="shared" si="26"/>
        <v>2213</v>
      </c>
      <c r="B203" s="1">
        <f t="shared" si="22"/>
        <v>6686384347.532835</v>
      </c>
      <c r="C203" s="1"/>
      <c r="D203" s="1"/>
      <c r="E203" s="1">
        <f t="shared" si="23"/>
        <v>6686384347.532835</v>
      </c>
      <c r="F203" s="1">
        <f t="shared" si="24"/>
        <v>-90406090.788087606</v>
      </c>
      <c r="G203" s="1"/>
      <c r="H203" s="1">
        <f t="shared" si="25"/>
        <v>-90406090.788087845</v>
      </c>
      <c r="T203" t="str">
        <f t="shared" si="27"/>
        <v>6686384347.53284,</v>
      </c>
    </row>
    <row r="204" spans="1:20">
      <c r="A204">
        <f t="shared" si="26"/>
        <v>2214</v>
      </c>
      <c r="B204" s="1">
        <f t="shared" si="22"/>
        <v>6595044113.2057037</v>
      </c>
      <c r="C204" s="1"/>
      <c r="D204" s="1"/>
      <c r="E204" s="1">
        <f t="shared" si="23"/>
        <v>6595044113.2057037</v>
      </c>
      <c r="F204" s="1">
        <f t="shared" si="24"/>
        <v>-91340234.327131033</v>
      </c>
      <c r="G204" s="1"/>
      <c r="H204" s="1">
        <f t="shared" si="25"/>
        <v>-91340234.327131271</v>
      </c>
      <c r="T204" t="str">
        <f t="shared" si="27"/>
        <v>6595044113.2057,</v>
      </c>
    </row>
    <row r="205" spans="1:20">
      <c r="A205">
        <f t="shared" si="26"/>
        <v>2215</v>
      </c>
      <c r="B205" s="1">
        <f t="shared" si="22"/>
        <v>6502769735.339529</v>
      </c>
      <c r="C205" s="1"/>
      <c r="D205" s="1"/>
      <c r="E205" s="1">
        <f t="shared" si="23"/>
        <v>6502769735.339529</v>
      </c>
      <c r="F205" s="1">
        <f t="shared" si="24"/>
        <v>-92274377.866174459</v>
      </c>
      <c r="G205" s="1"/>
      <c r="H205" s="1">
        <f t="shared" si="25"/>
        <v>-92274377.866174698</v>
      </c>
      <c r="T205" t="str">
        <f t="shared" si="27"/>
        <v>6502769735.33953,</v>
      </c>
    </row>
    <row r="206" spans="1:20">
      <c r="A206">
        <f t="shared" si="26"/>
        <v>2216</v>
      </c>
      <c r="B206" s="1">
        <f t="shared" si="22"/>
        <v>6409561213.9343109</v>
      </c>
      <c r="C206" s="1"/>
      <c r="D206" s="1"/>
      <c r="E206" s="1">
        <f t="shared" si="23"/>
        <v>6409561213.9343109</v>
      </c>
      <c r="F206" s="1">
        <f t="shared" si="24"/>
        <v>-93208521.405217886</v>
      </c>
      <c r="G206" s="1"/>
      <c r="H206" s="1">
        <f t="shared" si="25"/>
        <v>-93208521.405218124</v>
      </c>
      <c r="T206" t="str">
        <f t="shared" si="27"/>
        <v>6409561213.93431,</v>
      </c>
    </row>
    <row r="207" spans="1:20">
      <c r="A207">
        <f t="shared" si="26"/>
        <v>2217</v>
      </c>
      <c r="B207" s="1">
        <f t="shared" si="22"/>
        <v>6315418548.9900494</v>
      </c>
      <c r="E207" s="1">
        <f t="shared" ref="E207" si="28">B207</f>
        <v>6315418548.9900494</v>
      </c>
      <c r="F207" s="1">
        <f t="shared" ref="F207" si="29">A207*$I$1+$J$1</f>
        <v>-94142664.944261312</v>
      </c>
      <c r="H207" s="1">
        <f t="shared" si="25"/>
        <v>-94142664.944261551</v>
      </c>
      <c r="T207" t="str">
        <f>B207&amp;")"</f>
        <v>6315418548.99005)</v>
      </c>
    </row>
    <row r="208" spans="1:20">
      <c r="A208">
        <f t="shared" si="26"/>
        <v>2218</v>
      </c>
      <c r="B208" s="1">
        <f t="shared" ref="B208" si="30">B207+F208</f>
        <v>6315418548.9900494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zoomScale="150" zoomScaleNormal="150" zoomScalePageLayoutView="150" workbookViewId="0">
      <pane xSplit="2" topLeftCell="C1" activePane="topRight" state="frozenSplit"/>
      <selection pane="topRight" activeCell="F10" sqref="F10"/>
    </sheetView>
  </sheetViews>
  <sheetFormatPr baseColWidth="10" defaultColWidth="8.83203125" defaultRowHeight="15" x14ac:dyDescent="0"/>
  <cols>
    <col min="1" max="1" width="25.6640625" bestFit="1" customWidth="1"/>
    <col min="2" max="2" width="10.33203125" bestFit="1" customWidth="1"/>
    <col min="3" max="3" width="5.5" bestFit="1" customWidth="1"/>
    <col min="4" max="4" width="5.83203125" bestFit="1" customWidth="1"/>
    <col min="5" max="5" width="46.33203125" bestFit="1" customWidth="1"/>
    <col min="6" max="6" width="8" bestFit="1" customWidth="1"/>
    <col min="7" max="7" width="8.33203125" bestFit="1" customWidth="1"/>
    <col min="8" max="8" width="6.1640625" bestFit="1" customWidth="1"/>
    <col min="9" max="9" width="2.83203125" customWidth="1"/>
    <col min="10" max="10" width="8.83203125" bestFit="1" customWidth="1"/>
    <col min="11" max="11" width="10.83203125" bestFit="1" customWidth="1"/>
    <col min="12" max="12" width="2.83203125" customWidth="1"/>
    <col min="13" max="14" width="13.83203125" customWidth="1"/>
    <col min="15" max="15" width="2.83203125" customWidth="1"/>
    <col min="16" max="16" width="4.5" bestFit="1" customWidth="1"/>
    <col min="17" max="17" width="3.6640625" bestFit="1" customWidth="1"/>
    <col min="18" max="18" width="3.83203125" bestFit="1" customWidth="1"/>
    <col min="19" max="19" width="3.1640625" bestFit="1" customWidth="1"/>
    <col min="20" max="20" width="3.6640625" bestFit="1" customWidth="1"/>
    <col min="21" max="21" width="4.5" bestFit="1" customWidth="1"/>
    <col min="22" max="22" width="4.33203125" bestFit="1" customWidth="1"/>
    <col min="23" max="23" width="3.5" bestFit="1" customWidth="1"/>
    <col min="24" max="24" width="3.1640625" bestFit="1" customWidth="1"/>
    <col min="25" max="26" width="3.83203125" bestFit="1" customWidth="1"/>
    <col min="27" max="27" width="3.33203125" bestFit="1" customWidth="1"/>
    <col min="28" max="28" width="3.33203125" customWidth="1"/>
    <col min="29" max="31" width="12.1640625" bestFit="1" customWidth="1"/>
    <col min="32" max="32" width="2.6640625" customWidth="1"/>
    <col min="33" max="33" width="53.5" bestFit="1" customWidth="1"/>
  </cols>
  <sheetData>
    <row r="1" spans="1:33" s="18" customFormat="1">
      <c r="C1" s="42" t="s">
        <v>140</v>
      </c>
      <c r="D1" s="42"/>
      <c r="E1" s="42"/>
      <c r="F1" s="42"/>
      <c r="G1" s="42"/>
      <c r="H1" s="42"/>
      <c r="I1"/>
      <c r="J1" s="42" t="s">
        <v>154</v>
      </c>
      <c r="K1" s="42"/>
      <c r="M1" s="42" t="s">
        <v>149</v>
      </c>
      <c r="N1" s="42"/>
      <c r="P1" s="40" t="s">
        <v>162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/>
      <c r="AC1" s="42" t="s">
        <v>153</v>
      </c>
      <c r="AD1" s="42"/>
      <c r="AE1" s="42"/>
      <c r="AG1" s="28" t="s">
        <v>148</v>
      </c>
    </row>
    <row r="2" spans="1:33" s="7" customFormat="1">
      <c r="A2" s="11" t="s">
        <v>109</v>
      </c>
      <c r="B2" s="11" t="s">
        <v>157</v>
      </c>
      <c r="C2" s="11" t="s">
        <v>89</v>
      </c>
      <c r="D2" s="16" t="s">
        <v>155</v>
      </c>
      <c r="E2" s="11" t="s">
        <v>108</v>
      </c>
      <c r="F2" s="11" t="s">
        <v>107</v>
      </c>
      <c r="G2" s="11" t="s">
        <v>99</v>
      </c>
      <c r="H2" s="11" t="s">
        <v>130</v>
      </c>
      <c r="I2"/>
      <c r="J2" s="17" t="s">
        <v>110</v>
      </c>
      <c r="K2" s="17" t="s">
        <v>131</v>
      </c>
      <c r="M2" s="12" t="s">
        <v>150</v>
      </c>
      <c r="N2" s="12" t="s">
        <v>151</v>
      </c>
      <c r="P2"/>
      <c r="Q2" t="s">
        <v>95</v>
      </c>
      <c r="R2" t="s">
        <v>97</v>
      </c>
      <c r="S2" t="s">
        <v>96</v>
      </c>
      <c r="T2" t="s">
        <v>94</v>
      </c>
      <c r="U2" t="s">
        <v>92</v>
      </c>
      <c r="V2" t="s">
        <v>91</v>
      </c>
      <c r="W2" t="s">
        <v>93</v>
      </c>
      <c r="X2" t="s">
        <v>98</v>
      </c>
      <c r="Y2" t="s">
        <v>163</v>
      </c>
      <c r="Z2" t="s">
        <v>147</v>
      </c>
      <c r="AA2" t="s">
        <v>90</v>
      </c>
      <c r="AB2"/>
      <c r="AC2" s="12" t="s">
        <v>152</v>
      </c>
      <c r="AD2" s="12" t="s">
        <v>161</v>
      </c>
      <c r="AE2" s="12" t="s">
        <v>160</v>
      </c>
    </row>
    <row r="3" spans="1:33">
      <c r="A3" s="24" t="s">
        <v>42</v>
      </c>
      <c r="B3" s="24"/>
      <c r="C3" s="24" t="s">
        <v>95</v>
      </c>
      <c r="D3" s="24">
        <f>ROW()-2</f>
        <v>1</v>
      </c>
      <c r="E3" s="24" t="s">
        <v>44</v>
      </c>
      <c r="F3" s="24" t="s">
        <v>44</v>
      </c>
      <c r="G3" s="24" t="s">
        <v>44</v>
      </c>
      <c r="H3" s="24" t="s">
        <v>44</v>
      </c>
      <c r="J3" s="25" t="s">
        <v>44</v>
      </c>
      <c r="K3" s="25" t="s">
        <v>44</v>
      </c>
      <c r="M3">
        <v>1</v>
      </c>
      <c r="N3" s="29">
        <f>N4/3</f>
        <v>1.1111111111111112E-2</v>
      </c>
      <c r="P3" t="s">
        <v>95</v>
      </c>
      <c r="Q3" s="27" t="s">
        <v>44</v>
      </c>
      <c r="R3" s="27" t="s">
        <v>44</v>
      </c>
      <c r="S3" s="27" t="s">
        <v>44</v>
      </c>
      <c r="T3" s="27" t="s">
        <v>44</v>
      </c>
      <c r="U3" s="27" t="s">
        <v>44</v>
      </c>
      <c r="V3" s="27" t="s">
        <v>44</v>
      </c>
      <c r="W3" s="27" t="s">
        <v>44</v>
      </c>
      <c r="X3" s="27" t="s">
        <v>44</v>
      </c>
      <c r="Y3" s="27" t="s">
        <v>44</v>
      </c>
      <c r="Z3" s="27" t="s">
        <v>44</v>
      </c>
      <c r="AA3" s="27" t="s">
        <v>44</v>
      </c>
      <c r="AB3" s="27"/>
      <c r="AC3" t="str">
        <f t="shared" ref="AC3:AC13" si="0">IF(Z3&lt;&gt;"NA",VLOOKUP(Z3,$M$3:$N$5,2),"NA")</f>
        <v>NA</v>
      </c>
      <c r="AD3" t="str">
        <f>IF(Q12&lt;&gt;"NA",VLOOKUP(Q12,$M$3:$N$5,2),"NA")</f>
        <v>NA</v>
      </c>
      <c r="AE3" t="str">
        <f>IF(V3&lt;&gt;"NA",VLOOKUP(V3,$M$3:$N$5,2),"NA")</f>
        <v>NA</v>
      </c>
      <c r="AG3" t="str">
        <f>"tblS3.df &lt;- data.frame("&amp;CONCATENATE(P15, ", ", P16, ", ", P17, ", ", P18, ", ", P19, ", ", P20, ", ", P21, ", ", P22, ", ", P23, ", ", P24, ", ", P25, ", ", P26)&amp;")"</f>
        <v>tblS3.df &lt;- data.frame(NE = c(NA, NA, NA, NA, NA, NA, NA, NA, NA, NA, NA), OD = c(NA, NA, NA, NA, NA, NA, NA, NA, NA, 2, NA), AL = c(NA, NA, NA, NA, NA, NA, NA, NA, NA, NA, NA), OA = c(NA, NA, NA, NA, NA, NA, NA, NA, NA, 2, NA), BFN = c(NA, NA, NA, 1, NA, NA, NA, NA, NA, 2, NA), BFP = c(NA, NA, NA, 1, NA, NA, NA, NA, NA, 2, 1), FU = c(NA, NA, NA, NA, NA, NA, NA, NA, NA, 3, NA), LC = c(NA, NA, NA, NA, NA, NA, NA, NA, NA, 3, NA), BIB = c(NA, NA, NA, NA, NA, NA, NA, NA, NA, NA, NA), BIE = c(NA, 1, NA, 2, 2, 2, 2, 2, NA, 2, NA), CC = c(NA, NA, NA, NA, NA, NA, NA, NA, NA, 3, NA), row.names = c("NE", "OD", "AL", "OA", "BFN", "BFP", "FU", "LC", "BIB", "BIE", "CC"))</v>
      </c>
    </row>
    <row r="4" spans="1:33">
      <c r="A4" s="19" t="s">
        <v>38</v>
      </c>
      <c r="B4" s="19"/>
      <c r="C4" s="19" t="s">
        <v>97</v>
      </c>
      <c r="D4" s="19">
        <f>ROW()-2</f>
        <v>2</v>
      </c>
      <c r="E4" s="19" t="s">
        <v>104</v>
      </c>
      <c r="F4" s="20">
        <v>0.05</v>
      </c>
      <c r="G4" s="21">
        <v>0.1</v>
      </c>
      <c r="H4" s="20">
        <v>0.05</v>
      </c>
      <c r="J4" s="23" t="s">
        <v>44</v>
      </c>
      <c r="K4" s="23" t="s">
        <v>44</v>
      </c>
      <c r="M4">
        <v>2</v>
      </c>
      <c r="N4" s="29">
        <f>N5/3</f>
        <v>3.3333333333333333E-2</v>
      </c>
      <c r="P4" t="s">
        <v>97</v>
      </c>
      <c r="Q4" s="27" t="s">
        <v>44</v>
      </c>
      <c r="R4" s="27" t="s">
        <v>44</v>
      </c>
      <c r="S4" s="27" t="s">
        <v>44</v>
      </c>
      <c r="T4" s="27" t="s">
        <v>44</v>
      </c>
      <c r="U4" s="27" t="s">
        <v>44</v>
      </c>
      <c r="V4" s="27" t="s">
        <v>44</v>
      </c>
      <c r="W4" s="27" t="s">
        <v>44</v>
      </c>
      <c r="X4" s="27" t="s">
        <v>44</v>
      </c>
      <c r="Y4" s="27" t="s">
        <v>44</v>
      </c>
      <c r="Z4" s="27">
        <v>1</v>
      </c>
      <c r="AA4" s="27" t="s">
        <v>44</v>
      </c>
      <c r="AB4" s="27"/>
      <c r="AC4">
        <f t="shared" si="0"/>
        <v>1.1111111111111112E-2</v>
      </c>
      <c r="AD4">
        <f>IF(R12&lt;&gt;"NA",VLOOKUP(R12,$M$3:$N$5,2),"NA")</f>
        <v>3.3333333333333333E-2</v>
      </c>
      <c r="AE4" t="str">
        <f t="shared" ref="AE4:AE13" si="1">IF(V4&lt;&gt;"NA",VLOOKUP(V4,$M$3:$N$5,2),"NA")</f>
        <v>NA</v>
      </c>
      <c r="AG4" t="str">
        <f>"labels &lt;- c("&amp;CHAR(34)&amp;A3&amp;CHAR(34)&amp;", "&amp;CHAR(34)&amp;A4&amp;CHAR(34)&amp;", "&amp;CHAR(34)&amp;A5&amp;CHAR(34)&amp;", "&amp;CHAR(34)&amp;A6&amp;CHAR(34)&amp;", "&amp;CHAR(34)&amp;A7&amp;CHAR(34)&amp;", "&amp;CHAR(34)&amp;A9&amp;CHAR(34)&amp;", "&amp;CHAR(34)&amp;A10&amp;CHAR(34)&amp;", "&amp;CHAR(34)&amp;A11&amp;CHAR(34)&amp;", "&amp;CHAR(34)&amp;A13&amp;CHAR(34)&amp;") # Major labels for bars"</f>
        <v>labels &lt;- c("Novel entities", "Stratospheric ozone depletion", "Atmospheric aerosol loading", "Ocean acidification", "Biogeochemical flows", "Freshwater use", "Land system change", "Biosphere Integrity", "Climate change") # Major labels for bars</v>
      </c>
    </row>
    <row r="5" spans="1:33">
      <c r="A5" s="24" t="s">
        <v>43</v>
      </c>
      <c r="B5" s="24"/>
      <c r="C5" s="24" t="s">
        <v>96</v>
      </c>
      <c r="D5" s="24">
        <f t="shared" ref="D5:D13" si="2">ROW()-2</f>
        <v>3</v>
      </c>
      <c r="E5" s="24" t="s">
        <v>44</v>
      </c>
      <c r="F5" s="24" t="s">
        <v>44</v>
      </c>
      <c r="G5" s="24" t="s">
        <v>44</v>
      </c>
      <c r="H5" s="24" t="s">
        <v>44</v>
      </c>
      <c r="J5" s="25" t="s">
        <v>44</v>
      </c>
      <c r="K5" s="25" t="s">
        <v>44</v>
      </c>
      <c r="M5" s="8">
        <v>3</v>
      </c>
      <c r="N5" s="30">
        <v>0.1</v>
      </c>
      <c r="P5" t="s">
        <v>96</v>
      </c>
      <c r="Q5" s="27" t="s">
        <v>44</v>
      </c>
      <c r="R5" s="27" t="s">
        <v>44</v>
      </c>
      <c r="S5" s="27" t="s">
        <v>44</v>
      </c>
      <c r="T5" s="27" t="s">
        <v>44</v>
      </c>
      <c r="U5" s="27" t="s">
        <v>44</v>
      </c>
      <c r="V5" s="27" t="s">
        <v>44</v>
      </c>
      <c r="W5" s="27" t="s">
        <v>44</v>
      </c>
      <c r="X5" s="27" t="s">
        <v>44</v>
      </c>
      <c r="Y5" s="27" t="s">
        <v>44</v>
      </c>
      <c r="Z5" s="27" t="s">
        <v>44</v>
      </c>
      <c r="AA5" s="27" t="s">
        <v>44</v>
      </c>
      <c r="AB5" s="27"/>
      <c r="AC5" t="str">
        <f t="shared" si="0"/>
        <v>NA</v>
      </c>
      <c r="AD5" t="str">
        <f>IF(S12&lt;&gt;"NA",VLOOKUP(S12,$M$3:$N$5,2),"NA")</f>
        <v>NA</v>
      </c>
      <c r="AE5" t="str">
        <f t="shared" si="1"/>
        <v>NA</v>
      </c>
      <c r="AG5" t="str">
        <f>"sub.labels &lt;- c(NA, NA, NA, NA, "&amp;CHAR(34)&amp;B7&amp;";"&amp;B8&amp;CHAR(34)&amp;", NA, NA, "&amp;CHAR(34)&amp;B11&amp;";"&amp;B12&amp;CHAR(34)&amp;", NA) # Sub-lables for split bars"</f>
        <v>sub.labels &lt;- c(NA, NA, NA, NA, "N;P", NA, NA, "BII;E/MSY", NA) # Sub-lables for split bars</v>
      </c>
    </row>
    <row r="6" spans="1:33">
      <c r="A6" s="19" t="s">
        <v>39</v>
      </c>
      <c r="B6" s="19"/>
      <c r="C6" s="19" t="s">
        <v>94</v>
      </c>
      <c r="D6" s="19">
        <f t="shared" si="2"/>
        <v>4</v>
      </c>
      <c r="E6" s="19" t="s">
        <v>40</v>
      </c>
      <c r="F6" s="21">
        <v>0.8</v>
      </c>
      <c r="G6" s="21">
        <v>0.7</v>
      </c>
      <c r="H6" s="22">
        <v>0.84</v>
      </c>
      <c r="J6" s="23">
        <f>Settings!$B$45</f>
        <v>2.0707093858320822</v>
      </c>
      <c r="K6" s="23" t="s">
        <v>111</v>
      </c>
      <c r="P6" t="s">
        <v>94</v>
      </c>
      <c r="Q6" s="27" t="s">
        <v>44</v>
      </c>
      <c r="R6" s="27" t="s">
        <v>44</v>
      </c>
      <c r="S6" s="27" t="s">
        <v>44</v>
      </c>
      <c r="T6" s="27" t="s">
        <v>44</v>
      </c>
      <c r="U6" s="27">
        <v>1</v>
      </c>
      <c r="V6" s="27">
        <v>1</v>
      </c>
      <c r="W6" s="27" t="s">
        <v>44</v>
      </c>
      <c r="X6" s="27" t="s">
        <v>44</v>
      </c>
      <c r="Y6" s="27" t="s">
        <v>44</v>
      </c>
      <c r="Z6" s="27">
        <v>2</v>
      </c>
      <c r="AA6" s="27" t="s">
        <v>44</v>
      </c>
      <c r="AB6" s="27"/>
      <c r="AC6">
        <f t="shared" si="0"/>
        <v>3.3333333333333333E-2</v>
      </c>
      <c r="AD6">
        <f>IF(T12&lt;&gt;"NA",VLOOKUP(T12,$M$3:$N$5,2),"NA")</f>
        <v>3.3333333333333333E-2</v>
      </c>
      <c r="AE6">
        <f>IF(V6&lt;&gt;"NA",2*VLOOKUP(V6,$M$3:$N$5,2),"NA")</f>
        <v>2.2222222222222223E-2</v>
      </c>
      <c r="AG6" t="str">
        <f>"labelsfull &lt;- c("&amp;CHAR(34)&amp;A3&amp;CHAR(34)&amp;", "&amp;CHAR(34)&amp;A4&amp;CHAR(34)&amp;", "&amp;CHAR(34)&amp;A5&amp;CHAR(34)&amp;", "&amp;CHAR(34)&amp;A6&amp;CHAR(34)&amp;", "&amp;CHAR(34)&amp;A7&amp;" ("&amp;B7&amp;")"&amp;CHAR(34)&amp;", "&amp;CHAR(34)&amp;A7&amp;" ("&amp;B8&amp;")"&amp;CHAR(34)&amp;", "&amp;CHAR(34)&amp;A9&amp;CHAR(34)&amp;", "&amp;CHAR(34)&amp;A10&amp;CHAR(34)&amp;", "&amp;CHAR(34)&amp;A11&amp;" ("&amp;B11&amp;")"&amp;CHAR(34)&amp;", "&amp;CHAR(34)&amp;A11&amp;" ("&amp;B12&amp;")"&amp;CHAR(34)&amp;", "&amp;CHAR(34)&amp;A13&amp;CHAR(34)&amp;") # Fully expanded labels for bars"</f>
        <v>labelsfull &lt;- c("Novel entities", "Stratospheric ozone depletion", "Atmospheric aerosol loading", "Ocean acidification", "Biogeochemical flows (N)", "Biogeochemical flows (P)", "Freshwater use", "Land system change", "Biosphere Integrity (BII)", "Biosphere Integrity (E/MSY)", "Climate change") # Fully expanded labels for bars</v>
      </c>
    </row>
    <row r="7" spans="1:33">
      <c r="A7" s="24" t="s">
        <v>36</v>
      </c>
      <c r="B7" s="24" t="s">
        <v>10</v>
      </c>
      <c r="C7" s="24" t="s">
        <v>92</v>
      </c>
      <c r="D7" s="24">
        <f t="shared" si="2"/>
        <v>5</v>
      </c>
      <c r="E7" s="24" t="s">
        <v>102</v>
      </c>
      <c r="F7" s="24">
        <v>62</v>
      </c>
      <c r="G7" s="26">
        <v>82</v>
      </c>
      <c r="H7" s="26">
        <v>150</v>
      </c>
      <c r="J7" s="25" t="s">
        <v>44</v>
      </c>
      <c r="K7" s="25" t="s">
        <v>44</v>
      </c>
      <c r="O7" s="8"/>
      <c r="P7" t="s">
        <v>92</v>
      </c>
      <c r="Q7" s="27" t="s">
        <v>44</v>
      </c>
      <c r="R7" s="27" t="s">
        <v>44</v>
      </c>
      <c r="S7" s="27" t="s">
        <v>44</v>
      </c>
      <c r="T7" s="27" t="s">
        <v>44</v>
      </c>
      <c r="U7" s="27" t="s">
        <v>44</v>
      </c>
      <c r="V7" s="27" t="s">
        <v>44</v>
      </c>
      <c r="W7" s="27" t="s">
        <v>44</v>
      </c>
      <c r="X7" s="27" t="s">
        <v>44</v>
      </c>
      <c r="Y7" s="27" t="s">
        <v>44</v>
      </c>
      <c r="Z7" s="27">
        <v>2</v>
      </c>
      <c r="AA7" s="27" t="s">
        <v>44</v>
      </c>
      <c r="AB7" s="27"/>
      <c r="AC7">
        <f t="shared" si="0"/>
        <v>3.3333333333333333E-2</v>
      </c>
      <c r="AD7">
        <f>IF(U12&lt;&gt;"NA",VLOOKUP(U12,$M$3:$N$5,2),"NA")</f>
        <v>3.3333333333333333E-2</v>
      </c>
      <c r="AE7" t="str">
        <f t="shared" si="1"/>
        <v>NA</v>
      </c>
      <c r="AG7" t="str">
        <f>"fact.ct &lt;- "&amp;Settings!I70&amp;" # number of factors in bar"</f>
        <v>fact.ct &lt;-  # number of factors in bar</v>
      </c>
    </row>
    <row r="8" spans="1:33">
      <c r="A8" s="24" t="s">
        <v>36</v>
      </c>
      <c r="B8" s="24" t="s">
        <v>12</v>
      </c>
      <c r="C8" s="24" t="s">
        <v>91</v>
      </c>
      <c r="D8" s="24">
        <f t="shared" si="2"/>
        <v>6</v>
      </c>
      <c r="E8" s="24" t="s">
        <v>101</v>
      </c>
      <c r="F8" s="24">
        <v>6.2</v>
      </c>
      <c r="G8" s="26">
        <v>11.2</v>
      </c>
      <c r="H8" s="26">
        <v>14</v>
      </c>
      <c r="J8" s="25" t="s">
        <v>44</v>
      </c>
      <c r="K8" s="25" t="s">
        <v>44</v>
      </c>
      <c r="M8" s="8"/>
      <c r="N8" s="8"/>
      <c r="O8" s="8"/>
      <c r="P8" t="s">
        <v>91</v>
      </c>
      <c r="Q8" s="27" t="s">
        <v>44</v>
      </c>
      <c r="R8" s="27" t="s">
        <v>44</v>
      </c>
      <c r="S8" s="27" t="s">
        <v>44</v>
      </c>
      <c r="T8" s="27" t="s">
        <v>44</v>
      </c>
      <c r="U8" s="27" t="s">
        <v>44</v>
      </c>
      <c r="V8" s="27" t="s">
        <v>44</v>
      </c>
      <c r="W8" s="27" t="s">
        <v>44</v>
      </c>
      <c r="X8" s="27" t="s">
        <v>44</v>
      </c>
      <c r="Y8" s="27" t="s">
        <v>44</v>
      </c>
      <c r="Z8" s="27">
        <v>2</v>
      </c>
      <c r="AA8" s="27" t="s">
        <v>44</v>
      </c>
      <c r="AB8" s="27"/>
      <c r="AC8">
        <f t="shared" si="0"/>
        <v>3.3333333333333333E-2</v>
      </c>
      <c r="AD8">
        <f>IF(V12&lt;&gt;"NA",VLOOKUP(V12,$M$3:$N$5,2),"NA")</f>
        <v>3.3333333333333333E-2</v>
      </c>
      <c r="AE8" t="str">
        <f t="shared" si="1"/>
        <v>NA</v>
      </c>
      <c r="AG8" t="str">
        <f>"Vzl &lt;- c("&amp;F3&amp;", "&amp;F4&amp;", "&amp;F5&amp;", "&amp;F6&amp;", "&amp;F7&amp;", "&amp;F8&amp;", "&amp;F9&amp;", "&amp;F10&amp;", "&amp;F11&amp;", "&amp;F12&amp;", "&amp;F13&amp;") # ZOC low"</f>
        <v>Vzl &lt;- c(NA, 0.05, NA, 0.8, 62, 6.2, 4000, 0.75, 10, 10, 350) # ZOC low</v>
      </c>
    </row>
    <row r="9" spans="1:33">
      <c r="A9" s="19" t="s">
        <v>37</v>
      </c>
      <c r="B9" s="19"/>
      <c r="C9" s="19" t="s">
        <v>93</v>
      </c>
      <c r="D9" s="19">
        <f t="shared" si="2"/>
        <v>7</v>
      </c>
      <c r="E9" s="19" t="s">
        <v>103</v>
      </c>
      <c r="F9" s="19">
        <v>4000</v>
      </c>
      <c r="G9" s="22">
        <v>6000</v>
      </c>
      <c r="H9" s="22">
        <v>2600</v>
      </c>
      <c r="J9" s="23" t="s">
        <v>44</v>
      </c>
      <c r="K9" s="23" t="s">
        <v>44</v>
      </c>
      <c r="M9" s="8"/>
      <c r="N9" s="8"/>
      <c r="O9" s="8"/>
      <c r="P9" t="s">
        <v>93</v>
      </c>
      <c r="Q9" s="27" t="s">
        <v>44</v>
      </c>
      <c r="R9" s="27" t="s">
        <v>44</v>
      </c>
      <c r="S9" s="27" t="s">
        <v>44</v>
      </c>
      <c r="T9" s="27" t="s">
        <v>44</v>
      </c>
      <c r="U9" s="27" t="s">
        <v>44</v>
      </c>
      <c r="V9" s="27" t="s">
        <v>44</v>
      </c>
      <c r="W9" s="27" t="s">
        <v>44</v>
      </c>
      <c r="X9" s="27" t="s">
        <v>44</v>
      </c>
      <c r="Y9" s="27" t="s">
        <v>44</v>
      </c>
      <c r="Z9" s="27">
        <v>2</v>
      </c>
      <c r="AA9" s="27" t="s">
        <v>44</v>
      </c>
      <c r="AB9" s="27"/>
      <c r="AC9">
        <f t="shared" si="0"/>
        <v>3.3333333333333333E-2</v>
      </c>
      <c r="AD9">
        <f>IF(W12&lt;&gt;"NA",VLOOKUP(W12,$M$3:$N$5,2),"NA")</f>
        <v>0.1</v>
      </c>
      <c r="AE9" t="str">
        <f t="shared" si="1"/>
        <v>NA</v>
      </c>
      <c r="AG9" t="str">
        <f>"Vzh &lt;- c("&amp;G3&amp;", "&amp;G4&amp;", "&amp;G5&amp;", "&amp;G6&amp;", "&amp;G7&amp;", "&amp;G8&amp;", "&amp;G9&amp;", "&amp;G10&amp;", "&amp;G11&amp;", "&amp;G12&amp;", "&amp;G13&amp;") # ZOX high"</f>
        <v>Vzh &lt;- c(NA, 0.1, NA, 0.7, 82, 11.2, 6000, 0.54, 100, 100, 450) # ZOX high</v>
      </c>
    </row>
    <row r="10" spans="1:33">
      <c r="A10" s="24" t="s">
        <v>41</v>
      </c>
      <c r="B10" s="24"/>
      <c r="C10" s="24" t="s">
        <v>98</v>
      </c>
      <c r="D10" s="24">
        <f t="shared" si="2"/>
        <v>8</v>
      </c>
      <c r="E10" s="24" t="s">
        <v>105</v>
      </c>
      <c r="F10" s="24">
        <v>0.75</v>
      </c>
      <c r="G10" s="26">
        <v>0.54</v>
      </c>
      <c r="H10" s="26">
        <v>0.62</v>
      </c>
      <c r="J10" s="25" t="s">
        <v>44</v>
      </c>
      <c r="K10" s="25" t="s">
        <v>44</v>
      </c>
      <c r="M10" s="8"/>
      <c r="N10" s="8"/>
      <c r="O10" s="8"/>
      <c r="P10" t="s">
        <v>98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>
        <v>2</v>
      </c>
      <c r="AA10" s="27" t="s">
        <v>44</v>
      </c>
      <c r="AB10" s="27"/>
      <c r="AC10">
        <f t="shared" si="0"/>
        <v>3.3333333333333333E-2</v>
      </c>
      <c r="AD10">
        <f>IF(X12&lt;&gt;"NA",VLOOKUP(X12,$M$3:$N$5,2),"NA")</f>
        <v>0.1</v>
      </c>
      <c r="AE10" t="str">
        <f t="shared" si="1"/>
        <v>NA</v>
      </c>
      <c r="AG10" t="str">
        <f>"Vr &lt;- c("&amp;J3&amp;", "&amp;J4&amp;", "&amp;J5&amp;", "&amp;J6&amp;", "&amp;J7&amp;", "&amp;J8&amp;", "&amp;J9&amp;", "&amp;J10&amp;", "&amp;J11&amp;", "&amp;J12&amp;", "&amp;J13&amp;") # Rates of change"</f>
        <v>Vr &lt;- c(NA, NA, NA, 2.07070938583208, NA, NA, NA, NA, NA, NA, 2.07070938583208) # Rates of change</v>
      </c>
    </row>
    <row r="11" spans="1:33">
      <c r="A11" s="19" t="s">
        <v>156</v>
      </c>
      <c r="B11" s="19" t="s">
        <v>158</v>
      </c>
      <c r="C11" s="19" t="s">
        <v>163</v>
      </c>
      <c r="D11" s="19">
        <f t="shared" si="2"/>
        <v>9</v>
      </c>
      <c r="E11" s="19" t="s">
        <v>112</v>
      </c>
      <c r="F11" s="19">
        <v>10</v>
      </c>
      <c r="G11" s="22">
        <v>100</v>
      </c>
      <c r="H11" s="22" t="s">
        <v>44</v>
      </c>
      <c r="J11" s="23" t="s">
        <v>44</v>
      </c>
      <c r="K11" s="23" t="s">
        <v>44</v>
      </c>
      <c r="M11" s="8"/>
      <c r="N11" s="8"/>
      <c r="O11" s="8"/>
      <c r="P11" t="s">
        <v>163</v>
      </c>
      <c r="Q11" s="27" t="s">
        <v>44</v>
      </c>
      <c r="R11" s="27" t="s">
        <v>44</v>
      </c>
      <c r="S11" s="27" t="s">
        <v>44</v>
      </c>
      <c r="T11" s="27" t="s">
        <v>44</v>
      </c>
      <c r="U11" s="27" t="s">
        <v>44</v>
      </c>
      <c r="V11" s="27" t="s">
        <v>44</v>
      </c>
      <c r="W11" s="27" t="s">
        <v>44</v>
      </c>
      <c r="X11" s="27" t="s">
        <v>44</v>
      </c>
      <c r="Y11" s="27" t="s">
        <v>44</v>
      </c>
      <c r="Z11" s="27" t="s">
        <v>44</v>
      </c>
      <c r="AA11" s="27" t="s">
        <v>44</v>
      </c>
      <c r="AB11" s="27"/>
      <c r="AC11" t="str">
        <f t="shared" si="0"/>
        <v>NA</v>
      </c>
      <c r="AD11" t="str">
        <f>IF(Y12&lt;&gt;"NA",VLOOKUP(Y12,$M$3:$N$5,2),"NA")</f>
        <v>NA</v>
      </c>
      <c r="AE11" t="str">
        <f t="shared" si="1"/>
        <v>NA</v>
      </c>
      <c r="AG11" t="str">
        <f>"Vo &lt;- c("&amp;H3&amp;", "&amp;H4&amp;", "&amp;H5&amp;", "&amp;H6&amp;", "&amp;H7&amp;", "&amp;H8&amp;", "&amp;H9&amp;", "&amp;H10&amp;", "&amp;H11&amp;", "&amp;H12&amp;", "&amp;H13&amp;") # Original boundary status"</f>
        <v>Vo &lt;- c(NA, 0.05, NA, 0.84, 150, 14, 2600, 0.62, NA, 200, 396.5) # Original boundary status</v>
      </c>
    </row>
    <row r="12" spans="1:33">
      <c r="A12" s="19" t="s">
        <v>156</v>
      </c>
      <c r="B12" s="19" t="s">
        <v>159</v>
      </c>
      <c r="C12" s="19" t="s">
        <v>147</v>
      </c>
      <c r="D12" s="19">
        <f t="shared" si="2"/>
        <v>10</v>
      </c>
      <c r="E12" s="19" t="s">
        <v>106</v>
      </c>
      <c r="F12" s="19">
        <f t="shared" ref="F12:G12" si="3">F11</f>
        <v>10</v>
      </c>
      <c r="G12" s="22">
        <f t="shared" si="3"/>
        <v>100</v>
      </c>
      <c r="H12" s="22">
        <v>200</v>
      </c>
      <c r="J12" s="23" t="s">
        <v>44</v>
      </c>
      <c r="K12" s="23" t="s">
        <v>44</v>
      </c>
      <c r="M12" s="8"/>
      <c r="N12" s="8"/>
      <c r="O12" s="8"/>
      <c r="P12" t="s">
        <v>147</v>
      </c>
      <c r="Q12" s="27" t="s">
        <v>44</v>
      </c>
      <c r="R12" s="27">
        <v>2</v>
      </c>
      <c r="S12" s="27" t="s">
        <v>44</v>
      </c>
      <c r="T12" s="27">
        <v>2</v>
      </c>
      <c r="U12" s="27">
        <v>2</v>
      </c>
      <c r="V12" s="27">
        <v>2</v>
      </c>
      <c r="W12" s="27">
        <v>3</v>
      </c>
      <c r="X12" s="27">
        <v>3</v>
      </c>
      <c r="Y12" s="27" t="s">
        <v>44</v>
      </c>
      <c r="Z12" s="27">
        <v>2</v>
      </c>
      <c r="AA12" s="27">
        <v>3</v>
      </c>
      <c r="AB12" s="27"/>
      <c r="AC12">
        <f t="shared" si="0"/>
        <v>3.3333333333333333E-2</v>
      </c>
      <c r="AD12">
        <f>IF(Z12&lt;&gt;"NA",VLOOKUP(Z12,$M$3:$N$5,2),"NA")</f>
        <v>3.3333333333333333E-2</v>
      </c>
      <c r="AE12">
        <f t="shared" si="1"/>
        <v>3.3333333333333333E-2</v>
      </c>
      <c r="AG12" t="str">
        <f>"CO2.base &lt;- "&amp;Settings!B47&amp;" # ppm"</f>
        <v>CO2.base &lt;- 410 # ppm</v>
      </c>
    </row>
    <row r="13" spans="1:33">
      <c r="A13" s="24" t="s">
        <v>35</v>
      </c>
      <c r="B13" s="24"/>
      <c r="C13" s="24" t="s">
        <v>90</v>
      </c>
      <c r="D13" s="24">
        <f t="shared" si="2"/>
        <v>11</v>
      </c>
      <c r="E13" s="24" t="s">
        <v>100</v>
      </c>
      <c r="F13" s="24">
        <v>350</v>
      </c>
      <c r="G13" s="26">
        <v>450</v>
      </c>
      <c r="H13" s="26">
        <v>396.5</v>
      </c>
      <c r="J13" s="25">
        <f>Settings!B45</f>
        <v>2.0707093858320822</v>
      </c>
      <c r="K13" s="25" t="str">
        <f>Settings!C45</f>
        <v>ppm yr-1</v>
      </c>
      <c r="M13" s="8"/>
      <c r="N13" s="8"/>
      <c r="O13" s="8"/>
      <c r="P13" t="s">
        <v>90</v>
      </c>
      <c r="Q13" s="27" t="s">
        <v>44</v>
      </c>
      <c r="R13" s="27" t="s">
        <v>44</v>
      </c>
      <c r="S13" s="27" t="s">
        <v>44</v>
      </c>
      <c r="T13" s="27" t="s">
        <v>44</v>
      </c>
      <c r="U13" s="27" t="s">
        <v>44</v>
      </c>
      <c r="V13" s="27">
        <v>1</v>
      </c>
      <c r="W13" s="27" t="s">
        <v>44</v>
      </c>
      <c r="X13" s="27" t="s">
        <v>44</v>
      </c>
      <c r="Y13" s="27" t="s">
        <v>44</v>
      </c>
      <c r="Z13" s="27" t="s">
        <v>44</v>
      </c>
      <c r="AA13" s="27" t="s">
        <v>44</v>
      </c>
      <c r="AB13" s="27"/>
      <c r="AC13" t="str">
        <f t="shared" si="0"/>
        <v>NA</v>
      </c>
      <c r="AD13">
        <f>IF(AA12&lt;&gt;"NA",VLOOKUP(AA12,$M$3:$N$5,2),"NA")</f>
        <v>0.1</v>
      </c>
      <c r="AE13">
        <f t="shared" si="1"/>
        <v>1.1111111111111112E-2</v>
      </c>
      <c r="AG13" t="str">
        <f>"CO2.rate &lt;- "&amp;Settings!B45&amp;" # ppm yr^-1"</f>
        <v>CO2.rate &lt;- 2.07070938583208 # ppm yr^-1</v>
      </c>
    </row>
    <row r="14" spans="1:33">
      <c r="M14" s="8"/>
      <c r="N14" s="8"/>
      <c r="O14" s="8"/>
      <c r="AG14" s="8" t="str">
        <f>"Vbf &lt;- c("&amp;AC3&amp;", "&amp;AC4&amp;", "&amp;AC5&amp;", "&amp;AC6&amp;", "&amp;AC7&amp;", "&amp;AC8&amp;", "&amp;AC9&amp;", "&amp;AC10&amp;", "&amp;AC11&amp;", "&amp;AC12&amp;", "&amp;AC13&amp;") # Effect of biosphere integrity ON boundaries"</f>
        <v>Vbf &lt;- c(NA, 0.0111111111111111, NA, 0.0333333333333333, 0.0333333333333333, 0.0333333333333333, 0.0333333333333333, 0.0333333333333333, NA, 0.0333333333333333, NA) # Effect of biosphere integrity ON boundaries</v>
      </c>
    </row>
    <row r="15" spans="1:33">
      <c r="P15" t="str">
        <f>Q2&amp;" = "&amp;CONCATENATE("c(",Q3,", ",Q4,", ",Q5,", ",Q6,", ",Q7,", ",Q8,", ",Q9,", ",Q10,", ",Q11,", ",Q12,", ",Q13, ")")</f>
        <v>NE = c(NA, NA, NA, NA, NA, NA, NA, NA, NA, NA, NA)</v>
      </c>
      <c r="AG15" s="8" t="str">
        <f>"Vbr &lt;- c("&amp;AD3&amp;", "&amp;AD4&amp;", "&amp;AD5&amp;", "&amp;AD6&amp;", "&amp;AD7&amp;", "&amp;AD8&amp;", "&amp;AD9&amp;", "&amp;AD10&amp;", "&amp;AD11&amp;", "&amp;AD12&amp;", "&amp;AD13&amp;") # Effect of boundaries ON biosphere integrity"</f>
        <v>Vbr &lt;- c(NA, 0.0333333333333333, NA, 0.0333333333333333, 0.0333333333333333, 0.0333333333333333, 0.1, 0.1, NA, 0.0333333333333333, 0.1) # Effect of boundaries ON biosphere integrity</v>
      </c>
    </row>
    <row r="16" spans="1:33">
      <c r="P16" t="str">
        <f>R2&amp;" = "&amp;CONCATENATE("c(",R3,", ",R4,", ",R5,", ",R6,", ",R7,", ",R8,", ",R9,", ",R10,", ",R11,", ",R12,", ",R13, ")")</f>
        <v>OD = c(NA, NA, NA, NA, NA, NA, NA, NA, NA, 2, NA)</v>
      </c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G16" t="str">
        <f>"Vnpf &lt;- c("&amp;AE3&amp;", "&amp;AE4&amp;", "&amp;AE5&amp;", "&amp;AE6&amp;", "&amp;AE7&amp;", "&amp;AE8&amp;", "&amp;AE9&amp;", "&amp;AE10&amp;", "&amp;AE11&amp;", "&amp;AE12&amp;", "&amp;AE13&amp;") # Effect of N&amp;P boundaries on climate change, ocean acidification, and biosphere integrity"</f>
        <v>Vnpf &lt;- c(NA, NA, NA, 0.0222222222222222, NA, NA, NA, NA, NA, 0.0333333333333333, 0.0111111111111111) # Effect of N&amp;P boundaries on climate change, ocean acidification, and biosphere integrity</v>
      </c>
    </row>
    <row r="17" spans="1:33">
      <c r="P17" t="str">
        <f>S2&amp;" = "&amp;CONCATENATE("c(",S3,", ",S4,", ",S5,", ",S6,", ",S7,", ",S8,", ",S9,", ",S10,", ",S11,", ",S12,", ",S13, ")")</f>
        <v>AL = c(NA, NA, NA, NA, NA, NA, NA, NA, NA, NA, NA)</v>
      </c>
      <c r="AG17" s="8"/>
    </row>
    <row r="18" spans="1:33">
      <c r="P18" t="str">
        <f>T2&amp;" = "&amp;CONCATENATE("c(",T3,", ",T4,", ",T5,", ",T6,", ",T7,", ",T8,", ",T9,", ",T10,", ",T11,", ",T12,", ",T13, ")")</f>
        <v>OA = c(NA, NA, NA, NA, NA, NA, NA, NA, NA, 2, NA)</v>
      </c>
      <c r="AG18" s="8"/>
    </row>
    <row r="19" spans="1:33">
      <c r="P19" t="str">
        <f>U2&amp;" = "&amp;CONCATENATE("c(",U3,", ",U4,", ",U5,", ",U6,", ",U7,", ",U8,", ",U9,", ",U10,", ",U11,", ",U12,", ",U13, ")")</f>
        <v>BFN = c(NA, NA, NA, 1, NA, NA, NA, NA, NA, 2, NA)</v>
      </c>
      <c r="AG19" s="8"/>
    </row>
    <row r="20" spans="1:33">
      <c r="A20" s="8"/>
      <c r="B20" s="8"/>
      <c r="G20" s="8"/>
      <c r="H20" s="8"/>
      <c r="J20" s="8"/>
      <c r="K20" s="8"/>
      <c r="P20" t="str">
        <f>V2&amp;" = "&amp;CONCATENATE("c(",V3,", ",V4,", ",V5,", ",V6,", ",V7,", ",V8,", ",V9,", ",V10,", ",V11,", ",V12,", ",V13, ")")</f>
        <v>BFP = c(NA, NA, NA, 1, NA, NA, NA, NA, NA, 2, 1)</v>
      </c>
      <c r="AG20" s="8"/>
    </row>
    <row r="21" spans="1:33">
      <c r="A21" s="8"/>
      <c r="B21" s="8"/>
      <c r="G21" s="8"/>
      <c r="H21" s="8"/>
      <c r="J21" s="8"/>
      <c r="K21" s="8"/>
      <c r="P21" t="str">
        <f>W2&amp;" = "&amp;CONCATENATE("c(",W3,", ",W4,", ",W5,", ",W6,", ",W7,", ",W8,", ",W9,", ",W10,", ",W11,", ",W12,", ",W13, ")")</f>
        <v>FU = c(NA, NA, NA, NA, NA, NA, NA, NA, NA, 3, NA)</v>
      </c>
      <c r="AG21" s="8"/>
    </row>
    <row r="22" spans="1:33">
      <c r="A22" s="8"/>
      <c r="B22" s="8"/>
      <c r="G22" s="8"/>
      <c r="H22" s="8"/>
      <c r="J22" s="8"/>
      <c r="K22" s="8"/>
      <c r="P22" t="str">
        <f>X2&amp;" = "&amp;CONCATENATE("c(",X3,", ",X4,", ",X5,", ",X6,", ",X7,", ",X8,", ",X9,", ",X10,", ",X11,", ",X12,", ",X13, ")")</f>
        <v>LC = c(NA, NA, NA, NA, NA, NA, NA, NA, NA, 3, NA)</v>
      </c>
    </row>
    <row r="23" spans="1:33">
      <c r="A23" s="8"/>
      <c r="B23" s="8"/>
      <c r="G23" s="8"/>
      <c r="H23" s="8"/>
      <c r="J23" s="8"/>
      <c r="K23" s="8"/>
      <c r="P23" t="str">
        <f>Y2&amp;" = "&amp;CONCATENATE("c(",Y3,", ",Y4,", ",Y5,", ",Y6,", ",Y7,", ",Y8,", ",Y9,", ",Y10,", ",Y11,", ",Y12,", ",Y13, ")")</f>
        <v>BIB = c(NA, NA, NA, NA, NA, NA, NA, NA, NA, NA, NA)</v>
      </c>
    </row>
    <row r="24" spans="1:33">
      <c r="A24" s="8"/>
      <c r="B24" s="8"/>
      <c r="F24" s="8"/>
      <c r="G24" s="8"/>
      <c r="H24" s="8"/>
      <c r="J24" s="8"/>
      <c r="K24" s="8"/>
      <c r="P24" s="8" t="str">
        <f>Z2&amp;" = "&amp;CONCATENATE("c(",Z3,", ",Z4,", ",Z5,", ",Z6,", ",Z7,", ",Z8,", ",Z9,", ",Z10,", ",Z11,", ",Z12,", ",Z13, ")")</f>
        <v>BIE = c(NA, 1, NA, 2, 2, 2, 2, 2, NA, 2, NA)</v>
      </c>
    </row>
    <row r="25" spans="1:33">
      <c r="A25" s="8"/>
      <c r="B25" s="8"/>
      <c r="D25" s="8"/>
      <c r="F25" s="8"/>
      <c r="G25" s="8"/>
      <c r="H25" s="8"/>
      <c r="J25" s="8"/>
      <c r="K25" s="8"/>
      <c r="P25" s="8" t="str">
        <f>AA2&amp;" = "&amp;CONCATENATE("c(",AA3,", ",AA4,", ",AA5,", ",AA6,", ",AA7,", ",AA8,", ",AA9,", ",AA10,", ",AA11,", ",AA12,", ",AA13, ")")</f>
        <v>CC = c(NA, NA, NA, NA, NA, NA, NA, NA, NA, 3, NA)</v>
      </c>
    </row>
    <row r="26" spans="1:33">
      <c r="A26" s="8"/>
      <c r="B26" s="8"/>
      <c r="D26" s="8"/>
      <c r="F26" s="8"/>
      <c r="G26" s="8"/>
      <c r="H26" s="8"/>
      <c r="J26" s="8"/>
      <c r="K26" s="8"/>
      <c r="P26" t="str">
        <f>"row.names = c("&amp;CONCATENATE(CHAR(34), P3, CHAR(34), ", ", CHAR(34), P4, CHAR(34), ", ", CHAR(34), P5, CHAR(34), ", ", CHAR(34), P6, CHAR(34), ", ", CHAR(34), P7, CHAR(34), ", ", CHAR(34), P8, CHAR(34), ", ", CHAR(34), P9, CHAR(34), ", ", CHAR(34), P10, CHAR(34), ", ", CHAR(34), P11, CHAR(34), ", ", CHAR(34), P12, CHAR(34), ", ", CHAR(34), P13, CHAR(34), )&amp;")"</f>
        <v>row.names = c("NE", "OD", "AL", "OA", "BFN", "BFP", "FU", "LC", "BIB", "BIE", "CC")</v>
      </c>
    </row>
    <row r="27" spans="1:33" s="8" customFormat="1">
      <c r="C27"/>
      <c r="E27"/>
      <c r="I27"/>
    </row>
    <row r="28" spans="1:33" s="8" customFormat="1">
      <c r="C28"/>
      <c r="E28"/>
      <c r="F28"/>
      <c r="G28"/>
      <c r="H28"/>
      <c r="I28"/>
      <c r="J28"/>
      <c r="K28"/>
    </row>
    <row r="29" spans="1:33" s="8" customFormat="1">
      <c r="A29"/>
      <c r="B29"/>
      <c r="C29"/>
      <c r="E29"/>
      <c r="F29"/>
      <c r="G29"/>
      <c r="H29"/>
      <c r="I29"/>
      <c r="J29"/>
      <c r="K29"/>
    </row>
    <row r="30" spans="1:33" s="8" customFormat="1">
      <c r="A30"/>
      <c r="B30"/>
      <c r="C30"/>
      <c r="E30"/>
      <c r="F30"/>
      <c r="G30"/>
      <c r="H30"/>
      <c r="I30"/>
      <c r="J30"/>
      <c r="K30"/>
    </row>
    <row r="31" spans="1:33" s="8" customFormat="1">
      <c r="A31"/>
      <c r="B31"/>
      <c r="C31"/>
      <c r="E31"/>
      <c r="F31"/>
      <c r="G31"/>
      <c r="H31"/>
      <c r="I31"/>
      <c r="J31"/>
      <c r="K31"/>
    </row>
    <row r="32" spans="1:33" s="8" customFormat="1">
      <c r="A32"/>
      <c r="B32"/>
      <c r="C32"/>
      <c r="E32"/>
      <c r="F32"/>
      <c r="G32"/>
      <c r="H32"/>
      <c r="I32"/>
      <c r="J32"/>
      <c r="K32"/>
    </row>
    <row r="33" spans="1:11" s="8" customFormat="1">
      <c r="A33"/>
      <c r="B33"/>
      <c r="C33"/>
      <c r="E33"/>
      <c r="F33"/>
      <c r="G33"/>
      <c r="H33"/>
      <c r="I33"/>
      <c r="J33"/>
      <c r="K33"/>
    </row>
    <row r="34" spans="1:11" s="8" customFormat="1">
      <c r="A34"/>
      <c r="B34"/>
      <c r="C34"/>
      <c r="E34"/>
      <c r="F34"/>
      <c r="G34"/>
      <c r="H34"/>
      <c r="I34"/>
      <c r="J34"/>
      <c r="K34"/>
    </row>
    <row r="35" spans="1:11" s="8" customFormat="1">
      <c r="A35"/>
      <c r="B35"/>
      <c r="C35"/>
      <c r="E35"/>
      <c r="F35"/>
      <c r="G35"/>
      <c r="H35"/>
      <c r="I35"/>
      <c r="J35"/>
      <c r="K35"/>
    </row>
    <row r="36" spans="1:11" s="8" customFormat="1">
      <c r="A36"/>
      <c r="B36"/>
      <c r="C36"/>
      <c r="E36"/>
      <c r="F36"/>
      <c r="G36"/>
      <c r="H36"/>
      <c r="I36"/>
      <c r="J36"/>
      <c r="K36"/>
    </row>
    <row r="37" spans="1:11" s="8" customFormat="1">
      <c r="A37"/>
      <c r="B37"/>
      <c r="C37"/>
      <c r="E37"/>
      <c r="F37"/>
      <c r="G37"/>
      <c r="H37"/>
      <c r="I37"/>
      <c r="J37"/>
      <c r="K37"/>
    </row>
    <row r="38" spans="1:11" s="8" customFormat="1">
      <c r="A38"/>
      <c r="B38"/>
      <c r="C38"/>
      <c r="E38"/>
      <c r="F38"/>
      <c r="G38"/>
      <c r="H38"/>
      <c r="I38"/>
      <c r="J38"/>
      <c r="K38"/>
    </row>
    <row r="39" spans="1:11" s="8" customFormat="1">
      <c r="A39"/>
      <c r="B39"/>
      <c r="C39"/>
      <c r="E39"/>
      <c r="F39"/>
      <c r="G39"/>
      <c r="H39"/>
      <c r="I39"/>
      <c r="J39"/>
      <c r="K39"/>
    </row>
    <row r="40" spans="1:11" s="8" customFormat="1">
      <c r="A40"/>
      <c r="B40"/>
      <c r="C40"/>
      <c r="E40"/>
      <c r="F40"/>
      <c r="G40"/>
      <c r="H40"/>
      <c r="I40"/>
      <c r="J40"/>
      <c r="K40"/>
    </row>
    <row r="41" spans="1:11" s="8" customFormat="1">
      <c r="A41"/>
      <c r="B41"/>
      <c r="C41"/>
      <c r="E41"/>
      <c r="F41"/>
      <c r="G41"/>
      <c r="H41"/>
      <c r="I41"/>
      <c r="J41"/>
      <c r="K41"/>
    </row>
    <row r="42" spans="1:11" s="8" customFormat="1">
      <c r="A42"/>
      <c r="B42"/>
      <c r="C42"/>
      <c r="E42"/>
      <c r="F42"/>
      <c r="G42"/>
      <c r="H42"/>
      <c r="I42"/>
      <c r="J42"/>
      <c r="K42"/>
    </row>
    <row r="43" spans="1:11" s="8" customFormat="1">
      <c r="A43"/>
      <c r="B43"/>
      <c r="C43"/>
      <c r="E43"/>
      <c r="F43"/>
      <c r="G43"/>
      <c r="H43"/>
      <c r="I43"/>
      <c r="J43"/>
      <c r="K43"/>
    </row>
    <row r="44" spans="1:11" s="8" customFormat="1">
      <c r="A44"/>
      <c r="B44"/>
      <c r="C44"/>
      <c r="E44"/>
      <c r="F44"/>
      <c r="G44"/>
      <c r="H44"/>
      <c r="I44"/>
      <c r="J44"/>
      <c r="K44"/>
    </row>
    <row r="45" spans="1:11" s="8" customFormat="1">
      <c r="A45"/>
      <c r="B45"/>
      <c r="C45"/>
      <c r="E45"/>
      <c r="F45"/>
      <c r="G45"/>
      <c r="H45"/>
      <c r="I45"/>
      <c r="J45"/>
      <c r="K45"/>
    </row>
    <row r="46" spans="1:11" s="8" customFormat="1">
      <c r="A46"/>
      <c r="B46"/>
      <c r="C46"/>
      <c r="E46"/>
      <c r="F46"/>
      <c r="G46"/>
      <c r="H46"/>
      <c r="I46"/>
      <c r="J46"/>
      <c r="K46"/>
    </row>
    <row r="47" spans="1:11" s="8" customFormat="1">
      <c r="A47"/>
      <c r="B47"/>
      <c r="C47"/>
      <c r="E47"/>
      <c r="F47"/>
      <c r="G47"/>
      <c r="H47"/>
      <c r="I47"/>
      <c r="J47"/>
      <c r="K47"/>
    </row>
    <row r="48" spans="1:11" s="8" customFormat="1">
      <c r="A48"/>
      <c r="B48"/>
      <c r="C48"/>
      <c r="E48"/>
      <c r="F48"/>
      <c r="G48"/>
      <c r="H48"/>
      <c r="I48"/>
      <c r="J48"/>
      <c r="K48"/>
    </row>
    <row r="49" spans="1:33" s="8" customFormat="1">
      <c r="A49"/>
      <c r="B49"/>
      <c r="C49"/>
      <c r="E49"/>
      <c r="F49"/>
      <c r="G49"/>
      <c r="H49"/>
      <c r="I49"/>
      <c r="J49"/>
      <c r="K49"/>
    </row>
    <row r="50" spans="1:33" s="8" customFormat="1">
      <c r="A50"/>
      <c r="B50"/>
      <c r="C50"/>
      <c r="E50"/>
      <c r="F50"/>
      <c r="G50"/>
      <c r="H50"/>
      <c r="I50"/>
      <c r="J50"/>
      <c r="K50"/>
    </row>
    <row r="51" spans="1:33" s="8" customFormat="1">
      <c r="A51"/>
      <c r="B51"/>
      <c r="C51"/>
      <c r="E51"/>
      <c r="F51"/>
      <c r="G51"/>
      <c r="H51"/>
      <c r="I51"/>
      <c r="J51"/>
      <c r="K51"/>
    </row>
    <row r="52" spans="1:33" s="8" customFormat="1">
      <c r="A52"/>
      <c r="B52"/>
      <c r="C52"/>
      <c r="E52"/>
      <c r="F52"/>
      <c r="G52"/>
      <c r="H52"/>
      <c r="I52"/>
      <c r="J52"/>
      <c r="K52"/>
      <c r="AG52"/>
    </row>
    <row r="53" spans="1:33" s="8" customFormat="1">
      <c r="A53"/>
      <c r="B53"/>
      <c r="C53"/>
      <c r="E53"/>
      <c r="F53"/>
      <c r="G53"/>
      <c r="H53"/>
      <c r="I53"/>
      <c r="J53"/>
      <c r="K53"/>
      <c r="AG53"/>
    </row>
    <row r="54" spans="1:33" s="8" customFormat="1">
      <c r="A54"/>
      <c r="B54"/>
      <c r="C54"/>
      <c r="E54"/>
      <c r="F54"/>
      <c r="G54"/>
      <c r="H54"/>
      <c r="I54"/>
      <c r="J54"/>
      <c r="K54"/>
      <c r="AG54"/>
    </row>
    <row r="55" spans="1:33" s="8" customFormat="1">
      <c r="A55"/>
      <c r="B55"/>
      <c r="C55"/>
      <c r="E55"/>
      <c r="F55"/>
      <c r="G55"/>
      <c r="H55"/>
      <c r="I55"/>
      <c r="J55"/>
      <c r="K55"/>
      <c r="AG55"/>
    </row>
    <row r="56" spans="1:33" s="8" customFormat="1">
      <c r="A56"/>
      <c r="B56"/>
      <c r="C56"/>
      <c r="E56"/>
      <c r="F56"/>
      <c r="G56"/>
      <c r="H56"/>
      <c r="I56"/>
      <c r="J56"/>
      <c r="K56"/>
      <c r="AG56"/>
    </row>
    <row r="57" spans="1:33" s="8" customFormat="1">
      <c r="A57"/>
      <c r="B57"/>
      <c r="C57"/>
      <c r="E57"/>
      <c r="F57"/>
      <c r="G57"/>
      <c r="H57"/>
      <c r="I57"/>
      <c r="J57"/>
      <c r="K57"/>
      <c r="AG57"/>
    </row>
    <row r="58" spans="1:33" s="8" customFormat="1">
      <c r="A58"/>
      <c r="B58"/>
      <c r="C58"/>
      <c r="E58"/>
      <c r="F58"/>
      <c r="G58"/>
      <c r="H58"/>
      <c r="I58"/>
      <c r="J58"/>
      <c r="K58"/>
      <c r="AG58"/>
    </row>
    <row r="59" spans="1:33" s="8" customFormat="1">
      <c r="A59"/>
      <c r="B59"/>
      <c r="C59"/>
      <c r="E59"/>
      <c r="F59"/>
      <c r="G59"/>
      <c r="H59"/>
      <c r="I59"/>
      <c r="J59"/>
      <c r="K59"/>
      <c r="AG59"/>
    </row>
    <row r="60" spans="1:33" s="8" customFormat="1">
      <c r="A60"/>
      <c r="B60"/>
      <c r="C60"/>
      <c r="D60"/>
      <c r="E60"/>
      <c r="F60"/>
      <c r="G60"/>
      <c r="H60"/>
      <c r="I60"/>
      <c r="J60"/>
      <c r="K60"/>
      <c r="AG60"/>
    </row>
    <row r="61" spans="1:33" s="8" customFormat="1">
      <c r="A61"/>
      <c r="B61"/>
      <c r="C61"/>
      <c r="D61"/>
      <c r="E61"/>
      <c r="F61"/>
      <c r="G61"/>
      <c r="H61"/>
      <c r="I61"/>
      <c r="J61"/>
      <c r="K61"/>
      <c r="AG61"/>
    </row>
    <row r="104" spans="1:5">
      <c r="A104" s="8"/>
      <c r="B104" s="8"/>
      <c r="C104" s="8"/>
      <c r="E104" s="8"/>
    </row>
    <row r="105" spans="1:5">
      <c r="A105" s="8"/>
      <c r="B105" s="8"/>
      <c r="C105" s="8"/>
      <c r="E105" s="8"/>
    </row>
    <row r="106" spans="1:5">
      <c r="A106" s="8"/>
      <c r="B106" s="8"/>
      <c r="C106" s="8"/>
      <c r="E106" s="8"/>
    </row>
  </sheetData>
  <mergeCells count="5">
    <mergeCell ref="AC1:AE1"/>
    <mergeCell ref="J1:K1"/>
    <mergeCell ref="C1:H1"/>
    <mergeCell ref="M1:N1"/>
    <mergeCell ref="P1:AA1"/>
  </mergeCells>
  <pageMargins left="0.75" right="0.75" top="1" bottom="1" header="0.51180555555555496" footer="0.51180555555555496"/>
  <pageSetup firstPageNumber="0" orientation="portrait" horizontalDpi="4294967292" verticalDpi="4294967292"/>
  <ignoredErrors>
    <ignoredError sqref="J13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zoomScalePageLayoutView="130" workbookViewId="0">
      <selection activeCell="S51" sqref="S51"/>
    </sheetView>
  </sheetViews>
  <sheetFormatPr baseColWidth="10" defaultColWidth="8.83203125" defaultRowHeight="15" x14ac:dyDescent="0"/>
  <cols>
    <col min="17" max="17" width="36.1640625" bestFit="1" customWidth="1"/>
    <col min="18" max="18" width="22.33203125" bestFit="1" customWidth="1"/>
    <col min="19" max="19" width="8.33203125" style="1" customWidth="1"/>
    <col min="20" max="20" width="9.6640625" bestFit="1" customWidth="1"/>
  </cols>
  <sheetData>
    <row r="1" spans="1:21">
      <c r="A1" t="s">
        <v>49</v>
      </c>
      <c r="E1" t="s">
        <v>50</v>
      </c>
      <c r="M1" t="s">
        <v>51</v>
      </c>
      <c r="N1">
        <v>3.7854100000000002</v>
      </c>
      <c r="O1" t="s">
        <v>46</v>
      </c>
      <c r="R1" t="s">
        <v>378</v>
      </c>
      <c r="S1" s="8" t="s">
        <v>371</v>
      </c>
      <c r="T1" s="8"/>
      <c r="U1" s="8"/>
    </row>
    <row r="2" spans="1:21"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M2" t="s">
        <v>45</v>
      </c>
      <c r="N2" s="2">
        <v>1000000</v>
      </c>
      <c r="O2" t="s">
        <v>46</v>
      </c>
      <c r="R2" t="s">
        <v>379</v>
      </c>
      <c r="S2" t="s">
        <v>372</v>
      </c>
    </row>
    <row r="3" spans="1:21">
      <c r="A3" t="s">
        <v>61</v>
      </c>
      <c r="B3">
        <v>1</v>
      </c>
      <c r="C3">
        <v>3</v>
      </c>
      <c r="E3" t="s">
        <v>62</v>
      </c>
      <c r="F3">
        <v>760</v>
      </c>
      <c r="G3">
        <v>10</v>
      </c>
      <c r="H3">
        <v>15</v>
      </c>
      <c r="I3" s="2">
        <f t="shared" ref="I3:I11" si="0">G3*$N$2</f>
        <v>10000000</v>
      </c>
      <c r="J3" s="2">
        <f t="shared" ref="J3:J11" si="1">I3/$N$4</f>
        <v>6944.4444444444443</v>
      </c>
      <c r="K3" s="2">
        <f t="shared" ref="K3:K11" si="2">J3/F3</f>
        <v>9.1374269005847957</v>
      </c>
      <c r="L3" s="2"/>
      <c r="M3" t="s">
        <v>45</v>
      </c>
      <c r="N3" s="2">
        <f>N2/N1</f>
        <v>264172.17685798893</v>
      </c>
      <c r="O3" t="s">
        <v>51</v>
      </c>
      <c r="R3" t="s">
        <v>380</v>
      </c>
      <c r="S3" s="1">
        <v>53.4</v>
      </c>
      <c r="T3" t="s">
        <v>211</v>
      </c>
    </row>
    <row r="4" spans="1:21">
      <c r="A4" t="s">
        <v>63</v>
      </c>
      <c r="B4">
        <v>5</v>
      </c>
      <c r="C4">
        <v>10</v>
      </c>
      <c r="E4" t="s">
        <v>64</v>
      </c>
      <c r="F4">
        <v>11000</v>
      </c>
      <c r="G4">
        <v>700</v>
      </c>
      <c r="H4">
        <v>11</v>
      </c>
      <c r="I4" s="2">
        <f t="shared" si="0"/>
        <v>700000000</v>
      </c>
      <c r="J4" s="2">
        <f t="shared" si="1"/>
        <v>486111.11111111112</v>
      </c>
      <c r="K4" s="2">
        <f t="shared" si="2"/>
        <v>44.19191919191919</v>
      </c>
      <c r="L4" s="2"/>
      <c r="M4" t="s">
        <v>65</v>
      </c>
      <c r="N4">
        <f>24*60</f>
        <v>1440</v>
      </c>
      <c r="O4" t="s">
        <v>52</v>
      </c>
      <c r="R4" t="s">
        <v>381</v>
      </c>
      <c r="S4" s="1">
        <f>'R Variables'!$B$11*Wetlands!S3+'R Variables'!$B$12</f>
        <v>42.551625000000001</v>
      </c>
      <c r="T4" t="s">
        <v>217</v>
      </c>
    </row>
    <row r="5" spans="1:21">
      <c r="E5" t="s">
        <v>66</v>
      </c>
      <c r="F5">
        <v>4500</v>
      </c>
      <c r="G5">
        <v>15</v>
      </c>
      <c r="H5">
        <v>15</v>
      </c>
      <c r="I5" s="2">
        <f t="shared" si="0"/>
        <v>15000000</v>
      </c>
      <c r="J5" s="2">
        <f t="shared" si="1"/>
        <v>10416.666666666666</v>
      </c>
      <c r="K5" s="2">
        <f t="shared" si="2"/>
        <v>2.3148148148148149</v>
      </c>
      <c r="L5" s="2"/>
      <c r="M5" t="s">
        <v>67</v>
      </c>
      <c r="N5">
        <f>10*N1</f>
        <v>37.854100000000003</v>
      </c>
      <c r="O5" t="s">
        <v>68</v>
      </c>
      <c r="R5" t="s">
        <v>48</v>
      </c>
      <c r="S5" s="1">
        <v>2.8</v>
      </c>
      <c r="T5" t="s">
        <v>217</v>
      </c>
    </row>
    <row r="6" spans="1:21">
      <c r="E6" t="s">
        <v>69</v>
      </c>
      <c r="F6">
        <v>9385</v>
      </c>
      <c r="G6">
        <v>400</v>
      </c>
      <c r="H6">
        <v>11</v>
      </c>
      <c r="I6" s="2">
        <f t="shared" si="0"/>
        <v>400000000</v>
      </c>
      <c r="J6" s="2">
        <f t="shared" si="1"/>
        <v>277777.77777777775</v>
      </c>
      <c r="K6" s="2">
        <f t="shared" si="2"/>
        <v>29.598058367371099</v>
      </c>
      <c r="L6" s="2"/>
      <c r="M6" t="s">
        <v>70</v>
      </c>
      <c r="N6">
        <f>N5</f>
        <v>37.854100000000003</v>
      </c>
      <c r="O6" t="s">
        <v>71</v>
      </c>
      <c r="R6" t="s">
        <v>22</v>
      </c>
      <c r="S6" s="1">
        <v>0.35</v>
      </c>
      <c r="T6" t="s">
        <v>336</v>
      </c>
    </row>
    <row r="7" spans="1:21">
      <c r="E7" t="s">
        <v>72</v>
      </c>
      <c r="F7">
        <v>2800</v>
      </c>
      <c r="G7">
        <v>60</v>
      </c>
      <c r="H7">
        <v>14</v>
      </c>
      <c r="I7" s="2">
        <f t="shared" si="0"/>
        <v>60000000</v>
      </c>
      <c r="J7" s="2">
        <f t="shared" si="1"/>
        <v>41666.666666666664</v>
      </c>
      <c r="K7" s="2">
        <f t="shared" si="2"/>
        <v>14.88095238095238</v>
      </c>
      <c r="L7" s="2"/>
      <c r="M7" t="s">
        <v>3</v>
      </c>
      <c r="N7">
        <v>10000</v>
      </c>
      <c r="O7" t="s">
        <v>4</v>
      </c>
      <c r="R7" t="s">
        <v>22</v>
      </c>
      <c r="S7" s="1">
        <f>S6*S5</f>
        <v>0.97999999999999987</v>
      </c>
      <c r="T7" t="s">
        <v>217</v>
      </c>
    </row>
    <row r="8" spans="1:21">
      <c r="E8" t="s">
        <v>73</v>
      </c>
      <c r="F8">
        <v>3400</v>
      </c>
      <c r="G8">
        <v>80</v>
      </c>
      <c r="H8">
        <v>13</v>
      </c>
      <c r="I8" s="2">
        <f t="shared" si="0"/>
        <v>80000000</v>
      </c>
      <c r="J8" s="2">
        <f t="shared" si="1"/>
        <v>55555.555555555555</v>
      </c>
      <c r="K8" s="2">
        <f t="shared" si="2"/>
        <v>16.33986928104575</v>
      </c>
      <c r="L8" s="2"/>
      <c r="M8" t="s">
        <v>70</v>
      </c>
      <c r="N8">
        <f>N6*1000000/N7</f>
        <v>3785.41</v>
      </c>
      <c r="R8" t="s">
        <v>373</v>
      </c>
      <c r="S8" s="1">
        <v>0.4</v>
      </c>
      <c r="T8" t="s">
        <v>217</v>
      </c>
    </row>
    <row r="9" spans="1:21">
      <c r="E9" t="s">
        <v>74</v>
      </c>
      <c r="F9">
        <v>2750</v>
      </c>
      <c r="G9">
        <v>70</v>
      </c>
      <c r="H9">
        <v>13</v>
      </c>
      <c r="I9" s="2">
        <f t="shared" si="0"/>
        <v>70000000</v>
      </c>
      <c r="J9" s="2">
        <f t="shared" si="1"/>
        <v>48611.111111111109</v>
      </c>
      <c r="K9" s="2">
        <f t="shared" si="2"/>
        <v>17.676767676767675</v>
      </c>
      <c r="L9" s="2"/>
      <c r="M9" t="s">
        <v>75</v>
      </c>
      <c r="N9" s="2">
        <f>N8/K13</f>
        <v>85.658420571428564</v>
      </c>
      <c r="O9" t="s">
        <v>76</v>
      </c>
      <c r="R9" t="s">
        <v>34</v>
      </c>
      <c r="S9" s="1">
        <v>0.26</v>
      </c>
      <c r="T9" t="s">
        <v>336</v>
      </c>
    </row>
    <row r="10" spans="1:21">
      <c r="E10" t="s">
        <v>77</v>
      </c>
      <c r="F10">
        <v>1550</v>
      </c>
      <c r="G10">
        <v>20</v>
      </c>
      <c r="H10">
        <v>14</v>
      </c>
      <c r="I10" s="2">
        <f t="shared" si="0"/>
        <v>20000000</v>
      </c>
      <c r="J10" s="2">
        <f t="shared" si="1"/>
        <v>13888.888888888889</v>
      </c>
      <c r="K10" s="2">
        <f t="shared" si="2"/>
        <v>8.9605734767025087</v>
      </c>
      <c r="L10" s="2"/>
      <c r="R10" t="s">
        <v>34</v>
      </c>
      <c r="S10" s="1">
        <f>S9*S8</f>
        <v>0.10400000000000001</v>
      </c>
      <c r="T10" t="s">
        <v>217</v>
      </c>
    </row>
    <row r="11" spans="1:21">
      <c r="E11" t="s">
        <v>78</v>
      </c>
      <c r="F11">
        <v>1650</v>
      </c>
      <c r="G11">
        <v>10</v>
      </c>
      <c r="H11">
        <v>15</v>
      </c>
      <c r="I11" s="2">
        <f t="shared" si="0"/>
        <v>10000000</v>
      </c>
      <c r="J11" s="2">
        <f t="shared" si="1"/>
        <v>6944.4444444444443</v>
      </c>
      <c r="K11" s="2">
        <f t="shared" si="2"/>
        <v>4.2087542087542085</v>
      </c>
      <c r="L11" s="2"/>
      <c r="R11" t="s">
        <v>375</v>
      </c>
      <c r="S11" s="1">
        <f>S7/Settings!G17</f>
        <v>20.416666666666664</v>
      </c>
      <c r="T11" t="s">
        <v>217</v>
      </c>
    </row>
    <row r="12" spans="1:21">
      <c r="R12" t="s">
        <v>374</v>
      </c>
      <c r="S12" s="1">
        <f>S10/Settings!$G$18</f>
        <v>34.666666666666671</v>
      </c>
      <c r="T12" t="s">
        <v>217</v>
      </c>
    </row>
    <row r="13" spans="1:21">
      <c r="J13" s="2">
        <f>MAX(J3:J11)</f>
        <v>486111.11111111112</v>
      </c>
      <c r="K13" s="2">
        <f>MAX(K3:K11)</f>
        <v>44.19191919191919</v>
      </c>
      <c r="L13" s="2"/>
      <c r="R13" t="s">
        <v>376</v>
      </c>
      <c r="S13" s="1">
        <f>$S$4/S11</f>
        <v>2.084161224489796</v>
      </c>
      <c r="T13" t="s">
        <v>336</v>
      </c>
    </row>
    <row r="14" spans="1:21">
      <c r="R14" t="s">
        <v>377</v>
      </c>
      <c r="S14" s="1">
        <f>$S$4/S12</f>
        <v>1.2274507211538461</v>
      </c>
      <c r="T14" t="s">
        <v>336</v>
      </c>
    </row>
    <row r="16" spans="1:21">
      <c r="R16" t="s">
        <v>378</v>
      </c>
      <c r="S16" s="1" t="s">
        <v>382</v>
      </c>
    </row>
    <row r="17" spans="18:20">
      <c r="R17" t="s">
        <v>379</v>
      </c>
      <c r="S17" s="1" t="s">
        <v>383</v>
      </c>
    </row>
    <row r="18" spans="18:20">
      <c r="R18" t="s">
        <v>380</v>
      </c>
      <c r="S18" s="1">
        <v>7.3</v>
      </c>
      <c r="T18" t="s">
        <v>211</v>
      </c>
    </row>
    <row r="19" spans="18:20">
      <c r="R19" t="s">
        <v>381</v>
      </c>
      <c r="S19" s="1">
        <f>'R Variables'!$B$11*Wetlands!S18+'R Variables'!$B$12</f>
        <v>84.646687499999999</v>
      </c>
      <c r="T19" t="s">
        <v>217</v>
      </c>
    </row>
    <row r="20" spans="18:20">
      <c r="R20" t="s">
        <v>384</v>
      </c>
      <c r="S20" s="1">
        <v>25</v>
      </c>
      <c r="T20" t="s">
        <v>222</v>
      </c>
    </row>
    <row r="21" spans="18:20">
      <c r="R21" t="s">
        <v>384</v>
      </c>
      <c r="S21" s="1">
        <f>S20/Settings!G3</f>
        <v>2.5000000000000001E-3</v>
      </c>
      <c r="T21" t="s">
        <v>3</v>
      </c>
    </row>
    <row r="22" spans="18:20">
      <c r="R22" t="s">
        <v>385</v>
      </c>
      <c r="S22" s="1">
        <v>13</v>
      </c>
      <c r="T22" t="s">
        <v>386</v>
      </c>
    </row>
    <row r="23" spans="18:20">
      <c r="R23" t="s">
        <v>385</v>
      </c>
      <c r="S23" s="1">
        <f>S22*Settings!$G$10</f>
        <v>13000</v>
      </c>
      <c r="T23" t="s">
        <v>355</v>
      </c>
    </row>
    <row r="24" spans="18:20">
      <c r="R24" t="s">
        <v>373</v>
      </c>
      <c r="S24" s="1">
        <v>1.36</v>
      </c>
      <c r="T24" t="s">
        <v>387</v>
      </c>
    </row>
    <row r="25" spans="18:20">
      <c r="R25" t="s">
        <v>373</v>
      </c>
      <c r="S25" s="1">
        <f>S24*$S$23</f>
        <v>17680</v>
      </c>
      <c r="T25" t="s">
        <v>388</v>
      </c>
    </row>
    <row r="26" spans="18:20">
      <c r="R26" t="s">
        <v>34</v>
      </c>
      <c r="S26" s="1">
        <v>0.19</v>
      </c>
      <c r="T26" t="s">
        <v>336</v>
      </c>
    </row>
    <row r="27" spans="18:20">
      <c r="R27" t="s">
        <v>34</v>
      </c>
      <c r="S27" s="1">
        <f>S26*S25</f>
        <v>3359.2</v>
      </c>
      <c r="T27" t="s">
        <v>388</v>
      </c>
    </row>
    <row r="28" spans="18:20">
      <c r="R28" t="s">
        <v>34</v>
      </c>
      <c r="S28" s="1">
        <f>S27*Settings!$G$2</f>
        <v>1226947.8</v>
      </c>
      <c r="T28" t="s">
        <v>389</v>
      </c>
    </row>
    <row r="29" spans="18:20">
      <c r="R29" t="s">
        <v>34</v>
      </c>
      <c r="S29" s="1">
        <f>S28/(Settings!$G$4*Settings!$G$31)</f>
        <v>1.2269478E-3</v>
      </c>
      <c r="T29" t="s">
        <v>220</v>
      </c>
    </row>
    <row r="30" spans="18:20">
      <c r="R30" t="s">
        <v>34</v>
      </c>
      <c r="S30" s="1">
        <f>S29/S21</f>
        <v>0.49077912000000001</v>
      </c>
      <c r="T30" t="s">
        <v>217</v>
      </c>
    </row>
    <row r="31" spans="18:20">
      <c r="R31" t="s">
        <v>374</v>
      </c>
      <c r="S31" s="1">
        <f>S30/Settings!$G$18</f>
        <v>163.59304</v>
      </c>
      <c r="T31" t="s">
        <v>217</v>
      </c>
    </row>
    <row r="33" spans="18:20">
      <c r="R33" t="s">
        <v>378</v>
      </c>
      <c r="S33" s="1" t="s">
        <v>382</v>
      </c>
    </row>
    <row r="34" spans="18:20">
      <c r="R34" t="s">
        <v>379</v>
      </c>
      <c r="S34" s="1" t="s">
        <v>394</v>
      </c>
    </row>
    <row r="35" spans="18:20">
      <c r="R35" t="s">
        <v>380</v>
      </c>
      <c r="S35" s="1">
        <v>24.8</v>
      </c>
      <c r="T35" t="s">
        <v>211</v>
      </c>
    </row>
    <row r="36" spans="18:20">
      <c r="R36" t="s">
        <v>381</v>
      </c>
      <c r="S36" s="1">
        <f>'R Variables'!$B$11*Wetlands!S35+'R Variables'!$B$12</f>
        <v>68.667000000000002</v>
      </c>
      <c r="T36" t="s">
        <v>217</v>
      </c>
    </row>
    <row r="37" spans="18:20">
      <c r="R37" t="s">
        <v>384</v>
      </c>
      <c r="S37" s="1">
        <v>1.07</v>
      </c>
      <c r="T37" t="s">
        <v>3</v>
      </c>
    </row>
    <row r="38" spans="18:20">
      <c r="R38" t="s">
        <v>385</v>
      </c>
      <c r="S38" s="1">
        <v>4000</v>
      </c>
      <c r="T38" t="s">
        <v>386</v>
      </c>
    </row>
    <row r="39" spans="18:20">
      <c r="R39" t="s">
        <v>385</v>
      </c>
      <c r="S39" s="1">
        <f>S38*Settings!$G$10</f>
        <v>4000000</v>
      </c>
      <c r="T39" t="s">
        <v>355</v>
      </c>
    </row>
    <row r="40" spans="18:20">
      <c r="R40" t="s">
        <v>373</v>
      </c>
      <c r="S40" s="1">
        <v>1.9</v>
      </c>
      <c r="T40" t="s">
        <v>387</v>
      </c>
    </row>
    <row r="41" spans="18:20">
      <c r="R41" t="s">
        <v>373</v>
      </c>
      <c r="S41" s="1">
        <f>S40*$S$23</f>
        <v>24700</v>
      </c>
      <c r="T41" t="s">
        <v>388</v>
      </c>
    </row>
    <row r="42" spans="18:20">
      <c r="R42" t="s">
        <v>34</v>
      </c>
      <c r="S42" s="1">
        <v>0.44</v>
      </c>
      <c r="T42" t="s">
        <v>336</v>
      </c>
    </row>
    <row r="43" spans="18:20">
      <c r="R43" t="s">
        <v>34</v>
      </c>
      <c r="S43" s="1">
        <f>S42*S41</f>
        <v>10868</v>
      </c>
      <c r="T43" t="s">
        <v>388</v>
      </c>
    </row>
    <row r="44" spans="18:20">
      <c r="R44" t="s">
        <v>34</v>
      </c>
      <c r="S44" s="1">
        <f>S43*Settings!$G$2</f>
        <v>3969537</v>
      </c>
      <c r="T44" t="s">
        <v>389</v>
      </c>
    </row>
    <row r="45" spans="18:20">
      <c r="R45" t="s">
        <v>34</v>
      </c>
      <c r="S45" s="1">
        <f>S44/(Settings!$G$4*Settings!$G$31)</f>
        <v>3.9695370000000004E-3</v>
      </c>
      <c r="T45" t="s">
        <v>220</v>
      </c>
    </row>
    <row r="46" spans="18:20">
      <c r="R46" t="s">
        <v>34</v>
      </c>
      <c r="S46" s="1">
        <f>S45/S37</f>
        <v>3.7098476635514023E-3</v>
      </c>
      <c r="T46" t="s">
        <v>217</v>
      </c>
    </row>
    <row r="47" spans="18:20">
      <c r="R47" t="s">
        <v>374</v>
      </c>
      <c r="S47" s="1">
        <f>S46/Settings!$G$18</f>
        <v>1.2366158878504674</v>
      </c>
      <c r="T47" t="s">
        <v>217</v>
      </c>
    </row>
    <row r="51" spans="18:20">
      <c r="R51" t="s">
        <v>48</v>
      </c>
      <c r="T51" t="s">
        <v>217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"/>
  <cols>
    <col min="1" max="1" width="15.1640625" bestFit="1" customWidth="1"/>
    <col min="2" max="2" width="7.83203125" style="1" bestFit="1" customWidth="1"/>
    <col min="3" max="3" width="22.1640625" bestFit="1" customWidth="1"/>
  </cols>
  <sheetData>
    <row r="1" spans="1:3">
      <c r="A1" s="45" t="s">
        <v>79</v>
      </c>
      <c r="B1" s="45"/>
      <c r="C1" s="45"/>
    </row>
    <row r="2" spans="1:3">
      <c r="A2" t="s">
        <v>81</v>
      </c>
      <c r="B2" s="1">
        <v>250000</v>
      </c>
      <c r="C2" t="s">
        <v>204</v>
      </c>
    </row>
    <row r="3" spans="1:3">
      <c r="A3" t="s">
        <v>82</v>
      </c>
      <c r="B3" s="1">
        <v>1000000</v>
      </c>
      <c r="C3" t="s">
        <v>204</v>
      </c>
    </row>
    <row r="4" spans="1:3">
      <c r="A4" t="s">
        <v>83</v>
      </c>
      <c r="B4" s="1">
        <v>5</v>
      </c>
      <c r="C4" t="s">
        <v>229</v>
      </c>
    </row>
    <row r="5" spans="1:3">
      <c r="A5" t="s">
        <v>84</v>
      </c>
      <c r="B5" s="1">
        <v>100000</v>
      </c>
      <c r="C5" t="s">
        <v>210</v>
      </c>
    </row>
    <row r="6" spans="1:3">
      <c r="A6" t="s">
        <v>85</v>
      </c>
      <c r="B6" s="1">
        <v>0.05</v>
      </c>
      <c r="C6" t="s">
        <v>228</v>
      </c>
    </row>
    <row r="7" spans="1:3">
      <c r="A7" t="s">
        <v>86</v>
      </c>
      <c r="B7" s="1">
        <f>(B$5/B$4)+B2*B$6</f>
        <v>32500</v>
      </c>
      <c r="C7" t="s">
        <v>205</v>
      </c>
    </row>
    <row r="8" spans="1:3">
      <c r="A8" t="s">
        <v>87</v>
      </c>
      <c r="B8" s="1">
        <f>(B$5/B$4)+B3*B$6</f>
        <v>70000</v>
      </c>
      <c r="C8" t="s">
        <v>205</v>
      </c>
    </row>
    <row r="9" spans="1:3">
      <c r="A9" t="s">
        <v>331</v>
      </c>
      <c r="B9" s="1">
        <v>40</v>
      </c>
      <c r="C9" t="s">
        <v>1</v>
      </c>
    </row>
    <row r="10" spans="1:3">
      <c r="A10" t="s">
        <v>332</v>
      </c>
      <c r="B10" s="1">
        <v>20</v>
      </c>
      <c r="C10" t="s">
        <v>1</v>
      </c>
    </row>
    <row r="11" spans="1:3">
      <c r="A11" t="s">
        <v>88</v>
      </c>
      <c r="B11" s="1">
        <v>0.1</v>
      </c>
      <c r="C11" t="s">
        <v>336</v>
      </c>
    </row>
    <row r="12" spans="1:3">
      <c r="A12" t="s">
        <v>340</v>
      </c>
      <c r="B12" s="1">
        <v>50</v>
      </c>
      <c r="C12" t="s">
        <v>1</v>
      </c>
    </row>
    <row r="13" spans="1:3">
      <c r="A13" t="s">
        <v>341</v>
      </c>
      <c r="B13" s="1">
        <v>100</v>
      </c>
      <c r="C13" t="s">
        <v>1</v>
      </c>
    </row>
    <row r="14" spans="1:3">
      <c r="A14" t="s">
        <v>342</v>
      </c>
      <c r="B14" s="1">
        <v>200</v>
      </c>
      <c r="C14" t="s">
        <v>1</v>
      </c>
    </row>
    <row r="15" spans="1:3">
      <c r="B15"/>
    </row>
    <row r="16" spans="1:3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</sheetData>
  <mergeCells count="1">
    <mergeCell ref="A1:C1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D36"/>
  <sheetViews>
    <sheetView zoomScale="130" zoomScaleNormal="130" zoomScalePageLayoutView="130" workbookViewId="0">
      <selection activeCell="H1" sqref="H1"/>
    </sheetView>
  </sheetViews>
  <sheetFormatPr baseColWidth="10" defaultColWidth="8.83203125" defaultRowHeight="15" x14ac:dyDescent="0"/>
  <sheetData>
    <row r="12" spans="2:4">
      <c r="D12" s="3"/>
    </row>
    <row r="13" spans="2:4">
      <c r="B13" s="1"/>
    </row>
    <row r="14" spans="2:4">
      <c r="B14" s="1"/>
    </row>
    <row r="15" spans="2:4">
      <c r="B15" s="1"/>
    </row>
    <row r="16" spans="2:4">
      <c r="B16" s="1"/>
    </row>
    <row r="17" spans="2:4">
      <c r="B17" s="1"/>
    </row>
    <row r="18" spans="2:4">
      <c r="B18" s="1"/>
    </row>
    <row r="19" spans="2:4">
      <c r="B19" s="1"/>
    </row>
    <row r="20" spans="2:4">
      <c r="B20" s="1"/>
    </row>
    <row r="21" spans="2:4">
      <c r="B21" s="1"/>
    </row>
    <row r="22" spans="2:4">
      <c r="B22" s="1"/>
    </row>
    <row r="23" spans="2:4">
      <c r="B23" s="1"/>
    </row>
    <row r="24" spans="2:4">
      <c r="B24" s="1"/>
    </row>
    <row r="25" spans="2:4">
      <c r="B25" s="1"/>
    </row>
    <row r="26" spans="2:4">
      <c r="B26" s="1"/>
    </row>
    <row r="27" spans="2:4">
      <c r="D27" s="3"/>
    </row>
    <row r="28" spans="2:4">
      <c r="B28" s="1"/>
    </row>
    <row r="29" spans="2:4">
      <c r="B29" s="1"/>
    </row>
    <row r="30" spans="2:4">
      <c r="B30" s="1"/>
    </row>
    <row r="31" spans="2:4">
      <c r="B31" s="1"/>
    </row>
    <row r="32" spans="2:4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125" zoomScaleNormal="125" zoomScalePageLayoutView="125" workbookViewId="0">
      <selection activeCell="I38" sqref="I38"/>
    </sheetView>
  </sheetViews>
  <sheetFormatPr baseColWidth="10" defaultRowHeight="15" x14ac:dyDescent="0"/>
  <cols>
    <col min="1" max="1" width="30" bestFit="1" customWidth="1"/>
    <col min="3" max="3" width="12.6640625" bestFit="1" customWidth="1"/>
    <col min="4" max="4" width="7.1640625" bestFit="1" customWidth="1"/>
    <col min="5" max="5" width="19.6640625" bestFit="1" customWidth="1"/>
    <col min="6" max="6" width="15" bestFit="1" customWidth="1"/>
  </cols>
  <sheetData>
    <row r="1" spans="1:7">
      <c r="A1" s="32" t="s">
        <v>260</v>
      </c>
      <c r="B1" s="32" t="s">
        <v>261</v>
      </c>
      <c r="C1" s="32" t="s">
        <v>262</v>
      </c>
      <c r="D1" s="32" t="s">
        <v>263</v>
      </c>
      <c r="E1" s="32" t="s">
        <v>300</v>
      </c>
      <c r="F1" s="32" t="s">
        <v>295</v>
      </c>
      <c r="G1" s="32" t="s">
        <v>312</v>
      </c>
    </row>
    <row r="2" spans="1:7">
      <c r="A2" t="s">
        <v>315</v>
      </c>
      <c r="B2" s="32">
        <v>146.7885378</v>
      </c>
      <c r="C2" s="32">
        <v>-19.257637299999999</v>
      </c>
      <c r="D2" s="32" t="s">
        <v>257</v>
      </c>
      <c r="E2" s="32" t="s">
        <v>317</v>
      </c>
      <c r="G2" t="s">
        <v>313</v>
      </c>
    </row>
    <row r="3" spans="1:7">
      <c r="A3" s="32" t="s">
        <v>316</v>
      </c>
      <c r="B3" s="32">
        <v>-80.457524599999999</v>
      </c>
      <c r="C3" s="32">
        <v>26.657368099999999</v>
      </c>
      <c r="D3" s="32" t="s">
        <v>258</v>
      </c>
      <c r="E3" s="32" t="s">
        <v>271</v>
      </c>
      <c r="F3">
        <v>2009</v>
      </c>
      <c r="G3" t="s">
        <v>313</v>
      </c>
    </row>
    <row r="4" spans="1:7">
      <c r="A4" t="s">
        <v>301</v>
      </c>
      <c r="B4" s="32">
        <v>-74.539295999999993</v>
      </c>
      <c r="C4" s="32">
        <v>40.372374000000001</v>
      </c>
      <c r="D4" s="32" t="s">
        <v>258</v>
      </c>
      <c r="E4" s="32"/>
      <c r="G4" t="s">
        <v>313</v>
      </c>
    </row>
    <row r="5" spans="1:7">
      <c r="A5" t="s">
        <v>184</v>
      </c>
      <c r="B5" s="32">
        <v>-76.328950000000006</v>
      </c>
      <c r="C5" s="32">
        <v>37.855311</v>
      </c>
      <c r="D5" s="32" t="s">
        <v>258</v>
      </c>
      <c r="E5" s="32"/>
      <c r="G5" t="s">
        <v>313</v>
      </c>
    </row>
    <row r="6" spans="1:7">
      <c r="A6" t="s">
        <v>302</v>
      </c>
      <c r="B6" s="32">
        <v>-120.9</v>
      </c>
      <c r="C6" s="32">
        <v>50.8</v>
      </c>
      <c r="D6" s="32" t="s">
        <v>258</v>
      </c>
      <c r="E6" s="32"/>
      <c r="G6" t="s">
        <v>313</v>
      </c>
    </row>
    <row r="7" spans="1:7">
      <c r="A7" t="s">
        <v>303</v>
      </c>
      <c r="B7" s="32">
        <v>-119.7</v>
      </c>
      <c r="C7" s="32">
        <v>50.8</v>
      </c>
      <c r="D7" s="32" t="s">
        <v>258</v>
      </c>
      <c r="E7" s="32"/>
      <c r="G7" t="s">
        <v>313</v>
      </c>
    </row>
    <row r="8" spans="1:7">
      <c r="A8" t="s">
        <v>185</v>
      </c>
      <c r="B8" s="32">
        <v>-64.7</v>
      </c>
      <c r="C8" s="32">
        <v>17.45</v>
      </c>
      <c r="D8" s="32" t="s">
        <v>258</v>
      </c>
      <c r="E8" s="32"/>
      <c r="G8" t="s">
        <v>313</v>
      </c>
    </row>
    <row r="9" spans="1:7">
      <c r="A9" t="s">
        <v>304</v>
      </c>
      <c r="B9" s="32">
        <v>120.3</v>
      </c>
      <c r="C9" s="32">
        <v>23</v>
      </c>
      <c r="D9" s="32" t="s">
        <v>258</v>
      </c>
      <c r="E9" s="32"/>
      <c r="G9" t="s">
        <v>313</v>
      </c>
    </row>
    <row r="10" spans="1:7">
      <c r="A10" t="s">
        <v>186</v>
      </c>
      <c r="B10" s="32">
        <v>117.786311</v>
      </c>
      <c r="C10" s="32">
        <v>24.520453</v>
      </c>
      <c r="D10" s="32" t="s">
        <v>258</v>
      </c>
      <c r="E10" s="32"/>
      <c r="G10" t="s">
        <v>313</v>
      </c>
    </row>
    <row r="11" spans="1:7">
      <c r="A11" t="s">
        <v>305</v>
      </c>
      <c r="B11" s="32">
        <v>-121.132778</v>
      </c>
      <c r="C11" s="32">
        <v>37.473056</v>
      </c>
      <c r="D11" s="32" t="s">
        <v>257</v>
      </c>
      <c r="E11" s="32" t="s">
        <v>264</v>
      </c>
      <c r="F11" s="32" t="s">
        <v>299</v>
      </c>
      <c r="G11" t="s">
        <v>313</v>
      </c>
    </row>
    <row r="12" spans="1:7">
      <c r="A12" t="s">
        <v>187</v>
      </c>
      <c r="B12" s="32">
        <v>-80.408696000000006</v>
      </c>
      <c r="C12" s="32">
        <v>27.427821999999999</v>
      </c>
      <c r="D12" s="32" t="s">
        <v>258</v>
      </c>
      <c r="E12" s="32"/>
      <c r="G12" t="s">
        <v>313</v>
      </c>
    </row>
    <row r="13" spans="1:7">
      <c r="A13" t="s">
        <v>188</v>
      </c>
      <c r="B13" s="32">
        <v>-80.427214000000006</v>
      </c>
      <c r="C13" s="32">
        <v>37.223215000000003</v>
      </c>
      <c r="D13" s="32" t="s">
        <v>258</v>
      </c>
      <c r="E13" s="32"/>
      <c r="G13" t="s">
        <v>313</v>
      </c>
    </row>
    <row r="14" spans="1:7">
      <c r="A14" t="s">
        <v>360</v>
      </c>
      <c r="B14">
        <v>-79.024995599999997</v>
      </c>
      <c r="C14">
        <v>36.001745499999998</v>
      </c>
      <c r="D14" t="s">
        <v>257</v>
      </c>
      <c r="E14" s="32" t="s">
        <v>285</v>
      </c>
      <c r="F14" t="s">
        <v>286</v>
      </c>
      <c r="G14" t="s">
        <v>314</v>
      </c>
    </row>
    <row r="15" spans="1:7">
      <c r="A15" t="s">
        <v>310</v>
      </c>
      <c r="B15" s="32">
        <v>-80.907136899999998</v>
      </c>
      <c r="C15" s="32">
        <v>27.213987700000001</v>
      </c>
      <c r="D15" s="32" t="s">
        <v>257</v>
      </c>
      <c r="E15" s="32" t="s">
        <v>266</v>
      </c>
      <c r="F15" s="32" t="s">
        <v>297</v>
      </c>
      <c r="G15" t="s">
        <v>313</v>
      </c>
    </row>
    <row r="16" spans="1:7">
      <c r="A16" t="s">
        <v>310</v>
      </c>
      <c r="B16">
        <v>-81.965361400000006</v>
      </c>
      <c r="C16">
        <v>27.8745254</v>
      </c>
      <c r="E16" t="s">
        <v>311</v>
      </c>
      <c r="G16" t="s">
        <v>313</v>
      </c>
    </row>
    <row r="17" spans="1:7">
      <c r="A17" t="s">
        <v>279</v>
      </c>
      <c r="B17" s="32">
        <v>-81.880556400000003</v>
      </c>
      <c r="C17" s="32">
        <v>26.674672000000001</v>
      </c>
      <c r="D17" s="32" t="s">
        <v>258</v>
      </c>
      <c r="E17" s="32" t="s">
        <v>269</v>
      </c>
      <c r="F17">
        <v>2009</v>
      </c>
      <c r="G17" t="s">
        <v>313</v>
      </c>
    </row>
    <row r="18" spans="1:7">
      <c r="A18" t="s">
        <v>279</v>
      </c>
      <c r="B18" s="32">
        <v>-80.853750700000006</v>
      </c>
      <c r="C18" s="33">
        <v>27.329125999999999</v>
      </c>
      <c r="D18" s="32" t="s">
        <v>257</v>
      </c>
      <c r="E18" s="32" t="s">
        <v>272</v>
      </c>
      <c r="F18" s="32" t="s">
        <v>296</v>
      </c>
      <c r="G18" t="s">
        <v>313</v>
      </c>
    </row>
    <row r="19" spans="1:7">
      <c r="A19" t="s">
        <v>279</v>
      </c>
      <c r="B19">
        <v>-80.869715799999994</v>
      </c>
      <c r="C19">
        <v>27.5020904</v>
      </c>
      <c r="D19" t="s">
        <v>257</v>
      </c>
      <c r="E19" s="32" t="s">
        <v>278</v>
      </c>
      <c r="F19" s="32" t="s">
        <v>298</v>
      </c>
      <c r="G19" t="s">
        <v>313</v>
      </c>
    </row>
    <row r="20" spans="1:7">
      <c r="A20" t="s">
        <v>279</v>
      </c>
      <c r="B20">
        <v>-80.398945299999994</v>
      </c>
      <c r="C20">
        <v>27.592262000000002</v>
      </c>
      <c r="D20" s="32" t="s">
        <v>257</v>
      </c>
      <c r="E20" s="32" t="s">
        <v>273</v>
      </c>
      <c r="F20" t="s">
        <v>292</v>
      </c>
      <c r="G20" t="s">
        <v>313</v>
      </c>
    </row>
    <row r="21" spans="1:7">
      <c r="A21" t="s">
        <v>279</v>
      </c>
      <c r="B21">
        <v>-80.399409399999996</v>
      </c>
      <c r="C21">
        <v>27.602654600000001</v>
      </c>
      <c r="D21" t="s">
        <v>258</v>
      </c>
      <c r="E21" s="32" t="s">
        <v>259</v>
      </c>
      <c r="F21">
        <v>2010</v>
      </c>
      <c r="G21" t="s">
        <v>313</v>
      </c>
    </row>
    <row r="22" spans="1:7">
      <c r="A22" t="s">
        <v>279</v>
      </c>
      <c r="B22" s="32">
        <v>-80.479466200000005</v>
      </c>
      <c r="C22" s="32">
        <v>27.609477500000001</v>
      </c>
      <c r="D22" s="32" t="s">
        <v>257</v>
      </c>
      <c r="E22" s="32" t="s">
        <v>265</v>
      </c>
      <c r="F22" s="32" t="s">
        <v>289</v>
      </c>
      <c r="G22" t="s">
        <v>313</v>
      </c>
    </row>
    <row r="23" spans="1:7">
      <c r="A23" t="s">
        <v>279</v>
      </c>
      <c r="B23" s="32">
        <v>-81.445307999999997</v>
      </c>
      <c r="C23" s="32">
        <v>28.5647631</v>
      </c>
      <c r="D23" s="32" t="s">
        <v>258</v>
      </c>
      <c r="E23" s="32" t="s">
        <v>270</v>
      </c>
      <c r="F23">
        <v>2009</v>
      </c>
      <c r="G23" t="s">
        <v>313</v>
      </c>
    </row>
    <row r="24" spans="1:7">
      <c r="A24" t="s">
        <v>279</v>
      </c>
      <c r="B24" s="32">
        <v>-82.477197000000004</v>
      </c>
      <c r="C24" s="32">
        <v>29.923072999999999</v>
      </c>
      <c r="D24" s="32" t="s">
        <v>258</v>
      </c>
      <c r="E24" s="32" t="s">
        <v>268</v>
      </c>
      <c r="F24" t="s">
        <v>288</v>
      </c>
      <c r="G24" t="s">
        <v>313</v>
      </c>
    </row>
    <row r="25" spans="1:7">
      <c r="A25" t="s">
        <v>279</v>
      </c>
      <c r="B25" s="32">
        <v>-85.024425500000007</v>
      </c>
      <c r="C25" s="32">
        <v>34.827157800000002</v>
      </c>
      <c r="D25" s="32" t="s">
        <v>258</v>
      </c>
      <c r="E25" s="32" t="s">
        <v>267</v>
      </c>
      <c r="F25" s="32" t="s">
        <v>290</v>
      </c>
      <c r="G25" t="s">
        <v>313</v>
      </c>
    </row>
    <row r="26" spans="1:7">
      <c r="A26" t="s">
        <v>279</v>
      </c>
      <c r="B26">
        <v>-76.535835800000001</v>
      </c>
      <c r="C26">
        <v>39.197844400000001</v>
      </c>
      <c r="D26" t="s">
        <v>258</v>
      </c>
      <c r="E26" s="32" t="s">
        <v>283</v>
      </c>
      <c r="F26" t="s">
        <v>284</v>
      </c>
      <c r="G26" t="s">
        <v>313</v>
      </c>
    </row>
    <row r="27" spans="1:7">
      <c r="A27" t="s">
        <v>279</v>
      </c>
      <c r="B27">
        <v>-76.519799699999993</v>
      </c>
      <c r="C27">
        <v>39.241779600000001</v>
      </c>
      <c r="D27" t="s">
        <v>258</v>
      </c>
      <c r="E27" s="32" t="s">
        <v>282</v>
      </c>
      <c r="F27">
        <v>2015</v>
      </c>
      <c r="G27" t="s">
        <v>313</v>
      </c>
    </row>
    <row r="28" spans="1:7">
      <c r="A28" t="s">
        <v>279</v>
      </c>
      <c r="B28">
        <v>-76.262986100000006</v>
      </c>
      <c r="C28">
        <v>39.7560024</v>
      </c>
      <c r="D28" t="s">
        <v>258</v>
      </c>
      <c r="E28" s="32" t="s">
        <v>280</v>
      </c>
      <c r="F28">
        <v>2009</v>
      </c>
      <c r="G28" t="s">
        <v>313</v>
      </c>
    </row>
    <row r="29" spans="1:7">
      <c r="A29" t="s">
        <v>279</v>
      </c>
      <c r="B29" s="32">
        <v>-73.828925999999996</v>
      </c>
      <c r="C29" s="32">
        <v>40.584173399999997</v>
      </c>
      <c r="D29" s="32" t="s">
        <v>258</v>
      </c>
      <c r="E29" s="32" t="s">
        <v>281</v>
      </c>
      <c r="F29" s="32" t="s">
        <v>291</v>
      </c>
      <c r="G29" t="s">
        <v>313</v>
      </c>
    </row>
    <row r="30" spans="1:7">
      <c r="A30" t="s">
        <v>306</v>
      </c>
      <c r="B30" s="32">
        <v>3.5740601999999999</v>
      </c>
      <c r="C30" s="32">
        <v>51.082552</v>
      </c>
      <c r="D30" s="32" t="s">
        <v>258</v>
      </c>
      <c r="E30" s="32"/>
      <c r="G30" t="s">
        <v>313</v>
      </c>
    </row>
    <row r="31" spans="1:7">
      <c r="A31" t="s">
        <v>307</v>
      </c>
      <c r="B31" s="32">
        <v>16.430962999999998</v>
      </c>
      <c r="C31" s="32">
        <v>48.197578999999998</v>
      </c>
      <c r="D31" s="32" t="s">
        <v>258</v>
      </c>
      <c r="E31" s="32"/>
      <c r="G31" t="s">
        <v>313</v>
      </c>
    </row>
    <row r="32" spans="1:7">
      <c r="A32" t="s">
        <v>195</v>
      </c>
      <c r="B32">
        <v>146.80000000000001</v>
      </c>
      <c r="C32">
        <v>-19.3</v>
      </c>
      <c r="G32" t="s">
        <v>359</v>
      </c>
    </row>
    <row r="33" spans="1:7">
      <c r="A33" t="s">
        <v>308</v>
      </c>
      <c r="B33" s="32">
        <v>-76.900000000000006</v>
      </c>
      <c r="C33" s="32">
        <v>39</v>
      </c>
      <c r="D33" s="32" t="s">
        <v>258</v>
      </c>
      <c r="E33" s="32"/>
      <c r="G33" t="s">
        <v>313</v>
      </c>
    </row>
    <row r="34" spans="1:7">
      <c r="A34" t="s">
        <v>189</v>
      </c>
      <c r="B34" s="32">
        <v>-76.713593000000003</v>
      </c>
      <c r="C34" s="32">
        <v>38.784427000000001</v>
      </c>
      <c r="D34" s="32" t="s">
        <v>258</v>
      </c>
      <c r="E34" s="32"/>
      <c r="G34" t="s">
        <v>313</v>
      </c>
    </row>
    <row r="35" spans="1:7">
      <c r="A35" t="s">
        <v>189</v>
      </c>
      <c r="B35">
        <v>-76.457588999999999</v>
      </c>
      <c r="C35">
        <v>39.131529</v>
      </c>
      <c r="D35" s="32" t="s">
        <v>258</v>
      </c>
      <c r="G35" t="s">
        <v>313</v>
      </c>
    </row>
    <row r="36" spans="1:7">
      <c r="A36" t="s">
        <v>189</v>
      </c>
      <c r="B36">
        <v>-76.268676999999997</v>
      </c>
      <c r="C36">
        <v>39.449888999999999</v>
      </c>
      <c r="D36" s="32" t="s">
        <v>258</v>
      </c>
      <c r="G36" t="s">
        <v>313</v>
      </c>
    </row>
    <row r="37" spans="1:7">
      <c r="A37" t="s">
        <v>190</v>
      </c>
      <c r="B37" s="32">
        <v>-76.188846600000005</v>
      </c>
      <c r="C37" s="32">
        <v>38.609043200000002</v>
      </c>
      <c r="D37" s="32" t="s">
        <v>258</v>
      </c>
      <c r="E37" s="32"/>
      <c r="G37" t="s">
        <v>313</v>
      </c>
    </row>
    <row r="38" spans="1:7">
      <c r="A38" t="s">
        <v>191</v>
      </c>
      <c r="B38" s="32">
        <v>-76.382262999999995</v>
      </c>
      <c r="C38" s="32">
        <v>37.247632000000003</v>
      </c>
      <c r="D38" s="32" t="s">
        <v>258</v>
      </c>
      <c r="E38" s="32" t="s">
        <v>275</v>
      </c>
      <c r="F38" s="32" t="s">
        <v>288</v>
      </c>
      <c r="G38" t="s">
        <v>313</v>
      </c>
    </row>
    <row r="39" spans="1:7">
      <c r="A39" t="s">
        <v>192</v>
      </c>
      <c r="B39" s="32">
        <v>-94.1666666666667</v>
      </c>
      <c r="C39" s="32">
        <v>36.200000000000003</v>
      </c>
      <c r="D39" s="32" t="s">
        <v>258</v>
      </c>
      <c r="E39" s="32" t="s">
        <v>274</v>
      </c>
      <c r="F39">
        <v>2009</v>
      </c>
      <c r="G39" t="s">
        <v>313</v>
      </c>
    </row>
    <row r="40" spans="1:7">
      <c r="A40" t="s">
        <v>193</v>
      </c>
      <c r="B40" s="32">
        <v>-94.089297000000002</v>
      </c>
      <c r="C40" s="32">
        <v>36.080810999999997</v>
      </c>
      <c r="D40" s="32" t="s">
        <v>258</v>
      </c>
      <c r="E40" t="s">
        <v>294</v>
      </c>
      <c r="F40" t="s">
        <v>291</v>
      </c>
      <c r="G40" t="s">
        <v>313</v>
      </c>
    </row>
    <row r="41" spans="1:7">
      <c r="A41" t="s">
        <v>194</v>
      </c>
      <c r="B41" s="32">
        <v>-82.323492000000002</v>
      </c>
      <c r="C41" s="32">
        <v>29.645575999999998</v>
      </c>
      <c r="D41" s="32" t="s">
        <v>258</v>
      </c>
      <c r="E41" s="32"/>
      <c r="G41" t="s">
        <v>313</v>
      </c>
    </row>
    <row r="42" spans="1:7">
      <c r="A42" t="s">
        <v>277</v>
      </c>
      <c r="B42" s="32">
        <v>-98.806156999999999</v>
      </c>
      <c r="C42" s="32">
        <v>29.491195399999999</v>
      </c>
      <c r="D42" s="32" t="s">
        <v>257</v>
      </c>
      <c r="E42" s="32" t="s">
        <v>276</v>
      </c>
      <c r="F42" s="32" t="s">
        <v>298</v>
      </c>
      <c r="G42" t="s">
        <v>313</v>
      </c>
    </row>
    <row r="43" spans="1:7">
      <c r="A43" t="s">
        <v>309</v>
      </c>
      <c r="B43" s="32">
        <v>16.163287777777775</v>
      </c>
      <c r="C43" s="32">
        <v>51.627626666666664</v>
      </c>
      <c r="D43" s="32" t="s">
        <v>258</v>
      </c>
      <c r="E43" s="32"/>
      <c r="G43" t="s">
        <v>313</v>
      </c>
    </row>
    <row r="44" spans="1:7">
      <c r="A44" t="s">
        <v>361</v>
      </c>
      <c r="B44">
        <v>-103.3499748</v>
      </c>
      <c r="C44">
        <v>34.178595899999998</v>
      </c>
      <c r="D44" t="s">
        <v>258</v>
      </c>
      <c r="E44" s="32" t="s">
        <v>287</v>
      </c>
      <c r="F44" t="s">
        <v>293</v>
      </c>
      <c r="G44" t="s">
        <v>362</v>
      </c>
    </row>
    <row r="45" spans="1:7">
      <c r="A45" s="32" t="s">
        <v>256</v>
      </c>
      <c r="B45" s="32">
        <v>-75.900000000000006</v>
      </c>
      <c r="C45" s="32">
        <v>39</v>
      </c>
      <c r="D45" s="32" t="s">
        <v>258</v>
      </c>
      <c r="E45" s="32"/>
      <c r="G45" t="s">
        <v>313</v>
      </c>
    </row>
    <row r="46" spans="1:7">
      <c r="E46" s="32"/>
      <c r="F46" s="32"/>
    </row>
    <row r="47" spans="1:7">
      <c r="E47" s="32"/>
    </row>
  </sheetData>
  <sortState ref="A2:G46">
    <sortCondition ref="A2:A46"/>
    <sortCondition ref="C2:C46"/>
    <sortCondition ref="B2:B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A1048576"/>
    </sheetView>
  </sheetViews>
  <sheetFormatPr baseColWidth="10" defaultRowHeight="15" x14ac:dyDescent="0"/>
  <cols>
    <col min="1" max="1" width="12.33203125" bestFit="1" customWidth="1"/>
    <col min="2" max="2" width="8.33203125" style="1" bestFit="1" customWidth="1"/>
    <col min="3" max="3" width="14.6640625" bestFit="1" customWidth="1"/>
    <col min="4" max="4" width="4.83203125" bestFit="1" customWidth="1"/>
    <col min="5" max="5" width="5.6640625" bestFit="1" customWidth="1"/>
    <col min="6" max="6" width="27.33203125" bestFit="1" customWidth="1"/>
    <col min="7" max="7" width="6" bestFit="1" customWidth="1"/>
  </cols>
  <sheetData>
    <row r="1" spans="1:7">
      <c r="A1" t="s">
        <v>212</v>
      </c>
      <c r="B1" s="1" t="s">
        <v>213</v>
      </c>
      <c r="C1" t="s">
        <v>214</v>
      </c>
      <c r="D1" t="s">
        <v>330</v>
      </c>
      <c r="E1" t="s">
        <v>329</v>
      </c>
      <c r="F1" t="s">
        <v>230</v>
      </c>
      <c r="G1" t="s">
        <v>235</v>
      </c>
    </row>
    <row r="2" spans="1:7">
      <c r="A2" t="s">
        <v>413</v>
      </c>
      <c r="B2" s="1">
        <f>Settings!G16</f>
        <v>0.5</v>
      </c>
      <c r="C2" s="1" t="str">
        <f>Settings!H16&amp;" "&amp;Settings!F16&amp;"-1"</f>
        <v>gC gBiomass-1</v>
      </c>
      <c r="D2" t="s">
        <v>44</v>
      </c>
      <c r="E2" t="s">
        <v>44</v>
      </c>
      <c r="F2" t="s">
        <v>248</v>
      </c>
      <c r="G2" t="s">
        <v>237</v>
      </c>
    </row>
    <row r="3" spans="1:7">
      <c r="A3" t="s">
        <v>414</v>
      </c>
      <c r="B3" s="1">
        <f>Settings!G17</f>
        <v>4.8000000000000001E-2</v>
      </c>
      <c r="C3" s="1" t="str">
        <f>Settings!H17&amp;" "&amp;Settings!F17&amp;"-1"</f>
        <v>gN gBiomass-1</v>
      </c>
      <c r="D3" t="s">
        <v>44</v>
      </c>
      <c r="E3" t="s">
        <v>44</v>
      </c>
      <c r="F3" t="s">
        <v>249</v>
      </c>
      <c r="G3" t="s">
        <v>237</v>
      </c>
    </row>
    <row r="4" spans="1:7">
      <c r="A4" t="s">
        <v>415</v>
      </c>
      <c r="B4" s="1">
        <f>Settings!G18</f>
        <v>3.0000000000000001E-3</v>
      </c>
      <c r="C4" s="1" t="str">
        <f>Settings!H18&amp;" "&amp;Settings!F18&amp;"-1"</f>
        <v>gP gBiomass-1</v>
      </c>
      <c r="D4" t="s">
        <v>44</v>
      </c>
      <c r="E4" t="s">
        <v>44</v>
      </c>
      <c r="F4" t="s">
        <v>250</v>
      </c>
      <c r="G4" t="s">
        <v>237</v>
      </c>
    </row>
    <row r="5" spans="1:7">
      <c r="A5" t="s">
        <v>416</v>
      </c>
      <c r="B5" s="1">
        <f>Settings!B44</f>
        <v>2108776740182.28</v>
      </c>
      <c r="C5" s="1" t="str">
        <f>Settings!C44</f>
        <v>t</v>
      </c>
      <c r="D5" t="s">
        <v>44</v>
      </c>
      <c r="E5" t="s">
        <v>44</v>
      </c>
      <c r="F5" t="s">
        <v>255</v>
      </c>
      <c r="G5" t="s">
        <v>237</v>
      </c>
    </row>
    <row r="6" spans="1:7">
      <c r="A6" t="s">
        <v>417</v>
      </c>
      <c r="B6" s="1">
        <f>Settings!B46</f>
        <v>10916659471.299574</v>
      </c>
      <c r="C6" s="1" t="str">
        <f>Settings!C46</f>
        <v>t yr-1</v>
      </c>
      <c r="D6" t="s">
        <v>44</v>
      </c>
      <c r="E6" t="s">
        <v>44</v>
      </c>
      <c r="F6" t="s">
        <v>254</v>
      </c>
      <c r="G6" t="s">
        <v>237</v>
      </c>
    </row>
    <row r="7" spans="1:7">
      <c r="A7" t="s">
        <v>418</v>
      </c>
      <c r="B7" s="1">
        <v>40</v>
      </c>
      <c r="C7" t="s">
        <v>211</v>
      </c>
      <c r="D7" t="s">
        <v>44</v>
      </c>
      <c r="E7" t="s">
        <v>44</v>
      </c>
      <c r="F7" t="s">
        <v>242</v>
      </c>
      <c r="G7" t="s">
        <v>237</v>
      </c>
    </row>
    <row r="8" spans="1:7">
      <c r="A8" t="s">
        <v>419</v>
      </c>
      <c r="B8" s="1">
        <v>0</v>
      </c>
      <c r="C8" t="s">
        <v>211</v>
      </c>
      <c r="D8" t="s">
        <v>44</v>
      </c>
      <c r="E8" t="s">
        <v>44</v>
      </c>
      <c r="F8" t="s">
        <v>321</v>
      </c>
      <c r="G8" t="s">
        <v>237</v>
      </c>
    </row>
    <row r="9" spans="1:7">
      <c r="A9" t="s">
        <v>420</v>
      </c>
      <c r="B9" s="1">
        <f>Settings!B3</f>
        <v>54.787500000000001</v>
      </c>
      <c r="C9" t="s">
        <v>217</v>
      </c>
      <c r="D9" t="s">
        <v>44</v>
      </c>
      <c r="E9" t="s">
        <v>44</v>
      </c>
      <c r="F9" t="s">
        <v>322</v>
      </c>
      <c r="G9" t="s">
        <v>237</v>
      </c>
    </row>
    <row r="10" spans="1:7">
      <c r="A10" t="s">
        <v>421</v>
      </c>
      <c r="B10" s="1">
        <f>Settings!B5</f>
        <v>91.3125</v>
      </c>
      <c r="C10" t="s">
        <v>217</v>
      </c>
      <c r="D10" t="s">
        <v>44</v>
      </c>
      <c r="E10" t="s">
        <v>44</v>
      </c>
      <c r="F10" t="s">
        <v>323</v>
      </c>
      <c r="G10" t="s">
        <v>237</v>
      </c>
    </row>
    <row r="11" spans="1:7">
      <c r="A11" t="s">
        <v>422</v>
      </c>
      <c r="B11" s="1">
        <f>(B10-B9)/(B8-B7)</f>
        <v>-0.91312499999999996</v>
      </c>
      <c r="C11" t="s">
        <v>215</v>
      </c>
      <c r="D11" t="s">
        <v>44</v>
      </c>
      <c r="E11" t="s">
        <v>44</v>
      </c>
      <c r="F11" t="s">
        <v>243</v>
      </c>
      <c r="G11" t="s">
        <v>237</v>
      </c>
    </row>
    <row r="12" spans="1:7">
      <c r="A12" t="s">
        <v>423</v>
      </c>
      <c r="B12" s="1">
        <f>Settings!B5</f>
        <v>91.3125</v>
      </c>
      <c r="C12" s="1" t="str">
        <f>Settings!C5</f>
        <v>t ha-1 yr-1</v>
      </c>
      <c r="D12" t="s">
        <v>44</v>
      </c>
      <c r="E12" t="s">
        <v>44</v>
      </c>
      <c r="F12" t="s">
        <v>241</v>
      </c>
      <c r="G12" t="s">
        <v>237</v>
      </c>
    </row>
    <row r="13" spans="1:7">
      <c r="A13" t="s">
        <v>424</v>
      </c>
      <c r="B13" s="1">
        <f>Settings!B22</f>
        <v>330</v>
      </c>
      <c r="C13" s="1" t="str">
        <f>Settings!C22</f>
        <v>Pg yr-1</v>
      </c>
      <c r="D13" t="s">
        <v>44</v>
      </c>
      <c r="E13" t="s">
        <v>44</v>
      </c>
      <c r="F13" t="s">
        <v>327</v>
      </c>
      <c r="G13" t="s">
        <v>237</v>
      </c>
    </row>
    <row r="14" spans="1:7">
      <c r="A14" t="s">
        <v>425</v>
      </c>
      <c r="B14" s="1">
        <f>Settings!B24</f>
        <v>9.1</v>
      </c>
      <c r="C14" s="1" t="str">
        <f>Settings!C24</f>
        <v>Pg yr-1</v>
      </c>
      <c r="D14" t="s">
        <v>44</v>
      </c>
      <c r="E14" t="s">
        <v>44</v>
      </c>
      <c r="F14" t="s">
        <v>327</v>
      </c>
      <c r="G14" t="s">
        <v>237</v>
      </c>
    </row>
    <row r="15" spans="1:7">
      <c r="A15" t="s">
        <v>426</v>
      </c>
      <c r="B15" s="1">
        <f>Economics!B4</f>
        <v>5</v>
      </c>
      <c r="C15" s="1" t="str">
        <f>Economics!C4</f>
        <v>ha emp-1</v>
      </c>
      <c r="D15" t="s">
        <v>44</v>
      </c>
      <c r="E15" t="s">
        <v>44</v>
      </c>
      <c r="F15" t="s">
        <v>238</v>
      </c>
      <c r="G15" t="s">
        <v>236</v>
      </c>
    </row>
    <row r="16" spans="1:7">
      <c r="A16" t="s">
        <v>427</v>
      </c>
      <c r="B16" s="1">
        <f>Economics!B5</f>
        <v>100000</v>
      </c>
      <c r="C16" s="1" t="str">
        <f>Economics!C5</f>
        <v>$ yr-1</v>
      </c>
      <c r="D16" t="s">
        <v>44</v>
      </c>
      <c r="E16" t="s">
        <v>44</v>
      </c>
      <c r="F16" t="s">
        <v>239</v>
      </c>
      <c r="G16" t="s">
        <v>236</v>
      </c>
    </row>
    <row r="17" spans="1:7">
      <c r="A17" t="s">
        <v>428</v>
      </c>
      <c r="B17" s="1">
        <f>Economics!B6</f>
        <v>0.05</v>
      </c>
      <c r="C17" s="1" t="str">
        <f>Economics!C6</f>
        <v>opex yr-1</v>
      </c>
      <c r="D17" t="s">
        <v>44</v>
      </c>
      <c r="E17" t="s">
        <v>44</v>
      </c>
      <c r="F17" t="s">
        <v>240</v>
      </c>
      <c r="G17" t="s">
        <v>236</v>
      </c>
    </row>
    <row r="18" spans="1:7">
      <c r="A18" t="s">
        <v>429</v>
      </c>
      <c r="B18" s="1">
        <f>Economics!B2</f>
        <v>250000</v>
      </c>
      <c r="C18" s="1" t="str">
        <f>Economics!C2</f>
        <v>$ ha-1</v>
      </c>
      <c r="D18" t="s">
        <v>44</v>
      </c>
      <c r="E18" t="s">
        <v>44</v>
      </c>
      <c r="F18" t="s">
        <v>252</v>
      </c>
      <c r="G18" t="s">
        <v>236</v>
      </c>
    </row>
    <row r="19" spans="1:7">
      <c r="A19" t="s">
        <v>430</v>
      </c>
      <c r="B19" s="1">
        <f>Economics!B3</f>
        <v>1000000</v>
      </c>
      <c r="C19" t="s">
        <v>204</v>
      </c>
      <c r="D19" t="s">
        <v>44</v>
      </c>
      <c r="E19" t="s">
        <v>44</v>
      </c>
      <c r="F19" t="s">
        <v>253</v>
      </c>
      <c r="G19" t="s">
        <v>236</v>
      </c>
    </row>
    <row r="20" spans="1:7">
      <c r="A20" t="s">
        <v>431</v>
      </c>
      <c r="B20" s="1">
        <f>Economics!B7</f>
        <v>32500</v>
      </c>
      <c r="C20" s="1" t="str">
        <f>Economics!C7</f>
        <v>$ ha-1 yr-1</v>
      </c>
      <c r="D20" t="s">
        <v>44</v>
      </c>
      <c r="E20" t="s">
        <v>44</v>
      </c>
      <c r="F20" t="s">
        <v>245</v>
      </c>
      <c r="G20" t="s">
        <v>236</v>
      </c>
    </row>
    <row r="21" spans="1:7">
      <c r="A21" t="s">
        <v>432</v>
      </c>
      <c r="B21" s="1">
        <f>Economics!B8</f>
        <v>70000</v>
      </c>
      <c r="C21" s="1" t="str">
        <f>Economics!C8</f>
        <v>$ ha-1 yr-1</v>
      </c>
      <c r="D21" t="s">
        <v>44</v>
      </c>
      <c r="E21" t="s">
        <v>44</v>
      </c>
      <c r="F21" t="s">
        <v>244</v>
      </c>
      <c r="G21" t="s">
        <v>236</v>
      </c>
    </row>
    <row r="22" spans="1:7">
      <c r="A22" t="s">
        <v>433</v>
      </c>
      <c r="B22" s="1">
        <f>Economics!B9</f>
        <v>40</v>
      </c>
      <c r="C22" s="1" t="str">
        <f>Economics!C9</f>
        <v>yr</v>
      </c>
      <c r="D22" t="s">
        <v>44</v>
      </c>
      <c r="E22" t="s">
        <v>44</v>
      </c>
      <c r="F22" t="s">
        <v>333</v>
      </c>
      <c r="G22" t="s">
        <v>236</v>
      </c>
    </row>
    <row r="23" spans="1:7">
      <c r="A23" t="s">
        <v>434</v>
      </c>
      <c r="B23" s="1">
        <f>Economics!B10</f>
        <v>20</v>
      </c>
      <c r="C23" s="1" t="str">
        <f>Economics!C10</f>
        <v>yr</v>
      </c>
      <c r="D23" t="s">
        <v>44</v>
      </c>
      <c r="E23" t="s">
        <v>44</v>
      </c>
      <c r="F23" t="s">
        <v>334</v>
      </c>
      <c r="G23" t="s">
        <v>236</v>
      </c>
    </row>
    <row r="24" spans="1:7">
      <c r="A24" t="s">
        <v>435</v>
      </c>
      <c r="B24" s="1">
        <f>Settings!B5</f>
        <v>91.3125</v>
      </c>
      <c r="C24" t="str">
        <f>Settings!C5</f>
        <v>t ha-1 yr-1</v>
      </c>
      <c r="D24" t="s">
        <v>44</v>
      </c>
      <c r="E24" t="s">
        <v>44</v>
      </c>
      <c r="F24" t="s">
        <v>246</v>
      </c>
      <c r="G24" t="s">
        <v>237</v>
      </c>
    </row>
    <row r="25" spans="1:7">
      <c r="A25" t="s">
        <v>436</v>
      </c>
      <c r="B25" s="1">
        <f>Settings!B3</f>
        <v>54.787500000000001</v>
      </c>
      <c r="C25" t="str">
        <f>Settings!C3</f>
        <v>t ha-1 yr-1</v>
      </c>
      <c r="D25" t="s">
        <v>44</v>
      </c>
      <c r="E25" t="s">
        <v>44</v>
      </c>
      <c r="F25" t="s">
        <v>247</v>
      </c>
      <c r="G25" t="s">
        <v>237</v>
      </c>
    </row>
    <row r="26" spans="1:7">
      <c r="A26" t="s">
        <v>437</v>
      </c>
      <c r="B26" s="1">
        <f>Economics!B11</f>
        <v>0.1</v>
      </c>
      <c r="C26" s="1" t="str">
        <f>Economics!C11</f>
        <v>prp</v>
      </c>
      <c r="D26" t="s">
        <v>44</v>
      </c>
      <c r="E26" t="s">
        <v>44</v>
      </c>
      <c r="F26" t="s">
        <v>335</v>
      </c>
      <c r="G26" t="s">
        <v>236</v>
      </c>
    </row>
    <row r="27" spans="1:7">
      <c r="A27" t="s">
        <v>438</v>
      </c>
      <c r="B27" s="1">
        <f>Economics!B12</f>
        <v>50</v>
      </c>
      <c r="C27" s="1" t="str">
        <f>Economics!C12</f>
        <v>yr</v>
      </c>
      <c r="D27" t="s">
        <v>44</v>
      </c>
      <c r="E27" t="s">
        <v>44</v>
      </c>
      <c r="F27" t="s">
        <v>337</v>
      </c>
      <c r="G27" t="s">
        <v>236</v>
      </c>
    </row>
    <row r="28" spans="1:7">
      <c r="A28" t="s">
        <v>439</v>
      </c>
      <c r="B28" s="1">
        <f>Economics!B13</f>
        <v>100</v>
      </c>
      <c r="C28" s="1" t="str">
        <f>Economics!C13</f>
        <v>yr</v>
      </c>
      <c r="D28" t="s">
        <v>44</v>
      </c>
      <c r="E28" t="s">
        <v>44</v>
      </c>
      <c r="F28" t="s">
        <v>338</v>
      </c>
      <c r="G28" t="s">
        <v>236</v>
      </c>
    </row>
    <row r="29" spans="1:7">
      <c r="A29" t="s">
        <v>440</v>
      </c>
      <c r="B29" s="1">
        <f>Economics!B14</f>
        <v>200</v>
      </c>
      <c r="C29" s="1" t="str">
        <f>Economics!C14</f>
        <v>yr</v>
      </c>
      <c r="D29" t="s">
        <v>44</v>
      </c>
      <c r="E29" t="s">
        <v>44</v>
      </c>
      <c r="F29" t="s">
        <v>339</v>
      </c>
      <c r="G29" t="s">
        <v>236</v>
      </c>
    </row>
  </sheetData>
  <sortState ref="A2:E20">
    <sortCondition ref="E2:E20"/>
  </sortState>
  <pageMargins left="0.75" right="0.75" top="1" bottom="1" header="0.5" footer="0.5"/>
  <pageSetup orientation="portrait" horizontalDpi="4294967292" verticalDpi="4294967292"/>
  <ignoredErrors>
    <ignoredError sqref="B11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1" sqref="B1"/>
    </sheetView>
  </sheetViews>
  <sheetFormatPr baseColWidth="10" defaultRowHeight="15" x14ac:dyDescent="0"/>
  <cols>
    <col min="2" max="2" width="11.1640625" bestFit="1" customWidth="1"/>
  </cols>
  <sheetData>
    <row r="1" spans="1:2">
      <c r="A1" t="s">
        <v>345</v>
      </c>
      <c r="B1" t="s">
        <v>346</v>
      </c>
    </row>
    <row r="2" spans="1:2">
      <c r="A2">
        <f>Population!A2</f>
        <v>2012</v>
      </c>
      <c r="B2">
        <f>Population!B2</f>
        <v>6195589560</v>
      </c>
    </row>
    <row r="3" spans="1:2">
      <c r="A3">
        <f>Population!A3</f>
        <v>2013</v>
      </c>
      <c r="B3">
        <f>Population!B3</f>
        <v>6274734084.1000004</v>
      </c>
    </row>
    <row r="4" spans="1:2">
      <c r="A4">
        <f>Population!A4</f>
        <v>2014</v>
      </c>
      <c r="B4">
        <f>Population!B4</f>
        <v>6353976427.1999998</v>
      </c>
    </row>
    <row r="5" spans="1:2">
      <c r="A5">
        <f>Population!A5</f>
        <v>2015</v>
      </c>
      <c r="B5">
        <f>Population!B5</f>
        <v>6433748714</v>
      </c>
    </row>
    <row r="6" spans="1:2">
      <c r="A6">
        <f>Population!A6</f>
        <v>2016</v>
      </c>
      <c r="B6">
        <f>Population!B6</f>
        <v>6513959903.6999998</v>
      </c>
    </row>
    <row r="7" spans="1:2">
      <c r="A7">
        <f>Population!A7</f>
        <v>2017</v>
      </c>
      <c r="B7">
        <f>Population!B7</f>
        <v>6594722462.3000002</v>
      </c>
    </row>
    <row r="8" spans="1:2">
      <c r="A8">
        <f>Population!A8</f>
        <v>2018</v>
      </c>
      <c r="B8">
        <f>Population!B8</f>
        <v>6675832678</v>
      </c>
    </row>
    <row r="9" spans="1:2">
      <c r="A9">
        <f>Population!A9</f>
        <v>2019</v>
      </c>
      <c r="B9">
        <f>Population!B9</f>
        <v>6758302522.6000004</v>
      </c>
    </row>
    <row r="10" spans="1:2">
      <c r="A10">
        <f>Population!A10</f>
        <v>2020</v>
      </c>
      <c r="B10">
        <f>Population!B10</f>
        <v>6840955705.5</v>
      </c>
    </row>
    <row r="11" spans="1:2">
      <c r="A11">
        <f>Population!A11</f>
        <v>2021</v>
      </c>
      <c r="B11">
        <f>Population!B11</f>
        <v>6923684084.6000004</v>
      </c>
    </row>
    <row r="12" spans="1:2">
      <c r="A12">
        <f>Population!A12</f>
        <v>2022</v>
      </c>
      <c r="B12">
        <f>Population!B12</f>
        <v>7006907989.1000004</v>
      </c>
    </row>
    <row r="13" spans="1:2">
      <c r="A13">
        <f>Population!A13</f>
        <v>2023</v>
      </c>
      <c r="B13">
        <f>Population!B13</f>
        <v>7089451550.6999998</v>
      </c>
    </row>
    <row r="14" spans="1:2">
      <c r="A14">
        <f>Population!A14</f>
        <v>2024</v>
      </c>
      <c r="B14">
        <f>Population!B14</f>
        <v>7176092192.1000004</v>
      </c>
    </row>
    <row r="15" spans="1:2">
      <c r="A15">
        <f>Population!A15</f>
        <v>2025</v>
      </c>
      <c r="B15">
        <f>Population!B15</f>
        <v>7260780278.3000002</v>
      </c>
    </row>
    <row r="16" spans="1:2">
      <c r="A16">
        <f>Population!A16</f>
        <v>2026</v>
      </c>
      <c r="B16">
        <f>Population!B16</f>
        <v>7346633037.3999996</v>
      </c>
    </row>
    <row r="17" spans="1:2">
      <c r="A17">
        <f>Population!A17</f>
        <v>2027</v>
      </c>
      <c r="B17">
        <f>Population!B17</f>
        <v>7429693000</v>
      </c>
    </row>
    <row r="18" spans="1:2">
      <c r="A18">
        <f>Population!A18</f>
        <v>2028</v>
      </c>
      <c r="B18">
        <f>Population!B18</f>
        <v>7512207000</v>
      </c>
    </row>
    <row r="19" spans="1:2">
      <c r="A19">
        <f>Population!A19</f>
        <v>2029</v>
      </c>
      <c r="B19">
        <f>Population!B19</f>
        <v>7593902000</v>
      </c>
    </row>
    <row r="20" spans="1:2">
      <c r="A20">
        <f>Population!A20</f>
        <v>2030</v>
      </c>
      <c r="B20">
        <f>Population!B20</f>
        <v>7674730000</v>
      </c>
    </row>
    <row r="21" spans="1:2">
      <c r="A21">
        <f>Population!A21</f>
        <v>2031</v>
      </c>
      <c r="B21">
        <f>Population!B21</f>
        <v>7754619000</v>
      </c>
    </row>
    <row r="22" spans="1:2">
      <c r="A22">
        <f>Population!A22</f>
        <v>2032</v>
      </c>
      <c r="B22">
        <f>Population!B22</f>
        <v>7833567000</v>
      </c>
    </row>
    <row r="23" spans="1:2">
      <c r="A23">
        <f>Population!A23</f>
        <v>2033</v>
      </c>
      <c r="B23">
        <f>Population!B23</f>
        <v>7911542000</v>
      </c>
    </row>
    <row r="24" spans="1:2">
      <c r="A24">
        <f>Population!A24</f>
        <v>2034</v>
      </c>
      <c r="B24">
        <f>Population!B24</f>
        <v>7988484000</v>
      </c>
    </row>
    <row r="25" spans="1:2">
      <c r="A25">
        <f>Population!A25</f>
        <v>2035</v>
      </c>
      <c r="B25">
        <f>Population!B25</f>
        <v>8064405000</v>
      </c>
    </row>
    <row r="26" spans="1:2">
      <c r="A26">
        <f>Population!A26</f>
        <v>2036</v>
      </c>
      <c r="B26">
        <f>Population!B26</f>
        <v>8139303000</v>
      </c>
    </row>
    <row r="27" spans="1:2">
      <c r="A27">
        <f>Population!A27</f>
        <v>2037</v>
      </c>
      <c r="B27">
        <f>Population!B27</f>
        <v>8213166000</v>
      </c>
    </row>
    <row r="28" spans="1:2">
      <c r="A28">
        <f>Population!A28</f>
        <v>2038</v>
      </c>
      <c r="B28">
        <f>Population!B28</f>
        <v>8285985000</v>
      </c>
    </row>
    <row r="29" spans="1:2">
      <c r="A29">
        <f>Population!A29</f>
        <v>2039</v>
      </c>
      <c r="B29">
        <f>Population!B29</f>
        <v>8357801000</v>
      </c>
    </row>
    <row r="30" spans="1:2">
      <c r="A30">
        <f>Population!A30</f>
        <v>2040</v>
      </c>
      <c r="B30">
        <f>Population!B30</f>
        <v>8428633000</v>
      </c>
    </row>
    <row r="31" spans="1:2">
      <c r="A31">
        <f>Population!A31</f>
        <v>2041</v>
      </c>
      <c r="B31">
        <f>Population!B31</f>
        <v>8498534000</v>
      </c>
    </row>
    <row r="32" spans="1:2">
      <c r="A32">
        <f>Population!A32</f>
        <v>2042</v>
      </c>
      <c r="B32">
        <f>Population!B32</f>
        <v>8567514000</v>
      </c>
    </row>
    <row r="33" spans="1:2">
      <c r="A33">
        <f>Population!A33</f>
        <v>2043</v>
      </c>
      <c r="B33">
        <f>Population!B33</f>
        <v>8635565000</v>
      </c>
    </row>
    <row r="34" spans="1:2">
      <c r="A34">
        <f>Population!A34</f>
        <v>2044</v>
      </c>
      <c r="B34">
        <f>Population!B34</f>
        <v>8702716000</v>
      </c>
    </row>
    <row r="35" spans="1:2">
      <c r="A35">
        <f>Population!A35</f>
        <v>2045</v>
      </c>
      <c r="B35">
        <f>Population!B35</f>
        <v>8769010000</v>
      </c>
    </row>
    <row r="36" spans="1:2">
      <c r="A36">
        <f>Population!A36</f>
        <v>2046</v>
      </c>
      <c r="B36">
        <f>Population!B36</f>
        <v>8834517000</v>
      </c>
    </row>
    <row r="37" spans="1:2">
      <c r="A37">
        <f>Population!A37</f>
        <v>2047</v>
      </c>
      <c r="B37">
        <f>Population!B37</f>
        <v>8899266000</v>
      </c>
    </row>
    <row r="38" spans="1:2">
      <c r="A38">
        <f>Population!A38</f>
        <v>2048</v>
      </c>
      <c r="B38">
        <f>Population!B38</f>
        <v>8963266000</v>
      </c>
    </row>
    <row r="39" spans="1:2">
      <c r="A39">
        <f>Population!A39</f>
        <v>2049</v>
      </c>
      <c r="B39">
        <f>Population!B39</f>
        <v>9026540000</v>
      </c>
    </row>
    <row r="40" spans="1:2">
      <c r="A40">
        <f>Population!A40</f>
        <v>2050</v>
      </c>
      <c r="B40">
        <f>Population!B40</f>
        <v>9089080000</v>
      </c>
    </row>
    <row r="41" spans="1:2">
      <c r="A41">
        <f>Population!A41</f>
        <v>2051</v>
      </c>
      <c r="B41">
        <f>Population!B41</f>
        <v>9150005162.5369568</v>
      </c>
    </row>
    <row r="42" spans="1:2">
      <c r="A42">
        <f>Population!A42</f>
        <v>2052</v>
      </c>
      <c r="B42">
        <f>Population!B42</f>
        <v>9209996181.5348701</v>
      </c>
    </row>
    <row r="43" spans="1:2">
      <c r="A43">
        <f>Population!A43</f>
        <v>2053</v>
      </c>
      <c r="B43">
        <f>Population!B43</f>
        <v>9269053056.9937401</v>
      </c>
    </row>
    <row r="44" spans="1:2">
      <c r="A44">
        <f>Population!A44</f>
        <v>2054</v>
      </c>
      <c r="B44">
        <f>Population!B44</f>
        <v>9327175788.9135666</v>
      </c>
    </row>
    <row r="45" spans="1:2">
      <c r="A45">
        <f>Population!A45</f>
        <v>2055</v>
      </c>
      <c r="B45">
        <f>Population!B45</f>
        <v>9384364377.2943497</v>
      </c>
    </row>
    <row r="46" spans="1:2">
      <c r="A46">
        <f>Population!A46</f>
        <v>2056</v>
      </c>
      <c r="B46">
        <f>Population!B46</f>
        <v>9440618822.1360893</v>
      </c>
    </row>
    <row r="47" spans="1:2">
      <c r="A47">
        <f>Population!A47</f>
        <v>2057</v>
      </c>
      <c r="B47">
        <f>Population!B47</f>
        <v>9495939123.4387856</v>
      </c>
    </row>
    <row r="48" spans="1:2">
      <c r="A48">
        <f>Population!A48</f>
        <v>2058</v>
      </c>
      <c r="B48">
        <f>Population!B48</f>
        <v>9550325281.2024384</v>
      </c>
    </row>
    <row r="49" spans="1:2">
      <c r="A49">
        <f>Population!A49</f>
        <v>2059</v>
      </c>
      <c r="B49">
        <f>Population!B49</f>
        <v>9603777295.4270477</v>
      </c>
    </row>
    <row r="50" spans="1:2">
      <c r="A50">
        <f>Population!A50</f>
        <v>2060</v>
      </c>
      <c r="B50">
        <f>Population!B50</f>
        <v>9656295166.1126137</v>
      </c>
    </row>
    <row r="51" spans="1:2">
      <c r="A51">
        <f>Population!A51</f>
        <v>2061</v>
      </c>
      <c r="B51">
        <f>Population!B51</f>
        <v>9707878893.2591362</v>
      </c>
    </row>
    <row r="52" spans="1:2">
      <c r="A52">
        <f>Population!A52</f>
        <v>2062</v>
      </c>
      <c r="B52">
        <f>Population!B52</f>
        <v>9758528476.8666153</v>
      </c>
    </row>
    <row r="53" spans="1:2">
      <c r="A53">
        <f>Population!A53</f>
        <v>2063</v>
      </c>
      <c r="B53">
        <f>Population!B53</f>
        <v>9808243916.935051</v>
      </c>
    </row>
    <row r="54" spans="1:2">
      <c r="A54">
        <f>Population!A54</f>
        <v>2064</v>
      </c>
      <c r="B54">
        <f>Population!B54</f>
        <v>9857025213.4644432</v>
      </c>
    </row>
    <row r="55" spans="1:2">
      <c r="A55">
        <f>Population!A55</f>
        <v>2065</v>
      </c>
      <c r="B55">
        <f>Population!B55</f>
        <v>9904872366.454792</v>
      </c>
    </row>
    <row r="56" spans="1:2">
      <c r="A56">
        <f>Population!A56</f>
        <v>2066</v>
      </c>
      <c r="B56">
        <f>Population!B56</f>
        <v>9951785375.9060974</v>
      </c>
    </row>
    <row r="57" spans="1:2">
      <c r="A57">
        <f>Population!A57</f>
        <v>2067</v>
      </c>
      <c r="B57">
        <f>Population!B57</f>
        <v>9997764241.8183594</v>
      </c>
    </row>
    <row r="58" spans="1:2">
      <c r="A58">
        <f>Population!A58</f>
        <v>2068</v>
      </c>
      <c r="B58">
        <f>Population!B58</f>
        <v>10042808964.191576</v>
      </c>
    </row>
    <row r="59" spans="1:2">
      <c r="A59">
        <f>Population!A59</f>
        <v>2069</v>
      </c>
      <c r="B59">
        <f>Population!B59</f>
        <v>10086919543.025749</v>
      </c>
    </row>
    <row r="60" spans="1:2">
      <c r="A60">
        <f>Population!A60</f>
        <v>2070</v>
      </c>
      <c r="B60">
        <f>Population!B60</f>
        <v>10130095978.320879</v>
      </c>
    </row>
    <row r="61" spans="1:2">
      <c r="A61">
        <f>Population!A61</f>
        <v>2071</v>
      </c>
      <c r="B61">
        <f>Population!B61</f>
        <v>10172338270.076965</v>
      </c>
    </row>
    <row r="62" spans="1:2">
      <c r="A62">
        <f>Population!A62</f>
        <v>2072</v>
      </c>
      <c r="B62">
        <f>Population!B62</f>
        <v>10213646418.294008</v>
      </c>
    </row>
    <row r="63" spans="1:2">
      <c r="A63">
        <f>Population!A63</f>
        <v>2073</v>
      </c>
      <c r="B63">
        <f>Population!B63</f>
        <v>10254020422.972008</v>
      </c>
    </row>
    <row r="64" spans="1:2">
      <c r="A64">
        <f>Population!A64</f>
        <v>2074</v>
      </c>
      <c r="B64">
        <f>Population!B64</f>
        <v>10293460284.110964</v>
      </c>
    </row>
    <row r="65" spans="1:2">
      <c r="A65">
        <f>Population!A65</f>
        <v>2075</v>
      </c>
      <c r="B65">
        <f>Population!B65</f>
        <v>10331966001.710876</v>
      </c>
    </row>
    <row r="66" spans="1:2">
      <c r="A66">
        <f>Population!A66</f>
        <v>2076</v>
      </c>
      <c r="B66">
        <f>Population!B66</f>
        <v>10369537575.771746</v>
      </c>
    </row>
    <row r="67" spans="1:2">
      <c r="A67">
        <f>Population!A67</f>
        <v>2077</v>
      </c>
      <c r="B67">
        <f>Population!B67</f>
        <v>10406175006.293571</v>
      </c>
    </row>
    <row r="68" spans="1:2">
      <c r="A68">
        <f>Population!A68</f>
        <v>2078</v>
      </c>
      <c r="B68">
        <f>Population!B68</f>
        <v>10441878293.276354</v>
      </c>
    </row>
    <row r="69" spans="1:2">
      <c r="A69">
        <f>Population!A69</f>
        <v>2079</v>
      </c>
      <c r="B69">
        <f>Population!B69</f>
        <v>10476647436.720093</v>
      </c>
    </row>
    <row r="70" spans="1:2">
      <c r="A70">
        <f>Population!A70</f>
        <v>2080</v>
      </c>
      <c r="B70">
        <f>Population!B70</f>
        <v>10510482436.624788</v>
      </c>
    </row>
    <row r="71" spans="1:2">
      <c r="A71">
        <f>Population!A71</f>
        <v>2081</v>
      </c>
      <c r="B71">
        <f>Population!B71</f>
        <v>10543383292.99044</v>
      </c>
    </row>
    <row r="72" spans="1:2">
      <c r="A72">
        <f>Population!A72</f>
        <v>2082</v>
      </c>
      <c r="B72">
        <f>Population!B72</f>
        <v>10575350005.817049</v>
      </c>
    </row>
    <row r="73" spans="1:2">
      <c r="A73">
        <f>Population!A73</f>
        <v>2083</v>
      </c>
      <c r="B73">
        <f>Population!B73</f>
        <v>10606382575.104614</v>
      </c>
    </row>
    <row r="74" spans="1:2">
      <c r="A74">
        <f>Population!A74</f>
        <v>2084</v>
      </c>
      <c r="B74">
        <f>Population!B74</f>
        <v>10636481000.853136</v>
      </c>
    </row>
    <row r="75" spans="1:2">
      <c r="A75">
        <f>Population!A75</f>
        <v>2085</v>
      </c>
      <c r="B75">
        <f>Population!B75</f>
        <v>10665645283.062614</v>
      </c>
    </row>
    <row r="76" spans="1:2">
      <c r="A76">
        <f>Population!A76</f>
        <v>2086</v>
      </c>
      <c r="B76">
        <f>Population!B76</f>
        <v>10693875421.733049</v>
      </c>
    </row>
    <row r="77" spans="1:2">
      <c r="A77">
        <f>Population!A77</f>
        <v>2087</v>
      </c>
      <c r="B77">
        <f>Population!B77</f>
        <v>10721171416.864441</v>
      </c>
    </row>
    <row r="78" spans="1:2">
      <c r="A78">
        <f>Population!A78</f>
        <v>2088</v>
      </c>
      <c r="B78">
        <f>Population!B78</f>
        <v>10747533268.456789</v>
      </c>
    </row>
    <row r="79" spans="1:2">
      <c r="A79">
        <f>Population!A79</f>
        <v>2089</v>
      </c>
      <c r="B79">
        <f>Population!B79</f>
        <v>10772960976.510094</v>
      </c>
    </row>
    <row r="80" spans="1:2">
      <c r="A80">
        <f>Population!A80</f>
        <v>2090</v>
      </c>
      <c r="B80">
        <f>Population!B80</f>
        <v>10797454541.024355</v>
      </c>
    </row>
    <row r="81" spans="1:2">
      <c r="A81">
        <f>Population!A81</f>
        <v>2091</v>
      </c>
      <c r="B81">
        <f>Population!B81</f>
        <v>10821013961.999573</v>
      </c>
    </row>
    <row r="82" spans="1:2">
      <c r="A82">
        <f>Population!A82</f>
        <v>2092</v>
      </c>
      <c r="B82">
        <f>Population!B82</f>
        <v>10843639239.435747</v>
      </c>
    </row>
    <row r="83" spans="1:2">
      <c r="A83">
        <f>Population!A83</f>
        <v>2093</v>
      </c>
      <c r="B83">
        <f>Population!B83</f>
        <v>10865330373.332878</v>
      </c>
    </row>
    <row r="84" spans="1:2">
      <c r="A84">
        <f>Population!A84</f>
        <v>2094</v>
      </c>
      <c r="B84">
        <f>Population!B84</f>
        <v>10886087363.690966</v>
      </c>
    </row>
    <row r="85" spans="1:2">
      <c r="A85">
        <f>Population!A85</f>
        <v>2095</v>
      </c>
      <c r="B85">
        <f>Population!B85</f>
        <v>10905910210.51001</v>
      </c>
    </row>
    <row r="86" spans="1:2">
      <c r="A86">
        <f>Population!A86</f>
        <v>2096</v>
      </c>
      <c r="B86">
        <f>Population!B86</f>
        <v>10924798913.79001</v>
      </c>
    </row>
    <row r="87" spans="1:2">
      <c r="A87">
        <f>Population!A87</f>
        <v>2097</v>
      </c>
      <c r="B87">
        <f>Population!B87</f>
        <v>10942753473.530968</v>
      </c>
    </row>
    <row r="88" spans="1:2">
      <c r="A88">
        <f>Population!A88</f>
        <v>2098</v>
      </c>
      <c r="B88">
        <f>Population!B88</f>
        <v>10959773889.73288</v>
      </c>
    </row>
    <row r="89" spans="1:2">
      <c r="A89">
        <f>Population!A89</f>
        <v>2099</v>
      </c>
      <c r="B89">
        <f>Population!B89</f>
        <v>10975860162.395748</v>
      </c>
    </row>
    <row r="90" spans="1:2">
      <c r="A90">
        <f>Population!A90</f>
        <v>2100</v>
      </c>
      <c r="B90">
        <f>Population!B90</f>
        <v>10991012291.519573</v>
      </c>
    </row>
    <row r="91" spans="1:2">
      <c r="A91">
        <f>Population!A91</f>
        <v>2101</v>
      </c>
      <c r="B91">
        <f>Population!B91</f>
        <v>11005230277.104355</v>
      </c>
    </row>
    <row r="92" spans="1:2">
      <c r="A92">
        <f>Population!A92</f>
        <v>2102</v>
      </c>
      <c r="B92">
        <f>Population!B92</f>
        <v>11018514119.150093</v>
      </c>
    </row>
    <row r="93" spans="1:2">
      <c r="A93">
        <f>Population!A93</f>
        <v>2103</v>
      </c>
      <c r="B93">
        <f>Population!B93</f>
        <v>11030863817.656788</v>
      </c>
    </row>
    <row r="94" spans="1:2">
      <c r="A94">
        <f>Population!A94</f>
        <v>2104</v>
      </c>
      <c r="B94">
        <f>Population!B94</f>
        <v>11042279372.624439</v>
      </c>
    </row>
    <row r="95" spans="1:2">
      <c r="A95">
        <f>Population!A95</f>
        <v>2105</v>
      </c>
      <c r="B95">
        <f>Population!B95</f>
        <v>11052760784.053047</v>
      </c>
    </row>
    <row r="96" spans="1:2">
      <c r="A96">
        <f>Population!A96</f>
        <v>2106</v>
      </c>
      <c r="B96">
        <f>Population!B96</f>
        <v>11062308051.942612</v>
      </c>
    </row>
    <row r="97" spans="1:2">
      <c r="A97">
        <f>Population!A97</f>
        <v>2107</v>
      </c>
      <c r="B97">
        <f>Population!B97</f>
        <v>11070921176.293133</v>
      </c>
    </row>
    <row r="98" spans="1:2">
      <c r="A98">
        <f>Population!A98</f>
        <v>2108</v>
      </c>
      <c r="B98">
        <f>Population!B98</f>
        <v>11078600157.10461</v>
      </c>
    </row>
    <row r="99" spans="1:2">
      <c r="A99">
        <f>Population!A99</f>
        <v>2109</v>
      </c>
      <c r="B99">
        <f>Population!B99</f>
        <v>11085344994.377045</v>
      </c>
    </row>
    <row r="100" spans="1:2">
      <c r="A100">
        <f>Population!A100</f>
        <v>2110</v>
      </c>
      <c r="B100">
        <f>Population!B100</f>
        <v>11091155688.110435</v>
      </c>
    </row>
    <row r="101" spans="1:2">
      <c r="A101">
        <f>Population!A101</f>
        <v>2111</v>
      </c>
      <c r="B101">
        <f>Population!B101</f>
        <v>11096032238.304783</v>
      </c>
    </row>
    <row r="102" spans="1:2">
      <c r="A102">
        <f>Population!A102</f>
        <v>2112</v>
      </c>
      <c r="B102">
        <f>Population!B102</f>
        <v>11099974644.960087</v>
      </c>
    </row>
    <row r="103" spans="1:2">
      <c r="A103">
        <f>Population!A103</f>
        <v>2113</v>
      </c>
      <c r="B103">
        <f>Population!B103</f>
        <v>11102982908.076347</v>
      </c>
    </row>
    <row r="104" spans="1:2">
      <c r="A104">
        <f>Population!A104</f>
        <v>2114</v>
      </c>
      <c r="B104">
        <f>Population!B104</f>
        <v>11105057027.653564</v>
      </c>
    </row>
    <row r="105" spans="1:2">
      <c r="A105">
        <f>Population!A105</f>
        <v>2115</v>
      </c>
      <c r="B105">
        <f>Population!B105</f>
        <v>11106197003.691738</v>
      </c>
    </row>
    <row r="106" spans="1:2">
      <c r="A106">
        <f>Population!A106</f>
        <v>2116</v>
      </c>
      <c r="B106">
        <f>Population!B106</f>
        <v>11106402836.190868</v>
      </c>
    </row>
    <row r="107" spans="1:2">
      <c r="A107">
        <f>Population!A107</f>
        <v>2117</v>
      </c>
      <c r="B107">
        <f>Population!B107</f>
        <v>11105674525.150955</v>
      </c>
    </row>
    <row r="108" spans="1:2">
      <c r="A108">
        <f>Population!A108</f>
        <v>2118</v>
      </c>
      <c r="B108">
        <f>Population!B108</f>
        <v>11104012070.571999</v>
      </c>
    </row>
    <row r="109" spans="1:2">
      <c r="A109">
        <f>Population!A109</f>
        <v>2119</v>
      </c>
      <c r="B109">
        <f>Population!B109</f>
        <v>11101415472.453999</v>
      </c>
    </row>
    <row r="110" spans="1:2">
      <c r="A110">
        <f>Population!A110</f>
        <v>2120</v>
      </c>
      <c r="B110">
        <f>Population!B110</f>
        <v>11097884730.796955</v>
      </c>
    </row>
    <row r="111" spans="1:2">
      <c r="A111">
        <f>Population!A111</f>
        <v>2121</v>
      </c>
      <c r="B111">
        <f>Population!B111</f>
        <v>11093419845.600868</v>
      </c>
    </row>
    <row r="112" spans="1:2">
      <c r="A112">
        <f>Population!A112</f>
        <v>2122</v>
      </c>
      <c r="B112">
        <f>Population!B112</f>
        <v>11088020816.865738</v>
      </c>
    </row>
    <row r="113" spans="1:2">
      <c r="A113">
        <f>Population!A113</f>
        <v>2123</v>
      </c>
      <c r="B113">
        <f>Population!B113</f>
        <v>11081687644.591564</v>
      </c>
    </row>
    <row r="114" spans="1:2">
      <c r="A114">
        <f>Population!A114</f>
        <v>2124</v>
      </c>
      <c r="B114">
        <f>Population!B114</f>
        <v>11074420328.778347</v>
      </c>
    </row>
    <row r="115" spans="1:2">
      <c r="A115">
        <f>Population!A115</f>
        <v>2125</v>
      </c>
      <c r="B115">
        <f>Population!B115</f>
        <v>11066218869.426086</v>
      </c>
    </row>
    <row r="116" spans="1:2">
      <c r="A116">
        <f>Population!A116</f>
        <v>2126</v>
      </c>
      <c r="B116">
        <f>Population!B116</f>
        <v>11057083266.534782</v>
      </c>
    </row>
    <row r="117" spans="1:2">
      <c r="A117">
        <f>Population!A117</f>
        <v>2127</v>
      </c>
      <c r="B117">
        <f>Population!B117</f>
        <v>11047013520.104435</v>
      </c>
    </row>
    <row r="118" spans="1:2">
      <c r="A118">
        <f>Population!A118</f>
        <v>2128</v>
      </c>
      <c r="B118">
        <f>Population!B118</f>
        <v>11036009630.135044</v>
      </c>
    </row>
    <row r="119" spans="1:2">
      <c r="A119">
        <f>Population!A119</f>
        <v>2129</v>
      </c>
      <c r="B119">
        <f>Population!B119</f>
        <v>11024071596.62661</v>
      </c>
    </row>
    <row r="120" spans="1:2">
      <c r="A120">
        <f>Population!A120</f>
        <v>2130</v>
      </c>
      <c r="B120">
        <f>Population!B120</f>
        <v>11011199419.579132</v>
      </c>
    </row>
    <row r="121" spans="1:2">
      <c r="A121">
        <f>Population!A121</f>
        <v>2131</v>
      </c>
      <c r="B121">
        <f>Population!B121</f>
        <v>10997393098.992611</v>
      </c>
    </row>
    <row r="122" spans="1:2">
      <c r="A122">
        <f>Population!A122</f>
        <v>2132</v>
      </c>
      <c r="B122">
        <f>Population!B122</f>
        <v>10982652634.867046</v>
      </c>
    </row>
    <row r="123" spans="1:2">
      <c r="A123">
        <f>Population!A123</f>
        <v>2133</v>
      </c>
      <c r="B123">
        <f>Population!B123</f>
        <v>10966978027.202438</v>
      </c>
    </row>
    <row r="124" spans="1:2">
      <c r="A124">
        <f>Population!A124</f>
        <v>2134</v>
      </c>
      <c r="B124">
        <f>Population!B124</f>
        <v>10950369275.998787</v>
      </c>
    </row>
    <row r="125" spans="1:2">
      <c r="A125">
        <f>Population!A125</f>
        <v>2135</v>
      </c>
      <c r="B125">
        <f>Population!B125</f>
        <v>10932826381.256092</v>
      </c>
    </row>
    <row r="126" spans="1:2">
      <c r="A126">
        <f>Population!A126</f>
        <v>2136</v>
      </c>
      <c r="B126">
        <f>Population!B126</f>
        <v>10914349342.974352</v>
      </c>
    </row>
    <row r="127" spans="1:2">
      <c r="A127">
        <f>Population!A127</f>
        <v>2137</v>
      </c>
      <c r="B127">
        <f>Population!B127</f>
        <v>10894938161.153568</v>
      </c>
    </row>
    <row r="128" spans="1:2">
      <c r="A128">
        <f>Population!A128</f>
        <v>2138</v>
      </c>
      <c r="B128">
        <f>Population!B128</f>
        <v>10874592835.793741</v>
      </c>
    </row>
    <row r="129" spans="1:2">
      <c r="A129">
        <f>Population!A129</f>
        <v>2139</v>
      </c>
      <c r="B129">
        <f>Population!B129</f>
        <v>10853313366.894871</v>
      </c>
    </row>
    <row r="130" spans="1:2">
      <c r="A130">
        <f>Population!A130</f>
        <v>2140</v>
      </c>
      <c r="B130">
        <f>Population!B130</f>
        <v>10831099754.456957</v>
      </c>
    </row>
    <row r="131" spans="1:2">
      <c r="A131">
        <f>Population!A131</f>
        <v>2141</v>
      </c>
      <c r="B131">
        <f>Population!B131</f>
        <v>10807951998.48</v>
      </c>
    </row>
    <row r="132" spans="1:2">
      <c r="A132">
        <f>Population!A132</f>
        <v>2142</v>
      </c>
      <c r="B132">
        <f>Population!B132</f>
        <v>10783870098.963999</v>
      </c>
    </row>
    <row r="133" spans="1:2">
      <c r="A133">
        <f>Population!A133</f>
        <v>2143</v>
      </c>
      <c r="B133">
        <f>Population!B133</f>
        <v>10758854055.908955</v>
      </c>
    </row>
    <row r="134" spans="1:2">
      <c r="A134">
        <f>Population!A134</f>
        <v>2144</v>
      </c>
      <c r="B134">
        <f>Population!B134</f>
        <v>10732903869.314867</v>
      </c>
    </row>
    <row r="135" spans="1:2">
      <c r="A135">
        <f>Population!A135</f>
        <v>2145</v>
      </c>
      <c r="B135">
        <f>Population!B135</f>
        <v>10706019539.181736</v>
      </c>
    </row>
    <row r="136" spans="1:2">
      <c r="A136">
        <f>Population!A136</f>
        <v>2146</v>
      </c>
      <c r="B136">
        <f>Population!B136</f>
        <v>10678201065.509562</v>
      </c>
    </row>
    <row r="137" spans="1:2">
      <c r="A137">
        <f>Population!A137</f>
        <v>2147</v>
      </c>
      <c r="B137">
        <f>Population!B137</f>
        <v>10649448448.298344</v>
      </c>
    </row>
    <row r="138" spans="1:2">
      <c r="A138">
        <f>Population!A138</f>
        <v>2148</v>
      </c>
      <c r="B138">
        <f>Population!B138</f>
        <v>10619761687.548082</v>
      </c>
    </row>
    <row r="139" spans="1:2">
      <c r="A139">
        <f>Population!A139</f>
        <v>2149</v>
      </c>
      <c r="B139">
        <f>Population!B139</f>
        <v>10589140783.258778</v>
      </c>
    </row>
    <row r="140" spans="1:2">
      <c r="A140">
        <f>Population!A140</f>
        <v>2150</v>
      </c>
      <c r="B140">
        <f>Population!B140</f>
        <v>10557585735.430429</v>
      </c>
    </row>
    <row r="141" spans="1:2">
      <c r="A141">
        <f>Population!A141</f>
        <v>2151</v>
      </c>
      <c r="B141">
        <f>Population!B141</f>
        <v>10525096544.063038</v>
      </c>
    </row>
    <row r="142" spans="1:2">
      <c r="A142">
        <f>Population!A142</f>
        <v>2152</v>
      </c>
      <c r="B142">
        <f>Population!B142</f>
        <v>10491673209.156603</v>
      </c>
    </row>
    <row r="143" spans="1:2">
      <c r="A143">
        <f>Population!A143</f>
        <v>2153</v>
      </c>
      <c r="B143">
        <f>Population!B143</f>
        <v>10457315730.711124</v>
      </c>
    </row>
    <row r="144" spans="1:2">
      <c r="A144">
        <f>Population!A144</f>
        <v>2154</v>
      </c>
      <c r="B144">
        <f>Population!B144</f>
        <v>10422024108.726603</v>
      </c>
    </row>
    <row r="145" spans="1:2">
      <c r="A145">
        <f>Population!A145</f>
        <v>2155</v>
      </c>
      <c r="B145">
        <f>Population!B145</f>
        <v>10385798343.203037</v>
      </c>
    </row>
    <row r="146" spans="1:2">
      <c r="A146">
        <f>Population!A146</f>
        <v>2156</v>
      </c>
      <c r="B146">
        <f>Population!B146</f>
        <v>10348638434.140429</v>
      </c>
    </row>
    <row r="147" spans="1:2">
      <c r="A147">
        <f>Population!A147</f>
        <v>2157</v>
      </c>
      <c r="B147">
        <f>Population!B147</f>
        <v>10310544381.538776</v>
      </c>
    </row>
    <row r="148" spans="1:2">
      <c r="A148">
        <f>Population!A148</f>
        <v>2158</v>
      </c>
      <c r="B148">
        <f>Population!B148</f>
        <v>10271516185.398081</v>
      </c>
    </row>
    <row r="149" spans="1:2">
      <c r="A149">
        <f>Population!A149</f>
        <v>2159</v>
      </c>
      <c r="B149">
        <f>Population!B149</f>
        <v>10231553845.718342</v>
      </c>
    </row>
    <row r="150" spans="1:2">
      <c r="A150">
        <f>Population!A150</f>
        <v>2160</v>
      </c>
      <c r="B150">
        <f>Population!B150</f>
        <v>10190657362.499559</v>
      </c>
    </row>
    <row r="151" spans="1:2">
      <c r="A151">
        <f>Population!A151</f>
        <v>2161</v>
      </c>
      <c r="B151">
        <f>Population!B151</f>
        <v>10148826735.741734</v>
      </c>
    </row>
    <row r="152" spans="1:2">
      <c r="A152">
        <f>Population!A152</f>
        <v>2162</v>
      </c>
      <c r="B152">
        <f>Population!B152</f>
        <v>10106061965.444864</v>
      </c>
    </row>
    <row r="153" spans="1:2">
      <c r="A153">
        <f>Population!A153</f>
        <v>2163</v>
      </c>
      <c r="B153">
        <f>Population!B153</f>
        <v>10062363051.608952</v>
      </c>
    </row>
    <row r="154" spans="1:2">
      <c r="A154">
        <f>Population!A154</f>
        <v>2164</v>
      </c>
      <c r="B154">
        <f>Population!B154</f>
        <v>10017729994.233995</v>
      </c>
    </row>
    <row r="155" spans="1:2">
      <c r="A155">
        <f>Population!A155</f>
        <v>2165</v>
      </c>
      <c r="B155">
        <f>Population!B155</f>
        <v>9972162793.3199959</v>
      </c>
    </row>
    <row r="156" spans="1:2">
      <c r="A156">
        <f>Population!A156</f>
        <v>2166</v>
      </c>
      <c r="B156">
        <f>Population!B156</f>
        <v>9925661448.866951</v>
      </c>
    </row>
    <row r="157" spans="1:2">
      <c r="A157">
        <f>Population!A157</f>
        <v>2167</v>
      </c>
      <c r="B157">
        <f>Population!B157</f>
        <v>9878225960.8748627</v>
      </c>
    </row>
    <row r="158" spans="1:2">
      <c r="A158">
        <f>Population!A158</f>
        <v>2168</v>
      </c>
      <c r="B158">
        <f>Population!B158</f>
        <v>9829856329.3437309</v>
      </c>
    </row>
    <row r="159" spans="1:2">
      <c r="A159">
        <f>Population!A159</f>
        <v>2169</v>
      </c>
      <c r="B159">
        <f>Population!B159</f>
        <v>9780552554.2735558</v>
      </c>
    </row>
    <row r="160" spans="1:2">
      <c r="A160">
        <f>Population!A160</f>
        <v>2170</v>
      </c>
      <c r="B160">
        <f>Population!B160</f>
        <v>9730314635.6643372</v>
      </c>
    </row>
    <row r="161" spans="1:2">
      <c r="A161">
        <f>Population!A161</f>
        <v>2171</v>
      </c>
      <c r="B161">
        <f>Population!B161</f>
        <v>9679142573.5160751</v>
      </c>
    </row>
    <row r="162" spans="1:2">
      <c r="A162">
        <f>Population!A162</f>
        <v>2172</v>
      </c>
      <c r="B162">
        <f>Population!B162</f>
        <v>9627036367.8287697</v>
      </c>
    </row>
    <row r="163" spans="1:2">
      <c r="A163">
        <f>Population!A163</f>
        <v>2173</v>
      </c>
      <c r="B163">
        <f>Population!B163</f>
        <v>9573996018.6024208</v>
      </c>
    </row>
    <row r="164" spans="1:2">
      <c r="A164">
        <f>Population!A164</f>
        <v>2174</v>
      </c>
      <c r="B164">
        <f>Population!B164</f>
        <v>9520021525.8370285</v>
      </c>
    </row>
    <row r="165" spans="1:2">
      <c r="A165">
        <f>Population!A165</f>
        <v>2175</v>
      </c>
      <c r="B165">
        <f>Population!B165</f>
        <v>9465112889.5325928</v>
      </c>
    </row>
    <row r="166" spans="1:2">
      <c r="A166">
        <f>Population!A166</f>
        <v>2176</v>
      </c>
      <c r="B166">
        <f>Population!B166</f>
        <v>9409270109.6891136</v>
      </c>
    </row>
    <row r="167" spans="1:2">
      <c r="A167">
        <f>Population!A167</f>
        <v>2177</v>
      </c>
      <c r="B167">
        <f>Population!B167</f>
        <v>9352493186.306591</v>
      </c>
    </row>
    <row r="168" spans="1:2">
      <c r="A168">
        <f>Population!A168</f>
        <v>2178</v>
      </c>
      <c r="B168">
        <f>Population!B168</f>
        <v>9294782119.385025</v>
      </c>
    </row>
    <row r="169" spans="1:2">
      <c r="A169">
        <f>Population!A169</f>
        <v>2179</v>
      </c>
      <c r="B169">
        <f>Population!B169</f>
        <v>9236136908.9244156</v>
      </c>
    </row>
    <row r="170" spans="1:2">
      <c r="A170">
        <f>Population!A170</f>
        <v>2180</v>
      </c>
      <c r="B170">
        <f>Population!B170</f>
        <v>9176557554.9247627</v>
      </c>
    </row>
    <row r="171" spans="1:2">
      <c r="A171">
        <f>Population!A171</f>
        <v>2181</v>
      </c>
      <c r="B171">
        <f>Population!B171</f>
        <v>9116044057.3860664</v>
      </c>
    </row>
    <row r="172" spans="1:2">
      <c r="A172">
        <f>Population!A172</f>
        <v>2182</v>
      </c>
      <c r="B172">
        <f>Population!B172</f>
        <v>9054596416.3083267</v>
      </c>
    </row>
    <row r="173" spans="1:2">
      <c r="A173">
        <f>Population!A173</f>
        <v>2183</v>
      </c>
      <c r="B173">
        <f>Population!B173</f>
        <v>8992214631.6915436</v>
      </c>
    </row>
    <row r="174" spans="1:2">
      <c r="A174">
        <f>Population!A174</f>
        <v>2184</v>
      </c>
      <c r="B174">
        <f>Population!B174</f>
        <v>8928898703.535717</v>
      </c>
    </row>
    <row r="175" spans="1:2">
      <c r="A175">
        <f>Population!A175</f>
        <v>2185</v>
      </c>
      <c r="B175">
        <f>Population!B175</f>
        <v>8864648631.840847</v>
      </c>
    </row>
    <row r="176" spans="1:2">
      <c r="A176">
        <f>Population!A176</f>
        <v>2186</v>
      </c>
      <c r="B176">
        <f>Population!B176</f>
        <v>8799464416.6069336</v>
      </c>
    </row>
    <row r="177" spans="1:2">
      <c r="A177">
        <f>Population!A177</f>
        <v>2187</v>
      </c>
      <c r="B177">
        <f>Population!B177</f>
        <v>8733346057.8339767</v>
      </c>
    </row>
    <row r="178" spans="1:2">
      <c r="A178">
        <f>Population!A178</f>
        <v>2188</v>
      </c>
      <c r="B178">
        <f>Population!B178</f>
        <v>8666293555.5219765</v>
      </c>
    </row>
    <row r="179" spans="1:2">
      <c r="A179">
        <f>Population!A179</f>
        <v>2189</v>
      </c>
      <c r="B179">
        <f>Population!B179</f>
        <v>8598306909.6709328</v>
      </c>
    </row>
    <row r="180" spans="1:2">
      <c r="A180">
        <f>Population!A180</f>
        <v>2190</v>
      </c>
      <c r="B180">
        <f>Population!B180</f>
        <v>8529386120.2808456</v>
      </c>
    </row>
    <row r="181" spans="1:2">
      <c r="A181">
        <f>Population!A181</f>
        <v>2191</v>
      </c>
      <c r="B181">
        <f>Population!B181</f>
        <v>8459531187.3517151</v>
      </c>
    </row>
    <row r="182" spans="1:2">
      <c r="A182">
        <f>Population!A182</f>
        <v>2192</v>
      </c>
      <c r="B182">
        <f>Population!B182</f>
        <v>8388742110.8835411</v>
      </c>
    </row>
    <row r="183" spans="1:2">
      <c r="A183">
        <f>Population!A183</f>
        <v>2193</v>
      </c>
      <c r="B183">
        <f>Population!B183</f>
        <v>8317018890.8763237</v>
      </c>
    </row>
    <row r="184" spans="1:2">
      <c r="A184">
        <f>Population!A184</f>
        <v>2194</v>
      </c>
      <c r="B184">
        <f>Population!B184</f>
        <v>8244361527.3300629</v>
      </c>
    </row>
    <row r="185" spans="1:2">
      <c r="A185">
        <f>Population!A185</f>
        <v>2195</v>
      </c>
      <c r="B185">
        <f>Population!B185</f>
        <v>8170770020.2447586</v>
      </c>
    </row>
    <row r="186" spans="1:2">
      <c r="A186">
        <f>Population!A186</f>
        <v>2196</v>
      </c>
      <c r="B186">
        <f>Population!B186</f>
        <v>8096244369.62041</v>
      </c>
    </row>
    <row r="187" spans="1:2">
      <c r="A187">
        <f>Population!A187</f>
        <v>2197</v>
      </c>
      <c r="B187">
        <f>Population!B187</f>
        <v>8020784575.4570179</v>
      </c>
    </row>
    <row r="188" spans="1:2">
      <c r="A188">
        <f>Population!A188</f>
        <v>2198</v>
      </c>
      <c r="B188">
        <f>Population!B188</f>
        <v>7944390637.7545824</v>
      </c>
    </row>
    <row r="189" spans="1:2">
      <c r="A189">
        <f>Population!A189</f>
        <v>2199</v>
      </c>
      <c r="B189">
        <f>Population!B189</f>
        <v>7867062556.5131035</v>
      </c>
    </row>
    <row r="190" spans="1:2">
      <c r="A190">
        <f>Population!A190</f>
        <v>2200</v>
      </c>
      <c r="B190">
        <f>Population!B190</f>
        <v>7788800331.7325811</v>
      </c>
    </row>
    <row r="191" spans="1:2">
      <c r="A191">
        <f>Population!A191</f>
        <v>2201</v>
      </c>
      <c r="B191">
        <f>Population!B191</f>
        <v>7709603963.4130154</v>
      </c>
    </row>
    <row r="192" spans="1:2">
      <c r="A192">
        <f>Population!A192</f>
        <v>2202</v>
      </c>
      <c r="B192">
        <f>Population!B192</f>
        <v>7629473451.5544062</v>
      </c>
    </row>
    <row r="193" spans="1:2">
      <c r="A193">
        <f>Population!A193</f>
        <v>2203</v>
      </c>
      <c r="B193">
        <f>Population!B193</f>
        <v>7548408796.1567535</v>
      </c>
    </row>
    <row r="194" spans="1:2">
      <c r="A194">
        <f>Population!A194</f>
        <v>2204</v>
      </c>
      <c r="B194">
        <f>Population!B194</f>
        <v>7466409997.2200575</v>
      </c>
    </row>
    <row r="195" spans="1:2">
      <c r="A195">
        <f>Population!A195</f>
        <v>2205</v>
      </c>
      <c r="B195">
        <f>Population!B195</f>
        <v>7383477054.744318</v>
      </c>
    </row>
    <row r="196" spans="1:2">
      <c r="A196">
        <f>Population!A196</f>
        <v>2206</v>
      </c>
      <c r="B196">
        <f>Population!B196</f>
        <v>7299609968.7295351</v>
      </c>
    </row>
    <row r="197" spans="1:2">
      <c r="A197">
        <f>Population!A197</f>
        <v>2207</v>
      </c>
      <c r="B197">
        <f>Population!B197</f>
        <v>7214808739.1757088</v>
      </c>
    </row>
    <row r="198" spans="1:2">
      <c r="A198">
        <f>Population!A198</f>
        <v>2208</v>
      </c>
      <c r="B198">
        <f>Population!B198</f>
        <v>7129073366.082839</v>
      </c>
    </row>
    <row r="199" spans="1:2">
      <c r="A199">
        <f>Population!A199</f>
        <v>2209</v>
      </c>
      <c r="B199">
        <f>Population!B199</f>
        <v>7042403849.4509258</v>
      </c>
    </row>
    <row r="200" spans="1:2">
      <c r="A200">
        <f>Population!A200</f>
        <v>2210</v>
      </c>
      <c r="B200">
        <f>Population!B200</f>
        <v>6954800189.2799683</v>
      </c>
    </row>
    <row r="201" spans="1:2">
      <c r="A201">
        <f>Population!A201</f>
        <v>2211</v>
      </c>
      <c r="B201">
        <f>Population!B201</f>
        <v>6866262385.5699673</v>
      </c>
    </row>
    <row r="202" spans="1:2">
      <c r="A202">
        <f>Population!A202</f>
        <v>2212</v>
      </c>
      <c r="B202">
        <f>Population!B202</f>
        <v>6776790438.3209229</v>
      </c>
    </row>
    <row r="203" spans="1:2">
      <c r="A203">
        <f>Population!A203</f>
        <v>2213</v>
      </c>
      <c r="B203">
        <f>Population!B203</f>
        <v>6686384347.532835</v>
      </c>
    </row>
    <row r="204" spans="1:2">
      <c r="A204">
        <f>Population!A204</f>
        <v>2214</v>
      </c>
      <c r="B204">
        <f>Population!B204</f>
        <v>6595044113.2057037</v>
      </c>
    </row>
    <row r="205" spans="1:2">
      <c r="A205">
        <f>Population!A205</f>
        <v>2215</v>
      </c>
      <c r="B205">
        <f>Population!B205</f>
        <v>6502769735.339529</v>
      </c>
    </row>
    <row r="206" spans="1:2">
      <c r="A206">
        <f>Population!A206</f>
        <v>2216</v>
      </c>
      <c r="B206">
        <f>Population!B206</f>
        <v>6409561213.9343109</v>
      </c>
    </row>
    <row r="207" spans="1:2">
      <c r="A207">
        <f>Population!A207</f>
        <v>2217</v>
      </c>
      <c r="B207">
        <f>Population!B207</f>
        <v>6315418548.9900494</v>
      </c>
    </row>
    <row r="208" spans="1:2">
      <c r="A208">
        <f>Population!A208</f>
        <v>2218</v>
      </c>
      <c r="B208">
        <f>Population!B208</f>
        <v>6315418548.9900494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4" sqref="D24:E24"/>
    </sheetView>
  </sheetViews>
  <sheetFormatPr baseColWidth="10" defaultRowHeight="15" x14ac:dyDescent="0"/>
  <cols>
    <col min="1" max="1" width="15.6640625" bestFit="1" customWidth="1"/>
    <col min="2" max="2" width="10.83203125" style="1"/>
    <col min="4" max="4" width="10.83203125" style="1"/>
  </cols>
  <sheetData>
    <row r="1" spans="1:6">
      <c r="A1" t="s">
        <v>347</v>
      </c>
      <c r="B1" s="1" t="s">
        <v>349</v>
      </c>
      <c r="C1" t="s">
        <v>131</v>
      </c>
      <c r="D1" s="1" t="s">
        <v>350</v>
      </c>
      <c r="E1" t="s">
        <v>351</v>
      </c>
      <c r="F1" s="1" t="s">
        <v>368</v>
      </c>
    </row>
    <row r="2" spans="1:6">
      <c r="A2" t="s">
        <v>348</v>
      </c>
      <c r="B2" s="1">
        <f>Settings!B3</f>
        <v>54.787500000000001</v>
      </c>
      <c r="C2" t="str">
        <f>Settings!C3</f>
        <v>t ha-1 yr-1</v>
      </c>
      <c r="D2" s="1">
        <f>(B2/Settings!$G$24)/Settings!$G$20</f>
        <v>20.113896137840282</v>
      </c>
      <c r="E2" t="s">
        <v>352</v>
      </c>
    </row>
    <row r="3" spans="1:6">
      <c r="B3" s="1">
        <f>Settings!B7</f>
        <v>146.1</v>
      </c>
      <c r="C3" s="39" t="str">
        <f>Settings!C7</f>
        <v>t ha-1 yr-1</v>
      </c>
      <c r="D3" s="1">
        <f>(B3/Settings!$G$24)/Settings!$G$20</f>
        <v>53.637056367574083</v>
      </c>
      <c r="E3" t="s">
        <v>352</v>
      </c>
    </row>
    <row r="4" spans="1:6">
      <c r="A4" t="s">
        <v>354</v>
      </c>
      <c r="B4" s="1">
        <f>Settings!B8</f>
        <v>40000000</v>
      </c>
      <c r="C4" t="str">
        <f>Settings!C8</f>
        <v>L d-1</v>
      </c>
      <c r="D4" s="1">
        <f>B4*Settings!G19</f>
        <v>10566880</v>
      </c>
      <c r="E4" t="s">
        <v>358</v>
      </c>
    </row>
    <row r="5" spans="1:6">
      <c r="B5" s="1">
        <v>250000</v>
      </c>
      <c r="C5" t="s">
        <v>204</v>
      </c>
      <c r="D5" s="1">
        <f>B5/Settings!$G$20</f>
        <v>101171.56674288258</v>
      </c>
      <c r="E5" t="s">
        <v>363</v>
      </c>
    </row>
    <row r="6" spans="1:6">
      <c r="B6" s="1">
        <v>1000000</v>
      </c>
      <c r="C6" t="s">
        <v>204</v>
      </c>
      <c r="D6" s="1">
        <f>B6/Settings!$G$20</f>
        <v>404686.26697153033</v>
      </c>
      <c r="E6" t="s">
        <v>363</v>
      </c>
    </row>
    <row r="7" spans="1:6">
      <c r="B7" s="1">
        <v>40000</v>
      </c>
      <c r="C7" t="s">
        <v>205</v>
      </c>
      <c r="D7" s="1">
        <f>B7/Settings!$G$20</f>
        <v>16187.450678861213</v>
      </c>
      <c r="E7" t="s">
        <v>364</v>
      </c>
      <c r="F7" t="s">
        <v>369</v>
      </c>
    </row>
    <row r="8" spans="1:6">
      <c r="B8" s="1">
        <v>70000</v>
      </c>
      <c r="C8" t="s">
        <v>205</v>
      </c>
      <c r="D8" s="1">
        <f>B8/Settings!$G$20</f>
        <v>28328.038688007124</v>
      </c>
      <c r="E8" t="s">
        <v>364</v>
      </c>
      <c r="F8" t="s">
        <v>370</v>
      </c>
    </row>
    <row r="9" spans="1:6">
      <c r="A9" t="s">
        <v>365</v>
      </c>
      <c r="B9" s="1">
        <v>100</v>
      </c>
      <c r="C9" t="s">
        <v>366</v>
      </c>
      <c r="D9" s="1">
        <f>B9/Settings!$G$24</f>
        <v>90.718581887127954</v>
      </c>
      <c r="E9" t="s">
        <v>367</v>
      </c>
    </row>
    <row r="10" spans="1:6">
      <c r="B10" s="1">
        <f>B2*B9</f>
        <v>5478.75</v>
      </c>
      <c r="C10" t="s">
        <v>210</v>
      </c>
    </row>
    <row r="11" spans="1:6">
      <c r="B11" s="1">
        <f>B10/B7</f>
        <v>0.13696875</v>
      </c>
    </row>
    <row r="12" spans="1:6">
      <c r="A12" t="s">
        <v>399</v>
      </c>
      <c r="B12" s="1">
        <f>Settings!B5</f>
        <v>91.3125</v>
      </c>
      <c r="C12" t="s">
        <v>217</v>
      </c>
      <c r="D12" s="1">
        <f>(B12/Settings!$G$24)/Settings!$G$20</f>
        <v>33.523160229733804</v>
      </c>
      <c r="E12" t="s">
        <v>352</v>
      </c>
    </row>
    <row r="13" spans="1:6">
      <c r="B13" s="1">
        <f>Settings!B3</f>
        <v>54.787500000000001</v>
      </c>
      <c r="C13" t="s">
        <v>217</v>
      </c>
      <c r="D13" s="1">
        <f>(B13/Settings!$G$24)/Settings!$G$20</f>
        <v>20.113896137840282</v>
      </c>
      <c r="E13" t="s">
        <v>352</v>
      </c>
    </row>
    <row r="14" spans="1:6">
      <c r="A14" t="s">
        <v>400</v>
      </c>
      <c r="B14" s="1">
        <f>50000000000/Settings!$G$5</f>
        <v>50000000</v>
      </c>
      <c r="C14" t="s">
        <v>220</v>
      </c>
      <c r="D14" s="1">
        <f>B14*Settings!$G$24</f>
        <v>55115499.999999993</v>
      </c>
      <c r="E14" t="s">
        <v>402</v>
      </c>
      <c r="F14" t="s">
        <v>401</v>
      </c>
    </row>
    <row r="15" spans="1:6">
      <c r="B15" s="1">
        <f>8100000000/Settings!$G$5</f>
        <v>8100000</v>
      </c>
      <c r="C15" t="s">
        <v>220</v>
      </c>
      <c r="D15" s="1">
        <f>B15*Settings!$G$24</f>
        <v>8928711</v>
      </c>
      <c r="E15" t="s">
        <v>402</v>
      </c>
      <c r="F15" t="s">
        <v>403</v>
      </c>
    </row>
    <row r="16" spans="1:6">
      <c r="B16" s="1">
        <v>91</v>
      </c>
      <c r="C16" t="s">
        <v>217</v>
      </c>
      <c r="D16" s="1">
        <f>(B16/Settings!$G$24)/Settings!$G$20</f>
        <v>33.408433466456131</v>
      </c>
      <c r="E16" t="s">
        <v>352</v>
      </c>
      <c r="F16" t="s">
        <v>404</v>
      </c>
    </row>
    <row r="17" spans="2:6">
      <c r="B17" s="1">
        <v>27</v>
      </c>
      <c r="C17" t="s">
        <v>217</v>
      </c>
      <c r="D17" s="1">
        <f>(B17/Settings!$G$24)/Settings!$G$20</f>
        <v>9.9123923471902824</v>
      </c>
      <c r="E17" t="s">
        <v>352</v>
      </c>
      <c r="F17" t="s">
        <v>405</v>
      </c>
    </row>
    <row r="18" spans="2:6">
      <c r="B18" s="1">
        <v>49000000</v>
      </c>
      <c r="C18" t="s">
        <v>3</v>
      </c>
      <c r="D18" s="1">
        <f>B18*Settings!$G$20</f>
        <v>121081450</v>
      </c>
      <c r="E18" t="s">
        <v>47</v>
      </c>
      <c r="F18" t="s">
        <v>407</v>
      </c>
    </row>
    <row r="19" spans="2:6">
      <c r="B19" s="1">
        <v>47000000</v>
      </c>
      <c r="C19" t="s">
        <v>3</v>
      </c>
      <c r="D19" s="1">
        <f>B19*Settings!$G$20</f>
        <v>116139350</v>
      </c>
      <c r="E19" t="s">
        <v>47</v>
      </c>
      <c r="F19" t="s">
        <v>408</v>
      </c>
    </row>
    <row r="20" spans="2:6">
      <c r="B20" s="1">
        <v>2800000</v>
      </c>
      <c r="C20" t="s">
        <v>3</v>
      </c>
      <c r="D20" s="1">
        <f>B20*Settings!$G$20</f>
        <v>6918940</v>
      </c>
      <c r="E20" t="s">
        <v>47</v>
      </c>
      <c r="F20" t="s">
        <v>409</v>
      </c>
    </row>
    <row r="21" spans="2:6">
      <c r="B21" s="1">
        <v>38000000</v>
      </c>
      <c r="C21" t="s">
        <v>3</v>
      </c>
      <c r="D21" s="1">
        <f>B21*Settings!$G$20</f>
        <v>93899900</v>
      </c>
      <c r="E21" t="s">
        <v>47</v>
      </c>
      <c r="F21" t="s">
        <v>412</v>
      </c>
    </row>
    <row r="22" spans="2:6">
      <c r="B22" s="1">
        <v>34000000</v>
      </c>
      <c r="C22" t="s">
        <v>3</v>
      </c>
      <c r="D22" s="1">
        <f>B22*Settings!$G$20</f>
        <v>84015700</v>
      </c>
      <c r="E22" t="s">
        <v>47</v>
      </c>
      <c r="F22" t="s">
        <v>410</v>
      </c>
    </row>
    <row r="23" spans="2:6">
      <c r="B23" s="1">
        <v>2800000</v>
      </c>
      <c r="C23" t="s">
        <v>3</v>
      </c>
      <c r="D23" s="1">
        <f>B23*Settings!$G$20</f>
        <v>6918940</v>
      </c>
      <c r="E23" t="s">
        <v>47</v>
      </c>
      <c r="F23" t="s">
        <v>411</v>
      </c>
    </row>
    <row r="24" spans="2:6">
      <c r="B24" s="1">
        <v>64</v>
      </c>
      <c r="C24" t="s">
        <v>217</v>
      </c>
      <c r="D24" s="1">
        <f>(B24/Settings!$G$24)/Settings!$G$20</f>
        <v>23.496041119265854</v>
      </c>
      <c r="E24" t="s">
        <v>352</v>
      </c>
      <c r="F24" t="s">
        <v>406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Population</vt:lpstr>
      <vt:lpstr>Boundaries</vt:lpstr>
      <vt:lpstr>Wetlands</vt:lpstr>
      <vt:lpstr>Economics</vt:lpstr>
      <vt:lpstr>Blank</vt:lpstr>
      <vt:lpstr>ATS Locations</vt:lpstr>
      <vt:lpstr>R Variables</vt:lpstr>
      <vt:lpstr>R Population</vt:lpstr>
      <vt:lpstr>MS 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Calahan</cp:lastModifiedBy>
  <dcterms:created xsi:type="dcterms:W3CDTF">2017-01-12T18:05:50Z</dcterms:created>
  <dcterms:modified xsi:type="dcterms:W3CDTF">2017-11-25T16:51:39Z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2015-06-07T18:39:23Z</dcterms:created>
  <dc:creator>Dean Calahan</dc:creator>
  <dc:language>en-US</dc:language>
  <dcterms:modified xsi:type="dcterms:W3CDTF">2016-05-18T10:26:53Z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