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7240" yWindow="0" windowWidth="25600" windowHeight="14760" tabRatio="764"/>
  </bookViews>
  <sheets>
    <sheet name="R Variables" sheetId="12" r:id="rId1"/>
    <sheet name="ATS Locations" sheetId="10" r:id="rId2"/>
    <sheet name="Settings" sheetId="1" r:id="rId3"/>
    <sheet name="Wetlands" sheetId="5" r:id="rId4"/>
    <sheet name="Highway Costs" sheetId="4" r:id="rId5"/>
  </sheets>
  <externalReferences>
    <externalReference r:id="rId6"/>
    <externalReference r:id="rId7"/>
  </externalReferenc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2" l="1"/>
  <c r="B3" i="12"/>
  <c r="B2" i="12"/>
  <c r="G18" i="1"/>
  <c r="G17" i="1"/>
  <c r="G16" i="1"/>
  <c r="B21" i="12"/>
  <c r="D21" i="12"/>
  <c r="B20" i="12"/>
  <c r="D20" i="12"/>
  <c r="B19" i="12"/>
  <c r="D19" i="12"/>
  <c r="B18" i="12"/>
  <c r="D18" i="12"/>
  <c r="B15" i="12"/>
  <c r="D15" i="12"/>
  <c r="B14" i="12"/>
  <c r="G34" i="1"/>
  <c r="G35" i="1"/>
  <c r="G21" i="1"/>
  <c r="D14" i="12"/>
  <c r="B13" i="12"/>
  <c r="D13" i="12"/>
  <c r="C14" i="12"/>
  <c r="C13" i="12"/>
  <c r="B21" i="1"/>
  <c r="B19" i="1"/>
  <c r="B12" i="12"/>
  <c r="D12" i="12"/>
  <c r="D4" i="12"/>
  <c r="D3" i="12"/>
  <c r="D2" i="12"/>
  <c r="B11" i="12"/>
  <c r="D11" i="12"/>
  <c r="B10" i="12"/>
  <c r="D10" i="12"/>
  <c r="B9" i="12"/>
  <c r="D9" i="12"/>
  <c r="C38" i="1"/>
  <c r="C39" i="1"/>
  <c r="C40" i="1"/>
  <c r="C41" i="1"/>
  <c r="D38" i="1"/>
  <c r="D39" i="1"/>
  <c r="D40" i="1"/>
  <c r="C6" i="12"/>
  <c r="B6" i="12"/>
  <c r="C5" i="12"/>
  <c r="B5" i="12"/>
  <c r="B11" i="1"/>
  <c r="G8" i="1"/>
  <c r="C8" i="12"/>
  <c r="C7" i="12"/>
  <c r="B8" i="12"/>
  <c r="B7" i="12"/>
  <c r="C9" i="12"/>
  <c r="C10" i="12"/>
  <c r="C11" i="12"/>
  <c r="G3" i="1"/>
  <c r="B5" i="1"/>
  <c r="B3" i="1"/>
  <c r="B8" i="1"/>
  <c r="B13" i="1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B27" i="12"/>
  <c r="B26" i="12"/>
  <c r="B25" i="12"/>
  <c r="B24" i="12"/>
  <c r="B23" i="12"/>
  <c r="B22" i="12"/>
  <c r="B28" i="1"/>
  <c r="B27" i="1"/>
  <c r="B17" i="12"/>
  <c r="B16" i="12"/>
  <c r="B5" i="4"/>
  <c r="B2" i="4"/>
  <c r="B3" i="4"/>
  <c r="B6" i="4"/>
  <c r="B7" i="4"/>
  <c r="B9" i="4"/>
  <c r="B8" i="4"/>
  <c r="B10" i="4"/>
  <c r="B11" i="4"/>
  <c r="G26" i="1"/>
  <c r="G25" i="1"/>
  <c r="S23" i="5"/>
  <c r="S41" i="5"/>
  <c r="S43" i="5"/>
  <c r="S44" i="5"/>
  <c r="S45" i="5"/>
  <c r="S46" i="5"/>
  <c r="S47" i="5"/>
  <c r="S25" i="5"/>
  <c r="S27" i="5"/>
  <c r="S28" i="5"/>
  <c r="S29" i="5"/>
  <c r="S39" i="5"/>
  <c r="S36" i="5"/>
  <c r="S21" i="5"/>
  <c r="S30" i="5"/>
  <c r="S31" i="5"/>
  <c r="S10" i="5"/>
  <c r="S12" i="5"/>
  <c r="S19" i="5"/>
  <c r="S4" i="5"/>
  <c r="S14" i="5"/>
  <c r="S7" i="5"/>
  <c r="S11" i="5"/>
  <c r="S13" i="5"/>
  <c r="A5" i="1"/>
  <c r="C12" i="12"/>
  <c r="C4" i="12"/>
  <c r="C2" i="12"/>
  <c r="C3" i="12"/>
  <c r="G22" i="1"/>
  <c r="A3" i="1"/>
  <c r="I3" i="5"/>
  <c r="N4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K13" i="5"/>
  <c r="J13" i="5"/>
  <c r="N5" i="5"/>
  <c r="N6" i="5"/>
  <c r="N8" i="5"/>
  <c r="N9" i="5"/>
  <c r="N3" i="5"/>
</calcChain>
</file>

<file path=xl/sharedStrings.xml><?xml version="1.0" encoding="utf-8"?>
<sst xmlns="http://schemas.openxmlformats.org/spreadsheetml/2006/main" count="597" uniqueCount="313">
  <si>
    <t>yr</t>
  </si>
  <si>
    <t>d</t>
  </si>
  <si>
    <t>ha</t>
  </si>
  <si>
    <t>m^2</t>
  </si>
  <si>
    <t>t</t>
  </si>
  <si>
    <t>g</t>
  </si>
  <si>
    <t>kg</t>
  </si>
  <si>
    <t>C</t>
  </si>
  <si>
    <t>N</t>
  </si>
  <si>
    <t>lb</t>
  </si>
  <si>
    <t>P</t>
  </si>
  <si>
    <t>g C</t>
  </si>
  <si>
    <t>g CO2</t>
  </si>
  <si>
    <t>Pg</t>
  </si>
  <si>
    <t>mi</t>
  </si>
  <si>
    <t>ft</t>
  </si>
  <si>
    <t>Gross World Product</t>
  </si>
  <si>
    <t>N removed</t>
  </si>
  <si>
    <t>ppm</t>
  </si>
  <si>
    <t>P removed</t>
  </si>
  <si>
    <t>m^3</t>
  </si>
  <si>
    <t>L</t>
  </si>
  <si>
    <t>ac</t>
  </si>
  <si>
    <t>Total N</t>
  </si>
  <si>
    <t>Wetland surface area per PE</t>
  </si>
  <si>
    <t>Vergeles et al., 2015</t>
  </si>
  <si>
    <t>gal</t>
  </si>
  <si>
    <t>min</t>
  </si>
  <si>
    <t>max</t>
  </si>
  <si>
    <t>Site</t>
  </si>
  <si>
    <t>Area (m^2)</t>
  </si>
  <si>
    <t>Discharge (m^3 d^-1)</t>
  </si>
  <si>
    <t>Residence time (d)</t>
  </si>
  <si>
    <t>Capacity (L d^-1)</t>
  </si>
  <si>
    <t>Capacity (L m^-1)</t>
  </si>
  <si>
    <t>L min^-1 m^-2</t>
  </si>
  <si>
    <t>VF</t>
  </si>
  <si>
    <t>B1</t>
  </si>
  <si>
    <t>HF</t>
  </si>
  <si>
    <t>B2</t>
  </si>
  <si>
    <t>day</t>
  </si>
  <si>
    <t>B3</t>
  </si>
  <si>
    <t>10 mgd</t>
  </si>
  <si>
    <t>mlpd</t>
  </si>
  <si>
    <t>B4</t>
  </si>
  <si>
    <t>10 mgd/2.5 ac</t>
  </si>
  <si>
    <t>mlpd/ha</t>
  </si>
  <si>
    <t>B5</t>
  </si>
  <si>
    <t>B6</t>
  </si>
  <si>
    <t>B7</t>
  </si>
  <si>
    <t>S-154</t>
  </si>
  <si>
    <t>Their best</t>
  </si>
  <si>
    <t>B8</t>
  </si>
  <si>
    <t>B9</t>
  </si>
  <si>
    <t>Capex Low</t>
  </si>
  <si>
    <t>Capex High</t>
  </si>
  <si>
    <t>Operator Load</t>
  </si>
  <si>
    <t>Operator Salary</t>
  </si>
  <si>
    <t>Maintenance</t>
  </si>
  <si>
    <t>Opex Low</t>
  </si>
  <si>
    <t>Opex High</t>
  </si>
  <si>
    <t>% $ Increment</t>
  </si>
  <si>
    <t>Value</t>
  </si>
  <si>
    <t>Unit</t>
  </si>
  <si>
    <t>Redfield Ratios</t>
  </si>
  <si>
    <t>Atom</t>
  </si>
  <si>
    <t>Molar ratio</t>
  </si>
  <si>
    <t>Mass component</t>
  </si>
  <si>
    <t>Mass fraction</t>
  </si>
  <si>
    <t>mol C</t>
  </si>
  <si>
    <t>mol N</t>
  </si>
  <si>
    <t>mol P</t>
  </si>
  <si>
    <t>Conversion Factors, Constants</t>
  </si>
  <si>
    <t>mol O</t>
  </si>
  <si>
    <t>{Adey et al., 2013, #773}</t>
  </si>
  <si>
    <t>{Carpenter et al., 1991, #87446}</t>
  </si>
  <si>
    <t>{Chen et al., 2015, #5692}</t>
  </si>
  <si>
    <t>{D'Aiuto et al., 2015, #56014}</t>
  </si>
  <si>
    <t>{Huang et al., 2013, #766}</t>
  </si>
  <si>
    <t>{Mulbry et al., 2010, #528}</t>
  </si>
  <si>
    <t>{Ray et al., 2015, #84240}</t>
  </si>
  <si>
    <t>{Rothman et al., 2013, #23278}</t>
  </si>
  <si>
    <t>{Sandefur et al., 2011, #789}</t>
  </si>
  <si>
    <t>{Sandefur et al., 2014, #73121}</t>
  </si>
  <si>
    <t>{Sindelar et al., 2015, #38897}</t>
  </si>
  <si>
    <t>{Morrissey et al., 1988, #63991}</t>
  </si>
  <si>
    <t>US$</t>
  </si>
  <si>
    <t>$ ha-1</t>
  </si>
  <si>
    <t>$ ha-1 yr-1</t>
  </si>
  <si>
    <t>cm</t>
  </si>
  <si>
    <t>in</t>
  </si>
  <si>
    <t>Mg</t>
  </si>
  <si>
    <t>$ yr-1</t>
  </si>
  <si>
    <t>deg</t>
  </si>
  <si>
    <t>var</t>
  </si>
  <si>
    <t>val</t>
  </si>
  <si>
    <t>unit</t>
  </si>
  <si>
    <t>t ha-1 yr-1 deg-1</t>
  </si>
  <si>
    <t>g m-2 d-1</t>
  </si>
  <si>
    <t>t ha-1 yr-1</t>
  </si>
  <si>
    <t>t yr-1</t>
  </si>
  <si>
    <t>Pg yr-1</t>
  </si>
  <si>
    <t>m2</t>
  </si>
  <si>
    <t>in2</t>
  </si>
  <si>
    <t>ft2</t>
  </si>
  <si>
    <t>ppm yr-1</t>
  </si>
  <si>
    <t>opex yr-1</t>
  </si>
  <si>
    <t>ha emp-1</t>
  </si>
  <si>
    <t>note</t>
  </si>
  <si>
    <t>gC</t>
  </si>
  <si>
    <t>gN</t>
  </si>
  <si>
    <t>gP</t>
  </si>
  <si>
    <t>gBiomass</t>
  </si>
  <si>
    <t>group</t>
  </si>
  <si>
    <t>econ</t>
  </si>
  <si>
    <t>ecol</t>
  </si>
  <si>
    <t>model high latitude</t>
  </si>
  <si>
    <t>model slope</t>
  </si>
  <si>
    <t>C:biomass ratio</t>
  </si>
  <si>
    <t>N:biomass ratio</t>
  </si>
  <si>
    <t>P:biomass ratio</t>
  </si>
  <si>
    <t>Growth rate, atmospheric CO2</t>
  </si>
  <si>
    <t>Baseline CO2 mass, atmosphere</t>
  </si>
  <si>
    <t>Kangas and Mulbry, 2013</t>
  </si>
  <si>
    <t>prod</t>
  </si>
  <si>
    <t>pilot</t>
  </si>
  <si>
    <t>PC-South</t>
  </si>
  <si>
    <t>citation</t>
  </si>
  <si>
    <t>long</t>
  </si>
  <si>
    <t>lat</t>
  </si>
  <si>
    <t>type</t>
  </si>
  <si>
    <t>Patterson, CA</t>
  </si>
  <si>
    <t>Egret Marsh, FL</t>
  </si>
  <si>
    <t>S-154, FL</t>
  </si>
  <si>
    <t>Dalton Utilities, GA</t>
  </si>
  <si>
    <t>Santa Fe River, FL</t>
  </si>
  <si>
    <t>Powell Creek, FL</t>
  </si>
  <si>
    <t>Lake Lawne, FL</t>
  </si>
  <si>
    <t>Everglades STA-1W, FL</t>
  </si>
  <si>
    <t>Taylor Creek, FL</t>
  </si>
  <si>
    <t>Osprey Marsh, FL</t>
  </si>
  <si>
    <t>Spring Creek, AK</t>
  </si>
  <si>
    <t>Gloucester Point, VA</t>
  </si>
  <si>
    <t>Fall River, TX</t>
  </si>
  <si>
    <t>{Stewart, 2004, #96157}</t>
  </si>
  <si>
    <t>HMI Aquaculture</t>
  </si>
  <si>
    <t>{HydroMentia, 2017, #63002}</t>
  </si>
  <si>
    <t>Peach Bottom PA</t>
  </si>
  <si>
    <t>Rockaway, NY</t>
  </si>
  <si>
    <t>MPA Dundalk, MD</t>
  </si>
  <si>
    <t>MPA DMCF, MD</t>
  </si>
  <si>
    <t>2012-2014, 2016</t>
  </si>
  <si>
    <t>City of Durham, NC</t>
  </si>
  <si>
    <t>2015-2017</t>
  </si>
  <si>
    <t>ENMU, NM</t>
  </si>
  <si>
    <t>2009-2010</t>
  </si>
  <si>
    <t>2010-2017</t>
  </si>
  <si>
    <t>2010-2013</t>
  </si>
  <si>
    <t>2010-2011</t>
  </si>
  <si>
    <t>2013-2017</t>
  </si>
  <si>
    <t>2014-2017</t>
  </si>
  <si>
    <t>Fayetteville, AK</t>
  </si>
  <si>
    <t>years active</t>
  </si>
  <si>
    <t>2007-2009</t>
  </si>
  <si>
    <t>2003-2004</t>
  </si>
  <si>
    <t>2000-2002</t>
  </si>
  <si>
    <t>1995-1996</t>
  </si>
  <si>
    <t>name</t>
  </si>
  <si>
    <t>{Adey et al., 1996, #59863}</t>
  </si>
  <si>
    <t>{Bothwell, 1983, #24121}</t>
  </si>
  <si>
    <t>{Bothwell, 1989, #88089}</t>
  </si>
  <si>
    <t>{Chang et al., 2011, #74666}</t>
  </si>
  <si>
    <t>{Craggs et al., 1996, #78913}</t>
  </si>
  <si>
    <t>{Liu et al., 2016, #46476}</t>
  </si>
  <si>
    <t>{Mayr et al., 2015, #17666}</t>
  </si>
  <si>
    <t>{Mulbry et al., 2008, #98411}</t>
  </si>
  <si>
    <t>{Sukačová et al., 2015, #3065}</t>
  </si>
  <si>
    <t>{HydroMentia, 2013, #95236}</t>
  </si>
  <si>
    <t>Mosaic Fertilizer</t>
  </si>
  <si>
    <t>status</t>
  </si>
  <si>
    <t>good</t>
  </si>
  <si>
    <t>unk</t>
  </si>
  <si>
    <t>{Adey and Loveland, 2007, #51828}</t>
  </si>
  <si>
    <t>{Adey et al., 1993, #62}</t>
  </si>
  <si>
    <t>GBR Aquarium</t>
  </si>
  <si>
    <t>m</t>
  </si>
  <si>
    <t>ATS productivity (high lat)</t>
  </si>
  <si>
    <t>ATS productivity (equator)</t>
  </si>
  <si>
    <t>model equator latitude</t>
  </si>
  <si>
    <t>model productivity, high lat</t>
  </si>
  <si>
    <t>model productivity, low lat</t>
  </si>
  <si>
    <t>World NPP</t>
  </si>
  <si>
    <t>Kg</t>
  </si>
  <si>
    <t>Ag NPP</t>
  </si>
  <si>
    <t>Facility Long Life</t>
  </si>
  <si>
    <t>Facility Short Life</t>
  </si>
  <si>
    <t>facility lifetime (long)</t>
  </si>
  <si>
    <t>facility lifetime (short)</t>
  </si>
  <si>
    <t>annual spending increase</t>
  </si>
  <si>
    <t>prp</t>
  </si>
  <si>
    <t>fast buildout</t>
  </si>
  <si>
    <t>slow buildout</t>
  </si>
  <si>
    <t>final year</t>
  </si>
  <si>
    <t>Rapid buildout</t>
  </si>
  <si>
    <t>Slow buildout</t>
  </si>
  <si>
    <t>Final year</t>
  </si>
  <si>
    <t>L d-1</t>
  </si>
  <si>
    <t>m3</t>
  </si>
  <si>
    <t>yd3</t>
  </si>
  <si>
    <t>checking</t>
  </si>
  <si>
    <t>{HydroMentia, 2013, #63002}</t>
  </si>
  <si>
    <t>{Yan and Arellano, 2015, #82538}</t>
  </si>
  <si>
    <t>gray</t>
  </si>
  <si>
    <t>Note</t>
  </si>
  <si>
    <t>{Verhoeven and Meuleman, 1999, #34609}</t>
  </si>
  <si>
    <t>Lauwersoog, NL</t>
  </si>
  <si>
    <t>Total P</t>
  </si>
  <si>
    <t>Biomass, P</t>
  </si>
  <si>
    <t>Biomass, N</t>
  </si>
  <si>
    <t>ATS/N</t>
  </si>
  <si>
    <t>ATS/P</t>
  </si>
  <si>
    <t>Citation</t>
  </si>
  <si>
    <t>Location</t>
  </si>
  <si>
    <t>Latitude</t>
  </si>
  <si>
    <t>Modeled ATS productivity</t>
  </si>
  <si>
    <t>{Zhang et al., 2015, #93587}</t>
  </si>
  <si>
    <t>Peradenia, Sri Lanka</t>
  </si>
  <si>
    <t>Area</t>
  </si>
  <si>
    <t>HLR</t>
  </si>
  <si>
    <t>m3 d-1</t>
  </si>
  <si>
    <t>mg L-1</t>
  </si>
  <si>
    <t>mg d-1</t>
  </si>
  <si>
    <t>mg yr-1</t>
  </si>
  <si>
    <t>Hsin-Hai, Taiwan</t>
  </si>
  <si>
    <t>Area per operator</t>
  </si>
  <si>
    <t>C_prp</t>
  </si>
  <si>
    <t>N_prp</t>
  </si>
  <si>
    <t>P_prp</t>
  </si>
  <si>
    <t>CO2_bl</t>
  </si>
  <si>
    <t>CO2_gr</t>
  </si>
  <si>
    <t>mod_lat_hi</t>
  </si>
  <si>
    <t>mod_lat_eq</t>
  </si>
  <si>
    <t>mod_m</t>
  </si>
  <si>
    <t>mod_b</t>
  </si>
  <si>
    <t>world_npp</t>
  </si>
  <si>
    <t>ag_npp</t>
  </si>
  <si>
    <t>emp_ha</t>
  </si>
  <si>
    <t>emp_sal</t>
  </si>
  <si>
    <t>mnt_prp</t>
  </si>
  <si>
    <t>cap_lo</t>
  </si>
  <si>
    <t>cap_hi</t>
  </si>
  <si>
    <t>op_lo</t>
  </si>
  <si>
    <t>op_hi</t>
  </si>
  <si>
    <t>op_life_long</t>
  </si>
  <si>
    <t>op_life_short</t>
  </si>
  <si>
    <t>prod_hi</t>
  </si>
  <si>
    <t>prod_lo</t>
  </si>
  <si>
    <t>inc_prp</t>
  </si>
  <si>
    <t>build_yr_lo</t>
  </si>
  <si>
    <t>build_yr_hi</t>
  </si>
  <si>
    <t>final_yr</t>
  </si>
  <si>
    <t>Parameter</t>
  </si>
  <si>
    <t>Reference</t>
  </si>
  <si>
    <t>{FHWA, 2014, #85081}</t>
  </si>
  <si>
    <t>Total US lane length</t>
  </si>
  <si>
    <t>{FHWA, 2015, #84398}</t>
  </si>
  <si>
    <t>km</t>
  </si>
  <si>
    <t>Minimum US lane width</t>
  </si>
  <si>
    <t>Minimum US highway area</t>
  </si>
  <si>
    <t>US highway CapEx</t>
  </si>
  <si>
    <t>US highway OpEx</t>
  </si>
  <si>
    <t>US highway TotEx</t>
  </si>
  <si>
    <t>$ ha yr-1</t>
  </si>
  <si>
    <t>Geider et al., 2001</t>
  </si>
  <si>
    <t>Model High Latitude</t>
  </si>
  <si>
    <t>Model Low Latitude</t>
  </si>
  <si>
    <t>{AASHTO, 2005, #2622}</t>
  </si>
  <si>
    <t>{Ciais et al., 2014, #20246}</t>
  </si>
  <si>
    <t>Ecological Parameters</t>
  </si>
  <si>
    <t>Economic Parameters</t>
  </si>
  <si>
    <t>Model Slope</t>
  </si>
  <si>
    <t>Model y Intercept</t>
  </si>
  <si>
    <t>Net Atmospheric CO2</t>
  </si>
  <si>
    <t>Net Atmospheric C</t>
  </si>
  <si>
    <t>{Geider et al., 2001, #57976}</t>
  </si>
  <si>
    <t>Baseline CO2</t>
  </si>
  <si>
    <t>Baseline C</t>
  </si>
  <si>
    <t>model y intercept (==prod_lo)</t>
  </si>
  <si>
    <t>Assumption</t>
  </si>
  <si>
    <t>{The World Bank, 2017, #21801}</t>
  </si>
  <si>
    <t>ppm CO2 (vol.)</t>
  </si>
  <si>
    <t>T</t>
  </si>
  <si>
    <t>tC</t>
  </si>
  <si>
    <t>us_val</t>
  </si>
  <si>
    <t>us_unit</t>
  </si>
  <si>
    <t>T ac-1 yr-1</t>
  </si>
  <si>
    <t>T ac-1 yr-1 deg-1</t>
  </si>
  <si>
    <t>lbC lbBiomass-1</t>
  </si>
  <si>
    <t>lbN lbBiomass-1</t>
  </si>
  <si>
    <t>lbP lbBiomass-1</t>
  </si>
  <si>
    <t>T yr-1</t>
  </si>
  <si>
    <t>ac emp-1</t>
  </si>
  <si>
    <t>employee salary, fully encumbered</t>
  </si>
  <si>
    <t>area per employee</t>
  </si>
  <si>
    <t>maintenance proportion, estimated</t>
  </si>
  <si>
    <t>low CapEx</t>
  </si>
  <si>
    <t>high CapEx</t>
  </si>
  <si>
    <t>low OpEx</t>
  </si>
  <si>
    <t>high OpEx</t>
  </si>
  <si>
    <t>$ ac-1</t>
  </si>
  <si>
    <t>$ ac-1 yr-1</t>
  </si>
  <si>
    <t>non-Redfield</t>
  </si>
  <si>
    <t>Redfield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</si>
</sst>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7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theme="0"/>
      <name val="Calibri"/>
    </font>
    <font>
      <sz val="12"/>
      <color theme="4" tint="0.79998168889431442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6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applyFont="1"/>
    <xf numFmtId="0" fontId="0" fillId="0" borderId="0" xfId="0" applyAlignment="1"/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2" fontId="0" fillId="0" borderId="0" xfId="0" applyNumberFormat="1"/>
    <xf numFmtId="0" fontId="0" fillId="0" borderId="0" xfId="0" applyFont="1" applyAlignment="1"/>
    <xf numFmtId="0" fontId="0" fillId="0" borderId="0" xfId="0" quotePrefix="1" applyFont="1" applyAlignment="1"/>
    <xf numFmtId="0" fontId="0" fillId="4" borderId="0" xfId="0" applyFill="1"/>
    <xf numFmtId="164" fontId="0" fillId="4" borderId="0" xfId="0" applyNumberFormat="1" applyFill="1"/>
    <xf numFmtId="164" fontId="0" fillId="0" borderId="0" xfId="0" applyNumberFormat="1" applyFill="1"/>
    <xf numFmtId="0" fontId="5" fillId="3" borderId="0" xfId="0" applyFont="1" applyFill="1" applyAlignment="1">
      <alignment horizontal="center"/>
    </xf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6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420E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nctional%20System%20Lane%20Length,%202014%20(FHWA%20Table%20HM-6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%20Disbursements%20for%20Highways,%20All%20Units%20Of%20Government,%202014%20(FHWA%20Table%20HF2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</sheetNames>
    <sheetDataSet>
      <sheetData sheetId="0">
        <row r="66">
          <cell r="R66">
            <v>8766049.1899999995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F2"/>
    </sheetNames>
    <sheetDataSet>
      <sheetData sheetId="0">
        <row r="67">
          <cell r="E67">
            <v>105423740.05783682</v>
          </cell>
          <cell r="I67">
            <v>51442240.04216323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3" sqref="B3:B4"/>
    </sheetView>
  </sheetViews>
  <sheetFormatPr baseColWidth="10" defaultRowHeight="15" x14ac:dyDescent="0"/>
  <cols>
    <col min="1" max="1" width="12.33203125" bestFit="1" customWidth="1"/>
    <col min="2" max="2" width="8.33203125" style="1" bestFit="1" customWidth="1"/>
    <col min="3" max="3" width="14.6640625" bestFit="1" customWidth="1"/>
    <col min="4" max="4" width="7.83203125" bestFit="1" customWidth="1"/>
    <col min="5" max="5" width="14.83203125" bestFit="1" customWidth="1"/>
    <col min="6" max="6" width="30.33203125" bestFit="1" customWidth="1"/>
    <col min="7" max="7" width="6" bestFit="1" customWidth="1"/>
  </cols>
  <sheetData>
    <row r="1" spans="1:7">
      <c r="A1" s="5" t="s">
        <v>94</v>
      </c>
      <c r="B1" s="14" t="s">
        <v>95</v>
      </c>
      <c r="C1" s="5" t="s">
        <v>96</v>
      </c>
      <c r="D1" t="s">
        <v>293</v>
      </c>
      <c r="E1" t="s">
        <v>294</v>
      </c>
      <c r="F1" s="5" t="s">
        <v>108</v>
      </c>
      <c r="G1" s="5" t="s">
        <v>113</v>
      </c>
    </row>
    <row r="2" spans="1:7">
      <c r="A2" s="5" t="s">
        <v>235</v>
      </c>
      <c r="B2" s="14">
        <f>Settings!G13</f>
        <v>0.5</v>
      </c>
      <c r="C2" s="14" t="str">
        <f>Settings!H13&amp;" "&amp;Settings!F13&amp;"-1"</f>
        <v>gC gBiomass-1</v>
      </c>
      <c r="D2" s="1">
        <f>B2</f>
        <v>0.5</v>
      </c>
      <c r="E2" t="s">
        <v>297</v>
      </c>
      <c r="F2" s="5" t="s">
        <v>118</v>
      </c>
      <c r="G2" s="5" t="s">
        <v>115</v>
      </c>
    </row>
    <row r="3" spans="1:7">
      <c r="A3" s="5" t="s">
        <v>236</v>
      </c>
      <c r="B3" s="14">
        <f>Settings!G14</f>
        <v>4.8000000000000001E-2</v>
      </c>
      <c r="C3" s="14" t="str">
        <f>Settings!H14&amp;" "&amp;Settings!F14&amp;"-1"</f>
        <v>gN gBiomass-1</v>
      </c>
      <c r="D3" s="1">
        <f t="shared" ref="D3:D4" si="0">B3</f>
        <v>4.8000000000000001E-2</v>
      </c>
      <c r="E3" t="s">
        <v>298</v>
      </c>
      <c r="F3" s="5" t="s">
        <v>119</v>
      </c>
      <c r="G3" s="5" t="s">
        <v>115</v>
      </c>
    </row>
    <row r="4" spans="1:7">
      <c r="A4" s="5" t="s">
        <v>237</v>
      </c>
      <c r="B4" s="14">
        <f>Settings!G15</f>
        <v>3.0000000000000001E-3</v>
      </c>
      <c r="C4" s="14" t="str">
        <f>Settings!H15&amp;" "&amp;Settings!F15&amp;"-1"</f>
        <v>gP gBiomass-1</v>
      </c>
      <c r="D4" s="1">
        <f t="shared" si="0"/>
        <v>3.0000000000000001E-3</v>
      </c>
      <c r="E4" t="s">
        <v>299</v>
      </c>
      <c r="F4" s="5" t="s">
        <v>120</v>
      </c>
      <c r="G4" s="5" t="s">
        <v>115</v>
      </c>
    </row>
    <row r="5" spans="1:7">
      <c r="A5" s="5" t="s">
        <v>238</v>
      </c>
      <c r="B5" s="14">
        <f>Settings!B10</f>
        <v>410</v>
      </c>
      <c r="C5" s="14" t="str">
        <f>Settings!C10</f>
        <v>ppm</v>
      </c>
      <c r="D5" s="1"/>
      <c r="E5" s="1"/>
      <c r="F5" s="5" t="s">
        <v>122</v>
      </c>
      <c r="G5" s="5" t="s">
        <v>115</v>
      </c>
    </row>
    <row r="6" spans="1:7">
      <c r="A6" s="5" t="s">
        <v>239</v>
      </c>
      <c r="B6" s="14">
        <f>Settings!B12</f>
        <v>2</v>
      </c>
      <c r="C6" s="14" t="str">
        <f>Settings!C12</f>
        <v>ppm yr-1</v>
      </c>
      <c r="D6" s="1"/>
      <c r="E6" s="1"/>
      <c r="F6" s="5" t="s">
        <v>121</v>
      </c>
      <c r="G6" s="5" t="s">
        <v>115</v>
      </c>
    </row>
    <row r="7" spans="1:7">
      <c r="A7" s="5" t="s">
        <v>240</v>
      </c>
      <c r="B7" s="14">
        <f>Settings!B6</f>
        <v>40</v>
      </c>
      <c r="C7" s="14" t="str">
        <f>Settings!C6</f>
        <v>deg</v>
      </c>
      <c r="D7" s="1"/>
      <c r="E7" s="1"/>
      <c r="F7" s="5" t="s">
        <v>116</v>
      </c>
      <c r="G7" s="5" t="s">
        <v>115</v>
      </c>
    </row>
    <row r="8" spans="1:7">
      <c r="A8" s="5" t="s">
        <v>241</v>
      </c>
      <c r="B8" s="14">
        <f>Settings!B7</f>
        <v>0</v>
      </c>
      <c r="C8" s="14" t="str">
        <f>Settings!C7</f>
        <v>deg</v>
      </c>
      <c r="D8" s="1"/>
      <c r="E8" s="1"/>
      <c r="F8" s="5" t="s">
        <v>188</v>
      </c>
      <c r="G8" s="5" t="s">
        <v>115</v>
      </c>
    </row>
    <row r="9" spans="1:7">
      <c r="A9" s="5" t="s">
        <v>255</v>
      </c>
      <c r="B9" s="14">
        <f>Settings!B3</f>
        <v>54.787500000000001</v>
      </c>
      <c r="C9" s="14" t="str">
        <f>Settings!C3</f>
        <v>t ha-1 yr-1</v>
      </c>
      <c r="D9" s="1">
        <f>B9*Settings!$G$35*Settings!$G$21</f>
        <v>24.440189478322718</v>
      </c>
      <c r="E9" s="1" t="s">
        <v>295</v>
      </c>
      <c r="F9" s="5" t="s">
        <v>189</v>
      </c>
      <c r="G9" s="5" t="s">
        <v>115</v>
      </c>
    </row>
    <row r="10" spans="1:7">
      <c r="A10" s="5" t="s">
        <v>256</v>
      </c>
      <c r="B10" s="14">
        <f>Settings!B5</f>
        <v>91.3125</v>
      </c>
      <c r="C10" s="14" t="str">
        <f>Settings!C5</f>
        <v>t ha-1 yr-1</v>
      </c>
      <c r="D10" s="1">
        <f>B10*Settings!$G$35*Settings!$G$21</f>
        <v>40.733649130537863</v>
      </c>
      <c r="E10" s="1" t="s">
        <v>295</v>
      </c>
      <c r="F10" s="5" t="s">
        <v>190</v>
      </c>
      <c r="G10" s="5" t="s">
        <v>115</v>
      </c>
    </row>
    <row r="11" spans="1:7">
      <c r="A11" s="5" t="s">
        <v>242</v>
      </c>
      <c r="B11" s="14">
        <f>Settings!B8</f>
        <v>-0.91312499999999996</v>
      </c>
      <c r="C11" s="14" t="str">
        <f>Settings!C8</f>
        <v>t ha-1 yr-1 deg-1</v>
      </c>
      <c r="D11" s="1">
        <f>B11*Settings!$G$35*Settings!$G$21</f>
        <v>-0.40733649130537863</v>
      </c>
      <c r="E11" s="1" t="s">
        <v>296</v>
      </c>
      <c r="F11" s="5" t="s">
        <v>117</v>
      </c>
      <c r="G11" s="5" t="s">
        <v>115</v>
      </c>
    </row>
    <row r="12" spans="1:7">
      <c r="A12" s="5" t="s">
        <v>243</v>
      </c>
      <c r="B12" s="14">
        <f>Settings!B9</f>
        <v>91</v>
      </c>
      <c r="C12" s="14" t="str">
        <f>Settings!C5</f>
        <v>t ha-1 yr-1</v>
      </c>
      <c r="D12" s="1">
        <f>B12*Settings!$G$35*Settings!$G$21</f>
        <v>40.594245813869357</v>
      </c>
      <c r="E12" s="1" t="s">
        <v>295</v>
      </c>
      <c r="F12" s="5" t="s">
        <v>287</v>
      </c>
      <c r="G12" s="5" t="s">
        <v>115</v>
      </c>
    </row>
    <row r="13" spans="1:7">
      <c r="A13" s="5" t="s">
        <v>244</v>
      </c>
      <c r="B13" s="14">
        <f>Settings!B19</f>
        <v>104900000000</v>
      </c>
      <c r="C13" s="14" t="str">
        <f>Settings!C19</f>
        <v>t yr-1</v>
      </c>
      <c r="D13" s="1">
        <f>B13*Settings!$G$35*Settings!$G$21</f>
        <v>46794905339.284569</v>
      </c>
      <c r="E13" s="1" t="s">
        <v>300</v>
      </c>
      <c r="F13" s="5" t="s">
        <v>273</v>
      </c>
      <c r="G13" s="5" t="s">
        <v>115</v>
      </c>
    </row>
    <row r="14" spans="1:7">
      <c r="A14" s="5" t="s">
        <v>245</v>
      </c>
      <c r="B14" s="14">
        <f>Settings!B21</f>
        <v>8000000000</v>
      </c>
      <c r="C14" s="14" t="str">
        <f>Settings!C21</f>
        <v>t yr-1</v>
      </c>
      <c r="D14" s="1">
        <f>B14*Settings!$G$35*Settings!$G$21</f>
        <v>3568724906.7137895</v>
      </c>
      <c r="E14" s="1" t="s">
        <v>300</v>
      </c>
      <c r="F14" s="5" t="s">
        <v>273</v>
      </c>
      <c r="G14" s="5" t="s">
        <v>115</v>
      </c>
    </row>
    <row r="15" spans="1:7">
      <c r="A15" s="5" t="s">
        <v>246</v>
      </c>
      <c r="B15" s="14">
        <f>Settings!B24</f>
        <v>5</v>
      </c>
      <c r="C15" s="14" t="str">
        <f>Settings!C24</f>
        <v>ha emp-1</v>
      </c>
      <c r="D15" s="1">
        <f>B15*Settings!G20</f>
        <v>12.35525</v>
      </c>
      <c r="E15" s="1" t="s">
        <v>301</v>
      </c>
      <c r="F15" s="5" t="s">
        <v>303</v>
      </c>
      <c r="G15" s="5" t="s">
        <v>114</v>
      </c>
    </row>
    <row r="16" spans="1:7">
      <c r="A16" s="5" t="s">
        <v>247</v>
      </c>
      <c r="B16" s="14">
        <f>Settings!B25</f>
        <v>100000</v>
      </c>
      <c r="C16" s="14" t="str">
        <f>Settings!C25</f>
        <v>$ yr-1</v>
      </c>
      <c r="F16" s="5" t="s">
        <v>302</v>
      </c>
      <c r="G16" s="5" t="s">
        <v>114</v>
      </c>
    </row>
    <row r="17" spans="1:7">
      <c r="A17" s="5" t="s">
        <v>248</v>
      </c>
      <c r="B17" s="14">
        <f>Settings!B26</f>
        <v>0.05</v>
      </c>
      <c r="C17" s="14" t="str">
        <f>Settings!C26</f>
        <v>opex yr-1</v>
      </c>
      <c r="F17" s="5" t="s">
        <v>304</v>
      </c>
      <c r="G17" s="5" t="s">
        <v>114</v>
      </c>
    </row>
    <row r="18" spans="1:7">
      <c r="A18" s="5" t="s">
        <v>249</v>
      </c>
      <c r="B18" s="14">
        <f>Settings!B22</f>
        <v>250000</v>
      </c>
      <c r="C18" s="14" t="str">
        <f>Settings!C22</f>
        <v>$ ha-1</v>
      </c>
      <c r="D18" s="1">
        <f>B18/Settings!G$20</f>
        <v>101171.56674288258</v>
      </c>
      <c r="E18" s="1" t="s">
        <v>309</v>
      </c>
      <c r="F18" s="5" t="s">
        <v>305</v>
      </c>
      <c r="G18" s="5" t="s">
        <v>114</v>
      </c>
    </row>
    <row r="19" spans="1:7">
      <c r="A19" s="5" t="s">
        <v>250</v>
      </c>
      <c r="B19" s="14">
        <f>Settings!B23</f>
        <v>1000000</v>
      </c>
      <c r="C19" s="14" t="str">
        <f>Settings!C23</f>
        <v>$ ha-1</v>
      </c>
      <c r="D19" s="1">
        <f>B19/Settings!G$20</f>
        <v>404686.26697153033</v>
      </c>
      <c r="E19" s="1" t="s">
        <v>309</v>
      </c>
      <c r="F19" s="5" t="s">
        <v>306</v>
      </c>
      <c r="G19" s="5" t="s">
        <v>114</v>
      </c>
    </row>
    <row r="20" spans="1:7">
      <c r="A20" s="5" t="s">
        <v>251</v>
      </c>
      <c r="B20" s="14">
        <f>Settings!B27</f>
        <v>32500</v>
      </c>
      <c r="C20" s="14" t="str">
        <f>Settings!C27</f>
        <v>$ ha-1 yr-1</v>
      </c>
      <c r="D20" s="1">
        <f>B20/Settings!G$20</f>
        <v>13152.303676574735</v>
      </c>
      <c r="E20" s="1" t="s">
        <v>310</v>
      </c>
      <c r="F20" s="5" t="s">
        <v>307</v>
      </c>
      <c r="G20" s="5" t="s">
        <v>114</v>
      </c>
    </row>
    <row r="21" spans="1:7">
      <c r="A21" s="5" t="s">
        <v>252</v>
      </c>
      <c r="B21" s="14">
        <f>Settings!B28</f>
        <v>70000</v>
      </c>
      <c r="C21" s="14" t="str">
        <f>Settings!C28</f>
        <v>$ ha-1 yr-1</v>
      </c>
      <c r="D21" s="1">
        <f>B21/Settings!G$20</f>
        <v>28328.038688007124</v>
      </c>
      <c r="E21" s="1" t="s">
        <v>310</v>
      </c>
      <c r="F21" s="5" t="s">
        <v>308</v>
      </c>
      <c r="G21" s="5" t="s">
        <v>114</v>
      </c>
    </row>
    <row r="22" spans="1:7">
      <c r="A22" s="5" t="s">
        <v>253</v>
      </c>
      <c r="B22" s="14">
        <f>Settings!B29</f>
        <v>40</v>
      </c>
      <c r="C22" s="14" t="str">
        <f>Settings!C29</f>
        <v>yr</v>
      </c>
      <c r="F22" s="5" t="s">
        <v>196</v>
      </c>
      <c r="G22" s="5" t="s">
        <v>114</v>
      </c>
    </row>
    <row r="23" spans="1:7">
      <c r="A23" s="5" t="s">
        <v>254</v>
      </c>
      <c r="B23" s="14">
        <f>Settings!B30</f>
        <v>20</v>
      </c>
      <c r="C23" s="14" t="str">
        <f>Settings!C30</f>
        <v>yr</v>
      </c>
      <c r="F23" s="5" t="s">
        <v>197</v>
      </c>
      <c r="G23" s="5" t="s">
        <v>114</v>
      </c>
    </row>
    <row r="24" spans="1:7">
      <c r="A24" s="5" t="s">
        <v>257</v>
      </c>
      <c r="B24" s="14">
        <f>Settings!B31</f>
        <v>0.1</v>
      </c>
      <c r="C24" s="14" t="str">
        <f>Settings!C31</f>
        <v>prp</v>
      </c>
      <c r="F24" s="5" t="s">
        <v>198</v>
      </c>
      <c r="G24" s="5" t="s">
        <v>114</v>
      </c>
    </row>
    <row r="25" spans="1:7">
      <c r="A25" s="5" t="s">
        <v>258</v>
      </c>
      <c r="B25" s="14">
        <f>Settings!B32</f>
        <v>50</v>
      </c>
      <c r="C25" s="14" t="str">
        <f>Settings!C32</f>
        <v>yr</v>
      </c>
      <c r="F25" s="5" t="s">
        <v>200</v>
      </c>
      <c r="G25" s="5" t="s">
        <v>114</v>
      </c>
    </row>
    <row r="26" spans="1:7">
      <c r="A26" s="5" t="s">
        <v>259</v>
      </c>
      <c r="B26" s="14">
        <f>Settings!B33</f>
        <v>100</v>
      </c>
      <c r="C26" s="14" t="str">
        <f>Settings!C33</f>
        <v>yr</v>
      </c>
      <c r="F26" s="5" t="s">
        <v>201</v>
      </c>
      <c r="G26" s="5" t="s">
        <v>114</v>
      </c>
    </row>
    <row r="27" spans="1:7">
      <c r="A27" s="5" t="s">
        <v>260</v>
      </c>
      <c r="B27" s="14">
        <f>Settings!B34</f>
        <v>200</v>
      </c>
      <c r="C27" s="14" t="str">
        <f>Settings!C34</f>
        <v>yr</v>
      </c>
      <c r="F27" s="5" t="s">
        <v>202</v>
      </c>
      <c r="G27" s="5" t="s">
        <v>114</v>
      </c>
    </row>
  </sheetData>
  <pageMargins left="0.75" right="0.75" top="1" bottom="1" header="0.5" footer="0.5"/>
  <pageSetup orientation="portrait" horizontalDpi="4294967292" verticalDpi="4294967292"/>
  <ignoredErrors>
    <ignoredError sqref="B11:C1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125" zoomScaleNormal="125" zoomScalePageLayoutView="125" workbookViewId="0">
      <selection activeCell="H4" sqref="H4"/>
    </sheetView>
  </sheetViews>
  <sheetFormatPr baseColWidth="10" defaultRowHeight="15" x14ac:dyDescent="0"/>
  <cols>
    <col min="1" max="1" width="30" bestFit="1" customWidth="1"/>
    <col min="3" max="3" width="12.6640625" bestFit="1" customWidth="1"/>
    <col min="4" max="4" width="7.1640625" bestFit="1" customWidth="1"/>
    <col min="5" max="5" width="19.6640625" bestFit="1" customWidth="1"/>
    <col min="6" max="6" width="15" bestFit="1" customWidth="1"/>
  </cols>
  <sheetData>
    <row r="1" spans="1:7">
      <c r="A1" s="10" t="s">
        <v>127</v>
      </c>
      <c r="B1" s="10" t="s">
        <v>128</v>
      </c>
      <c r="C1" s="10" t="s">
        <v>129</v>
      </c>
      <c r="D1" s="10" t="s">
        <v>130</v>
      </c>
      <c r="E1" s="10" t="s">
        <v>167</v>
      </c>
      <c r="F1" s="10" t="s">
        <v>162</v>
      </c>
      <c r="G1" s="10" t="s">
        <v>179</v>
      </c>
    </row>
    <row r="2" spans="1:7">
      <c r="A2" t="s">
        <v>182</v>
      </c>
      <c r="B2" s="10">
        <v>146.7885378</v>
      </c>
      <c r="C2" s="10">
        <v>-19.257637299999999</v>
      </c>
      <c r="D2" s="10" t="s">
        <v>124</v>
      </c>
      <c r="E2" s="10" t="s">
        <v>184</v>
      </c>
      <c r="G2" t="s">
        <v>180</v>
      </c>
    </row>
    <row r="3" spans="1:7">
      <c r="A3" s="10" t="s">
        <v>183</v>
      </c>
      <c r="B3" s="10">
        <v>-80.457524599999999</v>
      </c>
      <c r="C3" s="10">
        <v>26.657368099999999</v>
      </c>
      <c r="D3" s="10" t="s">
        <v>125</v>
      </c>
      <c r="E3" s="10" t="s">
        <v>138</v>
      </c>
      <c r="F3">
        <v>2009</v>
      </c>
      <c r="G3" t="s">
        <v>180</v>
      </c>
    </row>
    <row r="4" spans="1:7">
      <c r="A4" t="s">
        <v>168</v>
      </c>
      <c r="B4" s="10">
        <v>-74.539295999999993</v>
      </c>
      <c r="C4" s="10">
        <v>40.372374000000001</v>
      </c>
      <c r="D4" s="10" t="s">
        <v>125</v>
      </c>
      <c r="E4" s="10"/>
      <c r="G4" t="s">
        <v>180</v>
      </c>
    </row>
    <row r="5" spans="1:7">
      <c r="A5" t="s">
        <v>74</v>
      </c>
      <c r="B5" s="10">
        <v>-76.328950000000006</v>
      </c>
      <c r="C5" s="10">
        <v>37.855311</v>
      </c>
      <c r="D5" s="10" t="s">
        <v>125</v>
      </c>
      <c r="E5" s="10"/>
      <c r="G5" t="s">
        <v>180</v>
      </c>
    </row>
    <row r="6" spans="1:7">
      <c r="A6" t="s">
        <v>169</v>
      </c>
      <c r="B6" s="10">
        <v>-120.9</v>
      </c>
      <c r="C6" s="10">
        <v>50.8</v>
      </c>
      <c r="D6" s="10" t="s">
        <v>125</v>
      </c>
      <c r="E6" s="10"/>
      <c r="G6" t="s">
        <v>180</v>
      </c>
    </row>
    <row r="7" spans="1:7">
      <c r="A7" t="s">
        <v>170</v>
      </c>
      <c r="B7" s="10">
        <v>-119.7</v>
      </c>
      <c r="C7" s="10">
        <v>50.8</v>
      </c>
      <c r="D7" s="10" t="s">
        <v>125</v>
      </c>
      <c r="E7" s="10"/>
      <c r="G7" t="s">
        <v>180</v>
      </c>
    </row>
    <row r="8" spans="1:7">
      <c r="A8" t="s">
        <v>75</v>
      </c>
      <c r="B8" s="10">
        <v>-64.7</v>
      </c>
      <c r="C8" s="10">
        <v>17.45</v>
      </c>
      <c r="D8" s="10" t="s">
        <v>125</v>
      </c>
      <c r="E8" s="10"/>
      <c r="G8" t="s">
        <v>180</v>
      </c>
    </row>
    <row r="9" spans="1:7">
      <c r="A9" t="s">
        <v>171</v>
      </c>
      <c r="B9" s="10">
        <v>120.3</v>
      </c>
      <c r="C9" s="10">
        <v>23</v>
      </c>
      <c r="D9" s="10" t="s">
        <v>125</v>
      </c>
      <c r="E9" s="10"/>
      <c r="G9" t="s">
        <v>180</v>
      </c>
    </row>
    <row r="10" spans="1:7">
      <c r="A10" t="s">
        <v>76</v>
      </c>
      <c r="B10" s="10">
        <v>117.786311</v>
      </c>
      <c r="C10" s="10">
        <v>24.520453</v>
      </c>
      <c r="D10" s="10" t="s">
        <v>125</v>
      </c>
      <c r="E10" s="10"/>
      <c r="G10" t="s">
        <v>180</v>
      </c>
    </row>
    <row r="11" spans="1:7">
      <c r="A11" t="s">
        <v>172</v>
      </c>
      <c r="B11" s="10">
        <v>-121.132778</v>
      </c>
      <c r="C11" s="10">
        <v>37.473056</v>
      </c>
      <c r="D11" s="10" t="s">
        <v>124</v>
      </c>
      <c r="E11" s="10" t="s">
        <v>131</v>
      </c>
      <c r="F11" s="10" t="s">
        <v>166</v>
      </c>
      <c r="G11" t="s">
        <v>180</v>
      </c>
    </row>
    <row r="12" spans="1:7">
      <c r="A12" t="s">
        <v>77</v>
      </c>
      <c r="B12" s="10">
        <v>-80.408696000000006</v>
      </c>
      <c r="C12" s="10">
        <v>27.427821999999999</v>
      </c>
      <c r="D12" s="10" t="s">
        <v>125</v>
      </c>
      <c r="E12" s="10"/>
      <c r="G12" t="s">
        <v>180</v>
      </c>
    </row>
    <row r="13" spans="1:7">
      <c r="A13" t="s">
        <v>78</v>
      </c>
      <c r="B13" s="10">
        <v>-80.427214000000006</v>
      </c>
      <c r="C13" s="10">
        <v>37.223215000000003</v>
      </c>
      <c r="D13" s="10" t="s">
        <v>125</v>
      </c>
      <c r="E13" s="10"/>
      <c r="G13" t="s">
        <v>180</v>
      </c>
    </row>
    <row r="14" spans="1:7">
      <c r="A14" t="s">
        <v>210</v>
      </c>
      <c r="B14">
        <v>-79.024995599999997</v>
      </c>
      <c r="C14">
        <v>36.001745499999998</v>
      </c>
      <c r="D14" t="s">
        <v>124</v>
      </c>
      <c r="E14" s="10" t="s">
        <v>152</v>
      </c>
      <c r="F14" t="s">
        <v>153</v>
      </c>
      <c r="G14" t="s">
        <v>181</v>
      </c>
    </row>
    <row r="15" spans="1:7">
      <c r="A15" t="s">
        <v>177</v>
      </c>
      <c r="B15" s="10">
        <v>-80.907136899999998</v>
      </c>
      <c r="C15" s="10">
        <v>27.213987700000001</v>
      </c>
      <c r="D15" s="10" t="s">
        <v>124</v>
      </c>
      <c r="E15" s="10" t="s">
        <v>133</v>
      </c>
      <c r="F15" s="10" t="s">
        <v>164</v>
      </c>
      <c r="G15" t="s">
        <v>180</v>
      </c>
    </row>
    <row r="16" spans="1:7">
      <c r="A16" t="s">
        <v>177</v>
      </c>
      <c r="B16">
        <v>-81.965361400000006</v>
      </c>
      <c r="C16">
        <v>27.8745254</v>
      </c>
      <c r="E16" t="s">
        <v>178</v>
      </c>
      <c r="G16" t="s">
        <v>180</v>
      </c>
    </row>
    <row r="17" spans="1:7">
      <c r="A17" t="s">
        <v>146</v>
      </c>
      <c r="B17" s="10">
        <v>-81.880556400000003</v>
      </c>
      <c r="C17" s="10">
        <v>26.674672000000001</v>
      </c>
      <c r="D17" s="10" t="s">
        <v>125</v>
      </c>
      <c r="E17" s="10" t="s">
        <v>136</v>
      </c>
      <c r="F17">
        <v>2009</v>
      </c>
      <c r="G17" t="s">
        <v>180</v>
      </c>
    </row>
    <row r="18" spans="1:7">
      <c r="A18" t="s">
        <v>146</v>
      </c>
      <c r="B18" s="10">
        <v>-80.853750700000006</v>
      </c>
      <c r="C18" s="11">
        <v>27.329125999999999</v>
      </c>
      <c r="D18" s="10" t="s">
        <v>124</v>
      </c>
      <c r="E18" s="10" t="s">
        <v>139</v>
      </c>
      <c r="F18" s="10" t="s">
        <v>163</v>
      </c>
      <c r="G18" t="s">
        <v>180</v>
      </c>
    </row>
    <row r="19" spans="1:7">
      <c r="A19" t="s">
        <v>146</v>
      </c>
      <c r="B19">
        <v>-80.869715799999994</v>
      </c>
      <c r="C19">
        <v>27.5020904</v>
      </c>
      <c r="D19" t="s">
        <v>124</v>
      </c>
      <c r="E19" s="10" t="s">
        <v>145</v>
      </c>
      <c r="F19" s="10" t="s">
        <v>165</v>
      </c>
      <c r="G19" t="s">
        <v>180</v>
      </c>
    </row>
    <row r="20" spans="1:7">
      <c r="A20" t="s">
        <v>146</v>
      </c>
      <c r="B20">
        <v>-80.398945299999994</v>
      </c>
      <c r="C20">
        <v>27.592262000000002</v>
      </c>
      <c r="D20" s="10" t="s">
        <v>124</v>
      </c>
      <c r="E20" s="10" t="s">
        <v>140</v>
      </c>
      <c r="F20" t="s">
        <v>159</v>
      </c>
      <c r="G20" t="s">
        <v>180</v>
      </c>
    </row>
    <row r="21" spans="1:7">
      <c r="A21" t="s">
        <v>146</v>
      </c>
      <c r="B21">
        <v>-80.399409399999996</v>
      </c>
      <c r="C21">
        <v>27.602654600000001</v>
      </c>
      <c r="D21" t="s">
        <v>125</v>
      </c>
      <c r="E21" s="10" t="s">
        <v>126</v>
      </c>
      <c r="F21">
        <v>2010</v>
      </c>
      <c r="G21" t="s">
        <v>180</v>
      </c>
    </row>
    <row r="22" spans="1:7">
      <c r="A22" t="s">
        <v>146</v>
      </c>
      <c r="B22" s="10">
        <v>-80.479466200000005</v>
      </c>
      <c r="C22" s="10">
        <v>27.609477500000001</v>
      </c>
      <c r="D22" s="10" t="s">
        <v>124</v>
      </c>
      <c r="E22" s="10" t="s">
        <v>132</v>
      </c>
      <c r="F22" s="10" t="s">
        <v>156</v>
      </c>
      <c r="G22" t="s">
        <v>180</v>
      </c>
    </row>
    <row r="23" spans="1:7">
      <c r="A23" t="s">
        <v>146</v>
      </c>
      <c r="B23" s="10">
        <v>-81.445307999999997</v>
      </c>
      <c r="C23" s="10">
        <v>28.5647631</v>
      </c>
      <c r="D23" s="10" t="s">
        <v>125</v>
      </c>
      <c r="E23" s="10" t="s">
        <v>137</v>
      </c>
      <c r="F23">
        <v>2009</v>
      </c>
      <c r="G23" t="s">
        <v>180</v>
      </c>
    </row>
    <row r="24" spans="1:7">
      <c r="A24" t="s">
        <v>146</v>
      </c>
      <c r="B24" s="10">
        <v>-82.477197000000004</v>
      </c>
      <c r="C24" s="10">
        <v>29.923072999999999</v>
      </c>
      <c r="D24" s="10" t="s">
        <v>125</v>
      </c>
      <c r="E24" s="10" t="s">
        <v>135</v>
      </c>
      <c r="F24" t="s">
        <v>155</v>
      </c>
      <c r="G24" t="s">
        <v>180</v>
      </c>
    </row>
    <row r="25" spans="1:7">
      <c r="A25" t="s">
        <v>146</v>
      </c>
      <c r="B25" s="10">
        <v>-85.024425500000007</v>
      </c>
      <c r="C25" s="10">
        <v>34.827157800000002</v>
      </c>
      <c r="D25" s="10" t="s">
        <v>125</v>
      </c>
      <c r="E25" s="10" t="s">
        <v>134</v>
      </c>
      <c r="F25" s="10" t="s">
        <v>157</v>
      </c>
      <c r="G25" t="s">
        <v>180</v>
      </c>
    </row>
    <row r="26" spans="1:7">
      <c r="A26" t="s">
        <v>146</v>
      </c>
      <c r="B26">
        <v>-76.535835800000001</v>
      </c>
      <c r="C26">
        <v>39.197844400000001</v>
      </c>
      <c r="D26" t="s">
        <v>125</v>
      </c>
      <c r="E26" s="10" t="s">
        <v>150</v>
      </c>
      <c r="F26" t="s">
        <v>151</v>
      </c>
      <c r="G26" t="s">
        <v>180</v>
      </c>
    </row>
    <row r="27" spans="1:7">
      <c r="A27" t="s">
        <v>146</v>
      </c>
      <c r="B27">
        <v>-76.519799699999993</v>
      </c>
      <c r="C27">
        <v>39.241779600000001</v>
      </c>
      <c r="D27" t="s">
        <v>125</v>
      </c>
      <c r="E27" s="10" t="s">
        <v>149</v>
      </c>
      <c r="F27">
        <v>2015</v>
      </c>
      <c r="G27" t="s">
        <v>180</v>
      </c>
    </row>
    <row r="28" spans="1:7">
      <c r="A28" t="s">
        <v>146</v>
      </c>
      <c r="B28">
        <v>-76.262986100000006</v>
      </c>
      <c r="C28">
        <v>39.7560024</v>
      </c>
      <c r="D28" t="s">
        <v>125</v>
      </c>
      <c r="E28" s="10" t="s">
        <v>147</v>
      </c>
      <c r="F28">
        <v>2009</v>
      </c>
      <c r="G28" t="s">
        <v>180</v>
      </c>
    </row>
    <row r="29" spans="1:7">
      <c r="A29" t="s">
        <v>146</v>
      </c>
      <c r="B29" s="10">
        <v>-73.828925999999996</v>
      </c>
      <c r="C29" s="10">
        <v>40.584173399999997</v>
      </c>
      <c r="D29" s="10" t="s">
        <v>125</v>
      </c>
      <c r="E29" s="10" t="s">
        <v>148</v>
      </c>
      <c r="F29" s="10" t="s">
        <v>158</v>
      </c>
      <c r="G29" t="s">
        <v>180</v>
      </c>
    </row>
    <row r="30" spans="1:7">
      <c r="A30" t="s">
        <v>173</v>
      </c>
      <c r="B30" s="10">
        <v>3.5740601999999999</v>
      </c>
      <c r="C30" s="10">
        <v>51.082552</v>
      </c>
      <c r="D30" s="10" t="s">
        <v>125</v>
      </c>
      <c r="E30" s="10"/>
      <c r="G30" t="s">
        <v>180</v>
      </c>
    </row>
    <row r="31" spans="1:7">
      <c r="A31" t="s">
        <v>174</v>
      </c>
      <c r="B31" s="10">
        <v>16.430962999999998</v>
      </c>
      <c r="C31" s="10">
        <v>48.197578999999998</v>
      </c>
      <c r="D31" s="10" t="s">
        <v>125</v>
      </c>
      <c r="E31" s="10"/>
      <c r="G31" t="s">
        <v>180</v>
      </c>
    </row>
    <row r="32" spans="1:7">
      <c r="A32" t="s">
        <v>85</v>
      </c>
      <c r="B32">
        <v>146.80000000000001</v>
      </c>
      <c r="C32">
        <v>-19.3</v>
      </c>
      <c r="G32" t="s">
        <v>209</v>
      </c>
    </row>
    <row r="33" spans="1:7">
      <c r="A33" t="s">
        <v>175</v>
      </c>
      <c r="B33" s="10">
        <v>-76.900000000000006</v>
      </c>
      <c r="C33" s="10">
        <v>39</v>
      </c>
      <c r="D33" s="10" t="s">
        <v>125</v>
      </c>
      <c r="E33" s="10"/>
      <c r="G33" t="s">
        <v>180</v>
      </c>
    </row>
    <row r="34" spans="1:7">
      <c r="A34" t="s">
        <v>79</v>
      </c>
      <c r="B34" s="10">
        <v>-76.713593000000003</v>
      </c>
      <c r="C34" s="10">
        <v>38.784427000000001</v>
      </c>
      <c r="D34" s="10" t="s">
        <v>125</v>
      </c>
      <c r="E34" s="10"/>
      <c r="G34" t="s">
        <v>180</v>
      </c>
    </row>
    <row r="35" spans="1:7">
      <c r="A35" t="s">
        <v>79</v>
      </c>
      <c r="B35">
        <v>-76.457588999999999</v>
      </c>
      <c r="C35">
        <v>39.131529</v>
      </c>
      <c r="D35" s="10" t="s">
        <v>125</v>
      </c>
      <c r="G35" t="s">
        <v>180</v>
      </c>
    </row>
    <row r="36" spans="1:7">
      <c r="A36" t="s">
        <v>79</v>
      </c>
      <c r="B36">
        <v>-76.268676999999997</v>
      </c>
      <c r="C36">
        <v>39.449888999999999</v>
      </c>
      <c r="D36" s="10" t="s">
        <v>125</v>
      </c>
      <c r="G36" t="s">
        <v>180</v>
      </c>
    </row>
    <row r="37" spans="1:7">
      <c r="A37" t="s">
        <v>80</v>
      </c>
      <c r="B37" s="10">
        <v>-76.188846600000005</v>
      </c>
      <c r="C37" s="10">
        <v>38.609043200000002</v>
      </c>
      <c r="D37" s="10" t="s">
        <v>125</v>
      </c>
      <c r="E37" s="10"/>
      <c r="G37" t="s">
        <v>180</v>
      </c>
    </row>
    <row r="38" spans="1:7">
      <c r="A38" t="s">
        <v>81</v>
      </c>
      <c r="B38" s="10">
        <v>-76.382262999999995</v>
      </c>
      <c r="C38" s="10">
        <v>37.247632000000003</v>
      </c>
      <c r="D38" s="10" t="s">
        <v>125</v>
      </c>
      <c r="E38" s="10" t="s">
        <v>142</v>
      </c>
      <c r="F38" s="10" t="s">
        <v>155</v>
      </c>
      <c r="G38" t="s">
        <v>180</v>
      </c>
    </row>
    <row r="39" spans="1:7">
      <c r="A39" t="s">
        <v>82</v>
      </c>
      <c r="B39" s="10">
        <v>-94.1666666666667</v>
      </c>
      <c r="C39" s="10">
        <v>36.200000000000003</v>
      </c>
      <c r="D39" s="10" t="s">
        <v>125</v>
      </c>
      <c r="E39" s="10" t="s">
        <v>141</v>
      </c>
      <c r="F39">
        <v>2009</v>
      </c>
      <c r="G39" t="s">
        <v>180</v>
      </c>
    </row>
    <row r="40" spans="1:7">
      <c r="A40" t="s">
        <v>83</v>
      </c>
      <c r="B40" s="10">
        <v>-94.089297000000002</v>
      </c>
      <c r="C40" s="10">
        <v>36.080810999999997</v>
      </c>
      <c r="D40" s="10" t="s">
        <v>125</v>
      </c>
      <c r="E40" t="s">
        <v>161</v>
      </c>
      <c r="F40" t="s">
        <v>158</v>
      </c>
      <c r="G40" t="s">
        <v>180</v>
      </c>
    </row>
    <row r="41" spans="1:7">
      <c r="A41" t="s">
        <v>84</v>
      </c>
      <c r="B41" s="10">
        <v>-82.323492000000002</v>
      </c>
      <c r="C41" s="10">
        <v>29.645575999999998</v>
      </c>
      <c r="D41" s="10" t="s">
        <v>125</v>
      </c>
      <c r="E41" s="10"/>
      <c r="G41" t="s">
        <v>180</v>
      </c>
    </row>
    <row r="42" spans="1:7">
      <c r="A42" t="s">
        <v>144</v>
      </c>
      <c r="B42" s="10">
        <v>-98.806156999999999</v>
      </c>
      <c r="C42" s="10">
        <v>29.491195399999999</v>
      </c>
      <c r="D42" s="10" t="s">
        <v>124</v>
      </c>
      <c r="E42" s="10" t="s">
        <v>143</v>
      </c>
      <c r="F42" s="10" t="s">
        <v>165</v>
      </c>
      <c r="G42" t="s">
        <v>180</v>
      </c>
    </row>
    <row r="43" spans="1:7">
      <c r="A43" t="s">
        <v>176</v>
      </c>
      <c r="B43" s="10">
        <v>16.163287777777775</v>
      </c>
      <c r="C43" s="10">
        <v>51.627626666666664</v>
      </c>
      <c r="D43" s="10" t="s">
        <v>125</v>
      </c>
      <c r="E43" s="10"/>
      <c r="G43" t="s">
        <v>180</v>
      </c>
    </row>
    <row r="44" spans="1:7">
      <c r="A44" t="s">
        <v>211</v>
      </c>
      <c r="B44">
        <v>-103.3499748</v>
      </c>
      <c r="C44">
        <v>34.178595899999998</v>
      </c>
      <c r="D44" t="s">
        <v>125</v>
      </c>
      <c r="E44" s="10" t="s">
        <v>154</v>
      </c>
      <c r="F44" t="s">
        <v>160</v>
      </c>
      <c r="G44" t="s">
        <v>212</v>
      </c>
    </row>
    <row r="45" spans="1:7">
      <c r="A45" s="10" t="s">
        <v>123</v>
      </c>
      <c r="B45" s="10">
        <v>-75.900000000000006</v>
      </c>
      <c r="C45" s="10">
        <v>39</v>
      </c>
      <c r="D45" s="10" t="s">
        <v>125</v>
      </c>
      <c r="E45" s="10"/>
      <c r="G45" t="s">
        <v>180</v>
      </c>
    </row>
    <row r="46" spans="1:7">
      <c r="E46" s="10"/>
      <c r="F46" s="10"/>
    </row>
    <row r="47" spans="1:7">
      <c r="E47" s="10"/>
    </row>
  </sheetData>
  <sortState ref="A2:G46">
    <sortCondition ref="A2:A46"/>
    <sortCondition ref="C2:C46"/>
    <sortCondition ref="B2:B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opLeftCell="B1" zoomScale="150" zoomScaleNormal="150" zoomScalePageLayoutView="150" workbookViewId="0">
      <selection activeCell="G13" sqref="G13"/>
    </sheetView>
  </sheetViews>
  <sheetFormatPr baseColWidth="10" defaultColWidth="8.83203125" defaultRowHeight="15" x14ac:dyDescent="0"/>
  <cols>
    <col min="1" max="1" width="24.33203125" bestFit="1" customWidth="1"/>
    <col min="2" max="2" width="12.1640625" bestFit="1" customWidth="1"/>
    <col min="3" max="3" width="15.33203125" bestFit="1" customWidth="1"/>
    <col min="4" max="4" width="27.5" bestFit="1" customWidth="1"/>
    <col min="5" max="5" width="2.6640625" customWidth="1"/>
    <col min="6" max="6" width="14.83203125" bestFit="1" customWidth="1"/>
    <col min="7" max="7" width="8.83203125" bestFit="1" customWidth="1"/>
    <col min="8" max="8" width="9.6640625" bestFit="1" customWidth="1"/>
    <col min="9" max="9" width="21.6640625" bestFit="1" customWidth="1"/>
    <col min="10" max="10" width="19.6640625" bestFit="1" customWidth="1"/>
    <col min="11" max="11" width="10.33203125" bestFit="1" customWidth="1"/>
    <col min="12" max="12" width="15.33203125" bestFit="1" customWidth="1"/>
    <col min="13" max="13" width="12.1640625" bestFit="1" customWidth="1"/>
    <col min="14" max="14" width="2.83203125" customWidth="1"/>
    <col min="15" max="15" width="16.33203125" bestFit="1" customWidth="1"/>
    <col min="19" max="19" width="11.5" bestFit="1" customWidth="1"/>
  </cols>
  <sheetData>
    <row r="1" spans="1:11">
      <c r="A1" s="23" t="s">
        <v>278</v>
      </c>
      <c r="B1" s="23"/>
      <c r="C1" s="23"/>
      <c r="D1" s="15" t="s">
        <v>213</v>
      </c>
      <c r="F1" s="22" t="s">
        <v>72</v>
      </c>
      <c r="G1" s="22"/>
      <c r="H1" s="22"/>
    </row>
    <row r="2" spans="1:11">
      <c r="A2" s="16" t="s">
        <v>186</v>
      </c>
      <c r="B2" s="17">
        <v>15</v>
      </c>
      <c r="C2" s="16" t="s">
        <v>98</v>
      </c>
      <c r="D2" s="16"/>
      <c r="F2" s="16" t="s">
        <v>0</v>
      </c>
      <c r="G2" s="17">
        <v>365.25</v>
      </c>
      <c r="H2" s="16" t="s">
        <v>1</v>
      </c>
    </row>
    <row r="3" spans="1:11">
      <c r="A3" s="16" t="str">
        <f>A2</f>
        <v>ATS productivity (high lat)</v>
      </c>
      <c r="B3" s="17">
        <f>B2*$G$2*$G$3/$G$4</f>
        <v>54.787500000000001</v>
      </c>
      <c r="C3" s="16" t="s">
        <v>99</v>
      </c>
      <c r="D3" s="16"/>
      <c r="F3" s="16" t="s">
        <v>2</v>
      </c>
      <c r="G3" s="17">
        <f>100*100</f>
        <v>10000</v>
      </c>
      <c r="H3" s="16" t="s">
        <v>102</v>
      </c>
    </row>
    <row r="4" spans="1:11">
      <c r="A4" s="16" t="s">
        <v>187</v>
      </c>
      <c r="B4" s="17">
        <v>25</v>
      </c>
      <c r="C4" s="16" t="s">
        <v>98</v>
      </c>
      <c r="D4" s="16"/>
      <c r="F4" s="16" t="s">
        <v>4</v>
      </c>
      <c r="G4" s="17">
        <v>1000000</v>
      </c>
      <c r="H4" s="16" t="s">
        <v>5</v>
      </c>
    </row>
    <row r="5" spans="1:11">
      <c r="A5" s="12" t="str">
        <f>A4</f>
        <v>ATS productivity (equator)</v>
      </c>
      <c r="B5" s="13">
        <f>B4*$G$2*$G$3/$G$4</f>
        <v>91.3125</v>
      </c>
      <c r="C5" s="12" t="s">
        <v>99</v>
      </c>
      <c r="D5" s="12"/>
      <c r="F5" s="12" t="s">
        <v>192</v>
      </c>
      <c r="G5" s="13">
        <v>1000</v>
      </c>
      <c r="H5" s="12" t="s">
        <v>5</v>
      </c>
    </row>
    <row r="6" spans="1:11">
      <c r="A6" s="12" t="s">
        <v>274</v>
      </c>
      <c r="B6" s="13">
        <v>40</v>
      </c>
      <c r="C6" s="12" t="s">
        <v>93</v>
      </c>
      <c r="D6" s="12"/>
      <c r="F6" s="12" t="s">
        <v>13</v>
      </c>
      <c r="G6" s="13">
        <v>1000000000000000</v>
      </c>
      <c r="H6" s="12" t="s">
        <v>5</v>
      </c>
    </row>
    <row r="7" spans="1:11">
      <c r="A7" s="12" t="s">
        <v>275</v>
      </c>
      <c r="B7" s="13">
        <v>0</v>
      </c>
      <c r="C7" s="12" t="s">
        <v>93</v>
      </c>
      <c r="D7" s="12"/>
      <c r="F7" s="12" t="s">
        <v>207</v>
      </c>
      <c r="G7" s="13">
        <v>1000</v>
      </c>
      <c r="H7" s="13" t="s">
        <v>21</v>
      </c>
    </row>
    <row r="8" spans="1:11">
      <c r="A8" s="12" t="s">
        <v>280</v>
      </c>
      <c r="B8" s="13">
        <f>(B5-B3)/(B7-B6)</f>
        <v>-0.91312499999999996</v>
      </c>
      <c r="C8" s="12" t="s">
        <v>97</v>
      </c>
      <c r="D8" s="12"/>
      <c r="F8" t="s">
        <v>11</v>
      </c>
      <c r="G8" s="1">
        <f>(G9+2*G11)/G9</f>
        <v>3.6641245524935475</v>
      </c>
      <c r="H8" t="s">
        <v>12</v>
      </c>
    </row>
    <row r="9" spans="1:11">
      <c r="A9" s="12" t="s">
        <v>281</v>
      </c>
      <c r="B9" s="13">
        <v>91</v>
      </c>
      <c r="C9" s="12" t="s">
        <v>99</v>
      </c>
      <c r="D9" s="12"/>
      <c r="F9" s="12" t="s">
        <v>69</v>
      </c>
      <c r="G9" s="13">
        <v>12.010999999999999</v>
      </c>
      <c r="H9" s="12" t="s">
        <v>5</v>
      </c>
    </row>
    <row r="10" spans="1:11">
      <c r="A10" s="12" t="s">
        <v>285</v>
      </c>
      <c r="B10" s="13">
        <v>410</v>
      </c>
      <c r="C10" s="12" t="s">
        <v>18</v>
      </c>
      <c r="D10" s="12"/>
      <c r="F10" s="12" t="s">
        <v>70</v>
      </c>
      <c r="G10" s="13">
        <v>14.007</v>
      </c>
      <c r="H10" s="12" t="s">
        <v>5</v>
      </c>
    </row>
    <row r="11" spans="1:11">
      <c r="A11" s="16" t="s">
        <v>286</v>
      </c>
      <c r="B11" s="17">
        <f>B10*G33</f>
        <v>873300000000</v>
      </c>
      <c r="C11" s="16" t="s">
        <v>4</v>
      </c>
      <c r="D11" s="17"/>
      <c r="F11" s="12" t="s">
        <v>73</v>
      </c>
      <c r="G11" s="13">
        <v>15.9994</v>
      </c>
      <c r="H11" s="12" t="s">
        <v>5</v>
      </c>
    </row>
    <row r="12" spans="1:11">
      <c r="A12" s="12" t="s">
        <v>282</v>
      </c>
      <c r="B12" s="13">
        <v>2</v>
      </c>
      <c r="C12" s="12" t="s">
        <v>105</v>
      </c>
      <c r="D12" s="12" t="s">
        <v>277</v>
      </c>
      <c r="F12" s="12" t="s">
        <v>71</v>
      </c>
      <c r="G12" s="13">
        <v>30.97</v>
      </c>
      <c r="H12" s="12" t="s">
        <v>5</v>
      </c>
      <c r="K12" s="1"/>
    </row>
    <row r="13" spans="1:11">
      <c r="A13" s="16" t="s">
        <v>283</v>
      </c>
      <c r="B13" s="17">
        <f>B12*G33</f>
        <v>4260000000</v>
      </c>
      <c r="C13" s="16" t="s">
        <v>100</v>
      </c>
      <c r="D13" s="16"/>
      <c r="F13" s="12" t="s">
        <v>112</v>
      </c>
      <c r="G13" s="13">
        <v>0.5</v>
      </c>
      <c r="H13" s="12" t="s">
        <v>109</v>
      </c>
      <c r="I13" t="s">
        <v>311</v>
      </c>
      <c r="K13" s="1"/>
    </row>
    <row r="14" spans="1:11">
      <c r="F14" s="12" t="s">
        <v>112</v>
      </c>
      <c r="G14" s="13">
        <v>4.8000000000000001E-2</v>
      </c>
      <c r="H14" s="12" t="s">
        <v>110</v>
      </c>
      <c r="I14" t="s">
        <v>311</v>
      </c>
      <c r="K14" s="1"/>
    </row>
    <row r="15" spans="1:11">
      <c r="A15" s="24" t="s">
        <v>279</v>
      </c>
      <c r="B15" s="24"/>
      <c r="C15" s="24"/>
      <c r="D15" s="15" t="s">
        <v>213</v>
      </c>
      <c r="F15" s="12" t="s">
        <v>112</v>
      </c>
      <c r="G15" s="13">
        <v>3.0000000000000001E-3</v>
      </c>
      <c r="H15" s="12" t="s">
        <v>111</v>
      </c>
      <c r="I15" t="s">
        <v>311</v>
      </c>
      <c r="K15" s="1"/>
    </row>
    <row r="16" spans="1:11">
      <c r="A16" s="18" t="s">
        <v>234</v>
      </c>
      <c r="B16" s="19">
        <v>5</v>
      </c>
      <c r="C16" s="18" t="s">
        <v>2</v>
      </c>
      <c r="D16" s="18" t="s">
        <v>288</v>
      </c>
      <c r="F16" s="12" t="s">
        <v>112</v>
      </c>
      <c r="G16" s="13">
        <f>D38</f>
        <v>0.83308860865513967</v>
      </c>
      <c r="H16" s="12" t="s">
        <v>109</v>
      </c>
      <c r="I16" t="s">
        <v>312</v>
      </c>
      <c r="K16" s="1"/>
    </row>
    <row r="17" spans="1:11">
      <c r="A17" s="20" t="s">
        <v>16</v>
      </c>
      <c r="B17" s="21">
        <v>75845109000000</v>
      </c>
      <c r="C17" s="20" t="s">
        <v>86</v>
      </c>
      <c r="D17" s="20" t="s">
        <v>289</v>
      </c>
      <c r="F17" s="12" t="s">
        <v>112</v>
      </c>
      <c r="G17" s="13">
        <f>D39</f>
        <v>0.1466463558270647</v>
      </c>
      <c r="H17" s="12" t="s">
        <v>110</v>
      </c>
      <c r="I17" t="s">
        <v>312</v>
      </c>
      <c r="K17" s="1"/>
    </row>
    <row r="18" spans="1:11">
      <c r="A18" s="12" t="s">
        <v>191</v>
      </c>
      <c r="B18" s="13">
        <v>104.9</v>
      </c>
      <c r="C18" s="12" t="s">
        <v>101</v>
      </c>
      <c r="D18" s="12" t="s">
        <v>284</v>
      </c>
      <c r="F18" s="12" t="s">
        <v>112</v>
      </c>
      <c r="G18" s="13">
        <f>D40</f>
        <v>2.026503551779554E-2</v>
      </c>
      <c r="H18" s="12" t="s">
        <v>111</v>
      </c>
      <c r="I18" t="s">
        <v>312</v>
      </c>
    </row>
    <row r="19" spans="1:11">
      <c r="A19" s="16" t="s">
        <v>191</v>
      </c>
      <c r="B19" s="17">
        <f>B18*$G$6/$G$4</f>
        <v>104900000000</v>
      </c>
      <c r="C19" s="16" t="s">
        <v>100</v>
      </c>
      <c r="D19" s="16"/>
      <c r="F19" s="5" t="s">
        <v>21</v>
      </c>
      <c r="G19" s="14">
        <v>0.26417200000000002</v>
      </c>
      <c r="H19" s="5" t="s">
        <v>26</v>
      </c>
      <c r="I19" s="1"/>
    </row>
    <row r="20" spans="1:11">
      <c r="A20" s="12" t="s">
        <v>193</v>
      </c>
      <c r="B20" s="13">
        <v>8</v>
      </c>
      <c r="C20" s="12" t="s">
        <v>101</v>
      </c>
      <c r="D20" s="12" t="s">
        <v>284</v>
      </c>
      <c r="F20" s="5" t="s">
        <v>2</v>
      </c>
      <c r="G20" s="14">
        <v>2.47105</v>
      </c>
      <c r="H20" s="5" t="s">
        <v>22</v>
      </c>
      <c r="I20" s="1"/>
    </row>
    <row r="21" spans="1:11">
      <c r="A21" s="16" t="s">
        <v>193</v>
      </c>
      <c r="B21" s="17">
        <f>B20*$G$6/$G$4</f>
        <v>8000000000</v>
      </c>
      <c r="C21" s="16" t="s">
        <v>100</v>
      </c>
      <c r="D21" s="16"/>
      <c r="F21" s="5" t="s">
        <v>22</v>
      </c>
      <c r="G21" s="14">
        <f>1/G20</f>
        <v>0.40468626697153032</v>
      </c>
      <c r="H21" s="5" t="s">
        <v>2</v>
      </c>
    </row>
    <row r="22" spans="1:11">
      <c r="A22" s="12" t="s">
        <v>54</v>
      </c>
      <c r="B22" s="13">
        <v>250000</v>
      </c>
      <c r="C22" s="12" t="s">
        <v>87</v>
      </c>
      <c r="D22" s="12" t="s">
        <v>261</v>
      </c>
      <c r="F22" s="5" t="s">
        <v>89</v>
      </c>
      <c r="G22" s="14">
        <f>1/2.54</f>
        <v>0.39370078740157477</v>
      </c>
      <c r="H22" s="5" t="s">
        <v>90</v>
      </c>
      <c r="K22" s="1"/>
    </row>
    <row r="23" spans="1:11">
      <c r="A23" s="12" t="s">
        <v>55</v>
      </c>
      <c r="B23" s="13">
        <v>1000000</v>
      </c>
      <c r="C23" s="12" t="s">
        <v>87</v>
      </c>
      <c r="D23" s="12" t="s">
        <v>261</v>
      </c>
      <c r="F23" s="5" t="s">
        <v>185</v>
      </c>
      <c r="G23" s="14">
        <v>3.28084</v>
      </c>
      <c r="H23" s="14" t="s">
        <v>15</v>
      </c>
      <c r="K23" s="1"/>
    </row>
    <row r="24" spans="1:11">
      <c r="A24" s="12" t="s">
        <v>56</v>
      </c>
      <c r="B24" s="13">
        <v>5</v>
      </c>
      <c r="C24" s="12" t="s">
        <v>107</v>
      </c>
      <c r="D24" s="12" t="s">
        <v>261</v>
      </c>
      <c r="E24" s="1"/>
      <c r="F24" s="5" t="s">
        <v>207</v>
      </c>
      <c r="G24" s="14">
        <v>1.3079499999999999</v>
      </c>
      <c r="H24" s="14" t="s">
        <v>208</v>
      </c>
      <c r="K24" s="1"/>
    </row>
    <row r="25" spans="1:11">
      <c r="A25" s="12" t="s">
        <v>57</v>
      </c>
      <c r="B25" s="13">
        <v>100000</v>
      </c>
      <c r="C25" s="12" t="s">
        <v>92</v>
      </c>
      <c r="D25" s="12" t="s">
        <v>261</v>
      </c>
      <c r="F25" s="5" t="s">
        <v>91</v>
      </c>
      <c r="G25" s="14">
        <f>1000000*G26/2000</f>
        <v>1.1023099999999999</v>
      </c>
      <c r="H25" s="14" t="s">
        <v>4</v>
      </c>
    </row>
    <row r="26" spans="1:11">
      <c r="A26" s="12" t="s">
        <v>58</v>
      </c>
      <c r="B26" s="13">
        <v>0.05</v>
      </c>
      <c r="C26" s="12" t="s">
        <v>106</v>
      </c>
      <c r="D26" s="12" t="s">
        <v>261</v>
      </c>
      <c r="F26" s="5" t="s">
        <v>5</v>
      </c>
      <c r="G26" s="14">
        <f>0.00220462</f>
        <v>2.20462E-3</v>
      </c>
      <c r="H26" s="5" t="s">
        <v>9</v>
      </c>
    </row>
    <row r="27" spans="1:11">
      <c r="A27" s="12" t="s">
        <v>59</v>
      </c>
      <c r="B27" s="13">
        <f>(B$25/B$24)+B22*B$26</f>
        <v>32500</v>
      </c>
      <c r="C27" s="12" t="s">
        <v>88</v>
      </c>
      <c r="D27" s="12"/>
      <c r="F27" s="5" t="s">
        <v>104</v>
      </c>
      <c r="G27" s="14">
        <v>9.2902999999999998E-6</v>
      </c>
      <c r="H27" s="5" t="s">
        <v>2</v>
      </c>
    </row>
    <row r="28" spans="1:11">
      <c r="A28" s="12" t="s">
        <v>60</v>
      </c>
      <c r="B28" s="13">
        <f>(B$25/B$24)+B23*B$26</f>
        <v>70000</v>
      </c>
      <c r="C28" s="12" t="s">
        <v>88</v>
      </c>
      <c r="D28" s="12"/>
      <c r="F28" s="5" t="s">
        <v>14</v>
      </c>
      <c r="G28" s="14">
        <v>5280</v>
      </c>
      <c r="H28" s="5" t="s">
        <v>15</v>
      </c>
    </row>
    <row r="29" spans="1:11">
      <c r="A29" s="12" t="s">
        <v>194</v>
      </c>
      <c r="B29" s="13">
        <v>40</v>
      </c>
      <c r="C29" s="12" t="s">
        <v>0</v>
      </c>
      <c r="D29" s="12" t="s">
        <v>261</v>
      </c>
      <c r="F29" s="5" t="s">
        <v>9</v>
      </c>
      <c r="G29" s="14">
        <v>0.453592</v>
      </c>
      <c r="H29" s="5" t="s">
        <v>6</v>
      </c>
      <c r="I29" s="1"/>
    </row>
    <row r="30" spans="1:11">
      <c r="A30" s="12" t="s">
        <v>195</v>
      </c>
      <c r="B30" s="13">
        <v>20</v>
      </c>
      <c r="C30" s="12" t="s">
        <v>0</v>
      </c>
      <c r="D30" s="12" t="s">
        <v>261</v>
      </c>
      <c r="F30" s="5" t="s">
        <v>103</v>
      </c>
      <c r="G30" s="14">
        <v>6.4515999999999998E-4</v>
      </c>
      <c r="H30" s="5" t="s">
        <v>102</v>
      </c>
    </row>
    <row r="31" spans="1:11">
      <c r="A31" s="12" t="s">
        <v>61</v>
      </c>
      <c r="B31" s="13">
        <v>0.1</v>
      </c>
      <c r="C31" s="12" t="s">
        <v>199</v>
      </c>
      <c r="D31" s="12" t="s">
        <v>261</v>
      </c>
      <c r="F31" s="5" t="s">
        <v>14</v>
      </c>
      <c r="G31" s="5">
        <v>1.60934</v>
      </c>
      <c r="H31" s="5" t="s">
        <v>266</v>
      </c>
    </row>
    <row r="32" spans="1:11">
      <c r="A32" s="12" t="s">
        <v>203</v>
      </c>
      <c r="B32" s="13">
        <v>50</v>
      </c>
      <c r="C32" s="12" t="s">
        <v>0</v>
      </c>
      <c r="D32" s="12" t="s">
        <v>261</v>
      </c>
      <c r="F32" s="5" t="s">
        <v>266</v>
      </c>
      <c r="G32" s="14">
        <v>1000</v>
      </c>
      <c r="H32" s="5" t="s">
        <v>185</v>
      </c>
    </row>
    <row r="33" spans="1:13">
      <c r="A33" s="12" t="s">
        <v>204</v>
      </c>
      <c r="B33" s="13">
        <v>100</v>
      </c>
      <c r="C33" s="12" t="s">
        <v>0</v>
      </c>
      <c r="D33" s="12" t="s">
        <v>261</v>
      </c>
      <c r="F33" s="16" t="s">
        <v>290</v>
      </c>
      <c r="G33" s="17">
        <v>2130000000</v>
      </c>
      <c r="H33" s="16" t="s">
        <v>292</v>
      </c>
    </row>
    <row r="34" spans="1:13">
      <c r="A34" s="12" t="s">
        <v>205</v>
      </c>
      <c r="B34" s="13">
        <v>200</v>
      </c>
      <c r="C34" s="12" t="s">
        <v>0</v>
      </c>
      <c r="D34" s="12" t="s">
        <v>261</v>
      </c>
      <c r="F34" s="5" t="s">
        <v>4</v>
      </c>
      <c r="G34" s="14">
        <f>1000/G29</f>
        <v>2204.6244201837776</v>
      </c>
      <c r="H34" s="5" t="s">
        <v>9</v>
      </c>
    </row>
    <row r="35" spans="1:13">
      <c r="A35" s="5"/>
      <c r="B35" s="5"/>
      <c r="C35" s="5"/>
      <c r="D35" s="5"/>
      <c r="F35" s="5" t="s">
        <v>4</v>
      </c>
      <c r="G35" s="14">
        <f>G34/2000</f>
        <v>1.1023122100918887</v>
      </c>
      <c r="H35" s="5" t="s">
        <v>291</v>
      </c>
    </row>
    <row r="36" spans="1:13">
      <c r="A36" s="25" t="s">
        <v>64</v>
      </c>
      <c r="B36" s="25"/>
      <c r="C36" s="25"/>
      <c r="D36" s="25"/>
      <c r="E36" s="1"/>
    </row>
    <row r="37" spans="1:13">
      <c r="A37" s="5" t="s">
        <v>65</v>
      </c>
      <c r="B37" s="14" t="s">
        <v>66</v>
      </c>
      <c r="C37" s="5" t="s">
        <v>67</v>
      </c>
      <c r="D37" s="5" t="s">
        <v>68</v>
      </c>
    </row>
    <row r="38" spans="1:13">
      <c r="A38" s="5" t="s">
        <v>7</v>
      </c>
      <c r="B38" s="14">
        <v>106</v>
      </c>
      <c r="C38" s="14">
        <f>G9*B38</f>
        <v>1273.1659999999999</v>
      </c>
      <c r="D38" s="14">
        <f>C38/C$41</f>
        <v>0.83308860865513967</v>
      </c>
    </row>
    <row r="39" spans="1:13">
      <c r="A39" s="5" t="s">
        <v>8</v>
      </c>
      <c r="B39" s="14">
        <v>16</v>
      </c>
      <c r="C39" s="14">
        <f>G10*B39</f>
        <v>224.11199999999999</v>
      </c>
      <c r="D39" s="14">
        <f>C39/C$41</f>
        <v>0.1466463558270647</v>
      </c>
    </row>
    <row r="40" spans="1:13">
      <c r="A40" t="s">
        <v>10</v>
      </c>
      <c r="B40" s="1">
        <v>1</v>
      </c>
      <c r="C40" s="1">
        <f>G12*B40</f>
        <v>30.97</v>
      </c>
      <c r="D40" s="1">
        <f>C40/C$41</f>
        <v>2.026503551779554E-2</v>
      </c>
      <c r="M40" s="9"/>
    </row>
    <row r="41" spans="1:13">
      <c r="B41" s="1"/>
      <c r="C41" s="1">
        <f>SUM(C38:C40)</f>
        <v>1528.248</v>
      </c>
      <c r="D41" s="1"/>
    </row>
    <row r="57" spans="5:5">
      <c r="E57" s="1"/>
    </row>
    <row r="60" spans="5:5">
      <c r="E60" s="1"/>
    </row>
    <row r="83" spans="8:9">
      <c r="H83" s="6"/>
    </row>
    <row r="84" spans="8:9">
      <c r="H84" s="7"/>
    </row>
    <row r="92" spans="8:9">
      <c r="I92" s="4"/>
    </row>
    <row r="93" spans="8:9">
      <c r="I93" s="8"/>
    </row>
  </sheetData>
  <mergeCells count="4">
    <mergeCell ref="F1:H1"/>
    <mergeCell ref="A1:C1"/>
    <mergeCell ref="A15:C15"/>
    <mergeCell ref="A36:D36"/>
  </mergeCells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zoomScalePageLayoutView="130" workbookViewId="0">
      <selection activeCell="S51" sqref="S51"/>
    </sheetView>
  </sheetViews>
  <sheetFormatPr baseColWidth="10" defaultColWidth="8.83203125" defaultRowHeight="15" x14ac:dyDescent="0"/>
  <cols>
    <col min="17" max="17" width="36.1640625" bestFit="1" customWidth="1"/>
    <col min="18" max="18" width="22.33203125" bestFit="1" customWidth="1"/>
    <col min="19" max="19" width="8.33203125" style="1" customWidth="1"/>
    <col min="20" max="20" width="9.6640625" bestFit="1" customWidth="1"/>
  </cols>
  <sheetData>
    <row r="1" spans="1:21">
      <c r="A1" t="s">
        <v>24</v>
      </c>
      <c r="E1" t="s">
        <v>25</v>
      </c>
      <c r="M1" t="s">
        <v>26</v>
      </c>
      <c r="N1">
        <v>3.7854100000000002</v>
      </c>
      <c r="O1" t="s">
        <v>21</v>
      </c>
      <c r="R1" t="s">
        <v>221</v>
      </c>
      <c r="S1" s="4" t="s">
        <v>214</v>
      </c>
      <c r="T1" s="4"/>
      <c r="U1" s="4"/>
    </row>
    <row r="2" spans="1:21">
      <c r="B2" t="s">
        <v>27</v>
      </c>
      <c r="C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M2" t="s">
        <v>20</v>
      </c>
      <c r="N2" s="2">
        <v>1000000</v>
      </c>
      <c r="O2" t="s">
        <v>21</v>
      </c>
      <c r="R2" t="s">
        <v>222</v>
      </c>
      <c r="S2" t="s">
        <v>215</v>
      </c>
    </row>
    <row r="3" spans="1:21">
      <c r="A3" t="s">
        <v>36</v>
      </c>
      <c r="B3">
        <v>1</v>
      </c>
      <c r="C3">
        <v>3</v>
      </c>
      <c r="E3" t="s">
        <v>37</v>
      </c>
      <c r="F3">
        <v>760</v>
      </c>
      <c r="G3">
        <v>10</v>
      </c>
      <c r="H3">
        <v>15</v>
      </c>
      <c r="I3" s="2">
        <f t="shared" ref="I3:I11" si="0">G3*$N$2</f>
        <v>10000000</v>
      </c>
      <c r="J3" s="2">
        <f t="shared" ref="J3:J11" si="1">I3/$N$4</f>
        <v>6944.4444444444443</v>
      </c>
      <c r="K3" s="2">
        <f t="shared" ref="K3:K11" si="2">J3/F3</f>
        <v>9.1374269005847957</v>
      </c>
      <c r="L3" s="2"/>
      <c r="M3" t="s">
        <v>20</v>
      </c>
      <c r="N3" s="2">
        <f>N2/N1</f>
        <v>264172.17685798893</v>
      </c>
      <c r="O3" t="s">
        <v>26</v>
      </c>
      <c r="R3" t="s">
        <v>223</v>
      </c>
      <c r="S3" s="1">
        <v>53.4</v>
      </c>
      <c r="T3" t="s">
        <v>93</v>
      </c>
    </row>
    <row r="4" spans="1:21">
      <c r="A4" t="s">
        <v>38</v>
      </c>
      <c r="B4">
        <v>5</v>
      </c>
      <c r="C4">
        <v>10</v>
      </c>
      <c r="E4" t="s">
        <v>39</v>
      </c>
      <c r="F4">
        <v>11000</v>
      </c>
      <c r="G4">
        <v>700</v>
      </c>
      <c r="H4">
        <v>11</v>
      </c>
      <c r="I4" s="2">
        <f t="shared" si="0"/>
        <v>700000000</v>
      </c>
      <c r="J4" s="2">
        <f t="shared" si="1"/>
        <v>486111.11111111112</v>
      </c>
      <c r="K4" s="2">
        <f t="shared" si="2"/>
        <v>44.19191919191919</v>
      </c>
      <c r="L4" s="2"/>
      <c r="M4" t="s">
        <v>40</v>
      </c>
      <c r="N4">
        <f>24*60</f>
        <v>1440</v>
      </c>
      <c r="O4" t="s">
        <v>27</v>
      </c>
      <c r="R4" t="s">
        <v>224</v>
      </c>
      <c r="S4" s="1">
        <f>'R Variables'!$B$11*Wetlands!S3+'R Variables'!$B$12</f>
        <v>42.239125000000001</v>
      </c>
      <c r="T4" t="s">
        <v>99</v>
      </c>
    </row>
    <row r="5" spans="1:21">
      <c r="E5" t="s">
        <v>41</v>
      </c>
      <c r="F5">
        <v>4500</v>
      </c>
      <c r="G5">
        <v>15</v>
      </c>
      <c r="H5">
        <v>15</v>
      </c>
      <c r="I5" s="2">
        <f t="shared" si="0"/>
        <v>15000000</v>
      </c>
      <c r="J5" s="2">
        <f t="shared" si="1"/>
        <v>10416.666666666666</v>
      </c>
      <c r="K5" s="2">
        <f t="shared" si="2"/>
        <v>2.3148148148148149</v>
      </c>
      <c r="L5" s="2"/>
      <c r="M5" t="s">
        <v>42</v>
      </c>
      <c r="N5">
        <f>10*N1</f>
        <v>37.854100000000003</v>
      </c>
      <c r="O5" t="s">
        <v>43</v>
      </c>
      <c r="R5" t="s">
        <v>23</v>
      </c>
      <c r="S5" s="1">
        <v>2.8</v>
      </c>
      <c r="T5" t="s">
        <v>99</v>
      </c>
    </row>
    <row r="6" spans="1:21">
      <c r="E6" t="s">
        <v>44</v>
      </c>
      <c r="F6">
        <v>9385</v>
      </c>
      <c r="G6">
        <v>400</v>
      </c>
      <c r="H6">
        <v>11</v>
      </c>
      <c r="I6" s="2">
        <f t="shared" si="0"/>
        <v>400000000</v>
      </c>
      <c r="J6" s="2">
        <f t="shared" si="1"/>
        <v>277777.77777777775</v>
      </c>
      <c r="K6" s="2">
        <f t="shared" si="2"/>
        <v>29.598058367371099</v>
      </c>
      <c r="L6" s="2"/>
      <c r="M6" t="s">
        <v>45</v>
      </c>
      <c r="N6">
        <f>N5</f>
        <v>37.854100000000003</v>
      </c>
      <c r="O6" t="s">
        <v>46</v>
      </c>
      <c r="R6" t="s">
        <v>17</v>
      </c>
      <c r="S6" s="1">
        <v>0.35</v>
      </c>
      <c r="T6" t="s">
        <v>199</v>
      </c>
    </row>
    <row r="7" spans="1:21">
      <c r="E7" t="s">
        <v>47</v>
      </c>
      <c r="F7">
        <v>2800</v>
      </c>
      <c r="G7">
        <v>60</v>
      </c>
      <c r="H7">
        <v>14</v>
      </c>
      <c r="I7" s="2">
        <f t="shared" si="0"/>
        <v>60000000</v>
      </c>
      <c r="J7" s="2">
        <f t="shared" si="1"/>
        <v>41666.666666666664</v>
      </c>
      <c r="K7" s="2">
        <f t="shared" si="2"/>
        <v>14.88095238095238</v>
      </c>
      <c r="L7" s="2"/>
      <c r="M7" t="s">
        <v>2</v>
      </c>
      <c r="N7">
        <v>10000</v>
      </c>
      <c r="O7" t="s">
        <v>3</v>
      </c>
      <c r="R7" t="s">
        <v>17</v>
      </c>
      <c r="S7" s="1">
        <f>S6*S5</f>
        <v>0.97999999999999987</v>
      </c>
      <c r="T7" t="s">
        <v>99</v>
      </c>
    </row>
    <row r="8" spans="1:21">
      <c r="E8" t="s">
        <v>48</v>
      </c>
      <c r="F8">
        <v>3400</v>
      </c>
      <c r="G8">
        <v>80</v>
      </c>
      <c r="H8">
        <v>13</v>
      </c>
      <c r="I8" s="2">
        <f t="shared" si="0"/>
        <v>80000000</v>
      </c>
      <c r="J8" s="2">
        <f t="shared" si="1"/>
        <v>55555.555555555555</v>
      </c>
      <c r="K8" s="2">
        <f t="shared" si="2"/>
        <v>16.33986928104575</v>
      </c>
      <c r="L8" s="2"/>
      <c r="M8" t="s">
        <v>45</v>
      </c>
      <c r="N8">
        <f>N6*1000000/N7</f>
        <v>3785.41</v>
      </c>
      <c r="R8" t="s">
        <v>216</v>
      </c>
      <c r="S8" s="1">
        <v>0.4</v>
      </c>
      <c r="T8" t="s">
        <v>99</v>
      </c>
    </row>
    <row r="9" spans="1:21">
      <c r="E9" t="s">
        <v>49</v>
      </c>
      <c r="F9">
        <v>2750</v>
      </c>
      <c r="G9">
        <v>70</v>
      </c>
      <c r="H9">
        <v>13</v>
      </c>
      <c r="I9" s="2">
        <f t="shared" si="0"/>
        <v>70000000</v>
      </c>
      <c r="J9" s="2">
        <f t="shared" si="1"/>
        <v>48611.111111111109</v>
      </c>
      <c r="K9" s="2">
        <f t="shared" si="2"/>
        <v>17.676767676767675</v>
      </c>
      <c r="L9" s="2"/>
      <c r="M9" t="s">
        <v>50</v>
      </c>
      <c r="N9" s="2">
        <f>N8/K13</f>
        <v>85.658420571428564</v>
      </c>
      <c r="O9" t="s">
        <v>51</v>
      </c>
      <c r="R9" t="s">
        <v>19</v>
      </c>
      <c r="S9" s="1">
        <v>0.26</v>
      </c>
      <c r="T9" t="s">
        <v>199</v>
      </c>
    </row>
    <row r="10" spans="1:21">
      <c r="E10" t="s">
        <v>52</v>
      </c>
      <c r="F10">
        <v>1550</v>
      </c>
      <c r="G10">
        <v>20</v>
      </c>
      <c r="H10">
        <v>14</v>
      </c>
      <c r="I10" s="2">
        <f t="shared" si="0"/>
        <v>20000000</v>
      </c>
      <c r="J10" s="2">
        <f t="shared" si="1"/>
        <v>13888.888888888889</v>
      </c>
      <c r="K10" s="2">
        <f t="shared" si="2"/>
        <v>8.9605734767025087</v>
      </c>
      <c r="L10" s="2"/>
      <c r="R10" t="s">
        <v>19</v>
      </c>
      <c r="S10" s="1">
        <f>S9*S8</f>
        <v>0.10400000000000001</v>
      </c>
      <c r="T10" t="s">
        <v>99</v>
      </c>
    </row>
    <row r="11" spans="1:21">
      <c r="E11" t="s">
        <v>53</v>
      </c>
      <c r="F11">
        <v>1650</v>
      </c>
      <c r="G11">
        <v>10</v>
      </c>
      <c r="H11">
        <v>15</v>
      </c>
      <c r="I11" s="2">
        <f t="shared" si="0"/>
        <v>10000000</v>
      </c>
      <c r="J11" s="2">
        <f t="shared" si="1"/>
        <v>6944.4444444444443</v>
      </c>
      <c r="K11" s="2">
        <f t="shared" si="2"/>
        <v>4.2087542087542085</v>
      </c>
      <c r="L11" s="2"/>
      <c r="R11" t="s">
        <v>218</v>
      </c>
      <c r="S11" s="1">
        <f>S7/Settings!G14</f>
        <v>20.416666666666664</v>
      </c>
      <c r="T11" t="s">
        <v>99</v>
      </c>
    </row>
    <row r="12" spans="1:21">
      <c r="R12" t="s">
        <v>217</v>
      </c>
      <c r="S12" s="1">
        <f>S10/Settings!$G$15</f>
        <v>34.666666666666671</v>
      </c>
      <c r="T12" t="s">
        <v>99</v>
      </c>
    </row>
    <row r="13" spans="1:21">
      <c r="J13" s="2">
        <f>MAX(J3:J11)</f>
        <v>486111.11111111112</v>
      </c>
      <c r="K13" s="2">
        <f>MAX(K3:K11)</f>
        <v>44.19191919191919</v>
      </c>
      <c r="L13" s="2"/>
      <c r="R13" t="s">
        <v>219</v>
      </c>
      <c r="S13" s="1">
        <f>$S$4/S11</f>
        <v>2.0688551020408168</v>
      </c>
      <c r="T13" t="s">
        <v>199</v>
      </c>
    </row>
    <row r="14" spans="1:21">
      <c r="R14" t="s">
        <v>220</v>
      </c>
      <c r="S14" s="1">
        <f>$S$4/S12</f>
        <v>1.218436298076923</v>
      </c>
      <c r="T14" t="s">
        <v>199</v>
      </c>
    </row>
    <row r="16" spans="1:21">
      <c r="R16" t="s">
        <v>221</v>
      </c>
      <c r="S16" s="1" t="s">
        <v>225</v>
      </c>
    </row>
    <row r="17" spans="18:20">
      <c r="R17" t="s">
        <v>222</v>
      </c>
      <c r="S17" s="1" t="s">
        <v>226</v>
      </c>
    </row>
    <row r="18" spans="18:20">
      <c r="R18" t="s">
        <v>223</v>
      </c>
      <c r="S18" s="1">
        <v>7.3</v>
      </c>
      <c r="T18" t="s">
        <v>93</v>
      </c>
    </row>
    <row r="19" spans="18:20">
      <c r="R19" t="s">
        <v>224</v>
      </c>
      <c r="S19" s="1">
        <f>'R Variables'!$B$11*Wetlands!S18+'R Variables'!$B$12</f>
        <v>84.334187499999999</v>
      </c>
      <c r="T19" t="s">
        <v>99</v>
      </c>
    </row>
    <row r="20" spans="18:20">
      <c r="R20" t="s">
        <v>227</v>
      </c>
      <c r="S20" s="1">
        <v>25</v>
      </c>
      <c r="T20" t="s">
        <v>102</v>
      </c>
    </row>
    <row r="21" spans="18:20">
      <c r="R21" t="s">
        <v>227</v>
      </c>
      <c r="S21" s="1">
        <f>S20/Settings!G3</f>
        <v>2.5000000000000001E-3</v>
      </c>
      <c r="T21" t="s">
        <v>2</v>
      </c>
    </row>
    <row r="22" spans="18:20">
      <c r="R22" t="s">
        <v>228</v>
      </c>
      <c r="S22" s="1">
        <v>13</v>
      </c>
      <c r="T22" t="s">
        <v>229</v>
      </c>
    </row>
    <row r="23" spans="18:20">
      <c r="R23" t="s">
        <v>228</v>
      </c>
      <c r="S23" s="1">
        <f>S22*Settings!$G$7</f>
        <v>13000</v>
      </c>
      <c r="T23" t="s">
        <v>206</v>
      </c>
    </row>
    <row r="24" spans="18:20">
      <c r="R24" t="s">
        <v>216</v>
      </c>
      <c r="S24" s="1">
        <v>1.36</v>
      </c>
      <c r="T24" t="s">
        <v>230</v>
      </c>
    </row>
    <row r="25" spans="18:20">
      <c r="R25" t="s">
        <v>216</v>
      </c>
      <c r="S25" s="1">
        <f>S24*$S$23</f>
        <v>17680</v>
      </c>
      <c r="T25" t="s">
        <v>231</v>
      </c>
    </row>
    <row r="26" spans="18:20">
      <c r="R26" t="s">
        <v>19</v>
      </c>
      <c r="S26" s="1">
        <v>0.19</v>
      </c>
      <c r="T26" t="s">
        <v>199</v>
      </c>
    </row>
    <row r="27" spans="18:20">
      <c r="R27" t="s">
        <v>19</v>
      </c>
      <c r="S27" s="1">
        <f>S26*S25</f>
        <v>3359.2</v>
      </c>
      <c r="T27" t="s">
        <v>231</v>
      </c>
    </row>
    <row r="28" spans="18:20">
      <c r="R28" t="s">
        <v>19</v>
      </c>
      <c r="S28" s="1">
        <f>S27*Settings!$G$2</f>
        <v>1226947.8</v>
      </c>
      <c r="T28" t="s">
        <v>232</v>
      </c>
    </row>
    <row r="29" spans="18:20">
      <c r="R29" t="s">
        <v>19</v>
      </c>
      <c r="S29" s="1" t="e">
        <f>S28/(Settings!$G$4*Settings!#REF!)</f>
        <v>#REF!</v>
      </c>
      <c r="T29" t="s">
        <v>100</v>
      </c>
    </row>
    <row r="30" spans="18:20">
      <c r="R30" t="s">
        <v>19</v>
      </c>
      <c r="S30" s="1" t="e">
        <f>S29/S21</f>
        <v>#REF!</v>
      </c>
      <c r="T30" t="s">
        <v>99</v>
      </c>
    </row>
    <row r="31" spans="18:20">
      <c r="R31" t="s">
        <v>217</v>
      </c>
      <c r="S31" s="1" t="e">
        <f>S30/Settings!$G$15</f>
        <v>#REF!</v>
      </c>
      <c r="T31" t="s">
        <v>99</v>
      </c>
    </row>
    <row r="33" spans="18:20">
      <c r="R33" t="s">
        <v>221</v>
      </c>
      <c r="S33" s="1" t="s">
        <v>225</v>
      </c>
    </row>
    <row r="34" spans="18:20">
      <c r="R34" t="s">
        <v>222</v>
      </c>
      <c r="S34" s="1" t="s">
        <v>233</v>
      </c>
    </row>
    <row r="35" spans="18:20">
      <c r="R35" t="s">
        <v>223</v>
      </c>
      <c r="S35" s="1">
        <v>24.8</v>
      </c>
      <c r="T35" t="s">
        <v>93</v>
      </c>
    </row>
    <row r="36" spans="18:20">
      <c r="R36" t="s">
        <v>224</v>
      </c>
      <c r="S36" s="1">
        <f>'R Variables'!$B$11*Wetlands!S35+'R Variables'!$B$12</f>
        <v>68.354500000000002</v>
      </c>
      <c r="T36" t="s">
        <v>99</v>
      </c>
    </row>
    <row r="37" spans="18:20">
      <c r="R37" t="s">
        <v>227</v>
      </c>
      <c r="S37" s="1">
        <v>1.07</v>
      </c>
      <c r="T37" t="s">
        <v>2</v>
      </c>
    </row>
    <row r="38" spans="18:20">
      <c r="R38" t="s">
        <v>228</v>
      </c>
      <c r="S38" s="1">
        <v>4000</v>
      </c>
      <c r="T38" t="s">
        <v>229</v>
      </c>
    </row>
    <row r="39" spans="18:20">
      <c r="R39" t="s">
        <v>228</v>
      </c>
      <c r="S39" s="1">
        <f>S38*Settings!$G$7</f>
        <v>4000000</v>
      </c>
      <c r="T39" t="s">
        <v>206</v>
      </c>
    </row>
    <row r="40" spans="18:20">
      <c r="R40" t="s">
        <v>216</v>
      </c>
      <c r="S40" s="1">
        <v>1.9</v>
      </c>
      <c r="T40" t="s">
        <v>230</v>
      </c>
    </row>
    <row r="41" spans="18:20">
      <c r="R41" t="s">
        <v>216</v>
      </c>
      <c r="S41" s="1">
        <f>S40*$S$23</f>
        <v>24700</v>
      </c>
      <c r="T41" t="s">
        <v>231</v>
      </c>
    </row>
    <row r="42" spans="18:20">
      <c r="R42" t="s">
        <v>19</v>
      </c>
      <c r="S42" s="1">
        <v>0.44</v>
      </c>
      <c r="T42" t="s">
        <v>199</v>
      </c>
    </row>
    <row r="43" spans="18:20">
      <c r="R43" t="s">
        <v>19</v>
      </c>
      <c r="S43" s="1">
        <f>S42*S41</f>
        <v>10868</v>
      </c>
      <c r="T43" t="s">
        <v>231</v>
      </c>
    </row>
    <row r="44" spans="18:20">
      <c r="R44" t="s">
        <v>19</v>
      </c>
      <c r="S44" s="1">
        <f>S43*Settings!$G$2</f>
        <v>3969537</v>
      </c>
      <c r="T44" t="s">
        <v>232</v>
      </c>
    </row>
    <row r="45" spans="18:20">
      <c r="R45" t="s">
        <v>19</v>
      </c>
      <c r="S45" s="1" t="e">
        <f>S44/(Settings!$G$4*Settings!#REF!)</f>
        <v>#REF!</v>
      </c>
      <c r="T45" t="s">
        <v>100</v>
      </c>
    </row>
    <row r="46" spans="18:20">
      <c r="R46" t="s">
        <v>19</v>
      </c>
      <c r="S46" s="1" t="e">
        <f>S45/S37</f>
        <v>#REF!</v>
      </c>
      <c r="T46" t="s">
        <v>99</v>
      </c>
    </row>
    <row r="47" spans="18:20">
      <c r="R47" t="s">
        <v>217</v>
      </c>
      <c r="S47" s="1" t="e">
        <f>S46/Settings!$G$15</f>
        <v>#REF!</v>
      </c>
      <c r="T47" t="s">
        <v>99</v>
      </c>
    </row>
    <row r="51" spans="18:20">
      <c r="R51" t="s">
        <v>23</v>
      </c>
      <c r="T51" t="s">
        <v>99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="130" zoomScaleNormal="130" zoomScalePageLayoutView="130" workbookViewId="0">
      <selection activeCell="B11" sqref="B11"/>
    </sheetView>
  </sheetViews>
  <sheetFormatPr baseColWidth="10" defaultColWidth="8.83203125" defaultRowHeight="15" x14ac:dyDescent="0"/>
  <cols>
    <col min="1" max="1" width="23.1640625" bestFit="1" customWidth="1"/>
    <col min="2" max="2" width="12.1640625" style="1" bestFit="1" customWidth="1"/>
    <col min="3" max="3" width="8.33203125" bestFit="1" customWidth="1"/>
    <col min="4" max="4" width="19.6640625" bestFit="1" customWidth="1"/>
  </cols>
  <sheetData>
    <row r="1" spans="1:4">
      <c r="A1" t="s">
        <v>261</v>
      </c>
      <c r="B1" s="1" t="s">
        <v>62</v>
      </c>
      <c r="C1" t="s">
        <v>63</v>
      </c>
      <c r="D1" t="s">
        <v>262</v>
      </c>
    </row>
    <row r="2" spans="1:4">
      <c r="A2" t="s">
        <v>264</v>
      </c>
      <c r="B2" s="1">
        <f>[1]A!$R$66</f>
        <v>8766049.1899999995</v>
      </c>
      <c r="C2" t="s">
        <v>14</v>
      </c>
      <c r="D2" t="s">
        <v>263</v>
      </c>
    </row>
    <row r="3" spans="1:4">
      <c r="A3" t="s">
        <v>264</v>
      </c>
      <c r="B3" s="1">
        <f>'Highway Costs'!B2*Settings!G32*Settings!G31</f>
        <v>14107553603.434601</v>
      </c>
      <c r="C3" t="s">
        <v>185</v>
      </c>
    </row>
    <row r="4" spans="1:4">
      <c r="A4" t="s">
        <v>267</v>
      </c>
      <c r="B4" s="1">
        <v>12</v>
      </c>
      <c r="C4" t="s">
        <v>15</v>
      </c>
      <c r="D4" t="s">
        <v>276</v>
      </c>
    </row>
    <row r="5" spans="1:4">
      <c r="A5" t="s">
        <v>267</v>
      </c>
      <c r="B5" s="1">
        <f>B4/Settings!G23</f>
        <v>3.6575998829568039</v>
      </c>
      <c r="C5" t="s">
        <v>185</v>
      </c>
    </row>
    <row r="6" spans="1:4">
      <c r="A6" t="s">
        <v>268</v>
      </c>
      <c r="B6" s="1">
        <f>B5*B3</f>
        <v>51599786408.729233</v>
      </c>
      <c r="C6" t="s">
        <v>3</v>
      </c>
    </row>
    <row r="7" spans="1:4">
      <c r="A7" t="s">
        <v>268</v>
      </c>
      <c r="B7" s="1">
        <f>B6/Settings!G3</f>
        <v>5159978.6408729237</v>
      </c>
      <c r="C7" t="s">
        <v>2</v>
      </c>
    </row>
    <row r="8" spans="1:4">
      <c r="A8" t="s">
        <v>269</v>
      </c>
      <c r="B8" s="1">
        <f>1000*[2]HF2!$E$67</f>
        <v>105423740057.83682</v>
      </c>
      <c r="C8" t="s">
        <v>92</v>
      </c>
      <c r="D8" t="s">
        <v>265</v>
      </c>
    </row>
    <row r="9" spans="1:4">
      <c r="A9" t="s">
        <v>270</v>
      </c>
      <c r="B9" s="1">
        <f>1000*[2]HF2!$I$67</f>
        <v>51442240042.163231</v>
      </c>
      <c r="C9" t="s">
        <v>92</v>
      </c>
      <c r="D9" t="s">
        <v>265</v>
      </c>
    </row>
    <row r="10" spans="1:4">
      <c r="A10" t="s">
        <v>271</v>
      </c>
      <c r="B10" s="1">
        <f>B9+B8</f>
        <v>156865980100.00006</v>
      </c>
      <c r="C10" t="s">
        <v>92</v>
      </c>
    </row>
    <row r="11" spans="1:4">
      <c r="A11" t="s">
        <v>271</v>
      </c>
      <c r="B11" s="1">
        <f>B10/B7</f>
        <v>30400.509579137084</v>
      </c>
      <c r="C11" t="s">
        <v>272</v>
      </c>
    </row>
    <row r="14" spans="1:4">
      <c r="D14" s="3"/>
    </row>
    <row r="29" spans="4:4">
      <c r="D29" s="3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 Variables</vt:lpstr>
      <vt:lpstr>ATS Locations</vt:lpstr>
      <vt:lpstr>Settings</vt:lpstr>
      <vt:lpstr>Wetlands</vt:lpstr>
      <vt:lpstr>Highway 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Dean Calahan</cp:lastModifiedBy>
  <dcterms:created xsi:type="dcterms:W3CDTF">2017-01-12T18:05:50Z</dcterms:created>
  <dcterms:modified xsi:type="dcterms:W3CDTF">2018-01-09T01:00:21Z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2015-06-07T18:39:23Z</dcterms:created>
  <dc:creator>Dean Calahan</dc:creator>
  <dc:language>en-US</dc:language>
  <dcterms:modified xsi:type="dcterms:W3CDTF">2016-05-18T10:26:53Z</dcterms:modified>
  <cp:revision>65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