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4th Year/Corporate Finance/Final/"/>
    </mc:Choice>
  </mc:AlternateContent>
  <xr:revisionPtr revIDLastSave="0" documentId="13_ncr:1_{1ECFB882-00BE-034D-BF86-237D88D3D297}" xr6:coauthVersionLast="47" xr6:coauthVersionMax="47" xr10:uidLastSave="{00000000-0000-0000-0000-000000000000}"/>
  <bookViews>
    <workbookView xWindow="0" yWindow="0" windowWidth="28800" windowHeight="18000" activeTab="2" xr2:uid="{A4FCC514-CD26-2D47-85CA-7209DC79F886}"/>
  </bookViews>
  <sheets>
    <sheet name="Consolidated Condensed Balance " sheetId="19" r:id="rId1"/>
    <sheet name="WACC" sheetId="18" r:id="rId2"/>
    <sheet name="Company Valuation" sheetId="13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lling_Price">'[1]Base Case'!$B$11</definedName>
    <definedName name="taxtable">#REF!</definedName>
    <definedName name="Variable_Cost_per_unit">'[1]Base Case'!$B$12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8" l="1"/>
  <c r="L75" i="13" l="1"/>
  <c r="L61" i="13"/>
  <c r="L16" i="13"/>
  <c r="L22" i="18" l="1"/>
  <c r="L10" i="18"/>
  <c r="L9" i="18"/>
  <c r="L78" i="13"/>
  <c r="L81" i="13"/>
  <c r="L80" i="13"/>
  <c r="L79" i="13"/>
  <c r="L77" i="13"/>
  <c r="L76" i="13"/>
  <c r="L73" i="13"/>
  <c r="L74" i="13"/>
  <c r="L68" i="13"/>
  <c r="M68" i="13"/>
  <c r="L23" i="18" l="1"/>
  <c r="L26" i="18" s="1"/>
  <c r="L13" i="13"/>
  <c r="L14" i="13"/>
  <c r="D36" i="13"/>
  <c r="L18" i="13" s="1"/>
  <c r="L12" i="18"/>
  <c r="L25" i="18" s="1"/>
  <c r="L17" i="13"/>
  <c r="L10" i="13"/>
  <c r="C10" i="13"/>
  <c r="L11" i="13"/>
  <c r="C13" i="13"/>
  <c r="L34" i="13"/>
  <c r="L12" i="13"/>
  <c r="C36" i="13" l="1"/>
  <c r="L32" i="13"/>
  <c r="L31" i="13"/>
  <c r="L29" i="13"/>
  <c r="L28" i="13"/>
  <c r="L27" i="13"/>
  <c r="L25" i="13"/>
  <c r="L24" i="13"/>
  <c r="D29" i="13"/>
  <c r="C29" i="13" s="1"/>
  <c r="D30" i="13"/>
  <c r="C30" i="13" s="1"/>
  <c r="D31" i="13"/>
  <c r="C31" i="13" s="1"/>
  <c r="D32" i="13"/>
  <c r="C32" i="13" s="1"/>
  <c r="L26" i="13" l="1"/>
  <c r="M24" i="13"/>
  <c r="L15" i="13"/>
  <c r="C17" i="13"/>
  <c r="C16" i="13"/>
  <c r="D11" i="13"/>
  <c r="E9" i="13"/>
  <c r="C19" i="13"/>
  <c r="C12" i="13"/>
  <c r="C14" i="13"/>
  <c r="C9" i="13"/>
  <c r="D26" i="13"/>
  <c r="D27" i="13"/>
  <c r="C27" i="13" s="1"/>
  <c r="D37" i="13"/>
  <c r="C37" i="13" s="1"/>
  <c r="D38" i="13"/>
  <c r="C38" i="13" s="1"/>
  <c r="D39" i="13"/>
  <c r="C39" i="13" s="1"/>
  <c r="D40" i="13"/>
  <c r="C40" i="13" s="1"/>
  <c r="D45" i="13"/>
  <c r="C45" i="13" s="1"/>
  <c r="D46" i="13"/>
  <c r="C46" i="13" s="1"/>
  <c r="D47" i="13"/>
  <c r="C47" i="13" s="1"/>
  <c r="D48" i="13"/>
  <c r="C48" i="13" s="1"/>
  <c r="D52" i="13"/>
  <c r="D53" i="13"/>
  <c r="C53" i="13" s="1"/>
  <c r="D54" i="13"/>
  <c r="C54" i="13" s="1"/>
  <c r="D55" i="13"/>
  <c r="C55" i="13" s="1"/>
  <c r="D60" i="13"/>
  <c r="C60" i="13" s="1"/>
  <c r="D61" i="13"/>
  <c r="C61" i="13" s="1"/>
  <c r="D62" i="13"/>
  <c r="C62" i="13" s="1"/>
  <c r="M67" i="13" l="1"/>
  <c r="L67" i="13" s="1"/>
  <c r="M43" i="13"/>
  <c r="M44" i="13" s="1"/>
  <c r="E36" i="13"/>
  <c r="E10" i="13"/>
  <c r="E11" i="13" s="1"/>
  <c r="C52" i="13"/>
  <c r="E52" i="13" s="1"/>
  <c r="L59" i="13"/>
  <c r="D15" i="13"/>
  <c r="C11" i="13"/>
  <c r="M37" i="13"/>
  <c r="M47" i="13" s="1"/>
  <c r="D18" i="13"/>
  <c r="L30" i="13"/>
  <c r="M32" i="13"/>
  <c r="M36" i="13" s="1"/>
  <c r="M28" i="13"/>
  <c r="M29" i="13"/>
  <c r="M31" i="13"/>
  <c r="E13" i="13"/>
  <c r="L47" i="13"/>
  <c r="E32" i="13"/>
  <c r="M25" i="13"/>
  <c r="M26" i="13" s="1"/>
  <c r="N24" i="13"/>
  <c r="E29" i="13"/>
  <c r="C26" i="13"/>
  <c r="D33" i="13"/>
  <c r="E30" i="13"/>
  <c r="E31" i="13"/>
  <c r="E54" i="13"/>
  <c r="E37" i="13"/>
  <c r="E47" i="13"/>
  <c r="E39" i="13"/>
  <c r="E45" i="13"/>
  <c r="E55" i="13"/>
  <c r="E48" i="13"/>
  <c r="E40" i="13"/>
  <c r="E61" i="13"/>
  <c r="E63" i="13" s="1"/>
  <c r="E53" i="13"/>
  <c r="E46" i="13"/>
  <c r="E38" i="13"/>
  <c r="E26" i="13"/>
  <c r="E27" i="13"/>
  <c r="E60" i="13"/>
  <c r="F60" i="13" s="1"/>
  <c r="G60" i="13" s="1"/>
  <c r="H60" i="13" s="1"/>
  <c r="I60" i="13" s="1"/>
  <c r="E16" i="13"/>
  <c r="E12" i="13"/>
  <c r="D41" i="13"/>
  <c r="F9" i="13"/>
  <c r="E14" i="13"/>
  <c r="E17" i="13"/>
  <c r="D56" i="13"/>
  <c r="D63" i="13"/>
  <c r="C63" i="13" s="1"/>
  <c r="D49" i="13"/>
  <c r="N37" i="13" l="1"/>
  <c r="N47" i="13" s="1"/>
  <c r="N48" i="13" s="1"/>
  <c r="N43" i="13"/>
  <c r="N44" i="13" s="1"/>
  <c r="M48" i="13"/>
  <c r="L33" i="13"/>
  <c r="L19" i="13"/>
  <c r="L43" i="13"/>
  <c r="M27" i="13"/>
  <c r="M30" i="13" s="1"/>
  <c r="M33" i="13" s="1"/>
  <c r="L66" i="13" s="1"/>
  <c r="N32" i="13"/>
  <c r="N36" i="13" s="1"/>
  <c r="N28" i="13"/>
  <c r="N29" i="13"/>
  <c r="N31" i="13"/>
  <c r="F45" i="13"/>
  <c r="D42" i="13"/>
  <c r="C42" i="13" s="1"/>
  <c r="O24" i="13"/>
  <c r="N25" i="13"/>
  <c r="N26" i="13" s="1"/>
  <c r="E33" i="13"/>
  <c r="F46" i="13"/>
  <c r="F61" i="13"/>
  <c r="F63" i="13" s="1"/>
  <c r="F48" i="13"/>
  <c r="F37" i="13"/>
  <c r="F31" i="13"/>
  <c r="F29" i="13"/>
  <c r="F32" i="13"/>
  <c r="F30" i="13"/>
  <c r="F27" i="13"/>
  <c r="E56" i="13"/>
  <c r="F38" i="13"/>
  <c r="F53" i="13"/>
  <c r="F40" i="13"/>
  <c r="F55" i="13"/>
  <c r="E49" i="13"/>
  <c r="F54" i="13"/>
  <c r="F39" i="13"/>
  <c r="F47" i="13"/>
  <c r="F26" i="13"/>
  <c r="F52" i="13"/>
  <c r="E15" i="13"/>
  <c r="E18" i="13" s="1"/>
  <c r="F12" i="13"/>
  <c r="F17" i="13"/>
  <c r="F13" i="13"/>
  <c r="F10" i="13"/>
  <c r="F11" i="13" s="1"/>
  <c r="F16" i="13"/>
  <c r="G9" i="13"/>
  <c r="F14" i="13"/>
  <c r="D57" i="13"/>
  <c r="M34" i="13" l="1"/>
  <c r="M35" i="13" s="1"/>
  <c r="G12" i="13"/>
  <c r="E19" i="13"/>
  <c r="E20" i="13" s="1"/>
  <c r="F33" i="13"/>
  <c r="F49" i="13"/>
  <c r="O37" i="13"/>
  <c r="O47" i="13" s="1"/>
  <c r="O43" i="13"/>
  <c r="O31" i="13"/>
  <c r="O32" i="13"/>
  <c r="O36" i="13" s="1"/>
  <c r="O28" i="13"/>
  <c r="O29" i="13"/>
  <c r="N27" i="13"/>
  <c r="N30" i="13" s="1"/>
  <c r="N33" i="13" s="1"/>
  <c r="P24" i="13"/>
  <c r="E57" i="13"/>
  <c r="E64" i="13" s="1"/>
  <c r="E41" i="13"/>
  <c r="E42" i="13" s="1"/>
  <c r="F36" i="13"/>
  <c r="F41" i="13" s="1"/>
  <c r="G30" i="13"/>
  <c r="G29" i="13"/>
  <c r="G31" i="13"/>
  <c r="G32" i="13"/>
  <c r="F56" i="13"/>
  <c r="F57" i="13" s="1"/>
  <c r="F64" i="13" s="1"/>
  <c r="O27" i="13"/>
  <c r="G54" i="13"/>
  <c r="G45" i="13"/>
  <c r="G53" i="13"/>
  <c r="G55" i="13"/>
  <c r="G27" i="13"/>
  <c r="G47" i="13"/>
  <c r="G52" i="13"/>
  <c r="G26" i="13"/>
  <c r="G38" i="13"/>
  <c r="G37" i="13"/>
  <c r="G39" i="13"/>
  <c r="G48" i="13"/>
  <c r="G40" i="13"/>
  <c r="G61" i="13"/>
  <c r="G63" i="13" s="1"/>
  <c r="G46" i="13"/>
  <c r="D64" i="13"/>
  <c r="C64" i="13" s="1"/>
  <c r="C57" i="13"/>
  <c r="G14" i="13"/>
  <c r="G10" i="13"/>
  <c r="G11" i="13" s="1"/>
  <c r="H9" i="13"/>
  <c r="G17" i="13"/>
  <c r="G13" i="13"/>
  <c r="G16" i="13"/>
  <c r="F15" i="13"/>
  <c r="F18" i="13" s="1"/>
  <c r="F19" i="13" s="1"/>
  <c r="L65" i="13" l="1"/>
  <c r="M65" i="13"/>
  <c r="M38" i="13"/>
  <c r="M51" i="13" s="1"/>
  <c r="M53" i="13" s="1"/>
  <c r="M69" i="13" s="1"/>
  <c r="L69" i="13" s="1"/>
  <c r="H12" i="13"/>
  <c r="F42" i="13"/>
  <c r="P43" i="13"/>
  <c r="P44" i="13" s="1"/>
  <c r="P37" i="13"/>
  <c r="P47" i="13" s="1"/>
  <c r="G56" i="13"/>
  <c r="N34" i="13"/>
  <c r="N35" i="13" s="1"/>
  <c r="P29" i="13"/>
  <c r="P31" i="13"/>
  <c r="P32" i="13"/>
  <c r="P36" i="13" s="1"/>
  <c r="P28" i="13"/>
  <c r="G33" i="13"/>
  <c r="F20" i="13"/>
  <c r="Q24" i="13"/>
  <c r="O25" i="13"/>
  <c r="O26" i="13" s="1"/>
  <c r="O30" i="13" s="1"/>
  <c r="O33" i="13" s="1"/>
  <c r="O48" i="13"/>
  <c r="H31" i="13"/>
  <c r="H30" i="13"/>
  <c r="H32" i="13"/>
  <c r="H29" i="13"/>
  <c r="G36" i="13"/>
  <c r="G41" i="13" s="1"/>
  <c r="G49" i="13"/>
  <c r="P27" i="13"/>
  <c r="H54" i="13"/>
  <c r="H37" i="13"/>
  <c r="H40" i="13"/>
  <c r="H61" i="13"/>
  <c r="H63" i="13" s="1"/>
  <c r="H46" i="13"/>
  <c r="H45" i="13"/>
  <c r="H27" i="13"/>
  <c r="H53" i="13"/>
  <c r="H55" i="13"/>
  <c r="H26" i="13"/>
  <c r="H47" i="13"/>
  <c r="H39" i="13"/>
  <c r="H52" i="13"/>
  <c r="H48" i="13"/>
  <c r="H38" i="13"/>
  <c r="G15" i="13"/>
  <c r="G18" i="13" s="1"/>
  <c r="G19" i="13" s="1"/>
  <c r="G20" i="13" s="1"/>
  <c r="H16" i="13"/>
  <c r="I9" i="13"/>
  <c r="I10" i="13" s="1"/>
  <c r="H14" i="13"/>
  <c r="H10" i="13"/>
  <c r="H11" i="13" s="1"/>
  <c r="H17" i="13"/>
  <c r="H13" i="13"/>
  <c r="H56" i="13" l="1"/>
  <c r="G57" i="13"/>
  <c r="G64" i="13" s="1"/>
  <c r="P48" i="13"/>
  <c r="Q37" i="13"/>
  <c r="Q47" i="13" s="1"/>
  <c r="Q48" i="13" s="1"/>
  <c r="Q43" i="13"/>
  <c r="N38" i="13"/>
  <c r="O34" i="13"/>
  <c r="O35" i="13" s="1"/>
  <c r="O38" i="13" s="1"/>
  <c r="G42" i="13"/>
  <c r="Q28" i="13"/>
  <c r="Q29" i="13"/>
  <c r="Q31" i="13"/>
  <c r="Q32" i="13"/>
  <c r="Q36" i="13" s="1"/>
  <c r="H33" i="13"/>
  <c r="Q27" i="13"/>
  <c r="P25" i="13"/>
  <c r="P26" i="13" s="1"/>
  <c r="P30" i="13" s="1"/>
  <c r="P33" i="13" s="1"/>
  <c r="O44" i="13"/>
  <c r="I32" i="13"/>
  <c r="I30" i="13"/>
  <c r="I29" i="13"/>
  <c r="I31" i="13"/>
  <c r="H36" i="13"/>
  <c r="H41" i="13" s="1"/>
  <c r="I47" i="13"/>
  <c r="I39" i="13"/>
  <c r="I52" i="13"/>
  <c r="I48" i="13"/>
  <c r="I40" i="13"/>
  <c r="I38" i="13"/>
  <c r="I26" i="13"/>
  <c r="I45" i="13"/>
  <c r="I61" i="13"/>
  <c r="I63" i="13" s="1"/>
  <c r="I54" i="13"/>
  <c r="I37" i="13"/>
  <c r="I46" i="13"/>
  <c r="I55" i="13"/>
  <c r="I53" i="13"/>
  <c r="I27" i="13"/>
  <c r="H49" i="13"/>
  <c r="H57" i="13" s="1"/>
  <c r="H64" i="13" s="1"/>
  <c r="I11" i="13"/>
  <c r="I17" i="13"/>
  <c r="I13" i="13"/>
  <c r="I16" i="13"/>
  <c r="I12" i="13"/>
  <c r="I14" i="13"/>
  <c r="H15" i="13"/>
  <c r="H18" i="13" s="1"/>
  <c r="H19" i="13" s="1"/>
  <c r="H20" i="13" s="1"/>
  <c r="N51" i="13" l="1"/>
  <c r="N53" i="13" s="1"/>
  <c r="P34" i="13"/>
  <c r="P35" i="13" s="1"/>
  <c r="P38" i="13" s="1"/>
  <c r="O51" i="13"/>
  <c r="O53" i="13" s="1"/>
  <c r="H42" i="13"/>
  <c r="Q25" i="13"/>
  <c r="Q26" i="13" s="1"/>
  <c r="Q30" i="13" s="1"/>
  <c r="Q33" i="13" s="1"/>
  <c r="I33" i="13"/>
  <c r="I56" i="13"/>
  <c r="I36" i="13"/>
  <c r="I41" i="13" s="1"/>
  <c r="I49" i="13"/>
  <c r="I15" i="13"/>
  <c r="I18" i="13" s="1"/>
  <c r="I19" i="13" s="1"/>
  <c r="I20" i="13" s="1"/>
  <c r="Q34" i="13" l="1"/>
  <c r="Q35" i="13" s="1"/>
  <c r="Q38" i="13" s="1"/>
  <c r="Q44" i="13"/>
  <c r="I42" i="13"/>
  <c r="P51" i="13"/>
  <c r="P53" i="13" s="1"/>
  <c r="I57" i="13"/>
  <c r="I64" i="13" s="1"/>
  <c r="Q51" i="13" l="1"/>
  <c r="C15" i="13"/>
  <c r="L11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8" i="18"/>
  <c r="L20" i="13" l="1"/>
  <c r="C18" i="13"/>
  <c r="D20" i="13"/>
  <c r="L35" i="13" s="1"/>
  <c r="Q20" i="13" l="1"/>
  <c r="Q52" i="13" s="1"/>
  <c r="Q53" i="13" s="1"/>
  <c r="L72" i="13"/>
  <c r="C20" i="13"/>
  <c r="L58" i="13" l="1"/>
  <c r="L60" i="13" s="1"/>
  <c r="L62" i="13" s="1"/>
  <c r="L84" i="13" s="1"/>
  <c r="L86" i="13" l="1"/>
  <c r="L87" i="13" s="1"/>
  <c r="M66" i="13"/>
</calcChain>
</file>

<file path=xl/sharedStrings.xml><?xml version="1.0" encoding="utf-8"?>
<sst xmlns="http://schemas.openxmlformats.org/spreadsheetml/2006/main" count="235" uniqueCount="206">
  <si>
    <t xml:space="preserve"> = Operating Cash Flows</t>
  </si>
  <si>
    <t>Free Cash Flows of the firm (Y1~Y5)</t>
  </si>
  <si>
    <t>Terminal Value at the end of Y5 (Y6 ~ forever)</t>
  </si>
  <si>
    <t xml:space="preserve"> = Total Free Cash Flows of the firm</t>
  </si>
  <si>
    <t xml:space="preserve"> - MV of the Debt and PS</t>
  </si>
  <si>
    <t>Monthly rate</t>
  </si>
  <si>
    <t xml:space="preserve"> = Cash flows of Changes in NOWC</t>
  </si>
  <si>
    <t>Net Operating Working capital</t>
  </si>
  <si>
    <t>Fixed asset (PPE)</t>
  </si>
  <si>
    <t>60 months</t>
  </si>
  <si>
    <t>Dates</t>
  </si>
  <si>
    <t>Prices</t>
  </si>
  <si>
    <t>CS outstanding shares (million)</t>
  </si>
  <si>
    <t>($ million, %)</t>
  </si>
  <si>
    <t xml:space="preserve"> = Expected G/L on the CS investment ($)</t>
  </si>
  <si>
    <t>($, %)</t>
  </si>
  <si>
    <t xml:space="preserve"> = Expected return on the CS investment (%)</t>
  </si>
  <si>
    <t>Enterprise Value of the firm (the Entire Business)</t>
  </si>
  <si>
    <t xml:space="preserve"> = Intrinsic Value of CS</t>
  </si>
  <si>
    <t>Firm Ratio</t>
  </si>
  <si>
    <t>Industry Ratio</t>
  </si>
  <si>
    <t xml:space="preserve"> =  Cash flows of Changes in fixed assets </t>
  </si>
  <si>
    <t>industry average by sector</t>
  </si>
  <si>
    <t>Part I. Financial Statements (Income Statement &amp; Balance Sheet)</t>
  </si>
  <si>
    <t>CONSOLIDATED BALANCE SHEETS (In millions, as of)</t>
  </si>
  <si>
    <t>S&amp;P500 (SPY ETF)</t>
  </si>
  <si>
    <t>Part II. CAPM &amp; WACC</t>
  </si>
  <si>
    <t xml:space="preserve"> - Market Price of CS per share (as of today)</t>
  </si>
  <si>
    <t>b. Input variables II. Weighted Average Cost of Capital</t>
  </si>
  <si>
    <t>1. Projected Assumptions.</t>
  </si>
  <si>
    <t>2. Operating cash flows</t>
  </si>
  <si>
    <t>3. Cash flows in NOWC</t>
  </si>
  <si>
    <t>5. Free Cash Flows of the Firm</t>
  </si>
  <si>
    <t xml:space="preserve">Intrinsice Value (Target price) of CS per share </t>
  </si>
  <si>
    <t>6. Intrinsic Value of Common Stock on FCFF Model</t>
  </si>
  <si>
    <t>Investment Proposal (BUY / HOLD / SELL)</t>
  </si>
  <si>
    <t>9. Final Target Price &amp; Investment Proposal</t>
  </si>
  <si>
    <t>7. Target Prices based on Relative Methods (at least 5)</t>
  </si>
  <si>
    <t>8. Financial Ratio Analysis. (at least 10 ratios)</t>
  </si>
  <si>
    <t>a. Target Price by P/E Forward</t>
  </si>
  <si>
    <t>b. Target Price by EV/EBIDTA Forward</t>
  </si>
  <si>
    <t>a. EVA ($, million)</t>
  </si>
  <si>
    <t>b. ROA (%)</t>
  </si>
  <si>
    <t>c. ROC (%)</t>
  </si>
  <si>
    <t>d. ROE (%)</t>
  </si>
  <si>
    <t>e. Interest Coverage ratio</t>
  </si>
  <si>
    <t>Final Target Price per share (6 Months)</t>
  </si>
  <si>
    <t xml:space="preserve"> </t>
  </si>
  <si>
    <t>Part I. Collecting price information and calcuating rate of return</t>
  </si>
  <si>
    <t>Post your company's Income statement (Don't follow Apple I/S format.)</t>
  </si>
  <si>
    <t>Post your company's Balance Sheet (Don't follow Apple B/S format.)</t>
  </si>
  <si>
    <t xml:space="preserve">* Hard number inputs must be explained, on the Word part, with Where this nubmer is gotten and How this number is justifiable. </t>
  </si>
  <si>
    <t>**Computed number inputs must be explained, on the Word part, with How this nubmer is calculated and Why this calculation is reasonable.</t>
  </si>
  <si>
    <t>Rf (3Month T-bill, %)*</t>
  </si>
  <si>
    <t>Rm (S&amp;P500, %)*</t>
  </si>
  <si>
    <t>Market Risk Premium (MRP, %)**</t>
  </si>
  <si>
    <t>Equity Risk Premium (ERP, %)**</t>
  </si>
  <si>
    <t>Required rate of return on Equity**</t>
  </si>
  <si>
    <t>Price of CS per share ($) as of today*</t>
  </si>
  <si>
    <t>CS outstanding shares (million)*</t>
  </si>
  <si>
    <t>MV of Debt ($, million)*</t>
  </si>
  <si>
    <t>MV of CS ($, million)**</t>
  </si>
  <si>
    <t>Tax rate (%)*</t>
  </si>
  <si>
    <t>Cost of Debt (%)*</t>
  </si>
  <si>
    <t>Cost of CS (%)*</t>
  </si>
  <si>
    <t>WACC (%)**</t>
  </si>
  <si>
    <t>Total MV of Capital Resouces ($, million)**</t>
  </si>
  <si>
    <t>Sales growth*</t>
  </si>
  <si>
    <t>Tax rate*</t>
  </si>
  <si>
    <t>Depr. (% of fixed assets)*</t>
  </si>
  <si>
    <t>Fixed Assets (% of sales)*</t>
  </si>
  <si>
    <t>Net Operating Working Capital (% of sales)*</t>
  </si>
  <si>
    <t>**Add or Drop the expense assumptions according to the Income statement accounts of your chosen company</t>
  </si>
  <si>
    <t>*Add or Drop the accounts according to the Income statement of your chosen company</t>
  </si>
  <si>
    <t>WACC*</t>
  </si>
  <si>
    <t>Permanent growth rate after year 5*</t>
  </si>
  <si>
    <t>Company Valuation: Free Cash Flows of the Firm (FCFF Model). [Name Your company]</t>
  </si>
  <si>
    <t>a. Input variables I. CAPM</t>
  </si>
  <si>
    <t>4. Cash flows in Capital investment</t>
  </si>
  <si>
    <t>Weighted Average Cost of Capital. [Intel Corporation]</t>
  </si>
  <si>
    <t>Intel Corporation</t>
  </si>
  <si>
    <t>https://www.wsj.com/market-data/quotes/bond/BX/TMUBMUSD03M</t>
  </si>
  <si>
    <t>https://www.investopedia.com/ask/answers/042415/what-average-annual-return-sp-500.asp</t>
  </si>
  <si>
    <t>Beta (Intel Corporation)**</t>
  </si>
  <si>
    <t>CAPM MODEL = Rf + (Rm - Rf) * B</t>
  </si>
  <si>
    <t>https://www.macrotrends.net/stocks/charts/INTC/intel/shares-outstanding</t>
  </si>
  <si>
    <t>https://finance.yahoo.com/quote/INTC?p=INTC&amp;.tsrc=fin-srch&amp;guccounter=1&amp;guce_referrer=aHR0cHM6Ly9maW5hbmNlLnlhaG9vLmNvbS8&amp;guce_referrer_sig=AQAAANwr4z1YOBt-KhRyIBl_p7Jc2HKM_LeqlXxwGfB8BquRmg_c5yOYQZ3TDkBwzrFaqbYJs7cvNo2ZLlSQklon47m-PPJUw0XXmk19iO0g-oZ1_GzSW9mYOIfLnf1eX1q5PIJgmFIbmq5B21Kp3R5seUAeO_tWqhHRN89Dj-ULt0oo</t>
  </si>
  <si>
    <t>https://www.intc.com/news-events/press-releases/detail/1563/intel-reports-second-quarter-2022-financial-results</t>
  </si>
  <si>
    <t>Consolidated Condensed Balance Sheets - USD ($) $ in Millions</t>
  </si>
  <si>
    <t>Oct. 01, 2022</t>
  </si>
  <si>
    <t>Dec. 25, 2021</t>
  </si>
  <si>
    <t>Current assets:</t>
  </si>
  <si>
    <t> </t>
  </si>
  <si>
    <t>Cash and cash equivalents</t>
  </si>
  <si>
    <t>Short-term investments</t>
  </si>
  <si>
    <t>Accounts receivable</t>
  </si>
  <si>
    <t>Inventories</t>
  </si>
  <si>
    <t>Assets Held-for-sale</t>
  </si>
  <si>
    <t>Other current assets</t>
  </si>
  <si>
    <t>Total current assets</t>
  </si>
  <si>
    <t>Property, plant and equipment, net of accumulated depreciation of $91,417 ($85,294 as of December 25, 2021)</t>
  </si>
  <si>
    <t>Equity Investments</t>
  </si>
  <si>
    <t>Goodwill</t>
  </si>
  <si>
    <t>Identified intangible assets, net</t>
  </si>
  <si>
    <t>Other long-term assets</t>
  </si>
  <si>
    <t>Total assets</t>
  </si>
  <si>
    <t>Current liabilities:</t>
  </si>
  <si>
    <t>Short-term debt</t>
  </si>
  <si>
    <t>Accounts payable</t>
  </si>
  <si>
    <t>Accrued compensation and benefits</t>
  </si>
  <si>
    <t>Other accrued liabilities</t>
  </si>
  <si>
    <t>Total current liabilities</t>
  </si>
  <si>
    <t>Debt</t>
  </si>
  <si>
    <t>Income taxes payable, non-current</t>
  </si>
  <si>
    <t>Deferred income taxes</t>
  </si>
  <si>
    <t>Other long-term liabilities</t>
  </si>
  <si>
    <t>Commitments and Contingencies (Note 12)</t>
  </si>
  <si>
    <t>Stockholders’ equity:</t>
  </si>
  <si>
    <t>Common stock and capital in excess of par value, 4,127 issued and outstanding (4,070 issued and outstanding as of December 25, 2021)</t>
  </si>
  <si>
    <t>Accumulated other comprehensive income (loss)</t>
  </si>
  <si>
    <t>Retained earnings</t>
  </si>
  <si>
    <t>Total stockholders’ equity</t>
  </si>
  <si>
    <t>Total liabilities and stockholders’ equity</t>
  </si>
  <si>
    <t>https://finra-markets.morningstar.com/MarketData/Default.jsp?sdkVersion=2.62.2</t>
  </si>
  <si>
    <t>R&amp;D Expenses (% of sales)</t>
  </si>
  <si>
    <t>Cost of Sales (% of sales)</t>
  </si>
  <si>
    <t xml:space="preserve">Consolidated Condensed Balance </t>
  </si>
  <si>
    <t>CONSOLIDATED STATEMENTS OF OPERATIONS (2022, year ended, $ In millions)</t>
  </si>
  <si>
    <t>Interest Expense (% of sales)</t>
  </si>
  <si>
    <t>Net sales:</t>
  </si>
  <si>
    <t xml:space="preserve"> - Cost of sales:</t>
  </si>
  <si>
    <t xml:space="preserve"> = Gross margin</t>
  </si>
  <si>
    <t xml:space="preserve"> - Research and development</t>
  </si>
  <si>
    <t xml:space="preserve"> - Other expense (Interest)</t>
  </si>
  <si>
    <t xml:space="preserve"> = Income before provision for income taxes</t>
  </si>
  <si>
    <t>Less Provision for income taxes</t>
  </si>
  <si>
    <t xml:space="preserve"> = Net income</t>
  </si>
  <si>
    <t xml:space="preserve"> - Marketing, general and administrative</t>
  </si>
  <si>
    <t xml:space="preserve"> - Restructuring and other charges</t>
  </si>
  <si>
    <t xml:space="preserve"> = Operating income (loss)</t>
  </si>
  <si>
    <t>https://www.intc.com/financial-info/income-statement</t>
  </si>
  <si>
    <t>Gains on equity investments (Other Income)</t>
  </si>
  <si>
    <t>ASSETS:</t>
  </si>
  <si>
    <t>Accounts receivable, net</t>
  </si>
  <si>
    <t>Non-current assets:</t>
  </si>
  <si>
    <t>Total non-current assets</t>
  </si>
  <si>
    <t>LIABILITIES AND SHAREHOLDERS' EQUITY:</t>
  </si>
  <si>
    <t>Non-current liabilities:</t>
  </si>
  <si>
    <t>Total liabilities</t>
  </si>
  <si>
    <t>Shareholders' equity:</t>
  </si>
  <si>
    <t>Accumulated other comprehensive income/(loss)</t>
  </si>
  <si>
    <t>Total shareholders' equity</t>
  </si>
  <si>
    <t>Total liabilities and shareholders' equity</t>
  </si>
  <si>
    <t>Short Term Investments</t>
  </si>
  <si>
    <t>Assets held for sales</t>
  </si>
  <si>
    <t xml:space="preserve">Property, plant and equipment </t>
  </si>
  <si>
    <t>Identified Intangible Assets</t>
  </si>
  <si>
    <t>Other Long Term Assets</t>
  </si>
  <si>
    <t>Short Term Debt</t>
  </si>
  <si>
    <t>Accrued Compensations and Benefits</t>
  </si>
  <si>
    <t>Other Accrued Liabilities</t>
  </si>
  <si>
    <t>Income Tax Payable</t>
  </si>
  <si>
    <t>Deferred Income Taxes</t>
  </si>
  <si>
    <t>Other Long Term Liabilities</t>
  </si>
  <si>
    <t>Total Non Current Liabilities</t>
  </si>
  <si>
    <t>Retained Earnings</t>
  </si>
  <si>
    <t>MG&amp;A Expenses (% of sales)</t>
  </si>
  <si>
    <t>Restructuring and charges (% of sales)</t>
  </si>
  <si>
    <t>% of Sales</t>
  </si>
  <si>
    <t>Sales</t>
  </si>
  <si>
    <t xml:space="preserve"> = Gross Profit</t>
  </si>
  <si>
    <t xml:space="preserve"> - R&amp;D Expense*</t>
  </si>
  <si>
    <t xml:space="preserve"> = EBIT</t>
  </si>
  <si>
    <t xml:space="preserve"> - Interest Expense*</t>
  </si>
  <si>
    <t xml:space="preserve"> = EBT</t>
  </si>
  <si>
    <t xml:space="preserve"> - Tax</t>
  </si>
  <si>
    <t xml:space="preserve"> = Net Income</t>
  </si>
  <si>
    <t xml:space="preserve"> + add back Interest after tax</t>
  </si>
  <si>
    <t xml:space="preserve"> + add back Depreciation</t>
  </si>
  <si>
    <t xml:space="preserve"> - Cost of sales</t>
  </si>
  <si>
    <t xml:space="preserve"> - Restructuring and other charges*</t>
  </si>
  <si>
    <t xml:space="preserve"> - MG &amp; A Expense*</t>
  </si>
  <si>
    <t xml:space="preserve"> +  Gains on equity Investmets (Other Income)*</t>
  </si>
  <si>
    <t>Gains on Equity Investments (Other Income) (% of sales)</t>
  </si>
  <si>
    <t>https://eqvista.com/price-to-earnings-pe-ratios-by-industry/</t>
  </si>
  <si>
    <t>https://siblisresearch.com/data/ev-ebitda-multiple/</t>
  </si>
  <si>
    <t>c. Target Price by P/S Forward</t>
  </si>
  <si>
    <t>e. Traget Price by P/CF Forward</t>
  </si>
  <si>
    <t>https://www.macrotrends.net/stocks/charts/ON/on-semiconductor/price-fcf</t>
  </si>
  <si>
    <t>d. Target Price by P/B Forward</t>
  </si>
  <si>
    <t>i. Debt-to-equity ratio</t>
  </si>
  <si>
    <t>f. Current Ratio</t>
  </si>
  <si>
    <t>g. Cash Ratio</t>
  </si>
  <si>
    <t>h. Quick Ratio</t>
  </si>
  <si>
    <t>j. Debt Ratio</t>
  </si>
  <si>
    <t>BUY</t>
  </si>
  <si>
    <t>https://pages.stern.nyu.edu/~adamodar/New_Home_Page/datafile/EVA.htm</t>
  </si>
  <si>
    <t>https://csimarket.com/Industry/industry_ManagementEffectiveness.php?ind=1010</t>
  </si>
  <si>
    <t>https://www.readyratios.com/sec/ratio/icr/</t>
  </si>
  <si>
    <t>https://www.readyratios.com/sec/industry/3674/</t>
  </si>
  <si>
    <t>https://pages.stern.nyu.edu/~adamodar/New_Home_Page/datafile/mgnroc.html</t>
  </si>
  <si>
    <t>Required rate of return on Equity (CAPM MODEL)</t>
  </si>
  <si>
    <t>https://pages.stern.nyu.edu/~adamodar/New_Home_Page/datafile/pbvdata.html</t>
  </si>
  <si>
    <t>https://pages.stern.nyu.edu/~adamodar/New_Home_Page/datafile/psdata.html</t>
  </si>
  <si>
    <t>https://www.zacks.com/stock/chart/INTC/fundamental/return-on-equity-ttm?TSPD_101_R0=08d01cef9bab2000871ec9d26b1d558e73d51cedbf477a5b6448b176101bebdd9c498764a6ec0b3108a27442b3143000c105aa6ac89f7e9ca92286ff7dcae583e5fdd89a2f4c4947684d9163b513236e79eff7dd7326c7eec660313dcb40a37c</t>
  </si>
  <si>
    <t>Part II. Company Valuation on FCFF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</si>
</sst>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 &quot;#,##0_);_(&quot;$ &quot;\(#,##0\)"/>
    <numFmt numFmtId="167" formatCode="_(&quot;$&quot;* #,##0_);_(&quot;$&quot;* \(#,##0\);_(&quot;$&quot;* &quot;-&quot;??_);_(@_)"/>
  </numFmts>
  <fonts count="49">
    <font>
      <sz val="12"/>
      <color theme="1"/>
      <name val="Calibri"/>
      <family val="2"/>
      <scheme val="minor"/>
    </font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  <font>
      <i/>
      <sz val="12"/>
      <color rgb="FFC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i/>
      <sz val="12"/>
      <color rgb="FF000000"/>
      <name val="Calibri Light"/>
      <family val="2"/>
      <scheme val="major"/>
    </font>
    <font>
      <b/>
      <i/>
      <sz val="12"/>
      <color theme="5" tint="-0.499984740745262"/>
      <name val="Calibri Light"/>
      <family val="2"/>
      <scheme val="major"/>
    </font>
    <font>
      <sz val="12"/>
      <color theme="1"/>
      <name val="Calibri Light"/>
      <family val="2"/>
    </font>
    <font>
      <sz val="12"/>
      <color theme="0"/>
      <name val="Calibri Light"/>
      <family val="2"/>
    </font>
    <font>
      <i/>
      <sz val="12"/>
      <color rgb="FFC00000"/>
      <name val="Calibri Light"/>
      <family val="2"/>
    </font>
    <font>
      <i/>
      <sz val="12"/>
      <color theme="1"/>
      <name val="Calibri Light"/>
      <family val="2"/>
    </font>
    <font>
      <b/>
      <i/>
      <sz val="14"/>
      <color theme="1"/>
      <name val="Calibri Light"/>
      <family val="2"/>
    </font>
    <font>
      <sz val="10"/>
      <name val="Arial"/>
      <family val="2"/>
    </font>
    <font>
      <sz val="14"/>
      <color theme="1"/>
      <name val="Calibri Light"/>
      <family val="2"/>
    </font>
    <font>
      <i/>
      <sz val="12"/>
      <color theme="1"/>
      <name val="Calibri"/>
      <family val="2"/>
    </font>
    <font>
      <i/>
      <u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8"/>
      <name val="Cambria"/>
      <family val="1"/>
    </font>
    <font>
      <sz val="12"/>
      <color rgb="FF000000"/>
      <name val="Calibri Light"/>
      <family val="2"/>
    </font>
    <font>
      <u/>
      <sz val="12"/>
      <color theme="1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sz val="20"/>
      <color theme="0"/>
      <name val="Calibri Light"/>
      <family val="2"/>
    </font>
    <font>
      <u val="singleAccounting"/>
      <sz val="12"/>
      <color theme="1"/>
      <name val="Calibri Light"/>
      <family val="2"/>
      <scheme val="major"/>
    </font>
    <font>
      <b/>
      <sz val="20"/>
      <color theme="0"/>
      <name val="Calibri Light"/>
      <family val="2"/>
      <scheme val="major"/>
    </font>
    <font>
      <sz val="20"/>
      <color theme="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2"/>
      <color rgb="FFC00000"/>
      <name val="Calibri Light"/>
      <family val="2"/>
      <scheme val="major"/>
    </font>
    <font>
      <b/>
      <i/>
      <sz val="12"/>
      <color rgb="FFC00000"/>
      <name val="Calibri Light"/>
      <family val="2"/>
    </font>
    <font>
      <i/>
      <sz val="12"/>
      <color rgb="FFC00000"/>
      <name val="Calibri"/>
      <family val="2"/>
      <scheme val="minor"/>
    </font>
    <font>
      <b/>
      <i/>
      <sz val="12"/>
      <color rgb="FFC00000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 Light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name val="Calibri Light"/>
      <family val="2"/>
    </font>
    <font>
      <sz val="11"/>
      <name val="Calibri"/>
      <family val="2"/>
    </font>
    <font>
      <b/>
      <sz val="12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5" fillId="0" borderId="0"/>
    <xf numFmtId="0" fontId="30" fillId="0" borderId="0"/>
    <xf numFmtId="9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49">
    <xf numFmtId="0" fontId="0" fillId="0" borderId="0" xfId="0"/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0" fontId="15" fillId="2" borderId="0" xfId="4" applyFont="1" applyFill="1" applyAlignment="1">
      <alignment vertical="center"/>
    </xf>
    <xf numFmtId="0" fontId="16" fillId="2" borderId="0" xfId="4" applyFont="1" applyFill="1" applyAlignment="1">
      <alignment vertical="center"/>
    </xf>
    <xf numFmtId="0" fontId="15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0" fontId="19" fillId="0" borderId="1" xfId="4" applyFont="1" applyBorder="1" applyAlignment="1">
      <alignment vertical="center"/>
    </xf>
    <xf numFmtId="0" fontId="15" fillId="0" borderId="1" xfId="4" applyFont="1" applyBorder="1" applyAlignment="1">
      <alignment vertical="center"/>
    </xf>
    <xf numFmtId="0" fontId="18" fillId="0" borderId="1" xfId="4" applyFont="1" applyBorder="1" applyAlignment="1">
      <alignment vertical="center"/>
    </xf>
    <xf numFmtId="0" fontId="17" fillId="0" borderId="1" xfId="4" applyFont="1" applyBorder="1" applyAlignment="1">
      <alignment vertical="center"/>
    </xf>
    <xf numFmtId="0" fontId="19" fillId="0" borderId="0" xfId="4" applyFont="1" applyAlignment="1">
      <alignment vertical="center"/>
    </xf>
    <xf numFmtId="0" fontId="21" fillId="0" borderId="0" xfId="4" applyFont="1" applyAlignment="1">
      <alignment vertical="center"/>
    </xf>
    <xf numFmtId="10" fontId="19" fillId="3" borderId="0" xfId="8" applyNumberFormat="1" applyFont="1" applyFill="1" applyAlignment="1">
      <alignment vertical="center"/>
    </xf>
    <xf numFmtId="10" fontId="26" fillId="3" borderId="4" xfId="8" applyNumberFormat="1" applyFont="1" applyFill="1" applyBorder="1" applyAlignment="1">
      <alignment vertical="center"/>
    </xf>
    <xf numFmtId="10" fontId="26" fillId="3" borderId="0" xfId="8" applyNumberFormat="1" applyFont="1" applyFill="1" applyBorder="1" applyAlignment="1">
      <alignment vertical="center"/>
    </xf>
    <xf numFmtId="0" fontId="4" fillId="0" borderId="0" xfId="3" applyAlignment="1">
      <alignment vertical="center"/>
    </xf>
    <xf numFmtId="0" fontId="9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2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28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right" vertical="center"/>
    </xf>
    <xf numFmtId="0" fontId="32" fillId="0" borderId="0" xfId="0" applyFont="1" applyAlignment="1">
      <alignment vertical="center"/>
    </xf>
    <xf numFmtId="42" fontId="32" fillId="0" borderId="0" xfId="0" applyNumberFormat="1" applyFont="1" applyAlignment="1">
      <alignment vertical="center"/>
    </xf>
    <xf numFmtId="164" fontId="5" fillId="3" borderId="0" xfId="1" applyNumberFormat="1" applyFont="1" applyFill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4" fontId="5" fillId="3" borderId="1" xfId="1" applyNumberFormat="1" applyFont="1" applyFill="1" applyBorder="1" applyAlignment="1">
      <alignment vertical="center"/>
    </xf>
    <xf numFmtId="10" fontId="5" fillId="3" borderId="0" xfId="0" applyNumberFormat="1" applyFont="1" applyFill="1" applyAlignment="1">
      <alignment vertical="center"/>
    </xf>
    <xf numFmtId="10" fontId="5" fillId="3" borderId="1" xfId="0" applyNumberFormat="1" applyFont="1" applyFill="1" applyBorder="1" applyAlignment="1">
      <alignment vertical="center"/>
    </xf>
    <xf numFmtId="10" fontId="12" fillId="3" borderId="0" xfId="2" applyNumberFormat="1" applyFont="1" applyFill="1" applyAlignment="1">
      <alignment vertical="center"/>
    </xf>
    <xf numFmtId="10" fontId="15" fillId="3" borderId="0" xfId="4" applyNumberFormat="1" applyFont="1" applyFill="1" applyAlignment="1">
      <alignment vertical="center"/>
    </xf>
    <xf numFmtId="43" fontId="15" fillId="3" borderId="0" xfId="5" applyFont="1" applyFill="1" applyBorder="1" applyAlignment="1">
      <alignment vertical="center"/>
    </xf>
    <xf numFmtId="10" fontId="15" fillId="3" borderId="1" xfId="6" applyNumberFormat="1" applyFont="1" applyFill="1" applyBorder="1" applyAlignment="1">
      <alignment vertical="center"/>
    </xf>
    <xf numFmtId="0" fontId="33" fillId="2" borderId="0" xfId="4" applyFont="1" applyFill="1" applyAlignment="1">
      <alignment vertical="center"/>
    </xf>
    <xf numFmtId="0" fontId="14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64" fontId="5" fillId="0" borderId="0" xfId="1" applyNumberFormat="1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3" fontId="5" fillId="6" borderId="0" xfId="0" applyNumberFormat="1" applyFont="1" applyFill="1" applyAlignment="1">
      <alignment vertical="center"/>
    </xf>
    <xf numFmtId="0" fontId="27" fillId="6" borderId="0" xfId="0" applyFont="1" applyFill="1" applyAlignment="1">
      <alignment vertical="center"/>
    </xf>
    <xf numFmtId="3" fontId="27" fillId="6" borderId="0" xfId="0" applyNumberFormat="1" applyFont="1" applyFill="1" applyAlignment="1">
      <alignment vertical="center"/>
    </xf>
    <xf numFmtId="42" fontId="32" fillId="6" borderId="0" xfId="0" applyNumberFormat="1" applyFont="1" applyFill="1" applyAlignment="1">
      <alignment vertical="center"/>
    </xf>
    <xf numFmtId="37" fontId="32" fillId="6" borderId="0" xfId="0" applyNumberFormat="1" applyFont="1" applyFill="1" applyAlignment="1">
      <alignment vertical="center"/>
    </xf>
    <xf numFmtId="9" fontId="5" fillId="6" borderId="0" xfId="0" applyNumberFormat="1" applyFont="1" applyFill="1" applyAlignment="1">
      <alignment vertical="center"/>
    </xf>
    <xf numFmtId="9" fontId="5" fillId="6" borderId="1" xfId="0" applyNumberFormat="1" applyFont="1" applyFill="1" applyBorder="1" applyAlignment="1">
      <alignment vertical="center"/>
    </xf>
    <xf numFmtId="10" fontId="5" fillId="6" borderId="0" xfId="0" applyNumberFormat="1" applyFont="1" applyFill="1" applyAlignment="1">
      <alignment vertical="center"/>
    </xf>
    <xf numFmtId="164" fontId="5" fillId="6" borderId="0" xfId="1" applyNumberFormat="1" applyFont="1" applyFill="1" applyAlignment="1">
      <alignment vertical="center"/>
    </xf>
    <xf numFmtId="164" fontId="34" fillId="6" borderId="0" xfId="1" applyNumberFormat="1" applyFont="1" applyFill="1" applyAlignment="1">
      <alignment vertical="center"/>
    </xf>
    <xf numFmtId="164" fontId="27" fillId="6" borderId="0" xfId="1" applyNumberFormat="1" applyFont="1" applyFill="1" applyAlignment="1">
      <alignment vertical="center"/>
    </xf>
    <xf numFmtId="164" fontId="27" fillId="6" borderId="0" xfId="1" applyNumberFormat="1" applyFont="1" applyFill="1" applyBorder="1" applyAlignment="1">
      <alignment vertical="center"/>
    </xf>
    <xf numFmtId="164" fontId="5" fillId="6" borderId="0" xfId="0" applyNumberFormat="1" applyFont="1" applyFill="1" applyAlignment="1">
      <alignment vertical="center"/>
    </xf>
    <xf numFmtId="164" fontId="5" fillId="6" borderId="1" xfId="0" applyNumberFormat="1" applyFont="1" applyFill="1" applyBorder="1" applyAlignment="1">
      <alignment vertical="center"/>
    </xf>
    <xf numFmtId="164" fontId="5" fillId="6" borderId="2" xfId="0" applyNumberFormat="1" applyFont="1" applyFill="1" applyBorder="1" applyAlignment="1">
      <alignment vertical="center"/>
    </xf>
    <xf numFmtId="164" fontId="5" fillId="6" borderId="1" xfId="1" applyNumberFormat="1" applyFont="1" applyFill="1" applyBorder="1" applyAlignment="1">
      <alignment vertical="center"/>
    </xf>
    <xf numFmtId="164" fontId="5" fillId="6" borderId="0" xfId="1" applyNumberFormat="1" applyFont="1" applyFill="1" applyAlignment="1">
      <alignment horizontal="right" vertical="center"/>
    </xf>
    <xf numFmtId="164" fontId="5" fillId="6" borderId="1" xfId="1" applyNumberFormat="1" applyFont="1" applyFill="1" applyBorder="1" applyAlignment="1">
      <alignment horizontal="right" vertical="center"/>
    </xf>
    <xf numFmtId="164" fontId="11" fillId="6" borderId="0" xfId="1" applyNumberFormat="1" applyFont="1" applyFill="1" applyAlignment="1">
      <alignment horizontal="right" vertical="center"/>
    </xf>
    <xf numFmtId="2" fontId="8" fillId="6" borderId="0" xfId="0" applyNumberFormat="1" applyFont="1" applyFill="1" applyAlignment="1">
      <alignment vertical="center"/>
    </xf>
    <xf numFmtId="2" fontId="8" fillId="6" borderId="6" xfId="0" applyNumberFormat="1" applyFont="1" applyFill="1" applyBorder="1" applyAlignment="1">
      <alignment vertical="center"/>
    </xf>
    <xf numFmtId="2" fontId="8" fillId="6" borderId="7" xfId="0" applyNumberFormat="1" applyFont="1" applyFill="1" applyBorder="1" applyAlignment="1">
      <alignment vertical="center"/>
    </xf>
    <xf numFmtId="43" fontId="5" fillId="6" borderId="0" xfId="1" applyFont="1" applyFill="1" applyAlignment="1">
      <alignment vertical="center"/>
    </xf>
    <xf numFmtId="2" fontId="5" fillId="6" borderId="0" xfId="0" applyNumberFormat="1" applyFont="1" applyFill="1" applyAlignment="1">
      <alignment vertical="center"/>
    </xf>
    <xf numFmtId="43" fontId="5" fillId="6" borderId="0" xfId="0" applyNumberFormat="1" applyFont="1" applyFill="1" applyAlignment="1">
      <alignment vertical="center"/>
    </xf>
    <xf numFmtId="10" fontId="5" fillId="6" borderId="0" xfId="2" applyNumberFormat="1" applyFont="1" applyFill="1" applyAlignment="1">
      <alignment vertical="center"/>
    </xf>
    <xf numFmtId="0" fontId="10" fillId="6" borderId="0" xfId="0" applyFont="1" applyFill="1" applyAlignment="1">
      <alignment vertical="center"/>
    </xf>
    <xf numFmtId="10" fontId="8" fillId="6" borderId="8" xfId="2" applyNumberFormat="1" applyFont="1" applyFill="1" applyBorder="1" applyAlignment="1">
      <alignment horizontal="right" vertical="center"/>
    </xf>
    <xf numFmtId="10" fontId="8" fillId="6" borderId="0" xfId="0" applyNumberFormat="1" applyFont="1" applyFill="1" applyAlignment="1">
      <alignment vertical="center"/>
    </xf>
    <xf numFmtId="9" fontId="8" fillId="0" borderId="0" xfId="0" applyNumberFormat="1" applyFont="1" applyAlignment="1">
      <alignment vertical="center"/>
    </xf>
    <xf numFmtId="9" fontId="8" fillId="6" borderId="0" xfId="0" applyNumberFormat="1" applyFont="1" applyFill="1" applyAlignment="1">
      <alignment vertical="center"/>
    </xf>
    <xf numFmtId="164" fontId="8" fillId="0" borderId="0" xfId="0" applyNumberFormat="1" applyFont="1" applyAlignment="1">
      <alignment vertical="center"/>
    </xf>
    <xf numFmtId="164" fontId="8" fillId="6" borderId="0" xfId="0" applyNumberFormat="1" applyFont="1" applyFill="1" applyAlignment="1">
      <alignment vertical="center"/>
    </xf>
    <xf numFmtId="164" fontId="7" fillId="0" borderId="0" xfId="0" applyNumberFormat="1" applyFont="1" applyAlignment="1">
      <alignment vertical="center"/>
    </xf>
    <xf numFmtId="0" fontId="17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 readingOrder="1"/>
    </xf>
    <xf numFmtId="0" fontId="41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0" fontId="38" fillId="6" borderId="0" xfId="0" applyFont="1" applyFill="1" applyAlignment="1">
      <alignment vertical="center"/>
    </xf>
    <xf numFmtId="0" fontId="26" fillId="3" borderId="4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164" fontId="8" fillId="6" borderId="0" xfId="1" applyNumberFormat="1" applyFont="1" applyFill="1" applyAlignment="1">
      <alignment horizontal="right" vertical="center"/>
    </xf>
    <xf numFmtId="0" fontId="22" fillId="0" borderId="4" xfId="4" applyFont="1" applyBorder="1" applyAlignment="1">
      <alignment horizontal="right" vertical="center"/>
    </xf>
    <xf numFmtId="0" fontId="22" fillId="0" borderId="3" xfId="4" applyFont="1" applyBorder="1" applyAlignment="1">
      <alignment horizontal="right" vertical="center"/>
    </xf>
    <xf numFmtId="0" fontId="24" fillId="0" borderId="1" xfId="4" applyFont="1" applyBorder="1" applyAlignment="1">
      <alignment horizontal="right" vertical="center"/>
    </xf>
    <xf numFmtId="0" fontId="24" fillId="0" borderId="3" xfId="4" applyFont="1" applyBorder="1" applyAlignment="1">
      <alignment horizontal="right" vertical="center"/>
    </xf>
    <xf numFmtId="14" fontId="0" fillId="0" borderId="10" xfId="0" applyNumberFormat="1" applyBorder="1"/>
    <xf numFmtId="14" fontId="0" fillId="0" borderId="4" xfId="0" applyNumberFormat="1" applyBorder="1"/>
    <xf numFmtId="0" fontId="0" fillId="0" borderId="11" xfId="0" applyBorder="1"/>
    <xf numFmtId="0" fontId="0" fillId="0" borderId="12" xfId="0" applyBorder="1"/>
    <xf numFmtId="0" fontId="43" fillId="0" borderId="0" xfId="4" applyFont="1" applyAlignment="1">
      <alignment vertical="center"/>
    </xf>
    <xf numFmtId="43" fontId="5" fillId="3" borderId="0" xfId="1" applyNumberFormat="1" applyFont="1" applyFill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166" fontId="45" fillId="0" borderId="0" xfId="0" applyNumberFormat="1" applyFont="1" applyAlignment="1">
      <alignment horizontal="right" vertical="top"/>
    </xf>
    <xf numFmtId="37" fontId="45" fillId="0" borderId="0" xfId="0" applyNumberFormat="1" applyFont="1" applyAlignment="1">
      <alignment horizontal="right" vertical="top"/>
    </xf>
    <xf numFmtId="0" fontId="11" fillId="6" borderId="0" xfId="0" applyFont="1" applyFill="1" applyAlignment="1">
      <alignment vertical="center"/>
    </xf>
    <xf numFmtId="3" fontId="11" fillId="6" borderId="0" xfId="0" applyNumberFormat="1" applyFont="1" applyFill="1" applyAlignment="1">
      <alignment vertical="center"/>
    </xf>
    <xf numFmtId="0" fontId="46" fillId="7" borderId="0" xfId="0" applyFont="1" applyFill="1" applyAlignment="1">
      <alignment vertical="center"/>
    </xf>
    <xf numFmtId="0" fontId="26" fillId="7" borderId="0" xfId="0" applyFont="1" applyFill="1" applyAlignment="1">
      <alignment vertical="center"/>
    </xf>
    <xf numFmtId="37" fontId="5" fillId="6" borderId="0" xfId="0" applyNumberFormat="1" applyFont="1" applyFill="1" applyAlignment="1">
      <alignment vertical="center"/>
    </xf>
    <xf numFmtId="0" fontId="47" fillId="0" borderId="0" xfId="0" applyFont="1" applyAlignment="1">
      <alignment vertical="top" wrapText="1"/>
    </xf>
    <xf numFmtId="0" fontId="48" fillId="7" borderId="0" xfId="0" applyFont="1" applyFill="1" applyAlignment="1">
      <alignment vertical="center"/>
    </xf>
    <xf numFmtId="167" fontId="31" fillId="6" borderId="0" xfId="0" applyNumberFormat="1" applyFont="1" applyFill="1" applyAlignment="1">
      <alignment vertical="center"/>
    </xf>
    <xf numFmtId="37" fontId="31" fillId="6" borderId="0" xfId="0" applyNumberFormat="1" applyFont="1" applyFill="1" applyAlignment="1">
      <alignment vertical="center"/>
    </xf>
    <xf numFmtId="42" fontId="31" fillId="6" borderId="0" xfId="0" applyNumberFormat="1" applyFont="1" applyFill="1" applyAlignment="1">
      <alignment vertical="center"/>
    </xf>
    <xf numFmtId="10" fontId="46" fillId="7" borderId="0" xfId="0" applyNumberFormat="1" applyFont="1" applyFill="1" applyAlignment="1">
      <alignment vertical="center"/>
    </xf>
    <xf numFmtId="10" fontId="48" fillId="7" borderId="0" xfId="0" applyNumberFormat="1" applyFont="1" applyFill="1" applyAlignment="1">
      <alignment vertical="center"/>
    </xf>
    <xf numFmtId="10" fontId="26" fillId="7" borderId="0" xfId="0" applyNumberFormat="1" applyFont="1" applyFill="1" applyAlignment="1">
      <alignment vertical="center"/>
    </xf>
    <xf numFmtId="9" fontId="46" fillId="7" borderId="0" xfId="0" applyNumberFormat="1" applyFont="1" applyFill="1" applyAlignment="1">
      <alignment vertical="center"/>
    </xf>
    <xf numFmtId="9" fontId="48" fillId="7" borderId="0" xfId="0" applyNumberFormat="1" applyFont="1" applyFill="1" applyAlignment="1">
      <alignment vertical="center"/>
    </xf>
    <xf numFmtId="1" fontId="27" fillId="6" borderId="0" xfId="0" applyNumberFormat="1" applyFont="1" applyFill="1" applyAlignment="1">
      <alignment vertical="center"/>
    </xf>
    <xf numFmtId="10" fontId="5" fillId="0" borderId="1" xfId="0" applyNumberFormat="1" applyFont="1" applyBorder="1" applyAlignment="1">
      <alignment vertical="center"/>
    </xf>
    <xf numFmtId="164" fontId="11" fillId="6" borderId="0" xfId="1" applyNumberFormat="1" applyFont="1" applyFill="1" applyAlignment="1">
      <alignment vertical="center"/>
    </xf>
    <xf numFmtId="164" fontId="11" fillId="6" borderId="0" xfId="1" applyNumberFormat="1" applyFont="1" applyFill="1" applyBorder="1" applyAlignment="1">
      <alignment vertical="center"/>
    </xf>
    <xf numFmtId="164" fontId="10" fillId="0" borderId="0" xfId="0" applyNumberFormat="1" applyFont="1" applyAlignment="1">
      <alignment vertical="center"/>
    </xf>
    <xf numFmtId="9" fontId="8" fillId="6" borderId="9" xfId="2" applyNumberFormat="1" applyFont="1" applyFill="1" applyBorder="1" applyAlignment="1">
      <alignment vertical="center"/>
    </xf>
    <xf numFmtId="43" fontId="5" fillId="6" borderId="0" xfId="1" applyNumberFormat="1" applyFont="1" applyFill="1" applyAlignment="1">
      <alignment vertical="center"/>
    </xf>
    <xf numFmtId="2" fontId="10" fillId="6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3" fillId="0" borderId="0" xfId="4" applyFont="1" applyAlignment="1">
      <alignment horizontal="center" vertical="center"/>
    </xf>
    <xf numFmtId="0" fontId="23" fillId="0" borderId="4" xfId="4" applyFont="1" applyBorder="1" applyAlignment="1">
      <alignment horizontal="center" vertical="center"/>
    </xf>
    <xf numFmtId="0" fontId="23" fillId="0" borderId="5" xfId="4" applyFont="1" applyBorder="1" applyAlignment="1">
      <alignment horizontal="center" vertical="center"/>
    </xf>
  </cellXfs>
  <cellStyles count="18">
    <cellStyle name="Comma" xfId="1" builtinId="3"/>
    <cellStyle name="Comma 2" xfId="5" xr:uid="{FC0489EA-AD54-9545-8C82-859E901005A9}"/>
    <cellStyle name="Comma 3" xfId="7" xr:uid="{9223CBE8-B6B0-FE4D-BD79-9C0C42FA3C98}"/>
    <cellStyle name="Comma 4" xfId="12" xr:uid="{8FD60E11-2766-A248-81EE-D317CD85E9DB}"/>
    <cellStyle name="Comma 5" xfId="15" xr:uid="{B8530084-0790-524E-A089-3D469B222FCE}"/>
    <cellStyle name="Hyperlink" xfId="3" builtinId="8"/>
    <cellStyle name="Normal" xfId="0" builtinId="0"/>
    <cellStyle name="Normal 2" xfId="9" xr:uid="{C033483A-4E74-0D44-9F36-38EC83CF1F64}"/>
    <cellStyle name="Normal 2 2" xfId="10" xr:uid="{703C5987-9F46-9248-807F-CE6EE62BD21D}"/>
    <cellStyle name="Normal 3" xfId="4" xr:uid="{833AC57B-F12A-7A4A-B953-B6EC94F97C9A}"/>
    <cellStyle name="Normal 4" xfId="14" xr:uid="{95320287-EE34-8443-895C-C8EF6A94D2C1}"/>
    <cellStyle name="Normal 5" xfId="17" xr:uid="{B6486B9A-2E0C-934E-BEA5-FA8E36181C53}"/>
    <cellStyle name="Percent" xfId="2" builtinId="5"/>
    <cellStyle name="Percent 2" xfId="6" xr:uid="{00837E10-5BAA-5E40-B34C-74E18216D930}"/>
    <cellStyle name="Percent 2 2" xfId="8" xr:uid="{ECECD045-22D5-7643-B3F9-D736B57E3CA2}"/>
    <cellStyle name="Percent 2 3" xfId="11" xr:uid="{6BBA7C91-102E-084A-AB4A-070898043DC7}"/>
    <cellStyle name="Percent 3" xfId="13" xr:uid="{676446AF-DEDA-B243-BB59-691C9D6E036C}"/>
    <cellStyle name="Percent 4" xfId="16" xr:uid="{099DB50A-2813-5640-89B5-62F20CA18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hn/Desktop/Accounting%20TA/Performance%20Management/C:\Users\John\Accounting%20HULT%20My%20Files\accounting%20hult%20team%20files\Managerial%20Accounting\Chapter%202\C-V-P%20Graph%20for%20Class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INTC?p=INTC&amp;.tsrc=fin-srch&amp;guccounter=1&amp;guce_referrer=aHR0cHM6Ly9maW5hbmNlLnlhaG9vLmNvbS8&amp;guce_referrer_sig=AQAAANwr4z1YOBt-KhRyIBl_p7Jc2HKM_LeqlXxwGfB8BquRmg_c5yOYQZ3TDkBwzrFaqbYJs7cvNo2ZLlSQklon47m-PPJUw0XXmk19iO0g-oZ1_GzSW9mYOIfLnf1eX1q5PIJgmFIbmq5B21Kp3R5seUAeO_tWqhHRN89Dj-ULt0oo" TargetMode="External"/><Relationship Id="rId2" Type="http://schemas.openxmlformats.org/officeDocument/2006/relationships/hyperlink" Target="https://www.investopedia.com/ask/answers/042415/what-average-annual-return-sp-500.asp" TargetMode="External"/><Relationship Id="rId1" Type="http://schemas.openxmlformats.org/officeDocument/2006/relationships/hyperlink" Target="https://www.wsj.com/market-data/quotes/bond/BX/TMUBMUSD03M" TargetMode="External"/><Relationship Id="rId6" Type="http://schemas.openxmlformats.org/officeDocument/2006/relationships/hyperlink" Target="https://finra-markets.morningstar.com/MarketData/Default.jsp?sdkVersion=2.62.2" TargetMode="External"/><Relationship Id="rId5" Type="http://schemas.openxmlformats.org/officeDocument/2006/relationships/hyperlink" Target="https://www.intc.com/news-events/press-releases/detail/1563/intel-reports-second-quarter-2022-financial-results" TargetMode="External"/><Relationship Id="rId4" Type="http://schemas.openxmlformats.org/officeDocument/2006/relationships/hyperlink" Target="https://www.macrotrends.net/stocks/charts/INTC/intel/shares-outstand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dyratios.com/sec/industry/3674/" TargetMode="External"/><Relationship Id="rId3" Type="http://schemas.openxmlformats.org/officeDocument/2006/relationships/hyperlink" Target="https://pages.stern.nyu.edu/~adamodar/New_Home_Page/datafile/EVA.htm" TargetMode="External"/><Relationship Id="rId7" Type="http://schemas.openxmlformats.org/officeDocument/2006/relationships/hyperlink" Target="https://www.readyratios.com/sec/industry/3674/" TargetMode="External"/><Relationship Id="rId2" Type="http://schemas.openxmlformats.org/officeDocument/2006/relationships/hyperlink" Target="https://siblisresearch.com/data/ev-ebitda-multiple/" TargetMode="External"/><Relationship Id="rId1" Type="http://schemas.openxmlformats.org/officeDocument/2006/relationships/hyperlink" Target="https://www.intc.com/financial-info/income-statement" TargetMode="External"/><Relationship Id="rId6" Type="http://schemas.openxmlformats.org/officeDocument/2006/relationships/hyperlink" Target="https://www.readyratios.com/sec/industry/3674/" TargetMode="External"/><Relationship Id="rId11" Type="http://schemas.openxmlformats.org/officeDocument/2006/relationships/hyperlink" Target="https://pages.stern.nyu.edu/~adamodar/New_Home_Page/datafile/mgnroc.html" TargetMode="External"/><Relationship Id="rId5" Type="http://schemas.openxmlformats.org/officeDocument/2006/relationships/hyperlink" Target="https://www.readyratios.com/sec/ratio/icr/" TargetMode="External"/><Relationship Id="rId10" Type="http://schemas.openxmlformats.org/officeDocument/2006/relationships/hyperlink" Target="https://www.readyratios.com/sec/industry/3674/" TargetMode="External"/><Relationship Id="rId4" Type="http://schemas.openxmlformats.org/officeDocument/2006/relationships/hyperlink" Target="https://csimarket.com/Industry/industry_ManagementEffectiveness.php?ind=1010" TargetMode="External"/><Relationship Id="rId9" Type="http://schemas.openxmlformats.org/officeDocument/2006/relationships/hyperlink" Target="https://www.readyratios.com/sec/industry/36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DEE5-FC6D-C144-A0CD-C9BD8F2EE683}">
  <dimension ref="A1:C32"/>
  <sheetViews>
    <sheetView topLeftCell="A9" workbookViewId="0">
      <selection activeCell="B22" sqref="B22"/>
    </sheetView>
  </sheetViews>
  <sheetFormatPr baseColWidth="10" defaultRowHeight="16"/>
  <cols>
    <col min="1" max="1" width="87.5" customWidth="1"/>
    <col min="2" max="2" width="18.83203125" customWidth="1"/>
    <col min="3" max="3" width="17.83203125" customWidth="1"/>
  </cols>
  <sheetData>
    <row r="1" spans="1:3" ht="93" customHeight="1">
      <c r="A1" s="116" t="s">
        <v>88</v>
      </c>
      <c r="B1" s="117" t="s">
        <v>89</v>
      </c>
      <c r="C1" s="117" t="s">
        <v>90</v>
      </c>
    </row>
    <row r="2" spans="1:3" ht="24" customHeight="1">
      <c r="A2" s="118" t="s">
        <v>91</v>
      </c>
      <c r="B2" s="119" t="s">
        <v>92</v>
      </c>
      <c r="C2" s="119" t="s">
        <v>92</v>
      </c>
    </row>
    <row r="3" spans="1:3" ht="33" customHeight="1">
      <c r="A3" s="119" t="s">
        <v>93</v>
      </c>
      <c r="B3" s="120">
        <v>4529</v>
      </c>
      <c r="C3" s="120">
        <v>4827</v>
      </c>
    </row>
    <row r="4" spans="1:3" ht="27" customHeight="1">
      <c r="A4" s="119" t="s">
        <v>94</v>
      </c>
      <c r="B4" s="121">
        <v>18030</v>
      </c>
      <c r="C4" s="121">
        <v>24426</v>
      </c>
    </row>
    <row r="5" spans="1:3" ht="28" customHeight="1">
      <c r="A5" s="119" t="s">
        <v>95</v>
      </c>
      <c r="B5" s="121">
        <v>7469</v>
      </c>
      <c r="C5" s="121">
        <v>9457</v>
      </c>
    </row>
    <row r="6" spans="1:3" ht="34" customHeight="1">
      <c r="A6" s="119" t="s">
        <v>96</v>
      </c>
      <c r="B6" s="121">
        <v>12831</v>
      </c>
      <c r="C6" s="121">
        <v>10776</v>
      </c>
    </row>
    <row r="7" spans="1:3" ht="28" customHeight="1">
      <c r="A7" s="119" t="s">
        <v>97</v>
      </c>
      <c r="B7" s="121">
        <v>56</v>
      </c>
      <c r="C7" s="121">
        <v>6942</v>
      </c>
    </row>
    <row r="8" spans="1:3" ht="28" customHeight="1">
      <c r="A8" s="119" t="s">
        <v>98</v>
      </c>
      <c r="B8" s="121">
        <v>6348</v>
      </c>
      <c r="C8" s="121">
        <v>2130</v>
      </c>
    </row>
    <row r="9" spans="1:3" ht="29" customHeight="1">
      <c r="A9" s="119" t="s">
        <v>99</v>
      </c>
      <c r="B9" s="121">
        <v>49263</v>
      </c>
      <c r="C9" s="121">
        <v>58558</v>
      </c>
    </row>
    <row r="10" spans="1:3" ht="30" customHeight="1">
      <c r="A10" s="119" t="s">
        <v>100</v>
      </c>
      <c r="B10" s="121">
        <v>75763</v>
      </c>
      <c r="C10" s="121">
        <v>63245</v>
      </c>
    </row>
    <row r="11" spans="1:3" ht="26" customHeight="1">
      <c r="A11" s="119" t="s">
        <v>101</v>
      </c>
      <c r="B11" s="121">
        <v>5822</v>
      </c>
      <c r="C11" s="121">
        <v>6298</v>
      </c>
    </row>
    <row r="12" spans="1:3" ht="25" customHeight="1">
      <c r="A12" s="119" t="s">
        <v>102</v>
      </c>
      <c r="B12" s="121">
        <v>27591</v>
      </c>
      <c r="C12" s="121">
        <v>26963</v>
      </c>
    </row>
    <row r="13" spans="1:3" ht="29" customHeight="1">
      <c r="A13" s="119" t="s">
        <v>103</v>
      </c>
      <c r="B13" s="121">
        <v>6268</v>
      </c>
      <c r="C13" s="121">
        <v>7270</v>
      </c>
    </row>
    <row r="14" spans="1:3" ht="24" customHeight="1">
      <c r="A14" s="119" t="s">
        <v>104</v>
      </c>
      <c r="B14" s="121">
        <v>10134</v>
      </c>
      <c r="C14" s="121">
        <v>6072</v>
      </c>
    </row>
    <row r="15" spans="1:3" ht="25" customHeight="1">
      <c r="A15" s="119" t="s">
        <v>105</v>
      </c>
      <c r="B15" s="121">
        <v>174841</v>
      </c>
      <c r="C15" s="121">
        <v>168406</v>
      </c>
    </row>
    <row r="16" spans="1:3" ht="27" customHeight="1">
      <c r="A16" s="118" t="s">
        <v>106</v>
      </c>
      <c r="B16" s="119" t="s">
        <v>92</v>
      </c>
      <c r="C16" s="119" t="s">
        <v>92</v>
      </c>
    </row>
    <row r="17" spans="1:3" ht="24" customHeight="1">
      <c r="A17" s="119" t="s">
        <v>107</v>
      </c>
      <c r="B17" s="121">
        <v>2283</v>
      </c>
      <c r="C17" s="121">
        <v>4591</v>
      </c>
    </row>
    <row r="18" spans="1:3" ht="30" customHeight="1">
      <c r="A18" s="119" t="s">
        <v>108</v>
      </c>
      <c r="B18" s="121">
        <v>7133</v>
      </c>
      <c r="C18" s="121">
        <v>5747</v>
      </c>
    </row>
    <row r="19" spans="1:3" ht="32" customHeight="1">
      <c r="A19" s="119" t="s">
        <v>109</v>
      </c>
      <c r="B19" s="121">
        <v>3421</v>
      </c>
      <c r="C19" s="121">
        <v>4535</v>
      </c>
    </row>
    <row r="20" spans="1:3" ht="30" customHeight="1">
      <c r="A20" s="119" t="s">
        <v>110</v>
      </c>
      <c r="B20" s="121">
        <v>14976</v>
      </c>
      <c r="C20" s="121">
        <v>12589</v>
      </c>
    </row>
    <row r="21" spans="1:3" ht="29" customHeight="1">
      <c r="A21" s="119" t="s">
        <v>111</v>
      </c>
      <c r="B21" s="121">
        <v>27813</v>
      </c>
      <c r="C21" s="121">
        <v>27462</v>
      </c>
    </row>
    <row r="22" spans="1:3" ht="29" customHeight="1">
      <c r="A22" s="119" t="s">
        <v>112</v>
      </c>
      <c r="B22" s="121">
        <v>37240</v>
      </c>
      <c r="C22" s="121">
        <v>33510</v>
      </c>
    </row>
    <row r="23" spans="1:3" ht="29" customHeight="1">
      <c r="A23" s="119" t="s">
        <v>113</v>
      </c>
      <c r="B23" s="121">
        <v>3782</v>
      </c>
      <c r="C23" s="121">
        <v>4305</v>
      </c>
    </row>
    <row r="24" spans="1:3" ht="26" customHeight="1">
      <c r="A24" s="119" t="s">
        <v>114</v>
      </c>
      <c r="B24" s="121">
        <v>361</v>
      </c>
      <c r="C24" s="121">
        <v>2667</v>
      </c>
    </row>
    <row r="25" spans="1:3" ht="27" customHeight="1">
      <c r="A25" s="119" t="s">
        <v>115</v>
      </c>
      <c r="B25" s="121">
        <v>5760</v>
      </c>
      <c r="C25" s="121">
        <v>5071</v>
      </c>
    </row>
    <row r="26" spans="1:3" ht="29" customHeight="1">
      <c r="A26" s="119" t="s">
        <v>116</v>
      </c>
      <c r="B26" s="119" t="s">
        <v>47</v>
      </c>
      <c r="C26" s="119" t="s">
        <v>47</v>
      </c>
    </row>
    <row r="27" spans="1:3" ht="27" customHeight="1">
      <c r="A27" s="118" t="s">
        <v>117</v>
      </c>
      <c r="B27" s="119" t="s">
        <v>92</v>
      </c>
      <c r="C27" s="119" t="s">
        <v>92</v>
      </c>
    </row>
    <row r="28" spans="1:3" ht="39" customHeight="1">
      <c r="A28" s="127" t="s">
        <v>118</v>
      </c>
      <c r="B28" s="121">
        <v>30912</v>
      </c>
      <c r="C28" s="121">
        <v>28006</v>
      </c>
    </row>
    <row r="29" spans="1:3" ht="28" customHeight="1">
      <c r="A29" s="119" t="s">
        <v>119</v>
      </c>
      <c r="B29" s="121">
        <v>-2051</v>
      </c>
      <c r="C29" s="121">
        <v>-880</v>
      </c>
    </row>
    <row r="30" spans="1:3" ht="27" customHeight="1">
      <c r="A30" s="119" t="s">
        <v>120</v>
      </c>
      <c r="B30" s="121">
        <v>71024</v>
      </c>
      <c r="C30" s="121">
        <v>68265</v>
      </c>
    </row>
    <row r="31" spans="1:3" ht="29" customHeight="1">
      <c r="A31" s="119" t="s">
        <v>121</v>
      </c>
      <c r="B31" s="121">
        <v>99885</v>
      </c>
      <c r="C31" s="121">
        <v>95391</v>
      </c>
    </row>
    <row r="32" spans="1:3" ht="26" customHeight="1">
      <c r="A32" s="119" t="s">
        <v>122</v>
      </c>
      <c r="B32" s="120">
        <v>174841</v>
      </c>
      <c r="C32" s="120">
        <v>168406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2384-680C-654E-9C82-A947695FE7E2}">
  <sheetPr>
    <pageSetUpPr fitToPage="1"/>
  </sheetPr>
  <dimension ref="B2:M66"/>
  <sheetViews>
    <sheetView showGridLines="0" zoomScale="84" workbookViewId="0">
      <selection activeCell="L19" sqref="L19"/>
    </sheetView>
  </sheetViews>
  <sheetFormatPr baseColWidth="10" defaultRowHeight="16"/>
  <cols>
    <col min="1" max="1" width="2.5" style="12" customWidth="1"/>
    <col min="2" max="6" width="14.1640625" style="12" customWidth="1"/>
    <col min="7" max="7" width="6.6640625" style="12" customWidth="1"/>
    <col min="8" max="12" width="12" style="12" customWidth="1"/>
    <col min="13" max="16384" width="10.83203125" style="12"/>
  </cols>
  <sheetData>
    <row r="2" spans="2:13" ht="26">
      <c r="B2" s="52" t="s">
        <v>79</v>
      </c>
      <c r="C2" s="10"/>
      <c r="D2" s="11"/>
      <c r="E2" s="11"/>
      <c r="F2" s="11"/>
      <c r="G2" s="10"/>
      <c r="H2" s="10"/>
      <c r="I2" s="10"/>
      <c r="J2" s="10"/>
      <c r="K2" s="10"/>
      <c r="L2" s="10"/>
    </row>
    <row r="4" spans="2:13" ht="21">
      <c r="B4" s="37" t="s">
        <v>48</v>
      </c>
      <c r="C4" s="38"/>
      <c r="D4" s="38"/>
      <c r="E4" s="15"/>
      <c r="F4" s="15"/>
      <c r="H4" s="37" t="s">
        <v>26</v>
      </c>
      <c r="I4" s="15"/>
      <c r="J4" s="38"/>
      <c r="K4" s="15"/>
      <c r="L4" s="9"/>
    </row>
    <row r="5" spans="2:13">
      <c r="B5" s="106" t="s">
        <v>9</v>
      </c>
      <c r="C5" s="146" t="s">
        <v>25</v>
      </c>
      <c r="D5" s="147"/>
      <c r="E5" s="148" t="s">
        <v>80</v>
      </c>
      <c r="F5" s="146"/>
    </row>
    <row r="6" spans="2:13" ht="19">
      <c r="B6" s="107" t="s">
        <v>10</v>
      </c>
      <c r="C6" s="108" t="s">
        <v>11</v>
      </c>
      <c r="D6" s="109" t="s">
        <v>5</v>
      </c>
      <c r="E6" s="108" t="s">
        <v>11</v>
      </c>
      <c r="F6" s="108" t="s">
        <v>5</v>
      </c>
      <c r="H6" s="14" t="s">
        <v>77</v>
      </c>
      <c r="I6" s="15"/>
      <c r="J6" s="16"/>
      <c r="K6" s="15"/>
      <c r="L6" s="15"/>
    </row>
    <row r="7" spans="2:13">
      <c r="B7" s="110">
        <v>43070</v>
      </c>
      <c r="C7" s="112">
        <v>244.886337</v>
      </c>
      <c r="D7" s="103"/>
      <c r="E7" s="112">
        <v>40.186686999999999</v>
      </c>
      <c r="F7" s="104"/>
      <c r="H7" s="12" t="s">
        <v>53</v>
      </c>
      <c r="K7" s="13"/>
      <c r="L7" s="49">
        <v>4.2259999999999999E-2</v>
      </c>
      <c r="M7" s="23" t="s">
        <v>81</v>
      </c>
    </row>
    <row r="8" spans="2:13">
      <c r="B8" s="111">
        <v>43101</v>
      </c>
      <c r="C8" s="113">
        <v>260.010223</v>
      </c>
      <c r="D8" s="21">
        <f>C8/C7-1</f>
        <v>6.1758798736084586E-2</v>
      </c>
      <c r="E8" s="113">
        <v>41.910460999999998</v>
      </c>
      <c r="F8" s="22">
        <f>E8/E7-1</f>
        <v>4.2894155469944462E-2</v>
      </c>
      <c r="H8" s="12" t="s">
        <v>54</v>
      </c>
      <c r="K8" s="13"/>
      <c r="L8" s="49">
        <v>8.5000000000000006E-2</v>
      </c>
      <c r="M8" s="23" t="s">
        <v>82</v>
      </c>
    </row>
    <row r="9" spans="2:13">
      <c r="B9" s="111">
        <v>43132</v>
      </c>
      <c r="C9" s="113">
        <v>250.55616800000001</v>
      </c>
      <c r="D9" s="21">
        <f t="shared" ref="D9:D66" si="0">C9/C8-1</f>
        <v>-3.6360320340173669E-2</v>
      </c>
      <c r="E9" s="113">
        <v>42.911651999999997</v>
      </c>
      <c r="F9" s="22">
        <f t="shared" ref="F9:F66" si="1">E9/E8-1</f>
        <v>2.3888809049368298E-2</v>
      </c>
      <c r="H9" s="12" t="s">
        <v>55</v>
      </c>
      <c r="K9" s="13"/>
      <c r="L9" s="49">
        <f>L8-L7</f>
        <v>4.2740000000000007E-2</v>
      </c>
    </row>
    <row r="10" spans="2:13">
      <c r="B10" s="111">
        <v>43160</v>
      </c>
      <c r="C10" s="113">
        <v>242.71618699999999</v>
      </c>
      <c r="D10" s="21">
        <f t="shared" si="0"/>
        <v>-3.1290313316094553E-2</v>
      </c>
      <c r="E10" s="113">
        <v>45.648223999999999</v>
      </c>
      <c r="F10" s="22">
        <f t="shared" si="1"/>
        <v>6.3772236035098517E-2</v>
      </c>
      <c r="H10" s="12" t="s">
        <v>83</v>
      </c>
      <c r="K10" s="13"/>
      <c r="L10" s="50">
        <f>SLOPE(F8:F66,D8:D66)</f>
        <v>0.68989929796701832</v>
      </c>
    </row>
    <row r="11" spans="2:13">
      <c r="B11" s="111">
        <v>43191</v>
      </c>
      <c r="C11" s="113">
        <v>244.94773900000001</v>
      </c>
      <c r="D11" s="21">
        <f t="shared" si="0"/>
        <v>9.1940798328380424E-3</v>
      </c>
      <c r="E11" s="113">
        <v>45.245029000000002</v>
      </c>
      <c r="F11" s="22">
        <f t="shared" si="1"/>
        <v>-8.8326546942986139E-3</v>
      </c>
      <c r="H11" s="15" t="s">
        <v>56</v>
      </c>
      <c r="I11" s="15"/>
      <c r="J11" s="15"/>
      <c r="K11" s="17"/>
      <c r="L11" s="51">
        <f>L10*L9</f>
        <v>2.9486295995110368E-2</v>
      </c>
    </row>
    <row r="12" spans="2:13" ht="19">
      <c r="B12" s="111">
        <v>43221</v>
      </c>
      <c r="C12" s="113">
        <v>250.90216100000001</v>
      </c>
      <c r="D12" s="21">
        <f t="shared" si="0"/>
        <v>2.4308948612095538E-2</v>
      </c>
      <c r="E12" s="113">
        <v>48.382904000000003</v>
      </c>
      <c r="F12" s="22">
        <f t="shared" si="1"/>
        <v>6.9352922726604982E-2</v>
      </c>
      <c r="G12" s="23"/>
      <c r="H12" s="18" t="s">
        <v>57</v>
      </c>
      <c r="I12" s="19"/>
      <c r="J12" s="19"/>
      <c r="K12" s="19"/>
      <c r="L12" s="20">
        <f>L7+(L8-L7)*L10</f>
        <v>7.1746295995110371E-2</v>
      </c>
      <c r="M12" s="114" t="s">
        <v>84</v>
      </c>
    </row>
    <row r="13" spans="2:13">
      <c r="B13" s="111">
        <v>43252</v>
      </c>
      <c r="C13" s="113">
        <v>251.21704099999999</v>
      </c>
      <c r="D13" s="21">
        <f t="shared" si="0"/>
        <v>1.2549911835952887E-3</v>
      </c>
      <c r="E13" s="113">
        <v>43.822372000000001</v>
      </c>
      <c r="F13" s="22">
        <f t="shared" si="1"/>
        <v>-9.4259162285918241E-2</v>
      </c>
      <c r="G13" s="23"/>
    </row>
    <row r="14" spans="2:13">
      <c r="B14" s="111">
        <v>43282</v>
      </c>
      <c r="C14" s="113">
        <v>261.69363399999997</v>
      </c>
      <c r="D14" s="21">
        <f t="shared" si="0"/>
        <v>4.1703353237091845E-2</v>
      </c>
      <c r="E14" s="113">
        <v>42.403056999999997</v>
      </c>
      <c r="F14" s="22">
        <f t="shared" si="1"/>
        <v>-3.2387909079864552E-2</v>
      </c>
      <c r="H14" s="4" t="s">
        <v>51</v>
      </c>
    </row>
    <row r="15" spans="2:13">
      <c r="B15" s="111">
        <v>43313</v>
      </c>
      <c r="C15" s="113">
        <v>270.046783</v>
      </c>
      <c r="D15" s="21">
        <f t="shared" si="0"/>
        <v>3.1919572793276396E-2</v>
      </c>
      <c r="E15" s="113">
        <v>42.693981000000001</v>
      </c>
      <c r="F15" s="22">
        <f t="shared" si="1"/>
        <v>6.8609204284493241E-3</v>
      </c>
      <c r="H15" s="4" t="s">
        <v>52</v>
      </c>
    </row>
    <row r="16" spans="2:13">
      <c r="B16" s="111">
        <v>43344</v>
      </c>
      <c r="C16" s="113">
        <v>270.428223</v>
      </c>
      <c r="D16" s="21">
        <f t="shared" si="0"/>
        <v>1.4124959970360784E-3</v>
      </c>
      <c r="E16" s="113">
        <v>41.942532</v>
      </c>
      <c r="F16" s="22">
        <f t="shared" si="1"/>
        <v>-1.7600818251172212E-2</v>
      </c>
    </row>
    <row r="17" spans="2:13" s="19" customFormat="1" ht="19">
      <c r="B17" s="111">
        <v>43374</v>
      </c>
      <c r="C17" s="113">
        <v>252.880066</v>
      </c>
      <c r="D17" s="21">
        <f t="shared" si="0"/>
        <v>-6.4890257404827123E-2</v>
      </c>
      <c r="E17" s="113">
        <v>41.578887999999999</v>
      </c>
      <c r="F17" s="22">
        <f t="shared" si="1"/>
        <v>-8.6700535866551798E-3</v>
      </c>
      <c r="H17" s="5" t="s">
        <v>28</v>
      </c>
      <c r="I17" s="15"/>
      <c r="J17" s="15"/>
      <c r="K17" s="15"/>
      <c r="L17" s="2"/>
      <c r="M17" s="12"/>
    </row>
    <row r="18" spans="2:13">
      <c r="B18" s="111">
        <v>43405</v>
      </c>
      <c r="C18" s="113">
        <v>257.57074</v>
      </c>
      <c r="D18" s="21">
        <f t="shared" si="0"/>
        <v>1.8549006547633473E-2</v>
      </c>
      <c r="E18" s="113">
        <v>43.734116</v>
      </c>
      <c r="F18" s="22">
        <f t="shared" si="1"/>
        <v>5.183467148039167E-2</v>
      </c>
      <c r="H18" s="1" t="s">
        <v>58</v>
      </c>
      <c r="L18" s="115">
        <v>29.89</v>
      </c>
      <c r="M18" s="23" t="s">
        <v>86</v>
      </c>
    </row>
    <row r="19" spans="2:13">
      <c r="B19" s="111">
        <v>43435</v>
      </c>
      <c r="C19" s="113">
        <v>233.528381</v>
      </c>
      <c r="D19" s="21">
        <f t="shared" si="0"/>
        <v>-9.3342741493074866E-2</v>
      </c>
      <c r="E19" s="113">
        <v>41.885181000000003</v>
      </c>
      <c r="F19" s="22">
        <f t="shared" si="1"/>
        <v>-4.2276720535519674E-2</v>
      </c>
      <c r="H19" s="1" t="s">
        <v>59</v>
      </c>
      <c r="L19" s="43">
        <v>4125</v>
      </c>
      <c r="M19" s="23" t="s">
        <v>85</v>
      </c>
    </row>
    <row r="20" spans="2:13">
      <c r="B20" s="111">
        <v>43466</v>
      </c>
      <c r="C20" s="113">
        <v>253.698837</v>
      </c>
      <c r="D20" s="21">
        <f t="shared" si="0"/>
        <v>8.6372610959007945E-2</v>
      </c>
      <c r="E20" s="113">
        <v>42.054763999999999</v>
      </c>
      <c r="F20" s="22">
        <f t="shared" si="1"/>
        <v>4.0487589154740711E-3</v>
      </c>
      <c r="H20" s="3" t="s">
        <v>62</v>
      </c>
      <c r="I20" s="15"/>
      <c r="J20" s="15"/>
      <c r="K20" s="15"/>
      <c r="L20" s="44">
        <v>0.06</v>
      </c>
      <c r="M20" s="23" t="s">
        <v>87</v>
      </c>
    </row>
    <row r="21" spans="2:13">
      <c r="B21" s="111">
        <v>43497</v>
      </c>
      <c r="C21" s="113">
        <v>261.92269900000002</v>
      </c>
      <c r="D21" s="21">
        <f t="shared" si="0"/>
        <v>3.2415844302825958E-2</v>
      </c>
      <c r="E21" s="113">
        <v>47.266975000000002</v>
      </c>
      <c r="F21" s="22">
        <f t="shared" si="1"/>
        <v>0.12393865769880441</v>
      </c>
      <c r="H21" s="1" t="s">
        <v>60</v>
      </c>
      <c r="L21" s="43">
        <f>'Consolidated Condensed Balance '!B22</f>
        <v>37240</v>
      </c>
      <c r="M21" s="12" t="s">
        <v>126</v>
      </c>
    </row>
    <row r="22" spans="2:13">
      <c r="B22" s="111">
        <v>43525</v>
      </c>
      <c r="C22" s="113">
        <v>265.49420199999997</v>
      </c>
      <c r="D22" s="21">
        <f t="shared" si="0"/>
        <v>1.3635713947800943E-2</v>
      </c>
      <c r="E22" s="113">
        <v>48.231228000000002</v>
      </c>
      <c r="F22" s="22">
        <f t="shared" si="1"/>
        <v>2.0400141959581619E-2</v>
      </c>
      <c r="H22" s="1" t="s">
        <v>61</v>
      </c>
      <c r="L22" s="43">
        <f>L18*L19</f>
        <v>123296.25</v>
      </c>
    </row>
    <row r="23" spans="2:13">
      <c r="B23" s="111">
        <v>43556</v>
      </c>
      <c r="C23" s="113">
        <v>277.557526</v>
      </c>
      <c r="D23" s="21">
        <f t="shared" si="0"/>
        <v>4.5437240847918892E-2</v>
      </c>
      <c r="E23" s="113">
        <v>45.842120999999999</v>
      </c>
      <c r="F23" s="22">
        <f t="shared" si="1"/>
        <v>-4.9534442705875148E-2</v>
      </c>
      <c r="H23" s="3" t="s">
        <v>66</v>
      </c>
      <c r="I23" s="15"/>
      <c r="J23" s="15"/>
      <c r="K23" s="15"/>
      <c r="L23" s="45">
        <f>L22+L21</f>
        <v>160536.25</v>
      </c>
    </row>
    <row r="24" spans="2:13">
      <c r="B24" s="111">
        <v>43586</v>
      </c>
      <c r="C24" s="113">
        <v>259.85732999999999</v>
      </c>
      <c r="D24" s="21">
        <f t="shared" si="0"/>
        <v>-6.3771270248316081E-2</v>
      </c>
      <c r="E24" s="113">
        <v>39.555</v>
      </c>
      <c r="F24" s="22">
        <f t="shared" si="1"/>
        <v>-0.13714725372327341</v>
      </c>
      <c r="H24" s="1" t="s">
        <v>63</v>
      </c>
      <c r="L24" s="46">
        <v>4.4900000000000002E-2</v>
      </c>
      <c r="M24" s="23" t="s">
        <v>123</v>
      </c>
    </row>
    <row r="25" spans="2:13">
      <c r="B25" s="111">
        <v>43617</v>
      </c>
      <c r="C25" s="113">
        <v>276.59457400000002</v>
      </c>
      <c r="D25" s="21">
        <f t="shared" si="0"/>
        <v>6.4409358781605475E-2</v>
      </c>
      <c r="E25" s="113">
        <v>43.258265999999999</v>
      </c>
      <c r="F25" s="22">
        <f t="shared" si="1"/>
        <v>9.362320819112635E-2</v>
      </c>
      <c r="H25" s="3" t="s">
        <v>64</v>
      </c>
      <c r="I25" s="15"/>
      <c r="J25" s="15"/>
      <c r="K25" s="15"/>
      <c r="L25" s="47">
        <f>L12</f>
        <v>7.1746295995110371E-2</v>
      </c>
      <c r="M25" s="12" t="s">
        <v>201</v>
      </c>
    </row>
    <row r="26" spans="2:13" ht="19">
      <c r="B26" s="111">
        <v>43647</v>
      </c>
      <c r="C26" s="113">
        <v>282.14211999999998</v>
      </c>
      <c r="D26" s="21">
        <f t="shared" si="0"/>
        <v>2.0056597350315064E-2</v>
      </c>
      <c r="E26" s="113">
        <v>45.680076999999997</v>
      </c>
      <c r="F26" s="22">
        <f t="shared" si="1"/>
        <v>5.5984930140288158E-2</v>
      </c>
      <c r="H26" s="6" t="s">
        <v>65</v>
      </c>
      <c r="L26" s="48">
        <f>L22/L23*L25+L21/L23*L24*(1-L20)</f>
        <v>6.4893758808911559E-2</v>
      </c>
    </row>
    <row r="27" spans="2:13">
      <c r="B27" s="111">
        <v>43678</v>
      </c>
      <c r="C27" s="113">
        <v>277.41815200000002</v>
      </c>
      <c r="D27" s="21">
        <f t="shared" si="0"/>
        <v>-1.6743221465834179E-2</v>
      </c>
      <c r="E27" s="113">
        <v>42.842582999999998</v>
      </c>
      <c r="F27" s="22">
        <f t="shared" si="1"/>
        <v>-6.211666412033412E-2</v>
      </c>
    </row>
    <row r="28" spans="2:13">
      <c r="B28" s="111">
        <v>43709</v>
      </c>
      <c r="C28" s="113">
        <v>281.51611300000002</v>
      </c>
      <c r="D28" s="21">
        <f t="shared" si="0"/>
        <v>1.4771783931427862E-2</v>
      </c>
      <c r="E28" s="113">
        <v>46.880054000000001</v>
      </c>
      <c r="F28" s="22">
        <f t="shared" si="1"/>
        <v>9.4239672710676681E-2</v>
      </c>
    </row>
    <row r="29" spans="2:13">
      <c r="B29" s="111">
        <v>43739</v>
      </c>
      <c r="C29" s="113">
        <v>289.06768799999998</v>
      </c>
      <c r="D29" s="21">
        <f t="shared" si="0"/>
        <v>2.6824663496259449E-2</v>
      </c>
      <c r="E29" s="113">
        <v>51.428863999999997</v>
      </c>
      <c r="F29" s="22">
        <f t="shared" si="1"/>
        <v>9.7030818266548913E-2</v>
      </c>
    </row>
    <row r="30" spans="2:13">
      <c r="B30" s="111">
        <v>43770</v>
      </c>
      <c r="C30" s="113">
        <v>299.53146400000003</v>
      </c>
      <c r="D30" s="21">
        <f t="shared" si="0"/>
        <v>3.6198359188454265E-2</v>
      </c>
      <c r="E30" s="113">
        <v>52.811717999999999</v>
      </c>
      <c r="F30" s="22">
        <f t="shared" si="1"/>
        <v>2.688867481109436E-2</v>
      </c>
    </row>
    <row r="31" spans="2:13">
      <c r="B31" s="111">
        <v>43800</v>
      </c>
      <c r="C31" s="113">
        <v>306.72644000000003</v>
      </c>
      <c r="D31" s="21">
        <f t="shared" si="0"/>
        <v>2.4020768649533286E-2</v>
      </c>
      <c r="E31" s="113">
        <v>54.748955000000002</v>
      </c>
      <c r="F31" s="22">
        <f t="shared" si="1"/>
        <v>3.6681953804267531E-2</v>
      </c>
    </row>
    <row r="32" spans="2:13">
      <c r="B32" s="111">
        <v>43831</v>
      </c>
      <c r="C32" s="113">
        <v>308.11001599999997</v>
      </c>
      <c r="D32" s="21">
        <f t="shared" si="0"/>
        <v>4.510781659383456E-3</v>
      </c>
      <c r="E32" s="113">
        <v>58.481205000000003</v>
      </c>
      <c r="F32" s="22">
        <f t="shared" si="1"/>
        <v>6.8170250920771114E-2</v>
      </c>
    </row>
    <row r="33" spans="2:6">
      <c r="B33" s="111">
        <v>43862</v>
      </c>
      <c r="C33" s="113">
        <v>283.718231</v>
      </c>
      <c r="D33" s="21">
        <f t="shared" si="0"/>
        <v>-7.9165829519803665E-2</v>
      </c>
      <c r="E33" s="113">
        <v>50.788001999999999</v>
      </c>
      <c r="F33" s="22">
        <f t="shared" si="1"/>
        <v>-0.13155000824623919</v>
      </c>
    </row>
    <row r="34" spans="2:6">
      <c r="B34" s="111">
        <v>43891</v>
      </c>
      <c r="C34" s="113">
        <v>246.83847</v>
      </c>
      <c r="D34" s="21">
        <f t="shared" si="0"/>
        <v>-0.12998727952734201</v>
      </c>
      <c r="E34" s="113">
        <v>49.751128999999999</v>
      </c>
      <c r="F34" s="22">
        <f t="shared" si="1"/>
        <v>-2.0415707631105451E-2</v>
      </c>
    </row>
    <row r="35" spans="2:6">
      <c r="B35" s="111">
        <v>43922</v>
      </c>
      <c r="C35" s="113">
        <v>279.81866500000001</v>
      </c>
      <c r="D35" s="21">
        <f t="shared" si="0"/>
        <v>0.13361043357625735</v>
      </c>
      <c r="E35" s="113">
        <v>55.138072999999999</v>
      </c>
      <c r="F35" s="22">
        <f t="shared" si="1"/>
        <v>0.10827782420776821</v>
      </c>
    </row>
    <row r="36" spans="2:6">
      <c r="B36" s="111">
        <v>43952</v>
      </c>
      <c r="C36" s="113">
        <v>293.15069599999998</v>
      </c>
      <c r="D36" s="21">
        <f t="shared" si="0"/>
        <v>4.7645252685341699E-2</v>
      </c>
      <c r="E36" s="113">
        <v>57.849930000000001</v>
      </c>
      <c r="F36" s="22">
        <f t="shared" si="1"/>
        <v>4.9183020959038704E-2</v>
      </c>
    </row>
    <row r="37" spans="2:6">
      <c r="B37" s="111">
        <v>43983</v>
      </c>
      <c r="C37" s="113">
        <v>297.042419</v>
      </c>
      <c r="D37" s="21">
        <f t="shared" si="0"/>
        <v>1.3275503190345539E-2</v>
      </c>
      <c r="E37" s="113">
        <v>55.310862999999998</v>
      </c>
      <c r="F37" s="22">
        <f t="shared" si="1"/>
        <v>-4.3890580334323692E-2</v>
      </c>
    </row>
    <row r="38" spans="2:6">
      <c r="B38" s="111">
        <v>44013</v>
      </c>
      <c r="C38" s="113">
        <v>315.920074</v>
      </c>
      <c r="D38" s="21">
        <f t="shared" si="0"/>
        <v>6.3552051129774911E-2</v>
      </c>
      <c r="E38" s="113">
        <v>44.124813000000003</v>
      </c>
      <c r="F38" s="22">
        <f t="shared" si="1"/>
        <v>-0.20223965769617436</v>
      </c>
    </row>
    <row r="39" spans="2:6">
      <c r="B39" s="111">
        <v>44044</v>
      </c>
      <c r="C39" s="113">
        <v>337.97024499999998</v>
      </c>
      <c r="D39" s="21">
        <f t="shared" si="0"/>
        <v>6.9796675851626855E-2</v>
      </c>
      <c r="E39" s="113">
        <v>47.101601000000002</v>
      </c>
      <c r="F39" s="22">
        <f t="shared" si="1"/>
        <v>6.7462903468848756E-2</v>
      </c>
    </row>
    <row r="40" spans="2:6">
      <c r="B40" s="111">
        <v>44075</v>
      </c>
      <c r="C40" s="113">
        <v>324.018372</v>
      </c>
      <c r="D40" s="21">
        <f t="shared" si="0"/>
        <v>-4.1281364872815862E-2</v>
      </c>
      <c r="E40" s="113">
        <v>48.194007999999997</v>
      </c>
      <c r="F40" s="22">
        <f t="shared" si="1"/>
        <v>2.3192566214468968E-2</v>
      </c>
    </row>
    <row r="41" spans="2:6">
      <c r="B41" s="111">
        <v>44105</v>
      </c>
      <c r="C41" s="113">
        <v>317.20416299999999</v>
      </c>
      <c r="D41" s="21">
        <f t="shared" si="0"/>
        <v>-2.1030316762408741E-2</v>
      </c>
      <c r="E41" s="113">
        <v>41.213413000000003</v>
      </c>
      <c r="F41" s="22">
        <f t="shared" si="1"/>
        <v>-0.14484362869342582</v>
      </c>
    </row>
    <row r="42" spans="2:6">
      <c r="B42" s="111">
        <v>44136</v>
      </c>
      <c r="C42" s="113">
        <v>351.70855699999998</v>
      </c>
      <c r="D42" s="21">
        <f t="shared" si="0"/>
        <v>0.1087766114847617</v>
      </c>
      <c r="E42" s="113">
        <v>45.001548999999997</v>
      </c>
      <c r="F42" s="22">
        <f t="shared" si="1"/>
        <v>9.191512481628239E-2</v>
      </c>
    </row>
    <row r="43" spans="2:6">
      <c r="B43" s="111">
        <v>44166</v>
      </c>
      <c r="C43" s="113">
        <v>363.19064300000002</v>
      </c>
      <c r="D43" s="21">
        <f t="shared" si="0"/>
        <v>3.2646592673035268E-2</v>
      </c>
      <c r="E43" s="113">
        <v>46.70702</v>
      </c>
      <c r="F43" s="22">
        <f t="shared" si="1"/>
        <v>3.7898051020421653E-2</v>
      </c>
    </row>
    <row r="44" spans="2:6">
      <c r="B44" s="111">
        <v>44197</v>
      </c>
      <c r="C44" s="113">
        <v>361.021973</v>
      </c>
      <c r="D44" s="21">
        <f t="shared" si="0"/>
        <v>-5.9711615422868292E-3</v>
      </c>
      <c r="E44" s="113">
        <v>52.041477</v>
      </c>
      <c r="F44" s="22">
        <f t="shared" si="1"/>
        <v>0.11421103294536872</v>
      </c>
    </row>
    <row r="45" spans="2:6">
      <c r="B45" s="111">
        <v>44228</v>
      </c>
      <c r="C45" s="113">
        <v>371.06036399999999</v>
      </c>
      <c r="D45" s="21">
        <f t="shared" si="0"/>
        <v>2.7805484847871043E-2</v>
      </c>
      <c r="E45" s="113">
        <v>56.982185000000001</v>
      </c>
      <c r="F45" s="22">
        <f t="shared" si="1"/>
        <v>9.4937889637529027E-2</v>
      </c>
    </row>
    <row r="46" spans="2:6">
      <c r="B46" s="111">
        <v>44256</v>
      </c>
      <c r="C46" s="113">
        <v>386.63989299999997</v>
      </c>
      <c r="D46" s="21">
        <f t="shared" si="0"/>
        <v>4.1986508157470626E-2</v>
      </c>
      <c r="E46" s="113">
        <v>60.365192</v>
      </c>
      <c r="F46" s="22">
        <f t="shared" si="1"/>
        <v>5.936955559004975E-2</v>
      </c>
    </row>
    <row r="47" spans="2:6">
      <c r="B47" s="111">
        <v>44287</v>
      </c>
      <c r="C47" s="113">
        <v>408.430542</v>
      </c>
      <c r="D47" s="21">
        <f t="shared" si="0"/>
        <v>5.6359029149638307E-2</v>
      </c>
      <c r="E47" s="113">
        <v>54.262645999999997</v>
      </c>
      <c r="F47" s="22">
        <f t="shared" si="1"/>
        <v>-0.10109378928174373</v>
      </c>
    </row>
    <row r="48" spans="2:6">
      <c r="B48" s="111">
        <v>44317</v>
      </c>
      <c r="C48" s="113">
        <v>411.11233499999997</v>
      </c>
      <c r="D48" s="21">
        <f t="shared" si="0"/>
        <v>6.566093188985711E-3</v>
      </c>
      <c r="E48" s="113">
        <v>53.875931000000001</v>
      </c>
      <c r="F48" s="22">
        <f t="shared" si="1"/>
        <v>-7.1267258142920786E-3</v>
      </c>
    </row>
    <row r="49" spans="2:6">
      <c r="B49" s="111">
        <v>44348</v>
      </c>
      <c r="C49" s="113">
        <v>418.96182299999998</v>
      </c>
      <c r="D49" s="21">
        <f t="shared" si="0"/>
        <v>1.9093292347941881E-2</v>
      </c>
      <c r="E49" s="113">
        <v>53.277721</v>
      </c>
      <c r="F49" s="22">
        <f t="shared" si="1"/>
        <v>-1.1103474016996628E-2</v>
      </c>
    </row>
    <row r="50" spans="2:6">
      <c r="B50" s="111">
        <v>44378</v>
      </c>
      <c r="C50" s="113">
        <v>430.59390300000001</v>
      </c>
      <c r="D50" s="21">
        <f t="shared" si="0"/>
        <v>2.7764057156109967E-2</v>
      </c>
      <c r="E50" s="113">
        <v>50.981110000000001</v>
      </c>
      <c r="F50" s="22">
        <f t="shared" si="1"/>
        <v>-4.3106404645198659E-2</v>
      </c>
    </row>
    <row r="51" spans="2:6">
      <c r="B51" s="111">
        <v>44409</v>
      </c>
      <c r="C51" s="113">
        <v>443.40832499999999</v>
      </c>
      <c r="D51" s="21">
        <f t="shared" si="0"/>
        <v>2.9759877951639258E-2</v>
      </c>
      <c r="E51" s="113">
        <v>51.303775999999999</v>
      </c>
      <c r="F51" s="22">
        <f t="shared" si="1"/>
        <v>6.3291285733086955E-3</v>
      </c>
    </row>
    <row r="52" spans="2:6">
      <c r="B52" s="111">
        <v>44440</v>
      </c>
      <c r="C52" s="113">
        <v>421.39306599999998</v>
      </c>
      <c r="D52" s="21">
        <f t="shared" si="0"/>
        <v>-4.9650080430943655E-2</v>
      </c>
      <c r="E52" s="113">
        <v>50.892116999999999</v>
      </c>
      <c r="F52" s="22">
        <f t="shared" si="1"/>
        <v>-8.023951297463916E-3</v>
      </c>
    </row>
    <row r="53" spans="2:6">
      <c r="B53" s="111">
        <v>44470</v>
      </c>
      <c r="C53" s="113">
        <v>452.40417500000001</v>
      </c>
      <c r="D53" s="21">
        <f t="shared" si="0"/>
        <v>7.359188250145543E-2</v>
      </c>
      <c r="E53" s="113">
        <v>46.803939999999997</v>
      </c>
      <c r="F53" s="22">
        <f t="shared" si="1"/>
        <v>-8.0330260185482172E-2</v>
      </c>
    </row>
    <row r="54" spans="2:6">
      <c r="B54" s="111">
        <v>44501</v>
      </c>
      <c r="C54" s="113">
        <v>448.769226</v>
      </c>
      <c r="D54" s="21">
        <f t="shared" si="0"/>
        <v>-8.0347379641224626E-3</v>
      </c>
      <c r="E54" s="113">
        <v>46.994971999999997</v>
      </c>
      <c r="F54" s="22">
        <f t="shared" si="1"/>
        <v>4.0815367253270729E-3</v>
      </c>
    </row>
    <row r="55" spans="2:6">
      <c r="B55" s="111">
        <v>44531</v>
      </c>
      <c r="C55" s="113">
        <v>467.88000499999998</v>
      </c>
      <c r="D55" s="21">
        <f t="shared" si="0"/>
        <v>4.2584869667511516E-2</v>
      </c>
      <c r="E55" s="113">
        <v>49.533980999999997</v>
      </c>
      <c r="F55" s="22">
        <f t="shared" si="1"/>
        <v>5.4027247851110571E-2</v>
      </c>
    </row>
    <row r="56" spans="2:6">
      <c r="B56" s="111">
        <v>44562</v>
      </c>
      <c r="C56" s="113">
        <v>444.76049799999998</v>
      </c>
      <c r="D56" s="21">
        <f t="shared" si="0"/>
        <v>-4.9413325538457231E-2</v>
      </c>
      <c r="E56" s="113">
        <v>46.956291</v>
      </c>
      <c r="F56" s="22">
        <f t="shared" si="1"/>
        <v>-5.203882159198947E-2</v>
      </c>
    </row>
    <row r="57" spans="2:6">
      <c r="B57" s="111">
        <v>44593</v>
      </c>
      <c r="C57" s="113">
        <v>431.63250699999998</v>
      </c>
      <c r="D57" s="21">
        <f t="shared" si="0"/>
        <v>-2.9516989613587508E-2</v>
      </c>
      <c r="E57" s="113">
        <v>45.879050999999997</v>
      </c>
      <c r="F57" s="22">
        <f t="shared" si="1"/>
        <v>-2.2941334953393233E-2</v>
      </c>
    </row>
    <row r="58" spans="2:6">
      <c r="B58" s="111">
        <v>44621</v>
      </c>
      <c r="C58" s="113">
        <v>446.47070300000001</v>
      </c>
      <c r="D58" s="21">
        <f t="shared" si="0"/>
        <v>3.4376919623433366E-2</v>
      </c>
      <c r="E58" s="113">
        <v>48.031162000000002</v>
      </c>
      <c r="F58" s="22">
        <f t="shared" si="1"/>
        <v>4.6908359111438536E-2</v>
      </c>
    </row>
    <row r="59" spans="2:6">
      <c r="B59" s="111">
        <v>44652</v>
      </c>
      <c r="C59" s="113">
        <v>408.54968300000002</v>
      </c>
      <c r="D59" s="21">
        <f t="shared" si="0"/>
        <v>-8.4935069076637726E-2</v>
      </c>
      <c r="E59" s="113">
        <v>42.245322999999999</v>
      </c>
      <c r="F59" s="22">
        <f t="shared" si="1"/>
        <v>-0.12046010879353708</v>
      </c>
    </row>
    <row r="60" spans="2:6">
      <c r="B60" s="111">
        <v>44682</v>
      </c>
      <c r="C60" s="113">
        <v>409.47189300000002</v>
      </c>
      <c r="D60" s="21">
        <f t="shared" si="0"/>
        <v>2.25727748269966E-3</v>
      </c>
      <c r="E60" s="113">
        <v>43.049725000000002</v>
      </c>
      <c r="F60" s="22">
        <f t="shared" si="1"/>
        <v>1.904120841968715E-2</v>
      </c>
    </row>
    <row r="61" spans="2:6">
      <c r="B61" s="111">
        <v>44713</v>
      </c>
      <c r="C61" s="113">
        <v>374.09069799999997</v>
      </c>
      <c r="D61" s="21">
        <f t="shared" si="0"/>
        <v>-8.6406895332374001E-2</v>
      </c>
      <c r="E61" s="113">
        <v>36.542560999999999</v>
      </c>
      <c r="F61" s="22">
        <f t="shared" si="1"/>
        <v>-0.15115460087143417</v>
      </c>
    </row>
    <row r="62" spans="2:6">
      <c r="B62" s="111">
        <v>44743</v>
      </c>
      <c r="C62" s="113">
        <v>410.30453499999999</v>
      </c>
      <c r="D62" s="21">
        <f t="shared" si="0"/>
        <v>9.6804965195900206E-2</v>
      </c>
      <c r="E62" s="113">
        <v>35.468066999999998</v>
      </c>
      <c r="F62" s="22">
        <f t="shared" si="1"/>
        <v>-2.9403905216166981E-2</v>
      </c>
    </row>
    <row r="63" spans="2:6">
      <c r="B63" s="111">
        <v>44774</v>
      </c>
      <c r="C63" s="113">
        <v>393.56329299999999</v>
      </c>
      <c r="D63" s="21">
        <f t="shared" si="0"/>
        <v>-4.0801991135681726E-2</v>
      </c>
      <c r="E63" s="113">
        <v>31.179859</v>
      </c>
      <c r="F63" s="22">
        <f t="shared" si="1"/>
        <v>-0.120903346663916</v>
      </c>
    </row>
    <row r="64" spans="2:6">
      <c r="B64" s="111">
        <v>44805</v>
      </c>
      <c r="C64" s="113">
        <v>355.71875</v>
      </c>
      <c r="D64" s="21">
        <f t="shared" si="0"/>
        <v>-9.6158721286032089E-2</v>
      </c>
      <c r="E64" s="113">
        <v>25.426587999999999</v>
      </c>
      <c r="F64" s="22">
        <f t="shared" si="1"/>
        <v>-0.18451882672080078</v>
      </c>
    </row>
    <row r="65" spans="2:6">
      <c r="B65" s="111">
        <v>44835</v>
      </c>
      <c r="C65" s="113">
        <v>386.209991</v>
      </c>
      <c r="D65" s="21">
        <f t="shared" si="0"/>
        <v>8.5717272423789792E-2</v>
      </c>
      <c r="E65" s="113">
        <v>28.05114</v>
      </c>
      <c r="F65" s="22">
        <f t="shared" si="1"/>
        <v>0.10322077032120869</v>
      </c>
    </row>
    <row r="66" spans="2:6">
      <c r="B66" s="111">
        <v>44866</v>
      </c>
      <c r="C66" s="113">
        <v>395.11999500000002</v>
      </c>
      <c r="D66" s="21">
        <f t="shared" si="0"/>
        <v>2.3070361222219171E-2</v>
      </c>
      <c r="E66" s="113">
        <v>29.136482000000001</v>
      </c>
      <c r="F66" s="22">
        <f t="shared" si="1"/>
        <v>3.8691546938912413E-2</v>
      </c>
    </row>
  </sheetData>
  <mergeCells count="2">
    <mergeCell ref="C5:D5"/>
    <mergeCell ref="E5:F5"/>
  </mergeCells>
  <hyperlinks>
    <hyperlink ref="M7" r:id="rId1" xr:uid="{0EE24C19-36BA-4F45-99F9-23476EA34392}"/>
    <hyperlink ref="M8" r:id="rId2" xr:uid="{D78B5507-5140-E54C-86D7-2F79EEB9F53E}"/>
    <hyperlink ref="M18" r:id="rId3" display="https://finance.yahoo.com/quote/INTC?p=INTC&amp;.tsrc=fin-srch&amp;guccounter=1&amp;guce_referrer=aHR0cHM6Ly9maW5hbmNlLnlhaG9vLmNvbS8&amp;guce_referrer_sig=AQAAANwr4z1YOBt-KhRyIBl_p7Jc2HKM_LeqlXxwGfB8BquRmg_c5yOYQZ3TDkBwzrFaqbYJs7cvNo2ZLlSQklon47m-PPJUw0XXmk19iO0g-oZ1_GzSW9mYOIfLnf1eX1q5PIJgmFIbmq5B21Kp3R5seUAeO_tWqhHRN89Dj-ULt0oo" xr:uid="{1796C60A-4A24-484D-AF93-C1F0128DC473}"/>
    <hyperlink ref="M19" r:id="rId4" xr:uid="{50DECB17-5947-D347-81CA-1AF5010E9270}"/>
    <hyperlink ref="M20" r:id="rId5" xr:uid="{59C92EDA-C9A4-CE48-9A22-46E082F9DF25}"/>
    <hyperlink ref="M24" r:id="rId6" xr:uid="{6237522F-485F-A74E-871C-C950003AA74B}"/>
  </hyperlinks>
  <pageMargins left="0.7" right="0.7" top="0.75" bottom="0.75" header="0.3" footer="0.3"/>
  <pageSetup scale="74" fitToHeight="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5018-7FF9-2947-82DB-67A63C6308F0}">
  <dimension ref="B2:T91"/>
  <sheetViews>
    <sheetView showGridLines="0" tabSelected="1" topLeftCell="E69" zoomScale="106" zoomScaleNormal="134" workbookViewId="0">
      <selection activeCell="H80" sqref="H80"/>
    </sheetView>
  </sheetViews>
  <sheetFormatPr baseColWidth="10" defaultRowHeight="16"/>
  <cols>
    <col min="1" max="1" width="2" style="1" customWidth="1"/>
    <col min="2" max="2" width="49.83203125" style="1" customWidth="1"/>
    <col min="3" max="3" width="11" style="1" customWidth="1"/>
    <col min="4" max="7" width="13" style="1" customWidth="1"/>
    <col min="8" max="9" width="15.1640625" style="1" customWidth="1"/>
    <col min="10" max="10" width="5" style="1" customWidth="1"/>
    <col min="11" max="11" width="51.83203125" style="1" customWidth="1"/>
    <col min="12" max="12" width="16.1640625" style="1" customWidth="1"/>
    <col min="13" max="17" width="12.83203125" style="1" customWidth="1"/>
    <col min="18" max="18" width="15.5" style="4" customWidth="1"/>
    <col min="19" max="16384" width="10.83203125" style="1"/>
  </cols>
  <sheetData>
    <row r="2" spans="2:20" ht="30" customHeight="1">
      <c r="B2" s="57" t="s">
        <v>76</v>
      </c>
      <c r="C2" s="57"/>
      <c r="D2" s="58"/>
      <c r="E2" s="58"/>
      <c r="F2" s="58"/>
      <c r="G2" s="58"/>
      <c r="H2" s="58"/>
      <c r="I2" s="58"/>
      <c r="J2" s="59"/>
      <c r="K2" s="59"/>
      <c r="L2" s="58"/>
      <c r="M2" s="58"/>
      <c r="N2" s="58"/>
      <c r="O2" s="58"/>
      <c r="P2" s="58"/>
      <c r="Q2" s="24"/>
    </row>
    <row r="3" spans="2:20" ht="19">
      <c r="K3" s="25"/>
    </row>
    <row r="4" spans="2:20" ht="21">
      <c r="B4" s="5" t="s">
        <v>23</v>
      </c>
      <c r="C4" s="5"/>
      <c r="D4" s="38"/>
      <c r="E4" s="38"/>
      <c r="F4" s="38"/>
      <c r="G4" s="38"/>
      <c r="H4" s="38"/>
      <c r="I4" s="38"/>
      <c r="K4" s="5" t="s">
        <v>205</v>
      </c>
      <c r="L4" s="3"/>
      <c r="M4" s="3"/>
      <c r="N4" s="3"/>
      <c r="O4" s="3"/>
      <c r="P4" s="3"/>
      <c r="Q4" s="3"/>
    </row>
    <row r="5" spans="2:20" ht="21">
      <c r="B5" s="23" t="s">
        <v>140</v>
      </c>
      <c r="C5" s="23"/>
      <c r="D5" s="99"/>
      <c r="E5" s="99"/>
      <c r="F5" s="99"/>
      <c r="G5" s="99"/>
      <c r="H5" s="99"/>
      <c r="I5" s="99"/>
      <c r="K5" s="4" t="s">
        <v>51</v>
      </c>
    </row>
    <row r="6" spans="2:20">
      <c r="B6" s="4" t="s">
        <v>49</v>
      </c>
      <c r="C6" s="4"/>
      <c r="K6" s="4" t="s">
        <v>72</v>
      </c>
    </row>
    <row r="7" spans="2:20">
      <c r="B7" s="8" t="s">
        <v>127</v>
      </c>
      <c r="C7" s="8"/>
      <c r="D7" s="8"/>
      <c r="E7" s="138"/>
      <c r="F7" s="138"/>
      <c r="G7" s="138"/>
      <c r="H7" s="138"/>
      <c r="I7" s="138"/>
      <c r="K7" s="4"/>
    </row>
    <row r="8" spans="2:20">
      <c r="B8" s="3"/>
      <c r="C8" s="8" t="s">
        <v>168</v>
      </c>
      <c r="D8" s="8">
        <v>2022</v>
      </c>
      <c r="E8" s="8">
        <v>2023</v>
      </c>
      <c r="F8" s="8">
        <v>2024</v>
      </c>
      <c r="G8" s="8">
        <v>2025</v>
      </c>
      <c r="H8" s="8">
        <v>2026</v>
      </c>
      <c r="I8" s="8">
        <v>2027</v>
      </c>
      <c r="K8" s="2" t="s">
        <v>29</v>
      </c>
      <c r="L8" s="27">
        <v>2022</v>
      </c>
      <c r="M8" s="27">
        <v>2023</v>
      </c>
      <c r="N8" s="27">
        <v>2024</v>
      </c>
      <c r="O8" s="27">
        <v>2025</v>
      </c>
      <c r="P8" s="27">
        <v>2026</v>
      </c>
      <c r="Q8" s="27">
        <v>2027</v>
      </c>
      <c r="S8" s="7"/>
    </row>
    <row r="9" spans="2:20">
      <c r="B9" s="60" t="s">
        <v>129</v>
      </c>
      <c r="C9" s="66">
        <f>D9/$D$9</f>
        <v>1</v>
      </c>
      <c r="D9" s="61">
        <v>49012</v>
      </c>
      <c r="E9" s="61">
        <f>D9*(1+M9)</f>
        <v>53913.200000000004</v>
      </c>
      <c r="F9" s="61">
        <f>E9*(1+N9)</f>
        <v>59304.520000000011</v>
      </c>
      <c r="G9" s="61">
        <f>F9*(1+O9)</f>
        <v>65234.972000000016</v>
      </c>
      <c r="H9" s="61">
        <f>G9*(1+P9)</f>
        <v>73063.168640000018</v>
      </c>
      <c r="I9" s="61">
        <f>H9*(1+Q9)</f>
        <v>81830.748876800033</v>
      </c>
      <c r="K9" s="1" t="s">
        <v>67</v>
      </c>
      <c r="M9" s="66">
        <v>0.1</v>
      </c>
      <c r="N9" s="66">
        <v>0.1</v>
      </c>
      <c r="O9" s="66">
        <v>0.1</v>
      </c>
      <c r="P9" s="66">
        <v>0.12</v>
      </c>
      <c r="Q9" s="66">
        <v>0.12</v>
      </c>
      <c r="S9" s="7"/>
    </row>
    <row r="10" spans="2:20">
      <c r="B10" s="62" t="s">
        <v>130</v>
      </c>
      <c r="C10" s="66">
        <f>D10/$D$9</f>
        <v>0.56406594303435897</v>
      </c>
      <c r="D10" s="63">
        <v>27646</v>
      </c>
      <c r="E10" s="63">
        <f>M10*E9</f>
        <v>26956.600000000002</v>
      </c>
      <c r="F10" s="63">
        <f>N10*F9</f>
        <v>29652.260000000006</v>
      </c>
      <c r="G10" s="63">
        <f>O10*G9</f>
        <v>18265.792160000005</v>
      </c>
      <c r="H10" s="63">
        <f>P10*H9</f>
        <v>20457.687219200008</v>
      </c>
      <c r="I10" s="63">
        <f>Q10*I9</f>
        <v>22912.609685504012</v>
      </c>
      <c r="K10" s="60" t="s">
        <v>125</v>
      </c>
      <c r="L10" s="66">
        <f>D10/D9</f>
        <v>0.56406594303435897</v>
      </c>
      <c r="M10" s="66">
        <v>0.5</v>
      </c>
      <c r="N10" s="66">
        <v>0.5</v>
      </c>
      <c r="O10" s="66">
        <v>0.28000000000000003</v>
      </c>
      <c r="P10" s="66">
        <v>0.28000000000000003</v>
      </c>
      <c r="Q10" s="66">
        <v>0.28000000000000003</v>
      </c>
      <c r="S10" s="7"/>
    </row>
    <row r="11" spans="2:20">
      <c r="B11" s="122" t="s">
        <v>131</v>
      </c>
      <c r="C11" s="66">
        <f>D11/$D$9</f>
        <v>0.43593405696564108</v>
      </c>
      <c r="D11" s="123">
        <f t="shared" ref="D11:I11" si="0">D9-D10</f>
        <v>21366</v>
      </c>
      <c r="E11" s="123">
        <f t="shared" si="0"/>
        <v>26956.600000000002</v>
      </c>
      <c r="F11" s="123">
        <f t="shared" si="0"/>
        <v>29652.260000000006</v>
      </c>
      <c r="G11" s="123">
        <f t="shared" si="0"/>
        <v>46969.179840000012</v>
      </c>
      <c r="H11" s="123">
        <f t="shared" si="0"/>
        <v>52605.48142080001</v>
      </c>
      <c r="I11" s="123">
        <f t="shared" si="0"/>
        <v>58918.139191296024</v>
      </c>
      <c r="K11" s="60" t="s">
        <v>124</v>
      </c>
      <c r="L11" s="66">
        <f>D12/D9</f>
        <v>0.2665469680894475</v>
      </c>
      <c r="M11" s="66">
        <v>0.37</v>
      </c>
      <c r="N11" s="66">
        <v>0.37</v>
      </c>
      <c r="O11" s="66">
        <v>0.37</v>
      </c>
      <c r="P11" s="66">
        <v>0.4</v>
      </c>
      <c r="Q11" s="66">
        <v>0.4</v>
      </c>
      <c r="S11" s="7"/>
    </row>
    <row r="12" spans="2:20">
      <c r="B12" s="60" t="s">
        <v>132</v>
      </c>
      <c r="C12" s="66">
        <f t="shared" ref="C12:C20" si="1">D12/$D$9</f>
        <v>0.2665469680894475</v>
      </c>
      <c r="D12" s="61">
        <v>13064</v>
      </c>
      <c r="E12" s="61">
        <f>M11*E9</f>
        <v>19947.884000000002</v>
      </c>
      <c r="F12" s="61">
        <f>N11*F9</f>
        <v>21942.672400000003</v>
      </c>
      <c r="G12" s="61">
        <f>O11*G9</f>
        <v>24136.939640000004</v>
      </c>
      <c r="H12" s="61">
        <f>P11*H9</f>
        <v>29225.267456000009</v>
      </c>
      <c r="I12" s="61">
        <f>Q11*I9</f>
        <v>32732.299550720014</v>
      </c>
      <c r="K12" s="122" t="s">
        <v>166</v>
      </c>
      <c r="L12" s="66">
        <f>D14/D9</f>
        <v>0.1080551701624092</v>
      </c>
      <c r="M12" s="66">
        <v>0.12</v>
      </c>
      <c r="N12" s="66">
        <v>0.12</v>
      </c>
      <c r="O12" s="66">
        <v>0.12</v>
      </c>
      <c r="P12" s="66">
        <v>0.13</v>
      </c>
      <c r="Q12" s="66">
        <v>0.13</v>
      </c>
      <c r="S12" s="23"/>
    </row>
    <row r="13" spans="2:20">
      <c r="B13" s="60" t="s">
        <v>138</v>
      </c>
      <c r="C13" s="66">
        <f>-D13/$D$9</f>
        <v>9.3854566228678687E-3</v>
      </c>
      <c r="D13" s="61">
        <v>-460</v>
      </c>
      <c r="E13" s="61">
        <f>M13*E9</f>
        <v>1078.2640000000001</v>
      </c>
      <c r="F13" s="61">
        <f>N13*F9</f>
        <v>1779.1356000000003</v>
      </c>
      <c r="G13" s="61">
        <f>O13*G9</f>
        <v>2609.3988800000006</v>
      </c>
      <c r="H13" s="61">
        <f>P13*H9</f>
        <v>3653.1584320000011</v>
      </c>
      <c r="I13" s="61">
        <f>Q13*I9</f>
        <v>4091.5374438400017</v>
      </c>
      <c r="K13" s="60" t="s">
        <v>167</v>
      </c>
      <c r="L13" s="66">
        <f>-D13/D9</f>
        <v>9.3854566228678687E-3</v>
      </c>
      <c r="M13" s="66">
        <v>0.02</v>
      </c>
      <c r="N13" s="66">
        <v>0.03</v>
      </c>
      <c r="O13" s="66">
        <v>0.04</v>
      </c>
      <c r="P13" s="66">
        <v>0.05</v>
      </c>
      <c r="Q13" s="66">
        <v>0.05</v>
      </c>
      <c r="S13" s="7"/>
    </row>
    <row r="14" spans="2:20">
      <c r="B14" s="62" t="s">
        <v>137</v>
      </c>
      <c r="C14" s="66">
        <f t="shared" si="1"/>
        <v>0.1080551701624092</v>
      </c>
      <c r="D14" s="63">
        <v>5296</v>
      </c>
      <c r="E14" s="63">
        <f>M12*E9</f>
        <v>6469.5839999999998</v>
      </c>
      <c r="F14" s="63">
        <f>N12*F9</f>
        <v>7116.5424000000012</v>
      </c>
      <c r="G14" s="63">
        <f>O12*G9</f>
        <v>7828.1966400000019</v>
      </c>
      <c r="H14" s="63">
        <f>P12*H9</f>
        <v>9498.2119232000023</v>
      </c>
      <c r="I14" s="63">
        <f>Q12*I9</f>
        <v>10637.997353984005</v>
      </c>
      <c r="J14" s="7"/>
      <c r="K14" s="60" t="s">
        <v>183</v>
      </c>
      <c r="L14" s="66">
        <f>D16/D9</f>
        <v>8.3285725944666614E-2</v>
      </c>
      <c r="M14" s="66">
        <v>0.08</v>
      </c>
      <c r="N14" s="66">
        <v>0.08</v>
      </c>
      <c r="O14" s="66">
        <v>0.08</v>
      </c>
      <c r="P14" s="66">
        <v>0.08</v>
      </c>
      <c r="Q14" s="66">
        <v>0.08</v>
      </c>
      <c r="S14" s="7"/>
    </row>
    <row r="15" spans="2:20">
      <c r="B15" s="122" t="s">
        <v>139</v>
      </c>
      <c r="C15" s="66">
        <f t="shared" si="1"/>
        <v>7.0717375336652247E-2</v>
      </c>
      <c r="D15" s="123">
        <f t="shared" ref="D15:I15" si="2">D11-D12-D13-D14</f>
        <v>3466</v>
      </c>
      <c r="E15" s="123">
        <f t="shared" si="2"/>
        <v>-539.13199999999961</v>
      </c>
      <c r="F15" s="123">
        <f t="shared" si="2"/>
        <v>-1186.0903999999991</v>
      </c>
      <c r="G15" s="123">
        <f t="shared" si="2"/>
        <v>12394.644680000005</v>
      </c>
      <c r="H15" s="123">
        <f t="shared" si="2"/>
        <v>10228.843609599999</v>
      </c>
      <c r="I15" s="123">
        <f t="shared" si="2"/>
        <v>11456.304842752003</v>
      </c>
      <c r="K15" s="60" t="s">
        <v>128</v>
      </c>
      <c r="L15" s="66">
        <f>D17/D9</f>
        <v>2.0729617236595121E-2</v>
      </c>
      <c r="M15" s="66">
        <v>0.03</v>
      </c>
      <c r="N15" s="66">
        <v>0.03</v>
      </c>
      <c r="O15" s="66">
        <v>0.03</v>
      </c>
      <c r="P15" s="66">
        <v>0.04</v>
      </c>
      <c r="Q15" s="66">
        <v>0.04</v>
      </c>
      <c r="S15" s="53"/>
    </row>
    <row r="16" spans="2:20">
      <c r="B16" s="60" t="s">
        <v>141</v>
      </c>
      <c r="C16" s="66">
        <f>D16/$D$9</f>
        <v>8.3285725944666614E-2</v>
      </c>
      <c r="D16" s="61">
        <v>4082</v>
      </c>
      <c r="E16" s="61">
        <f>M14*E9</f>
        <v>4313.0560000000005</v>
      </c>
      <c r="F16" s="61">
        <f>N14*F9</f>
        <v>4744.3616000000011</v>
      </c>
      <c r="G16" s="61">
        <f>O14*G9</f>
        <v>5218.7977600000013</v>
      </c>
      <c r="H16" s="61">
        <f>P14*H9</f>
        <v>5845.0534912000012</v>
      </c>
      <c r="I16" s="61">
        <f>Q14*I9</f>
        <v>6546.4599101440026</v>
      </c>
      <c r="K16" s="7" t="s">
        <v>71</v>
      </c>
      <c r="L16" s="66">
        <f>(D33-D49)/D9</f>
        <v>0.43764792295764304</v>
      </c>
      <c r="M16" s="66">
        <v>0.54</v>
      </c>
      <c r="N16" s="66">
        <v>0.54</v>
      </c>
      <c r="O16" s="66">
        <v>0.54</v>
      </c>
      <c r="P16" s="66">
        <v>0.64</v>
      </c>
      <c r="Q16" s="66">
        <v>0.64</v>
      </c>
      <c r="T16" s="54"/>
    </row>
    <row r="17" spans="2:20">
      <c r="B17" s="62" t="s">
        <v>133</v>
      </c>
      <c r="C17" s="66">
        <f>D17/$D$9</f>
        <v>2.0729617236595121E-2</v>
      </c>
      <c r="D17" s="62">
        <v>1016</v>
      </c>
      <c r="E17" s="137">
        <f>M15*E9</f>
        <v>1617.396</v>
      </c>
      <c r="F17" s="137">
        <f>N15*F9</f>
        <v>1779.1356000000003</v>
      </c>
      <c r="G17" s="137">
        <f>O15*G9</f>
        <v>1957.0491600000005</v>
      </c>
      <c r="H17" s="137">
        <f>P15*H9</f>
        <v>2922.5267456000006</v>
      </c>
      <c r="I17" s="137">
        <f>Q15*I9</f>
        <v>3273.2299550720013</v>
      </c>
      <c r="K17" s="7" t="s">
        <v>70</v>
      </c>
      <c r="L17" s="66">
        <f>D36/D9</f>
        <v>1.5458051089529095</v>
      </c>
      <c r="M17" s="66">
        <v>1.6</v>
      </c>
      <c r="N17" s="66">
        <v>1.6</v>
      </c>
      <c r="O17" s="66">
        <v>1.6</v>
      </c>
      <c r="P17" s="66">
        <v>1.65</v>
      </c>
      <c r="Q17" s="66">
        <v>1.65</v>
      </c>
      <c r="T17" s="55"/>
    </row>
    <row r="18" spans="2:20">
      <c r="B18" s="122" t="s">
        <v>134</v>
      </c>
      <c r="C18" s="66">
        <f t="shared" si="1"/>
        <v>0.17473271851791397</v>
      </c>
      <c r="D18" s="123">
        <f>D15+D16+D17</f>
        <v>8564</v>
      </c>
      <c r="E18" s="123">
        <f t="shared" ref="E18:I18" si="3">E15+E16+E17</f>
        <v>5391.3200000000006</v>
      </c>
      <c r="F18" s="123">
        <f t="shared" si="3"/>
        <v>5337.4068000000025</v>
      </c>
      <c r="G18" s="123">
        <f t="shared" si="3"/>
        <v>19570.491600000008</v>
      </c>
      <c r="H18" s="123">
        <f t="shared" si="3"/>
        <v>18996.423846400001</v>
      </c>
      <c r="I18" s="123">
        <f t="shared" si="3"/>
        <v>21275.994707968006</v>
      </c>
      <c r="K18" s="1" t="s">
        <v>69</v>
      </c>
      <c r="L18" s="66">
        <f>12822/(D36+12822)</f>
        <v>0.14474233786758481</v>
      </c>
      <c r="M18" s="66">
        <v>0.15</v>
      </c>
      <c r="N18" s="66">
        <v>0.16</v>
      </c>
      <c r="O18" s="66">
        <v>0.17</v>
      </c>
      <c r="P18" s="66">
        <v>0.18</v>
      </c>
      <c r="Q18" s="66">
        <v>0.19</v>
      </c>
      <c r="T18" s="56"/>
    </row>
    <row r="19" spans="2:20" ht="19" customHeight="1">
      <c r="B19" s="62" t="s">
        <v>135</v>
      </c>
      <c r="C19" s="66">
        <f>D19/$D$9</f>
        <v>-2.3259609891455152E-3</v>
      </c>
      <c r="D19" s="63">
        <v>-114</v>
      </c>
      <c r="E19" s="63">
        <f>M19*E18</f>
        <v>1347.8300000000002</v>
      </c>
      <c r="F19" s="63">
        <f>N19*F18</f>
        <v>1334.3517000000006</v>
      </c>
      <c r="G19" s="63">
        <f>O19*G18</f>
        <v>5088.3278160000027</v>
      </c>
      <c r="H19" s="63">
        <f>P19*H18</f>
        <v>4939.0702000640003</v>
      </c>
      <c r="I19" s="63">
        <f>Q19*I18</f>
        <v>5531.7586240716819</v>
      </c>
      <c r="K19" s="3" t="s">
        <v>68</v>
      </c>
      <c r="L19" s="67">
        <f>-D19/D18</f>
        <v>1.3311536665109761E-2</v>
      </c>
      <c r="M19" s="67">
        <v>0.25</v>
      </c>
      <c r="N19" s="67">
        <v>0.25</v>
      </c>
      <c r="O19" s="67">
        <v>0.26</v>
      </c>
      <c r="P19" s="67">
        <v>0.26</v>
      </c>
      <c r="Q19" s="67">
        <v>0.26</v>
      </c>
      <c r="T19" s="56"/>
    </row>
    <row r="20" spans="2:20">
      <c r="B20" s="122" t="s">
        <v>136</v>
      </c>
      <c r="C20" s="66">
        <f t="shared" si="1"/>
        <v>0.1770586795070595</v>
      </c>
      <c r="D20" s="123">
        <f t="shared" ref="D20:I20" si="4">D18-D19</f>
        <v>8678</v>
      </c>
      <c r="E20" s="123">
        <f>E18-E19</f>
        <v>4043.4900000000007</v>
      </c>
      <c r="F20" s="123">
        <f>F18-F19</f>
        <v>4003.0551000000019</v>
      </c>
      <c r="G20" s="123">
        <f t="shared" si="4"/>
        <v>14482.163784000006</v>
      </c>
      <c r="H20" s="123">
        <f t="shared" si="4"/>
        <v>14057.353646336</v>
      </c>
      <c r="I20" s="123">
        <f t="shared" si="4"/>
        <v>15744.236083896325</v>
      </c>
      <c r="K20" s="32" t="s">
        <v>74</v>
      </c>
      <c r="L20" s="89">
        <f>WACC!L26</f>
        <v>6.4893758808911559E-2</v>
      </c>
      <c r="M20" s="32"/>
      <c r="N20" s="32" t="s">
        <v>75</v>
      </c>
      <c r="O20" s="32"/>
      <c r="P20" s="90"/>
      <c r="Q20" s="91">
        <f>8%-L20</f>
        <v>1.5106241191088443E-2</v>
      </c>
      <c r="R20" s="1"/>
    </row>
    <row r="21" spans="2:20">
      <c r="B21" s="145"/>
      <c r="D21" s="100"/>
      <c r="E21" s="100"/>
      <c r="F21" s="100"/>
      <c r="G21" s="100"/>
      <c r="H21" s="100"/>
      <c r="K21" s="32"/>
      <c r="L21" s="101"/>
      <c r="M21" s="32"/>
      <c r="N21" s="32"/>
      <c r="O21" s="32"/>
      <c r="P21" s="90"/>
      <c r="Q21" s="90"/>
      <c r="R21" s="1"/>
    </row>
    <row r="22" spans="2:20">
      <c r="B22" s="4" t="s">
        <v>50</v>
      </c>
      <c r="C22" s="4"/>
      <c r="K22" s="4" t="s">
        <v>73</v>
      </c>
    </row>
    <row r="23" spans="2:20">
      <c r="B23" s="39" t="s">
        <v>24</v>
      </c>
      <c r="C23" s="8" t="s">
        <v>168</v>
      </c>
      <c r="D23" s="40">
        <v>2022</v>
      </c>
      <c r="E23" s="40">
        <v>2023</v>
      </c>
      <c r="F23" s="40">
        <v>2024</v>
      </c>
      <c r="G23" s="40">
        <v>2025</v>
      </c>
      <c r="H23" s="40">
        <v>2026</v>
      </c>
      <c r="I23" s="40">
        <v>2027</v>
      </c>
      <c r="K23" s="2" t="s">
        <v>30</v>
      </c>
      <c r="L23" s="27">
        <v>2022</v>
      </c>
      <c r="M23" s="27">
        <v>2023</v>
      </c>
      <c r="N23" s="27">
        <v>2024</v>
      </c>
      <c r="O23" s="27">
        <v>2025</v>
      </c>
      <c r="P23" s="27">
        <v>2026</v>
      </c>
      <c r="Q23" s="27">
        <v>2027</v>
      </c>
    </row>
    <row r="24" spans="2:20">
      <c r="B24" s="124" t="s">
        <v>142</v>
      </c>
      <c r="C24" s="132"/>
      <c r="D24" s="60"/>
      <c r="E24" s="60"/>
      <c r="F24" s="60"/>
      <c r="G24" s="60"/>
      <c r="H24" s="60"/>
      <c r="I24" s="60"/>
      <c r="K24" s="60" t="s">
        <v>169</v>
      </c>
      <c r="L24" s="69">
        <f>D9</f>
        <v>49012</v>
      </c>
      <c r="M24" s="69">
        <f>L24*(1+M9)</f>
        <v>53913.200000000004</v>
      </c>
      <c r="N24" s="69">
        <f t="shared" ref="N24:Q24" si="5">M24*(1+N9)</f>
        <v>59304.520000000011</v>
      </c>
      <c r="O24" s="69">
        <f t="shared" si="5"/>
        <v>65234.972000000016</v>
      </c>
      <c r="P24" s="69">
        <f t="shared" si="5"/>
        <v>73063.168640000018</v>
      </c>
      <c r="Q24" s="69">
        <f t="shared" si="5"/>
        <v>81830.748876800033</v>
      </c>
    </row>
    <row r="25" spans="2:20" ht="19">
      <c r="B25" s="124" t="s">
        <v>91</v>
      </c>
      <c r="C25" s="132"/>
      <c r="D25" s="60"/>
      <c r="E25" s="60"/>
      <c r="F25" s="60"/>
      <c r="G25" s="60"/>
      <c r="H25" s="60"/>
      <c r="I25" s="60"/>
      <c r="K25" s="62" t="s">
        <v>179</v>
      </c>
      <c r="L25" s="70">
        <f>D10</f>
        <v>27646</v>
      </c>
      <c r="M25" s="71">
        <f>M24*M10</f>
        <v>26956.600000000002</v>
      </c>
      <c r="N25" s="71">
        <f t="shared" ref="N25:Q25" si="6">N24*N10</f>
        <v>29652.260000000006</v>
      </c>
      <c r="O25" s="71">
        <f t="shared" si="6"/>
        <v>18265.792160000005</v>
      </c>
      <c r="P25" s="71">
        <f t="shared" si="6"/>
        <v>20457.687219200008</v>
      </c>
      <c r="Q25" s="71">
        <f t="shared" si="6"/>
        <v>22912.609685504012</v>
      </c>
    </row>
    <row r="26" spans="2:20">
      <c r="B26" s="124" t="s">
        <v>93</v>
      </c>
      <c r="C26" s="135">
        <f t="shared" ref="C26:C32" si="7">D26/$D$9</f>
        <v>9.2405941402105604E-2</v>
      </c>
      <c r="D26" s="64">
        <f>'Consolidated Condensed Balance '!B3</f>
        <v>4529</v>
      </c>
      <c r="E26" s="64">
        <f>$C$26*E9</f>
        <v>4981.9000000000005</v>
      </c>
      <c r="F26" s="64">
        <f>$C$26*F9</f>
        <v>5480.0900000000011</v>
      </c>
      <c r="G26" s="64">
        <f>$C$26*G9</f>
        <v>6028.0990000000011</v>
      </c>
      <c r="H26" s="64">
        <f>$C$26*H9</f>
        <v>6751.4708800000017</v>
      </c>
      <c r="I26" s="64">
        <f>$C$26*I9</f>
        <v>7561.647385600003</v>
      </c>
      <c r="K26" s="122" t="s">
        <v>170</v>
      </c>
      <c r="L26" s="139">
        <f>L24-L25</f>
        <v>21366</v>
      </c>
      <c r="M26" s="139">
        <f t="shared" ref="M26:Q26" si="8">M24-M25</f>
        <v>26956.600000000002</v>
      </c>
      <c r="N26" s="139">
        <f t="shared" si="8"/>
        <v>29652.260000000006</v>
      </c>
      <c r="O26" s="139">
        <f t="shared" si="8"/>
        <v>46969.179840000012</v>
      </c>
      <c r="P26" s="139">
        <f t="shared" si="8"/>
        <v>52605.48142080001</v>
      </c>
      <c r="Q26" s="139">
        <f t="shared" si="8"/>
        <v>58918.139191296024</v>
      </c>
    </row>
    <row r="27" spans="2:20">
      <c r="B27" s="124" t="s">
        <v>153</v>
      </c>
      <c r="C27" s="135">
        <f t="shared" si="7"/>
        <v>0.36786909328327755</v>
      </c>
      <c r="D27" s="65">
        <f>'Consolidated Condensed Balance '!B4</f>
        <v>18030</v>
      </c>
      <c r="E27" s="65">
        <f>$C$27*E9</f>
        <v>19833</v>
      </c>
      <c r="F27" s="65">
        <f>$C$27*F9</f>
        <v>21816.300000000003</v>
      </c>
      <c r="G27" s="65">
        <f>$C$27*G9</f>
        <v>23997.930000000004</v>
      </c>
      <c r="H27" s="65">
        <f>$C$27*H9</f>
        <v>26877.681600000007</v>
      </c>
      <c r="I27" s="65">
        <f>$C$27*I9</f>
        <v>30103.00339200001</v>
      </c>
      <c r="K27" s="60" t="s">
        <v>171</v>
      </c>
      <c r="L27" s="69">
        <f t="shared" ref="L27:L35" si="9">D12</f>
        <v>13064</v>
      </c>
      <c r="M27" s="69">
        <f>M24*M11</f>
        <v>19947.884000000002</v>
      </c>
      <c r="N27" s="69">
        <f>N24*N11</f>
        <v>21942.672400000003</v>
      </c>
      <c r="O27" s="69">
        <f>O24*O11</f>
        <v>24136.939640000004</v>
      </c>
      <c r="P27" s="69">
        <f>P24*P11</f>
        <v>29225.267456000009</v>
      </c>
      <c r="Q27" s="69">
        <f>Q24*Q11</f>
        <v>32732.299550720014</v>
      </c>
    </row>
    <row r="28" spans="2:20">
      <c r="B28" s="124"/>
      <c r="C28" s="135"/>
      <c r="D28" s="65"/>
      <c r="E28" s="65"/>
      <c r="F28" s="65"/>
      <c r="G28" s="65"/>
      <c r="H28" s="65"/>
      <c r="I28" s="65"/>
      <c r="K28" s="60" t="s">
        <v>180</v>
      </c>
      <c r="L28" s="69">
        <f t="shared" si="9"/>
        <v>-460</v>
      </c>
      <c r="M28" s="69">
        <f>M24*M13</f>
        <v>1078.2640000000001</v>
      </c>
      <c r="N28" s="69">
        <f t="shared" ref="N28:Q28" si="10">N24*N13</f>
        <v>1779.1356000000003</v>
      </c>
      <c r="O28" s="69">
        <f t="shared" si="10"/>
        <v>2609.3988800000006</v>
      </c>
      <c r="P28" s="69">
        <f t="shared" si="10"/>
        <v>3653.1584320000011</v>
      </c>
      <c r="Q28" s="69">
        <f t="shared" si="10"/>
        <v>4091.5374438400017</v>
      </c>
    </row>
    <row r="29" spans="2:20" ht="19">
      <c r="B29" s="124" t="s">
        <v>143</v>
      </c>
      <c r="C29" s="135">
        <f t="shared" si="7"/>
        <v>0.15239125112217417</v>
      </c>
      <c r="D29" s="65">
        <f>'Consolidated Condensed Balance '!B5</f>
        <v>7469</v>
      </c>
      <c r="E29" s="65">
        <f>$C$29*E9</f>
        <v>8215.9000000000015</v>
      </c>
      <c r="F29" s="65">
        <f>$C$29*F9</f>
        <v>9037.4900000000016</v>
      </c>
      <c r="G29" s="65">
        <f>$C$29*G9</f>
        <v>9941.2390000000032</v>
      </c>
      <c r="H29" s="65">
        <f>$C$29*H9</f>
        <v>11134.187680000003</v>
      </c>
      <c r="I29" s="65">
        <f>$C$29*I9</f>
        <v>12470.290201600006</v>
      </c>
      <c r="K29" s="62" t="s">
        <v>181</v>
      </c>
      <c r="L29" s="70">
        <f t="shared" si="9"/>
        <v>5296</v>
      </c>
      <c r="M29" s="71">
        <f>M24*M12</f>
        <v>6469.5839999999998</v>
      </c>
      <c r="N29" s="71">
        <f>N24*N12</f>
        <v>7116.5424000000012</v>
      </c>
      <c r="O29" s="71">
        <f>O24*O12</f>
        <v>7828.1966400000019</v>
      </c>
      <c r="P29" s="71">
        <f>P24*P12</f>
        <v>9498.2119232000023</v>
      </c>
      <c r="Q29" s="71">
        <f>Q24*Q12</f>
        <v>10637.997353984005</v>
      </c>
    </row>
    <row r="30" spans="2:20">
      <c r="B30" s="124" t="s">
        <v>96</v>
      </c>
      <c r="C30" s="135">
        <f t="shared" si="7"/>
        <v>0.2617930302782992</v>
      </c>
      <c r="D30" s="65">
        <f>'Consolidated Condensed Balance '!B6</f>
        <v>12831</v>
      </c>
      <c r="E30" s="65">
        <f>$C$30*E9</f>
        <v>14114.100000000002</v>
      </c>
      <c r="F30" s="65">
        <f>$C$30*F9</f>
        <v>15525.510000000004</v>
      </c>
      <c r="G30" s="65">
        <f>$C$30*G9</f>
        <v>17078.061000000005</v>
      </c>
      <c r="H30" s="65">
        <f>$C$30*H9</f>
        <v>19127.428320000006</v>
      </c>
      <c r="I30" s="65">
        <f>$C$30*I9</f>
        <v>21422.719718400011</v>
      </c>
      <c r="K30" s="122" t="s">
        <v>172</v>
      </c>
      <c r="L30" s="139">
        <f t="shared" si="9"/>
        <v>3466</v>
      </c>
      <c r="M30" s="139">
        <f>M26-M27-M28-M29</f>
        <v>-539.13199999999961</v>
      </c>
      <c r="N30" s="139">
        <f t="shared" ref="N30:Q30" si="11">N26-N27-N28-N29</f>
        <v>-1186.0903999999991</v>
      </c>
      <c r="O30" s="139">
        <f t="shared" si="11"/>
        <v>12394.644680000005</v>
      </c>
      <c r="P30" s="139">
        <f t="shared" si="11"/>
        <v>10228.843609599999</v>
      </c>
      <c r="Q30" s="139">
        <f t="shared" si="11"/>
        <v>11456.304842752003</v>
      </c>
    </row>
    <row r="31" spans="2:20">
      <c r="B31" s="124" t="s">
        <v>154</v>
      </c>
      <c r="C31" s="135">
        <f t="shared" si="7"/>
        <v>1.1425773280013059E-3</v>
      </c>
      <c r="D31" s="65">
        <f>'Consolidated Condensed Balance '!B7</f>
        <v>56</v>
      </c>
      <c r="E31" s="65">
        <f>$C$31*E9</f>
        <v>61.600000000000009</v>
      </c>
      <c r="F31" s="65">
        <f>$C$31*F9</f>
        <v>67.760000000000019</v>
      </c>
      <c r="G31" s="65">
        <f>$C$31*G9</f>
        <v>74.53600000000003</v>
      </c>
      <c r="H31" s="65">
        <f>$C$31*H9</f>
        <v>83.48032000000002</v>
      </c>
      <c r="I31" s="65">
        <f>$C$31*I9</f>
        <v>93.497958400000044</v>
      </c>
      <c r="K31" s="60" t="s">
        <v>182</v>
      </c>
      <c r="L31" s="69">
        <f t="shared" si="9"/>
        <v>4082</v>
      </c>
      <c r="M31" s="69">
        <f>M24*M14</f>
        <v>4313.0560000000005</v>
      </c>
      <c r="N31" s="69">
        <f t="shared" ref="N31:Q31" si="12">N24*N14</f>
        <v>4744.3616000000011</v>
      </c>
      <c r="O31" s="69">
        <f t="shared" si="12"/>
        <v>5218.7977600000013</v>
      </c>
      <c r="P31" s="69">
        <f t="shared" si="12"/>
        <v>5845.0534912000012</v>
      </c>
      <c r="Q31" s="69">
        <f t="shared" si="12"/>
        <v>6546.4599101440026</v>
      </c>
    </row>
    <row r="32" spans="2:20" ht="19">
      <c r="B32" s="124" t="s">
        <v>98</v>
      </c>
      <c r="C32" s="135">
        <f t="shared" si="7"/>
        <v>0.1295193013955766</v>
      </c>
      <c r="D32" s="65">
        <f>'Consolidated Condensed Balance '!B8</f>
        <v>6348</v>
      </c>
      <c r="E32" s="65">
        <f>$C$32*E9</f>
        <v>6982.8000000000011</v>
      </c>
      <c r="F32" s="65">
        <f>$C$32*F9</f>
        <v>7681.0800000000017</v>
      </c>
      <c r="G32" s="65">
        <f>$C$32*G9</f>
        <v>8449.1880000000019</v>
      </c>
      <c r="H32" s="65">
        <f>$C$32*H9</f>
        <v>9463.0905600000024</v>
      </c>
      <c r="I32" s="65">
        <f>$C$32*I9</f>
        <v>10598.661427200004</v>
      </c>
      <c r="K32" s="62" t="s">
        <v>173</v>
      </c>
      <c r="L32" s="70">
        <f t="shared" si="9"/>
        <v>1016</v>
      </c>
      <c r="M32" s="70">
        <f>M24*M15</f>
        <v>1617.396</v>
      </c>
      <c r="N32" s="70">
        <f t="shared" ref="N32:Q32" si="13">N24*N15</f>
        <v>1779.1356000000003</v>
      </c>
      <c r="O32" s="70">
        <f t="shared" si="13"/>
        <v>1957.0491600000005</v>
      </c>
      <c r="P32" s="70">
        <f t="shared" si="13"/>
        <v>2922.5267456000006</v>
      </c>
      <c r="Q32" s="70">
        <f t="shared" si="13"/>
        <v>3273.2299550720013</v>
      </c>
    </row>
    <row r="33" spans="2:19" s="28" customFormat="1">
      <c r="B33" s="128" t="s">
        <v>99</v>
      </c>
      <c r="C33" s="132"/>
      <c r="D33" s="130">
        <f t="shared" ref="D33:I33" si="14">SUM(D26:D32)</f>
        <v>49263</v>
      </c>
      <c r="E33" s="130">
        <f t="shared" si="14"/>
        <v>54189.30000000001</v>
      </c>
      <c r="F33" s="130">
        <f t="shared" si="14"/>
        <v>59608.23000000001</v>
      </c>
      <c r="G33" s="130">
        <f t="shared" si="14"/>
        <v>65569.053000000014</v>
      </c>
      <c r="H33" s="130">
        <f t="shared" si="14"/>
        <v>73437.339360000027</v>
      </c>
      <c r="I33" s="130">
        <f t="shared" si="14"/>
        <v>82249.820083200029</v>
      </c>
      <c r="K33" s="122" t="s">
        <v>174</v>
      </c>
      <c r="L33" s="139">
        <f t="shared" si="9"/>
        <v>8564</v>
      </c>
      <c r="M33" s="139">
        <f>M30+M31+M32</f>
        <v>5391.3200000000006</v>
      </c>
      <c r="N33" s="139">
        <f t="shared" ref="N33:Q33" si="15">N30+N31+N32</f>
        <v>5337.4068000000025</v>
      </c>
      <c r="O33" s="139">
        <f t="shared" si="15"/>
        <v>19570.491600000008</v>
      </c>
      <c r="P33" s="139">
        <f t="shared" si="15"/>
        <v>18996.423846400001</v>
      </c>
      <c r="Q33" s="139">
        <f t="shared" si="15"/>
        <v>21275.994707968006</v>
      </c>
      <c r="R33" s="4"/>
      <c r="S33" s="1"/>
    </row>
    <row r="34" spans="2:19" ht="19">
      <c r="B34" s="125"/>
      <c r="C34" s="134"/>
      <c r="D34" s="60"/>
      <c r="E34" s="60"/>
      <c r="F34" s="60"/>
      <c r="G34" s="60"/>
      <c r="H34" s="60"/>
      <c r="I34" s="60"/>
      <c r="K34" s="62" t="s">
        <v>175</v>
      </c>
      <c r="L34" s="70">
        <f>D19</f>
        <v>-114</v>
      </c>
      <c r="M34" s="72">
        <f>M33*M19</f>
        <v>1347.8300000000002</v>
      </c>
      <c r="N34" s="72">
        <f t="shared" ref="N34:Q34" si="16">N33*N19</f>
        <v>1334.3517000000006</v>
      </c>
      <c r="O34" s="72">
        <f t="shared" si="16"/>
        <v>5088.3278160000027</v>
      </c>
      <c r="P34" s="72">
        <f t="shared" si="16"/>
        <v>4939.0702000640003</v>
      </c>
      <c r="Q34" s="72">
        <f t="shared" si="16"/>
        <v>5531.7586240716819</v>
      </c>
      <c r="S34" s="28"/>
    </row>
    <row r="35" spans="2:19">
      <c r="B35" s="124" t="s">
        <v>144</v>
      </c>
      <c r="C35" s="132"/>
      <c r="D35" s="60"/>
      <c r="E35" s="60"/>
      <c r="F35" s="60"/>
      <c r="G35" s="60"/>
      <c r="H35" s="60"/>
      <c r="I35" s="60"/>
      <c r="K35" s="122" t="s">
        <v>176</v>
      </c>
      <c r="L35" s="139">
        <f t="shared" si="9"/>
        <v>8678</v>
      </c>
      <c r="M35" s="140">
        <f>M33-M34</f>
        <v>4043.4900000000007</v>
      </c>
      <c r="N35" s="140">
        <f t="shared" ref="N35:Q35" si="17">N33-N34</f>
        <v>4003.0551000000019</v>
      </c>
      <c r="O35" s="140">
        <f t="shared" si="17"/>
        <v>14482.163784000006</v>
      </c>
      <c r="P35" s="140">
        <f t="shared" si="17"/>
        <v>14057.353646336</v>
      </c>
      <c r="Q35" s="140">
        <f t="shared" si="17"/>
        <v>15744.236083896325</v>
      </c>
    </row>
    <row r="36" spans="2:19">
      <c r="B36" s="124" t="s">
        <v>155</v>
      </c>
      <c r="C36" s="135">
        <f>D36/$D$9</f>
        <v>1.5458051089529095</v>
      </c>
      <c r="D36" s="65">
        <f>'Consolidated Condensed Balance '!B10</f>
        <v>75763</v>
      </c>
      <c r="E36" s="65">
        <f>M17*E9-D36*M18</f>
        <v>74896.670000000013</v>
      </c>
      <c r="F36" s="65">
        <f>N17*F9-E36*N18</f>
        <v>82903.764800000019</v>
      </c>
      <c r="G36" s="65">
        <f>O17*G9-F36*O18</f>
        <v>90282.315184000021</v>
      </c>
      <c r="H36" s="65">
        <f>P17*H9-G36*P18</f>
        <v>104303.41152288001</v>
      </c>
      <c r="I36" s="65">
        <f>Q17*I9-H36*Q18</f>
        <v>115203.08745737284</v>
      </c>
      <c r="K36" s="1" t="s">
        <v>177</v>
      </c>
      <c r="L36" s="33"/>
      <c r="M36" s="73">
        <f>M32*(1-M19)</f>
        <v>1213.047</v>
      </c>
      <c r="N36" s="73">
        <f t="shared" ref="N36:P36" si="18">N32*(1-N19)</f>
        <v>1334.3517000000002</v>
      </c>
      <c r="O36" s="73">
        <f t="shared" si="18"/>
        <v>1448.2163784000004</v>
      </c>
      <c r="P36" s="73">
        <f t="shared" si="18"/>
        <v>2162.6697917440006</v>
      </c>
      <c r="Q36" s="73">
        <f>Q32*(1-Q19)</f>
        <v>2422.1901667532811</v>
      </c>
    </row>
    <row r="37" spans="2:19">
      <c r="B37" s="124" t="s">
        <v>101</v>
      </c>
      <c r="C37" s="135">
        <f>D37/$D$9</f>
        <v>0.1187872357789929</v>
      </c>
      <c r="D37" s="65">
        <f>'Consolidated Condensed Balance '!B11</f>
        <v>5822</v>
      </c>
      <c r="E37" s="65">
        <f>$C$37*E9</f>
        <v>6404.2000000000007</v>
      </c>
      <c r="F37" s="65">
        <f>$C$37*F9</f>
        <v>7044.6200000000017</v>
      </c>
      <c r="G37" s="65">
        <f>$C$37*G9</f>
        <v>7749.0820000000022</v>
      </c>
      <c r="H37" s="65">
        <f>$C$37*H9</f>
        <v>8678.971840000002</v>
      </c>
      <c r="I37" s="65">
        <f>$C$37*I9</f>
        <v>9720.4484608000039</v>
      </c>
      <c r="K37" s="3" t="s">
        <v>178</v>
      </c>
      <c r="L37" s="34"/>
      <c r="M37" s="74">
        <f>M24*M17*M18</f>
        <v>12939.168000000001</v>
      </c>
      <c r="N37" s="74">
        <f>N24*N17*N18</f>
        <v>15181.957120000003</v>
      </c>
      <c r="O37" s="74">
        <f t="shared" ref="O37:P37" si="19">O24*O17*O18</f>
        <v>17743.912384000007</v>
      </c>
      <c r="P37" s="74">
        <f t="shared" si="19"/>
        <v>21699.761086080001</v>
      </c>
      <c r="Q37" s="74">
        <f>Q24*Q17*Q18</f>
        <v>25653.939772876809</v>
      </c>
    </row>
    <row r="38" spans="2:19">
      <c r="B38" s="124" t="s">
        <v>102</v>
      </c>
      <c r="C38" s="135">
        <f>D38/$D$9</f>
        <v>0.56294376887292907</v>
      </c>
      <c r="D38" s="65">
        <f>'Consolidated Condensed Balance '!B12</f>
        <v>27591</v>
      </c>
      <c r="E38" s="65">
        <f>$C$38*E9</f>
        <v>30350.100000000002</v>
      </c>
      <c r="F38" s="65">
        <f>$C$38*F9</f>
        <v>33385.110000000008</v>
      </c>
      <c r="G38" s="65">
        <f>$C$38*G9</f>
        <v>36723.621000000006</v>
      </c>
      <c r="H38" s="65">
        <f>$C$38*H9</f>
        <v>41130.45552000001</v>
      </c>
      <c r="I38" s="65">
        <f>$C$38*I9</f>
        <v>46066.110182400022</v>
      </c>
      <c r="K38" s="32" t="s">
        <v>0</v>
      </c>
      <c r="L38" s="92"/>
      <c r="M38" s="93">
        <f>M35+M36+M37</f>
        <v>18195.705000000002</v>
      </c>
      <c r="N38" s="93">
        <f t="shared" ref="N38:Q38" si="20">N35+N36+N37</f>
        <v>20519.363920000003</v>
      </c>
      <c r="O38" s="93">
        <f t="shared" si="20"/>
        <v>33674.292546400015</v>
      </c>
      <c r="P38" s="93">
        <f t="shared" si="20"/>
        <v>37919.784524160001</v>
      </c>
      <c r="Q38" s="93">
        <f t="shared" si="20"/>
        <v>43820.366023526411</v>
      </c>
      <c r="R38" s="141"/>
    </row>
    <row r="39" spans="2:19">
      <c r="B39" s="124" t="s">
        <v>156</v>
      </c>
      <c r="C39" s="135">
        <f>D39/$D$9</f>
        <v>0.12788704806986045</v>
      </c>
      <c r="D39" s="65">
        <f>'Consolidated Condensed Balance '!B13</f>
        <v>6268</v>
      </c>
      <c r="E39" s="65">
        <f>$C$39*E9</f>
        <v>6894.8000000000011</v>
      </c>
      <c r="F39" s="65">
        <f>$C$39*F9</f>
        <v>7584.2800000000025</v>
      </c>
      <c r="G39" s="65">
        <f>$C$39*G9</f>
        <v>8342.7080000000024</v>
      </c>
      <c r="H39" s="65">
        <f>$C$39*H9</f>
        <v>9343.8329600000034</v>
      </c>
      <c r="I39" s="65">
        <f>$C$39*I9</f>
        <v>10465.092915200004</v>
      </c>
      <c r="K39" s="32"/>
      <c r="L39" s="92"/>
      <c r="M39" s="93"/>
      <c r="N39" s="93"/>
      <c r="O39" s="93"/>
      <c r="P39" s="93"/>
      <c r="Q39" s="93"/>
    </row>
    <row r="40" spans="2:19">
      <c r="B40" s="124" t="s">
        <v>157</v>
      </c>
      <c r="C40" s="135">
        <f>D40/$D$9</f>
        <v>0.20676569003509346</v>
      </c>
      <c r="D40" s="65">
        <f>'Consolidated Condensed Balance '!B14</f>
        <v>10134</v>
      </c>
      <c r="E40" s="65">
        <f>$C$40*E9</f>
        <v>11147.400000000001</v>
      </c>
      <c r="F40" s="65">
        <f>$C$40*F9</f>
        <v>12262.140000000003</v>
      </c>
      <c r="G40" s="65">
        <f>$C$40*G9</f>
        <v>13488.354000000005</v>
      </c>
      <c r="H40" s="65">
        <f>$C$40*H9</f>
        <v>15106.956480000004</v>
      </c>
      <c r="I40" s="65">
        <f>$C$40*I9</f>
        <v>16919.791257600009</v>
      </c>
      <c r="K40" s="32"/>
      <c r="L40" s="92"/>
      <c r="M40" s="93"/>
      <c r="N40" s="93"/>
      <c r="O40" s="93"/>
      <c r="P40" s="93"/>
      <c r="Q40" s="93"/>
    </row>
    <row r="41" spans="2:19">
      <c r="B41" s="128" t="s">
        <v>145</v>
      </c>
      <c r="C41" s="133"/>
      <c r="D41" s="130">
        <f>SUM(D36:D40)</f>
        <v>125578</v>
      </c>
      <c r="E41" s="130">
        <f t="shared" ref="E41:I41" si="21">SUM(E36:E40)</f>
        <v>129693.17000000001</v>
      </c>
      <c r="F41" s="130">
        <f t="shared" si="21"/>
        <v>143179.91480000003</v>
      </c>
      <c r="G41" s="130">
        <f t="shared" si="21"/>
        <v>156586.08018400005</v>
      </c>
      <c r="H41" s="130">
        <f t="shared" si="21"/>
        <v>178563.62832288002</v>
      </c>
      <c r="I41" s="130">
        <f t="shared" si="21"/>
        <v>198374.53027337289</v>
      </c>
      <c r="L41" s="29"/>
      <c r="M41" s="29"/>
      <c r="N41" s="29"/>
      <c r="O41" s="29"/>
      <c r="P41" s="29"/>
      <c r="Q41" s="29"/>
    </row>
    <row r="42" spans="2:19">
      <c r="B42" s="128" t="s">
        <v>105</v>
      </c>
      <c r="C42" s="136">
        <f>D42/D9</f>
        <v>3.5673100465192196</v>
      </c>
      <c r="D42" s="131">
        <f t="shared" ref="D42:I42" si="22">D33+D41</f>
        <v>174841</v>
      </c>
      <c r="E42" s="131">
        <f t="shared" si="22"/>
        <v>183882.47000000003</v>
      </c>
      <c r="F42" s="131">
        <f t="shared" si="22"/>
        <v>202788.14480000004</v>
      </c>
      <c r="G42" s="131">
        <f t="shared" si="22"/>
        <v>222155.13318400006</v>
      </c>
      <c r="H42" s="131">
        <f t="shared" si="22"/>
        <v>252000.96768288006</v>
      </c>
      <c r="I42" s="131">
        <f t="shared" si="22"/>
        <v>280624.35035657289</v>
      </c>
      <c r="K42" s="2" t="s">
        <v>31</v>
      </c>
      <c r="L42" s="27">
        <v>0</v>
      </c>
      <c r="M42" s="27">
        <v>1</v>
      </c>
      <c r="N42" s="27">
        <v>2</v>
      </c>
      <c r="O42" s="27">
        <v>3</v>
      </c>
      <c r="P42" s="27">
        <v>4</v>
      </c>
      <c r="Q42" s="27">
        <v>5</v>
      </c>
    </row>
    <row r="43" spans="2:19">
      <c r="B43" s="125"/>
      <c r="C43" s="134"/>
      <c r="D43" s="60"/>
      <c r="E43" s="60"/>
      <c r="F43" s="60"/>
      <c r="G43" s="60"/>
      <c r="H43" s="60"/>
      <c r="I43" s="60"/>
      <c r="K43" s="1" t="s">
        <v>7</v>
      </c>
      <c r="L43" s="73">
        <f>D9*L16</f>
        <v>21450</v>
      </c>
      <c r="M43" s="73">
        <f>M24*M16</f>
        <v>29113.128000000004</v>
      </c>
      <c r="N43" s="73">
        <f>N24*N16</f>
        <v>32024.440800000008</v>
      </c>
      <c r="O43" s="73">
        <f>O24*O16</f>
        <v>35226.884880000012</v>
      </c>
      <c r="P43" s="73">
        <f t="shared" ref="P43" si="23">P24*P16</f>
        <v>46760.42792960001</v>
      </c>
      <c r="Q43" s="73">
        <f>Q24*Q16</f>
        <v>52371.679281152021</v>
      </c>
    </row>
    <row r="44" spans="2:19">
      <c r="B44" s="124" t="s">
        <v>146</v>
      </c>
      <c r="C44" s="132"/>
      <c r="D44" s="60"/>
      <c r="E44" s="60"/>
      <c r="F44" s="60"/>
      <c r="G44" s="60"/>
      <c r="H44" s="60"/>
      <c r="I44" s="60"/>
      <c r="K44" s="32" t="s">
        <v>6</v>
      </c>
      <c r="L44" s="92"/>
      <c r="M44" s="105">
        <f>L43-M43</f>
        <v>-7663.1280000000042</v>
      </c>
      <c r="N44" s="105">
        <f>M43-N43</f>
        <v>-2911.3128000000033</v>
      </c>
      <c r="O44" s="105">
        <f t="shared" ref="O44:Q44" si="24">N43-O43</f>
        <v>-3202.4440800000048</v>
      </c>
      <c r="P44" s="105">
        <f>O43-P43</f>
        <v>-11533.543049599997</v>
      </c>
      <c r="Q44" s="105">
        <f t="shared" si="24"/>
        <v>-5611.2513515520113</v>
      </c>
    </row>
    <row r="45" spans="2:19">
      <c r="B45" s="124" t="s">
        <v>158</v>
      </c>
      <c r="C45" s="135">
        <f>D45/$D$9</f>
        <v>4.6580429282624666E-2</v>
      </c>
      <c r="D45" s="126">
        <f>'Consolidated Condensed Balance '!B17</f>
        <v>2283</v>
      </c>
      <c r="E45" s="126">
        <f>$C$45*E9</f>
        <v>2511.3000000000002</v>
      </c>
      <c r="F45" s="126">
        <f>$C$45*F9</f>
        <v>2762.4300000000007</v>
      </c>
      <c r="G45" s="126">
        <f>$C$45*G9</f>
        <v>3038.6730000000011</v>
      </c>
      <c r="H45" s="126">
        <f>$C$45*H9</f>
        <v>3403.3137600000009</v>
      </c>
      <c r="I45" s="126">
        <f>$C$45*I9</f>
        <v>3811.7114112000017</v>
      </c>
      <c r="L45" s="33"/>
      <c r="M45" s="33"/>
      <c r="N45" s="33"/>
      <c r="O45" s="33"/>
      <c r="P45" s="33"/>
      <c r="Q45" s="33"/>
    </row>
    <row r="46" spans="2:19">
      <c r="B46" s="124" t="s">
        <v>108</v>
      </c>
      <c r="C46" s="135">
        <f>D46/$D$9</f>
        <v>0.14553578715416632</v>
      </c>
      <c r="D46" s="65">
        <f>'Consolidated Condensed Balance '!B18</f>
        <v>7133</v>
      </c>
      <c r="E46" s="65">
        <f>$C$46*E9</f>
        <v>7846.3</v>
      </c>
      <c r="F46" s="65">
        <f>$C$46*F9</f>
        <v>8630.93</v>
      </c>
      <c r="G46" s="65">
        <f>$C$46*G9</f>
        <v>9494.023000000001</v>
      </c>
      <c r="H46" s="65">
        <f>$C$46*H9</f>
        <v>10633.305760000003</v>
      </c>
      <c r="I46" s="65">
        <f>$C$46*I9</f>
        <v>11909.302451200005</v>
      </c>
      <c r="K46" s="2" t="s">
        <v>78</v>
      </c>
      <c r="L46" s="27">
        <v>0</v>
      </c>
      <c r="M46" s="35">
        <v>1</v>
      </c>
      <c r="N46" s="35">
        <v>2</v>
      </c>
      <c r="O46" s="35">
        <v>3</v>
      </c>
      <c r="P46" s="35">
        <v>4</v>
      </c>
      <c r="Q46" s="35">
        <v>5</v>
      </c>
    </row>
    <row r="47" spans="2:19">
      <c r="B47" s="124" t="s">
        <v>159</v>
      </c>
      <c r="C47" s="135">
        <f>D47/$D$9</f>
        <v>6.979923284093692E-2</v>
      </c>
      <c r="D47" s="65">
        <f>'Consolidated Condensed Balance '!B19</f>
        <v>3421</v>
      </c>
      <c r="E47" s="65">
        <f>$C$47*E9</f>
        <v>3763.1000000000008</v>
      </c>
      <c r="F47" s="65">
        <f>$C$47*F9</f>
        <v>4139.4100000000008</v>
      </c>
      <c r="G47" s="65">
        <f>$C$47*G9</f>
        <v>4553.3510000000015</v>
      </c>
      <c r="H47" s="65">
        <f>$C$47*H9</f>
        <v>5099.7531200000021</v>
      </c>
      <c r="I47" s="65">
        <f>$C$47*I9</f>
        <v>5711.7234944000029</v>
      </c>
      <c r="K47" s="30" t="s">
        <v>8</v>
      </c>
      <c r="L47" s="75">
        <f>D9*L17</f>
        <v>75763</v>
      </c>
      <c r="M47" s="75">
        <f>M37*M17+M24</f>
        <v>74615.868800000011</v>
      </c>
      <c r="N47" s="75">
        <f>N37*N17+N24</f>
        <v>83595.651392000014</v>
      </c>
      <c r="O47" s="75">
        <f>O37*O17+O24</f>
        <v>93625.231814400031</v>
      </c>
      <c r="P47" s="75">
        <f>P37*P17+P24</f>
        <v>108867.77443203202</v>
      </c>
      <c r="Q47" s="75">
        <f>Q37*Q17+Q24</f>
        <v>124159.74950204676</v>
      </c>
    </row>
    <row r="48" spans="2:19">
      <c r="B48" s="124" t="s">
        <v>160</v>
      </c>
      <c r="C48" s="135">
        <f>D48/$D$9</f>
        <v>0.3055578225740635</v>
      </c>
      <c r="D48" s="65">
        <f>'Consolidated Condensed Balance '!B20</f>
        <v>14976</v>
      </c>
      <c r="E48" s="65">
        <f>$C$48*E9</f>
        <v>16473.600000000002</v>
      </c>
      <c r="F48" s="65">
        <f>$C$48*F9</f>
        <v>18120.960000000003</v>
      </c>
      <c r="G48" s="65">
        <f>$C$48*G9</f>
        <v>19933.056000000004</v>
      </c>
      <c r="H48" s="65">
        <f>$C$48*H9</f>
        <v>22325.022720000004</v>
      </c>
      <c r="I48" s="65">
        <f>$C$48*I9</f>
        <v>25004.02544640001</v>
      </c>
      <c r="K48" s="32" t="s">
        <v>21</v>
      </c>
      <c r="L48" s="92"/>
      <c r="M48" s="93">
        <f>L47-M47</f>
        <v>1147.1311999999889</v>
      </c>
      <c r="N48" s="93">
        <f>M47-N47</f>
        <v>-8979.7825920000032</v>
      </c>
      <c r="O48" s="93">
        <f t="shared" ref="O48:P48" si="25">N47-O47</f>
        <v>-10029.580422400017</v>
      </c>
      <c r="P48" s="93">
        <f t="shared" si="25"/>
        <v>-15242.542617631989</v>
      </c>
      <c r="Q48" s="93">
        <f>P47-Q47</f>
        <v>-15291.975070014742</v>
      </c>
    </row>
    <row r="49" spans="2:19">
      <c r="B49" s="128" t="s">
        <v>111</v>
      </c>
      <c r="C49" s="133"/>
      <c r="D49" s="129">
        <f t="shared" ref="D49:I49" si="26">SUM(D45:D48)</f>
        <v>27813</v>
      </c>
      <c r="E49" s="129">
        <f t="shared" si="26"/>
        <v>30594.300000000003</v>
      </c>
      <c r="F49" s="129">
        <f t="shared" si="26"/>
        <v>33653.730000000003</v>
      </c>
      <c r="G49" s="129">
        <f t="shared" si="26"/>
        <v>37019.103000000003</v>
      </c>
      <c r="H49" s="129">
        <f t="shared" si="26"/>
        <v>41461.39536000001</v>
      </c>
      <c r="I49" s="129">
        <f t="shared" si="26"/>
        <v>46436.762803200021</v>
      </c>
      <c r="L49" s="33"/>
      <c r="M49" s="33"/>
      <c r="N49" s="33"/>
      <c r="O49" s="33"/>
      <c r="P49" s="33"/>
      <c r="Q49" s="33"/>
    </row>
    <row r="50" spans="2:19">
      <c r="B50" s="124"/>
      <c r="C50" s="132"/>
      <c r="D50" s="65"/>
      <c r="E50" s="65"/>
      <c r="F50" s="65"/>
      <c r="G50" s="65"/>
      <c r="H50" s="65"/>
      <c r="I50" s="65"/>
      <c r="K50" s="2" t="s">
        <v>32</v>
      </c>
      <c r="L50" s="27">
        <v>0</v>
      </c>
      <c r="M50" s="35">
        <v>1</v>
      </c>
      <c r="N50" s="35">
        <v>2</v>
      </c>
      <c r="O50" s="35">
        <v>3</v>
      </c>
      <c r="P50" s="35">
        <v>4</v>
      </c>
      <c r="Q50" s="35">
        <v>5</v>
      </c>
    </row>
    <row r="51" spans="2:19" s="28" customFormat="1">
      <c r="B51" s="124" t="s">
        <v>147</v>
      </c>
      <c r="C51" s="132"/>
      <c r="D51" s="60"/>
      <c r="E51" s="60"/>
      <c r="F51" s="60"/>
      <c r="G51" s="60"/>
      <c r="H51" s="60"/>
      <c r="I51" s="60"/>
      <c r="K51" s="1" t="s">
        <v>1</v>
      </c>
      <c r="L51" s="33"/>
      <c r="M51" s="73">
        <f>M38+M44+M48</f>
        <v>11679.708199999986</v>
      </c>
      <c r="N51" s="73">
        <f>N38+N44+N48</f>
        <v>8628.2685279999969</v>
      </c>
      <c r="O51" s="73">
        <f t="shared" ref="O51:P51" si="27">O38+O44+O48</f>
        <v>20442.268043999993</v>
      </c>
      <c r="P51" s="73">
        <f t="shared" si="27"/>
        <v>11143.698856928015</v>
      </c>
      <c r="Q51" s="73">
        <f>Q38+Q44+Q48</f>
        <v>22917.139601959658</v>
      </c>
      <c r="R51" s="4"/>
      <c r="S51" s="1"/>
    </row>
    <row r="52" spans="2:19">
      <c r="B52" s="124" t="s">
        <v>112</v>
      </c>
      <c r="C52" s="135">
        <f>D52/$D$9</f>
        <v>0.75981392312086837</v>
      </c>
      <c r="D52" s="65">
        <f>'Consolidated Condensed Balance '!B22</f>
        <v>37240</v>
      </c>
      <c r="E52" s="65">
        <f>$C$52*E9</f>
        <v>40964.000000000007</v>
      </c>
      <c r="F52" s="65">
        <f>$C$52*F9</f>
        <v>45060.400000000009</v>
      </c>
      <c r="G52" s="65">
        <f>$C$52*G9</f>
        <v>49566.44000000001</v>
      </c>
      <c r="H52" s="65">
        <f>$C$52*H9</f>
        <v>55514.412800000013</v>
      </c>
      <c r="I52" s="65">
        <f>$C$52*I9</f>
        <v>62176.142336000026</v>
      </c>
      <c r="K52" s="3" t="s">
        <v>2</v>
      </c>
      <c r="L52" s="34"/>
      <c r="M52" s="34"/>
      <c r="N52" s="34"/>
      <c r="O52" s="34"/>
      <c r="P52" s="34"/>
      <c r="Q52" s="76">
        <f>Q51*(1+Q20)/(L20-Q20)</f>
        <v>467252.28638169373</v>
      </c>
      <c r="S52" s="28"/>
    </row>
    <row r="53" spans="2:19">
      <c r="B53" s="124" t="s">
        <v>161</v>
      </c>
      <c r="C53" s="135">
        <f>D53/$D$9</f>
        <v>7.7164775973231042E-2</v>
      </c>
      <c r="D53" s="65">
        <f>'Consolidated Condensed Balance '!B23</f>
        <v>3782</v>
      </c>
      <c r="E53" s="65">
        <f>$C$53*E9</f>
        <v>4160.2</v>
      </c>
      <c r="F53" s="65">
        <f>$C$53*F9</f>
        <v>4576.22</v>
      </c>
      <c r="G53" s="65">
        <f>$C$53*G9</f>
        <v>5033.8420000000015</v>
      </c>
      <c r="H53" s="65">
        <f>$C$53*H9</f>
        <v>5637.9030400000011</v>
      </c>
      <c r="I53" s="65">
        <f>$C$53*I9</f>
        <v>6314.4514048000019</v>
      </c>
      <c r="K53" s="32" t="s">
        <v>3</v>
      </c>
      <c r="L53" s="94"/>
      <c r="M53" s="93">
        <f>M51</f>
        <v>11679.708199999986</v>
      </c>
      <c r="N53" s="93">
        <f>N51</f>
        <v>8628.2685279999969</v>
      </c>
      <c r="O53" s="93">
        <f>O51</f>
        <v>20442.268043999993</v>
      </c>
      <c r="P53" s="93">
        <f>P51</f>
        <v>11143.698856928015</v>
      </c>
      <c r="Q53" s="93">
        <f>Q51+Q52</f>
        <v>490169.4259836534</v>
      </c>
    </row>
    <row r="54" spans="2:19">
      <c r="B54" s="124" t="s">
        <v>162</v>
      </c>
      <c r="C54" s="135">
        <f>D54/$D$9</f>
        <v>7.3655431322941318E-3</v>
      </c>
      <c r="D54" s="65">
        <f>'Consolidated Condensed Balance '!B24</f>
        <v>361</v>
      </c>
      <c r="E54" s="65">
        <f>$C$54*E9</f>
        <v>397.1</v>
      </c>
      <c r="F54" s="65">
        <f>$C$54*F9</f>
        <v>436.81000000000006</v>
      </c>
      <c r="G54" s="65">
        <f>$C$54*G9</f>
        <v>480.4910000000001</v>
      </c>
      <c r="H54" s="65">
        <f>$C$54*H9</f>
        <v>538.14992000000007</v>
      </c>
      <c r="I54" s="65">
        <f>$C$54*I9</f>
        <v>602.72791040000027</v>
      </c>
      <c r="L54" s="31"/>
    </row>
    <row r="55" spans="2:19">
      <c r="B55" s="124" t="s">
        <v>163</v>
      </c>
      <c r="C55" s="135">
        <f>D55/$D$9</f>
        <v>0.11752223945156288</v>
      </c>
      <c r="D55" s="65">
        <f>'Consolidated Condensed Balance '!B25</f>
        <v>5760</v>
      </c>
      <c r="E55" s="65">
        <f>$C$55*E9</f>
        <v>6336.0000000000009</v>
      </c>
      <c r="F55" s="65">
        <f>$C$55*F9</f>
        <v>6969.6000000000013</v>
      </c>
      <c r="G55" s="65">
        <f>$C$55*G9</f>
        <v>7666.5600000000022</v>
      </c>
      <c r="H55" s="65">
        <f>$C$55*H9</f>
        <v>8586.5472000000027</v>
      </c>
      <c r="I55" s="65">
        <f>$C$55*I9</f>
        <v>9616.932864000004</v>
      </c>
      <c r="L55" s="31"/>
    </row>
    <row r="56" spans="2:19">
      <c r="B56" s="128" t="s">
        <v>164</v>
      </c>
      <c r="C56" s="133"/>
      <c r="D56" s="129">
        <f t="shared" ref="D56:I56" si="28">SUM(D52:D55)</f>
        <v>47143</v>
      </c>
      <c r="E56" s="129">
        <f t="shared" si="28"/>
        <v>51857.3</v>
      </c>
      <c r="F56" s="129">
        <f t="shared" si="28"/>
        <v>57043.030000000006</v>
      </c>
      <c r="G56" s="129">
        <f t="shared" si="28"/>
        <v>62747.333000000021</v>
      </c>
      <c r="H56" s="129">
        <f t="shared" si="28"/>
        <v>70277.012960000022</v>
      </c>
      <c r="I56" s="129">
        <f t="shared" si="28"/>
        <v>78710.254515200038</v>
      </c>
      <c r="L56" s="31"/>
    </row>
    <row r="57" spans="2:19" s="28" customFormat="1">
      <c r="B57" s="128" t="s">
        <v>148</v>
      </c>
      <c r="C57" s="136">
        <f>D57/D9</f>
        <v>1.5293397535297477</v>
      </c>
      <c r="D57" s="129">
        <f t="shared" ref="D57:I57" si="29">D49+D56</f>
        <v>74956</v>
      </c>
      <c r="E57" s="129">
        <f t="shared" si="29"/>
        <v>82451.600000000006</v>
      </c>
      <c r="F57" s="129">
        <f t="shared" si="29"/>
        <v>90696.760000000009</v>
      </c>
      <c r="G57" s="129">
        <f t="shared" si="29"/>
        <v>99766.436000000016</v>
      </c>
      <c r="H57" s="129">
        <f t="shared" si="29"/>
        <v>111738.40832000003</v>
      </c>
      <c r="I57" s="129">
        <f t="shared" si="29"/>
        <v>125147.01731840006</v>
      </c>
      <c r="K57" s="2" t="s">
        <v>34</v>
      </c>
      <c r="L57" s="26" t="s">
        <v>13</v>
      </c>
      <c r="N57" s="32"/>
      <c r="O57" s="1"/>
      <c r="P57" s="4"/>
      <c r="Q57" s="54"/>
      <c r="R57" s="4"/>
      <c r="S57" s="1"/>
    </row>
    <row r="58" spans="2:19">
      <c r="B58" s="125"/>
      <c r="C58" s="134"/>
      <c r="D58" s="60"/>
      <c r="E58" s="60"/>
      <c r="F58" s="60"/>
      <c r="G58" s="60"/>
      <c r="H58" s="60"/>
      <c r="I58" s="60"/>
      <c r="K58" s="1" t="s">
        <v>17</v>
      </c>
      <c r="L58" s="77">
        <f>NPV(L20,M53:Q53)</f>
        <v>402114.32974293589</v>
      </c>
      <c r="M58" s="4"/>
      <c r="N58" s="28"/>
      <c r="O58" s="28"/>
      <c r="P58" s="28"/>
      <c r="Q58" s="28"/>
      <c r="S58" s="28"/>
    </row>
    <row r="59" spans="2:19">
      <c r="B59" s="124" t="s">
        <v>149</v>
      </c>
      <c r="C59" s="132"/>
      <c r="D59" s="60"/>
      <c r="E59" s="60"/>
      <c r="F59" s="60"/>
      <c r="G59" s="60"/>
      <c r="H59" s="60"/>
      <c r="I59" s="60"/>
      <c r="K59" s="3" t="s">
        <v>4</v>
      </c>
      <c r="L59" s="78">
        <f>D52</f>
        <v>37240</v>
      </c>
      <c r="M59" s="4"/>
    </row>
    <row r="60" spans="2:19">
      <c r="B60" s="124" t="s">
        <v>118</v>
      </c>
      <c r="C60" s="135">
        <f>D60/$D$9</f>
        <v>0.63070268505672078</v>
      </c>
      <c r="D60" s="126">
        <f>'Consolidated Condensed Balance '!B28</f>
        <v>30912</v>
      </c>
      <c r="E60" s="126">
        <f>D60</f>
        <v>30912</v>
      </c>
      <c r="F60" s="126">
        <f>E60</f>
        <v>30912</v>
      </c>
      <c r="G60" s="126">
        <f>F60</f>
        <v>30912</v>
      </c>
      <c r="H60" s="126">
        <f>G60</f>
        <v>30912</v>
      </c>
      <c r="I60" s="126">
        <f>H60</f>
        <v>30912</v>
      </c>
      <c r="K60" s="7" t="s">
        <v>18</v>
      </c>
      <c r="L60" s="79">
        <f>L58-L59</f>
        <v>364874.32974293589</v>
      </c>
      <c r="M60" s="4"/>
    </row>
    <row r="61" spans="2:19" s="28" customFormat="1">
      <c r="B61" s="124" t="s">
        <v>150</v>
      </c>
      <c r="C61" s="135">
        <f>D61/$D$9</f>
        <v>-4.1846894638047825E-2</v>
      </c>
      <c r="D61" s="126">
        <f>'Consolidated Condensed Balance '!B29</f>
        <v>-2051</v>
      </c>
      <c r="E61" s="126">
        <f>$C$61*E9</f>
        <v>-2256.1000000000004</v>
      </c>
      <c r="F61" s="126">
        <f>$C$61*F9</f>
        <v>-2481.7100000000005</v>
      </c>
      <c r="G61" s="126">
        <f>$C$61*G9</f>
        <v>-2729.8810000000008</v>
      </c>
      <c r="H61" s="126">
        <f>$C$61*H9</f>
        <v>-3057.4667200000008</v>
      </c>
      <c r="I61" s="126">
        <f>$C$61*I9</f>
        <v>-3424.3627264000015</v>
      </c>
      <c r="K61" s="3" t="s">
        <v>12</v>
      </c>
      <c r="L61" s="76">
        <f>WACC!L19</f>
        <v>4125</v>
      </c>
      <c r="M61" s="4"/>
      <c r="N61" s="1"/>
      <c r="O61" s="1"/>
      <c r="P61" s="1"/>
      <c r="Q61" s="1"/>
      <c r="R61" s="4"/>
      <c r="S61" s="1"/>
    </row>
    <row r="62" spans="2:19">
      <c r="B62" s="124" t="s">
        <v>165</v>
      </c>
      <c r="C62" s="135">
        <f>D62/$D$9</f>
        <v>1.449114502570799</v>
      </c>
      <c r="D62" s="65">
        <f>'Consolidated Condensed Balance '!B30</f>
        <v>71024</v>
      </c>
      <c r="E62" s="65"/>
      <c r="F62" s="65"/>
      <c r="G62" s="65"/>
      <c r="H62" s="65"/>
      <c r="I62" s="65"/>
      <c r="K62" s="32" t="s">
        <v>33</v>
      </c>
      <c r="L62" s="80">
        <f>L60/L61</f>
        <v>88.454382967984458</v>
      </c>
      <c r="M62" s="4"/>
      <c r="S62" s="28"/>
    </row>
    <row r="63" spans="2:19">
      <c r="B63" s="128" t="s">
        <v>151</v>
      </c>
      <c r="C63" s="133">
        <f>D63/$D$9</f>
        <v>2.0379702929894719</v>
      </c>
      <c r="D63" s="130">
        <f>SUM(D60:D62)</f>
        <v>99885</v>
      </c>
      <c r="E63" s="130">
        <f t="shared" ref="E63:I63" si="30">SUM(E60:E62)</f>
        <v>28655.9</v>
      </c>
      <c r="F63" s="130">
        <f t="shared" si="30"/>
        <v>28430.29</v>
      </c>
      <c r="G63" s="130">
        <f t="shared" si="30"/>
        <v>28182.118999999999</v>
      </c>
      <c r="H63" s="130">
        <f t="shared" si="30"/>
        <v>27854.53328</v>
      </c>
      <c r="I63" s="130">
        <f t="shared" si="30"/>
        <v>27487.637273599998</v>
      </c>
      <c r="Q63" s="28"/>
    </row>
    <row r="64" spans="2:19">
      <c r="B64" s="128" t="s">
        <v>152</v>
      </c>
      <c r="C64" s="133">
        <f>D64/$D$9</f>
        <v>3.5673100465192196</v>
      </c>
      <c r="D64" s="131">
        <f>D57+D63</f>
        <v>174841</v>
      </c>
      <c r="E64" s="131">
        <f t="shared" ref="E64:I64" si="31">E57+E63</f>
        <v>111107.5</v>
      </c>
      <c r="F64" s="131">
        <f t="shared" si="31"/>
        <v>119127.05000000002</v>
      </c>
      <c r="G64" s="131">
        <f t="shared" si="31"/>
        <v>127948.55500000002</v>
      </c>
      <c r="H64" s="131">
        <f t="shared" si="31"/>
        <v>139592.94160000002</v>
      </c>
      <c r="I64" s="131">
        <f t="shared" si="31"/>
        <v>152634.65459200006</v>
      </c>
      <c r="K64" s="2" t="s">
        <v>37</v>
      </c>
      <c r="L64" s="26" t="s">
        <v>15</v>
      </c>
      <c r="M64" s="36" t="s">
        <v>19</v>
      </c>
      <c r="N64" s="36" t="s">
        <v>20</v>
      </c>
    </row>
    <row r="65" spans="2:19">
      <c r="K65" s="7" t="s">
        <v>39</v>
      </c>
      <c r="L65" s="80">
        <f>N65*M35/L61</f>
        <v>43.365817600000007</v>
      </c>
      <c r="M65" s="83">
        <f>L85/(M35/L61)</f>
        <v>29.788623194319751</v>
      </c>
      <c r="N65" s="84">
        <v>44.24</v>
      </c>
      <c r="O65" s="23" t="s">
        <v>184</v>
      </c>
    </row>
    <row r="66" spans="2:19" s="28" customFormat="1">
      <c r="K66" s="7" t="s">
        <v>40</v>
      </c>
      <c r="L66" s="80">
        <f>(N66*(M33+M37)-L59)/L61</f>
        <v>58.561629692121222</v>
      </c>
      <c r="M66" s="85">
        <f>L58/(M30+M37)</f>
        <v>32.428480832066604</v>
      </c>
      <c r="N66" s="60">
        <v>15.21</v>
      </c>
      <c r="O66" s="23" t="s">
        <v>185</v>
      </c>
      <c r="P66" s="1"/>
      <c r="Q66" s="1"/>
      <c r="R66" s="4"/>
      <c r="S66" s="1"/>
    </row>
    <row r="67" spans="2:19">
      <c r="K67" s="102" t="s">
        <v>186</v>
      </c>
      <c r="L67" s="80">
        <f>(L85/M67)*N67</f>
        <v>106.48639978588156</v>
      </c>
      <c r="M67" s="84">
        <f>WACC!L22/'Company Valuation'!M24</f>
        <v>2.2869399330776137</v>
      </c>
      <c r="N67" s="60">
        <v>8.34</v>
      </c>
      <c r="O67" s="23" t="s">
        <v>203</v>
      </c>
      <c r="S67" s="28"/>
    </row>
    <row r="68" spans="2:19">
      <c r="K68" s="102" t="s">
        <v>189</v>
      </c>
      <c r="L68" s="80">
        <f>N68*D63/L61</f>
        <v>180.39836363636363</v>
      </c>
      <c r="M68" s="84">
        <f>L85/(D63/L61)</f>
        <v>1.2058867697852529</v>
      </c>
      <c r="N68" s="60">
        <v>7.45</v>
      </c>
      <c r="O68" s="23" t="s">
        <v>202</v>
      </c>
      <c r="P68" s="28"/>
    </row>
    <row r="69" spans="2:19">
      <c r="B69" s="41"/>
      <c r="C69" s="41"/>
      <c r="D69" s="42"/>
      <c r="E69" s="42"/>
      <c r="F69" s="42"/>
      <c r="G69" s="42"/>
      <c r="H69" s="42"/>
      <c r="I69" s="42"/>
      <c r="K69" s="102" t="s">
        <v>187</v>
      </c>
      <c r="L69" s="80">
        <f>(L85/M69)*N69</f>
        <v>53.655871609696909</v>
      </c>
      <c r="M69" s="84">
        <f>L85/(M53/L61)</f>
        <v>10.312757642352754</v>
      </c>
      <c r="N69" s="60">
        <v>18.95</v>
      </c>
      <c r="O69" s="23" t="s">
        <v>188</v>
      </c>
    </row>
    <row r="70" spans="2:19">
      <c r="K70" s="28"/>
      <c r="L70" s="28"/>
      <c r="M70" s="28"/>
      <c r="N70" s="28"/>
      <c r="O70" s="28"/>
    </row>
    <row r="71" spans="2:19">
      <c r="K71" s="2" t="s">
        <v>38</v>
      </c>
      <c r="L71" s="26" t="s">
        <v>13</v>
      </c>
      <c r="M71" s="2" t="s">
        <v>22</v>
      </c>
      <c r="N71" s="28"/>
    </row>
    <row r="72" spans="2:19" s="28" customFormat="1">
      <c r="B72" s="1"/>
      <c r="C72" s="1"/>
      <c r="D72" s="1"/>
      <c r="E72" s="1"/>
      <c r="F72" s="1"/>
      <c r="G72" s="1"/>
      <c r="H72" s="1"/>
      <c r="I72" s="1"/>
      <c r="K72" s="1" t="s">
        <v>41</v>
      </c>
      <c r="L72" s="73">
        <f>(D17*(1-L19)+D20)-(L20*(D52+D63))</f>
        <v>781.91880207625218</v>
      </c>
      <c r="M72" s="143">
        <v>59368.67</v>
      </c>
      <c r="N72" s="23" t="s">
        <v>196</v>
      </c>
      <c r="O72" s="1"/>
      <c r="P72" s="1"/>
      <c r="Q72" s="1"/>
      <c r="S72" s="1"/>
    </row>
    <row r="73" spans="2:19">
      <c r="K73" s="1" t="s">
        <v>42</v>
      </c>
      <c r="L73" s="86">
        <f>((1-L19)*(D17+D20))/D42</f>
        <v>5.4706607509499634E-2</v>
      </c>
      <c r="M73" s="68">
        <v>6.5000000000000002E-2</v>
      </c>
      <c r="N73" s="23" t="s">
        <v>197</v>
      </c>
      <c r="R73" s="1"/>
      <c r="S73" s="28"/>
    </row>
    <row r="74" spans="2:19">
      <c r="K74" s="1" t="s">
        <v>43</v>
      </c>
      <c r="L74" s="86">
        <f>((1-L19)*(D17+D20))/(D63+D53)</f>
        <v>9.2266178856998143E-2</v>
      </c>
      <c r="M74" s="68">
        <v>0.217</v>
      </c>
      <c r="N74" s="23" t="s">
        <v>200</v>
      </c>
      <c r="R74" s="1"/>
    </row>
    <row r="75" spans="2:19">
      <c r="K75" s="1" t="s">
        <v>44</v>
      </c>
      <c r="L75" s="86">
        <f>L35/D63</f>
        <v>8.6879911898683493E-2</v>
      </c>
      <c r="M75" s="68">
        <v>0.16189999999999999</v>
      </c>
      <c r="N75" s="23" t="s">
        <v>204</v>
      </c>
      <c r="R75" s="1"/>
    </row>
    <row r="76" spans="2:19">
      <c r="K76" s="1" t="s">
        <v>45</v>
      </c>
      <c r="L76" s="83">
        <f>L30/L32</f>
        <v>3.4114173228346458</v>
      </c>
      <c r="M76" s="60">
        <v>4.26</v>
      </c>
      <c r="N76" s="23" t="s">
        <v>198</v>
      </c>
    </row>
    <row r="77" spans="2:19">
      <c r="K77" s="102" t="s">
        <v>191</v>
      </c>
      <c r="L77" s="83">
        <f>D33/D49</f>
        <v>1.7712220903893863</v>
      </c>
      <c r="M77" s="87">
        <v>3.29</v>
      </c>
      <c r="N77" s="23" t="s">
        <v>199</v>
      </c>
      <c r="Q77" s="28"/>
    </row>
    <row r="78" spans="2:19">
      <c r="G78" s="28"/>
      <c r="K78" s="102" t="s">
        <v>192</v>
      </c>
      <c r="L78" s="83">
        <f>(D26+D27)/D49</f>
        <v>0.81109553086686081</v>
      </c>
      <c r="M78" s="87">
        <v>1.74</v>
      </c>
      <c r="N78" s="23" t="s">
        <v>199</v>
      </c>
    </row>
    <row r="79" spans="2:19">
      <c r="G79" s="28"/>
      <c r="K79" s="102" t="s">
        <v>193</v>
      </c>
      <c r="L79" s="83">
        <f>(D26+D27+D29)/D49</f>
        <v>1.079639017725524</v>
      </c>
      <c r="M79" s="87">
        <v>2.5099999999999998</v>
      </c>
      <c r="N79" s="23" t="s">
        <v>199</v>
      </c>
    </row>
    <row r="80" spans="2:19">
      <c r="G80" s="28"/>
      <c r="K80" s="102" t="s">
        <v>190</v>
      </c>
      <c r="L80" s="83">
        <f>D52/D63</f>
        <v>0.37282875306602592</v>
      </c>
      <c r="M80" s="144">
        <v>0.6</v>
      </c>
      <c r="N80" s="23" t="s">
        <v>199</v>
      </c>
    </row>
    <row r="81" spans="2:19">
      <c r="G81" s="28"/>
      <c r="K81" s="102" t="s">
        <v>194</v>
      </c>
      <c r="L81" s="83">
        <f>D57/D42</f>
        <v>0.42870951321486378</v>
      </c>
      <c r="M81" s="87">
        <v>0.38</v>
      </c>
      <c r="N81" s="23" t="s">
        <v>199</v>
      </c>
      <c r="P81" s="28"/>
    </row>
    <row r="82" spans="2:19">
      <c r="G82" s="28"/>
    </row>
    <row r="83" spans="2:19" ht="17" thickBot="1">
      <c r="K83" s="2" t="s">
        <v>36</v>
      </c>
      <c r="L83" s="54" t="s">
        <v>15</v>
      </c>
      <c r="M83" s="98"/>
      <c r="O83" s="96" t="s">
        <v>47</v>
      </c>
    </row>
    <row r="84" spans="2:19" s="28" customFormat="1">
      <c r="B84" s="1"/>
      <c r="C84" s="1"/>
      <c r="D84" s="1"/>
      <c r="E84" s="1"/>
      <c r="F84" s="1"/>
      <c r="G84" s="1"/>
      <c r="H84" s="1"/>
      <c r="I84" s="1"/>
      <c r="K84" s="32" t="s">
        <v>46</v>
      </c>
      <c r="L84" s="81">
        <f>L62*50%+L65*10%+L66*10%+L67*10%+L68*10%+L69*10%</f>
        <v>88.473999716398581</v>
      </c>
      <c r="M84" s="4"/>
      <c r="O84" s="1"/>
      <c r="P84" s="1"/>
      <c r="Q84" s="1"/>
      <c r="R84" s="4"/>
      <c r="S84" s="1"/>
    </row>
    <row r="85" spans="2:19" ht="17" thickBot="1">
      <c r="K85" s="2" t="s">
        <v>27</v>
      </c>
      <c r="L85" s="82">
        <v>29.2</v>
      </c>
      <c r="M85" s="4"/>
      <c r="N85" s="95"/>
      <c r="R85" s="28"/>
      <c r="S85" s="28"/>
    </row>
    <row r="86" spans="2:19">
      <c r="K86" s="32" t="s">
        <v>14</v>
      </c>
      <c r="L86" s="81">
        <f>L84-L85</f>
        <v>59.273999716398578</v>
      </c>
      <c r="M86" s="4"/>
      <c r="N86" s="95"/>
      <c r="R86" s="1"/>
    </row>
    <row r="87" spans="2:19" ht="17" thickBot="1">
      <c r="K87" s="2" t="s">
        <v>16</v>
      </c>
      <c r="L87" s="142">
        <f>L86/L85</f>
        <v>2.0299314971369378</v>
      </c>
      <c r="M87" s="4"/>
      <c r="N87" s="97"/>
      <c r="R87" s="1"/>
    </row>
    <row r="88" spans="2:19" ht="17" thickBot="1">
      <c r="K88" s="32" t="s">
        <v>35</v>
      </c>
      <c r="L88" s="88" t="s">
        <v>195</v>
      </c>
      <c r="M88" s="4"/>
      <c r="N88" s="97"/>
      <c r="R88" s="1"/>
    </row>
    <row r="89" spans="2:19">
      <c r="R89" s="1"/>
    </row>
    <row r="90" spans="2:19">
      <c r="R90" s="1"/>
    </row>
    <row r="91" spans="2:19">
      <c r="R91" s="1"/>
    </row>
  </sheetData>
  <sheetProtection formatCells="0" formatColumns="0" formatRows="0" insertColumns="0" insertRows="0" insertHyperlinks="0" deleteColumns="0" deleteRows="0" sort="0" autoFilter="0" pivotTables="0"/>
  <phoneticPr fontId="42" type="noConversion"/>
  <hyperlinks>
    <hyperlink ref="B5" r:id="rId1" xr:uid="{4E685DF2-773A-8940-B0A5-1CFECFD27DE2}"/>
    <hyperlink ref="O66" r:id="rId2" xr:uid="{35263E7D-51AE-C94B-A5E2-A7C518A84961}"/>
    <hyperlink ref="N72" r:id="rId3" xr:uid="{CFEB00BA-466A-2848-BF0A-A682FC2998D2}"/>
    <hyperlink ref="N73" r:id="rId4" xr:uid="{D1B79F17-B7C2-ED4F-A3E0-D598EA8467C2}"/>
    <hyperlink ref="N76" r:id="rId5" xr:uid="{85756F34-8D08-9047-8E86-190B5A88FDE9}"/>
    <hyperlink ref="N77" r:id="rId6" xr:uid="{BAE134E6-72A8-164D-908A-CF7646A93241}"/>
    <hyperlink ref="N79" r:id="rId7" xr:uid="{0FA1AA89-095D-A74A-A045-23EE87B911F3}"/>
    <hyperlink ref="N80" r:id="rId8" xr:uid="{0EC69FFA-76EE-9846-BBC9-4D5F7CF367C0}"/>
    <hyperlink ref="N81" r:id="rId9" xr:uid="{21E15E4E-0663-EC40-BED9-3ACD7C7A052C}"/>
    <hyperlink ref="N78" r:id="rId10" xr:uid="{2C3010E0-BBFB-5642-98A1-00DD53C242E4}"/>
    <hyperlink ref="N74" r:id="rId11" xr:uid="{AE9A667A-9330-AF46-819F-C31C1CD41AB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 Condensed Balance </vt:lpstr>
      <vt:lpstr>WACC</vt:lpstr>
      <vt:lpstr>Company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Ahn</dc:creator>
  <cp:lastModifiedBy>Microsoft Office User</cp:lastModifiedBy>
  <cp:lastPrinted>2022-03-29T12:03:05Z</cp:lastPrinted>
  <dcterms:created xsi:type="dcterms:W3CDTF">2018-03-17T04:35:48Z</dcterms:created>
  <dcterms:modified xsi:type="dcterms:W3CDTF">2022-12-16T19:22:28Z</dcterms:modified>
</cp:coreProperties>
</file>