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XCELS CORRELACIONADOS\"/>
    </mc:Choice>
  </mc:AlternateContent>
  <bookViews>
    <workbookView xWindow="0" yWindow="0" windowWidth="24000" windowHeight="9600" tabRatio="794" activeTab="1"/>
  </bookViews>
  <sheets>
    <sheet name="FILTRO" sheetId="12" r:id="rId1"/>
    <sheet name="A PAGAR" sheetId="1" r:id="rId2"/>
    <sheet name="Hoja1" sheetId="13" r:id="rId3"/>
    <sheet name="Hoja2" sheetId="14" r:id="rId4"/>
    <sheet name="Hoja3" sheetId="15" r:id="rId5"/>
    <sheet name="Fechas de Pagos" sheetId="2" r:id="rId6"/>
    <sheet name="PRESTAMOS" sheetId="11" r:id="rId7"/>
    <sheet name="Fechas de Cobros" sheetId="8" r:id="rId8"/>
    <sheet name="A DEPOSITAR" sheetId="7" r:id="rId9"/>
    <sheet name="Estadistica" sheetId="6" r:id="rId10"/>
    <sheet name="INSTRUCCIONES" sheetId="4" r:id="rId11"/>
  </sheets>
  <definedNames>
    <definedName name="_xlnm._FilterDatabase" localSheetId="8" hidden="1">'A DEPOSITAR'!$A$1:$R$1003</definedName>
    <definedName name="_xlnm._FilterDatabase" localSheetId="1" hidden="1">'A PAGAR'!$A$1:$Z$998</definedName>
    <definedName name="Año_de_cobro">'A DEPOSITAR'!$Q$2:$Q$999</definedName>
    <definedName name="Año_de_pago">'A PAGAR'!$J$2:$J$998</definedName>
    <definedName name="_xlnm.Print_Area" localSheetId="5">'Fechas de Pagos'!$A$4:$I$18</definedName>
    <definedName name="Estado_del_cheque_de_cobro">'A DEPOSITAR'!$I$2:$I$999</definedName>
    <definedName name="Fecha_de_deposito">'A DEPOSITAR'!$D$2:$D$999</definedName>
    <definedName name="Mes_de_cobro">'A DEPOSITAR'!$P$2:$P$999</definedName>
    <definedName name="Mes_de_pago">'A PAGAR'!$I$2:$I$998</definedName>
    <definedName name="Monto_a_pagar">'A PAGAR'!$D$2:$D$998</definedName>
    <definedName name="Monto_de_cobro">'A DEPOSITAR'!$H$2:$H$999</definedName>
  </definedNames>
  <calcPr calcId="162913"/>
  <customWorkbookViews>
    <customWorkbookView name="Filtro 1" guid="{F5833F79-AA0D-4EDF-8740-E77840C2A6E4}" maximized="1" windowWidth="0" windowHeight="0" activeSheetId="0"/>
  </customWorkbookViews>
  <pivotCaches>
    <pivotCache cacheId="3" r:id="rId12"/>
    <pivotCache cacheId="5" r:id="rId13"/>
    <pivotCache cacheId="11" r:id="rId14"/>
  </pivotCaches>
</workbook>
</file>

<file path=xl/calcChain.xml><?xml version="1.0" encoding="utf-8"?>
<calcChain xmlns="http://schemas.openxmlformats.org/spreadsheetml/2006/main">
  <c r="D884" i="1" l="1"/>
  <c r="G3" i="8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619" i="1"/>
  <c r="U561" i="1"/>
  <c r="U536" i="1"/>
  <c r="U444" i="1"/>
  <c r="U448" i="1"/>
  <c r="U449" i="1"/>
  <c r="U562" i="1"/>
  <c r="U537" i="1"/>
  <c r="U445" i="1"/>
  <c r="U453" i="1"/>
  <c r="U563" i="1"/>
  <c r="U538" i="1"/>
  <c r="U446" i="1"/>
  <c r="U457" i="1"/>
  <c r="U564" i="1"/>
  <c r="U539" i="1"/>
  <c r="U447" i="1"/>
  <c r="U461" i="1"/>
  <c r="U565" i="1"/>
  <c r="U540" i="1"/>
  <c r="U450" i="1"/>
  <c r="U465" i="1"/>
  <c r="U566" i="1"/>
  <c r="U541" i="1"/>
  <c r="U451" i="1"/>
  <c r="U469" i="1"/>
  <c r="U567" i="1"/>
  <c r="U542" i="1"/>
  <c r="U452" i="1"/>
  <c r="U473" i="1"/>
  <c r="U568" i="1"/>
  <c r="U543" i="1"/>
  <c r="U454" i="1"/>
  <c r="U477" i="1"/>
  <c r="U569" i="1"/>
  <c r="U544" i="1"/>
  <c r="U455" i="1"/>
  <c r="U481" i="1"/>
  <c r="U570" i="1"/>
  <c r="U545" i="1"/>
  <c r="U456" i="1"/>
  <c r="U485" i="1"/>
  <c r="U571" i="1"/>
  <c r="U546" i="1"/>
  <c r="U458" i="1"/>
  <c r="U489" i="1"/>
  <c r="U490" i="1"/>
  <c r="U621" i="1"/>
  <c r="U572" i="1"/>
  <c r="U549" i="1"/>
  <c r="U459" i="1"/>
  <c r="U495" i="1"/>
  <c r="U496" i="1"/>
  <c r="U575" i="1"/>
  <c r="U550" i="1"/>
  <c r="U460" i="1"/>
  <c r="U576" i="1"/>
  <c r="U462" i="1"/>
  <c r="U577" i="1"/>
  <c r="U463" i="1"/>
  <c r="U578" i="1"/>
  <c r="U464" i="1"/>
  <c r="U582" i="1"/>
  <c r="U466" i="1"/>
  <c r="U583" i="1"/>
  <c r="U467" i="1"/>
  <c r="U584" i="1"/>
  <c r="U468" i="1"/>
  <c r="U585" i="1"/>
  <c r="U470" i="1"/>
  <c r="U586" i="1"/>
  <c r="U471" i="1"/>
  <c r="U587" i="1"/>
  <c r="U472" i="1"/>
  <c r="U518" i="1"/>
  <c r="U519" i="1"/>
  <c r="U622" i="1"/>
  <c r="U588" i="1"/>
  <c r="U551" i="1"/>
  <c r="U474" i="1"/>
  <c r="U524" i="1"/>
  <c r="U525" i="1"/>
  <c r="U526" i="1"/>
  <c r="U589" i="1"/>
  <c r="U475" i="1"/>
  <c r="U590" i="1"/>
  <c r="U476" i="1"/>
  <c r="U591" i="1"/>
  <c r="U478" i="1"/>
  <c r="U594" i="1"/>
  <c r="U479" i="1"/>
  <c r="U595" i="1"/>
  <c r="U480" i="1"/>
  <c r="U596" i="1"/>
  <c r="U482" i="1"/>
  <c r="U597" i="1"/>
  <c r="U483" i="1"/>
  <c r="U600" i="1"/>
  <c r="U484" i="1"/>
  <c r="U601" i="1"/>
  <c r="U486" i="1"/>
  <c r="U602" i="1"/>
  <c r="U487" i="1"/>
  <c r="U547" i="1"/>
  <c r="U548" i="1"/>
  <c r="U623" i="1"/>
  <c r="U603" i="1"/>
  <c r="U552" i="1"/>
  <c r="U488" i="1"/>
  <c r="U553" i="1"/>
  <c r="U554" i="1"/>
  <c r="U555" i="1"/>
  <c r="U604" i="1"/>
  <c r="U491" i="1"/>
  <c r="U605" i="1"/>
  <c r="U492" i="1"/>
  <c r="U606" i="1"/>
  <c r="U493" i="1"/>
  <c r="U607" i="1"/>
  <c r="U494" i="1"/>
  <c r="U608" i="1"/>
  <c r="U497" i="1"/>
  <c r="U609" i="1"/>
  <c r="U498" i="1"/>
  <c r="U611" i="1"/>
  <c r="U499" i="1"/>
  <c r="U500" i="1"/>
  <c r="U501" i="1"/>
  <c r="U502" i="1"/>
  <c r="U573" i="1"/>
  <c r="U574" i="1"/>
  <c r="U624" i="1"/>
  <c r="U612" i="1"/>
  <c r="U556" i="1"/>
  <c r="U503" i="1"/>
  <c r="U579" i="1"/>
  <c r="U580" i="1"/>
  <c r="U581" i="1"/>
  <c r="U504" i="1"/>
  <c r="U505" i="1"/>
  <c r="U506" i="1"/>
  <c r="U507" i="1"/>
  <c r="U508" i="1"/>
  <c r="U509" i="1"/>
  <c r="U510" i="1"/>
  <c r="U511" i="1"/>
  <c r="U512" i="1"/>
  <c r="U513" i="1"/>
  <c r="U592" i="1"/>
  <c r="U593" i="1"/>
  <c r="U628" i="1"/>
  <c r="U613" i="1"/>
  <c r="U557" i="1"/>
  <c r="U514" i="1"/>
  <c r="U598" i="1"/>
  <c r="U599" i="1"/>
  <c r="U515" i="1"/>
  <c r="U516" i="1"/>
  <c r="U517" i="1"/>
  <c r="U520" i="1"/>
  <c r="U521" i="1"/>
  <c r="U522" i="1"/>
  <c r="U523" i="1"/>
  <c r="U527" i="1"/>
  <c r="U528" i="1"/>
  <c r="U529" i="1"/>
  <c r="U610" i="1"/>
  <c r="U629" i="1"/>
  <c r="U614" i="1"/>
  <c r="U558" i="1"/>
  <c r="U530" i="1"/>
  <c r="U615" i="1"/>
  <c r="U616" i="1"/>
  <c r="U531" i="1"/>
  <c r="U532" i="1"/>
  <c r="U533" i="1"/>
  <c r="U620" i="1"/>
  <c r="U630" i="1"/>
  <c r="U617" i="1"/>
  <c r="U559" i="1"/>
  <c r="U534" i="1"/>
  <c r="U625" i="1"/>
  <c r="U626" i="1"/>
  <c r="U627" i="1"/>
  <c r="U618" i="1"/>
  <c r="U560" i="1"/>
  <c r="U535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619" i="1"/>
  <c r="T561" i="1"/>
  <c r="T536" i="1"/>
  <c r="T444" i="1"/>
  <c r="T448" i="1"/>
  <c r="T449" i="1"/>
  <c r="T562" i="1"/>
  <c r="T537" i="1"/>
  <c r="T445" i="1"/>
  <c r="T453" i="1"/>
  <c r="T563" i="1"/>
  <c r="T538" i="1"/>
  <c r="T446" i="1"/>
  <c r="T457" i="1"/>
  <c r="T564" i="1"/>
  <c r="T539" i="1"/>
  <c r="T447" i="1"/>
  <c r="T461" i="1"/>
  <c r="T565" i="1"/>
  <c r="T540" i="1"/>
  <c r="T450" i="1"/>
  <c r="T465" i="1"/>
  <c r="T566" i="1"/>
  <c r="T541" i="1"/>
  <c r="T451" i="1"/>
  <c r="T469" i="1"/>
  <c r="T567" i="1"/>
  <c r="T542" i="1"/>
  <c r="T452" i="1"/>
  <c r="T473" i="1"/>
  <c r="T568" i="1"/>
  <c r="T543" i="1"/>
  <c r="T454" i="1"/>
  <c r="T477" i="1"/>
  <c r="T569" i="1"/>
  <c r="T544" i="1"/>
  <c r="T455" i="1"/>
  <c r="T481" i="1"/>
  <c r="T570" i="1"/>
  <c r="T545" i="1"/>
  <c r="T456" i="1"/>
  <c r="T485" i="1"/>
  <c r="T571" i="1"/>
  <c r="T546" i="1"/>
  <c r="T458" i="1"/>
  <c r="T489" i="1"/>
  <c r="T490" i="1"/>
  <c r="T621" i="1"/>
  <c r="T572" i="1"/>
  <c r="T549" i="1"/>
  <c r="T459" i="1"/>
  <c r="T495" i="1"/>
  <c r="T496" i="1"/>
  <c r="T575" i="1"/>
  <c r="T550" i="1"/>
  <c r="T460" i="1"/>
  <c r="T576" i="1"/>
  <c r="T462" i="1"/>
  <c r="T577" i="1"/>
  <c r="T463" i="1"/>
  <c r="T578" i="1"/>
  <c r="T464" i="1"/>
  <c r="T582" i="1"/>
  <c r="T466" i="1"/>
  <c r="T583" i="1"/>
  <c r="T467" i="1"/>
  <c r="T584" i="1"/>
  <c r="T468" i="1"/>
  <c r="T585" i="1"/>
  <c r="T470" i="1"/>
  <c r="T586" i="1"/>
  <c r="T471" i="1"/>
  <c r="T587" i="1"/>
  <c r="T472" i="1"/>
  <c r="T518" i="1"/>
  <c r="T519" i="1"/>
  <c r="T622" i="1"/>
  <c r="T588" i="1"/>
  <c r="T551" i="1"/>
  <c r="T474" i="1"/>
  <c r="T524" i="1"/>
  <c r="T525" i="1"/>
  <c r="T526" i="1"/>
  <c r="T589" i="1"/>
  <c r="T475" i="1"/>
  <c r="T590" i="1"/>
  <c r="T476" i="1"/>
  <c r="T591" i="1"/>
  <c r="T478" i="1"/>
  <c r="T594" i="1"/>
  <c r="T479" i="1"/>
  <c r="T595" i="1"/>
  <c r="T480" i="1"/>
  <c r="T596" i="1"/>
  <c r="T482" i="1"/>
  <c r="T597" i="1"/>
  <c r="T483" i="1"/>
  <c r="T600" i="1"/>
  <c r="T484" i="1"/>
  <c r="T601" i="1"/>
  <c r="T486" i="1"/>
  <c r="T602" i="1"/>
  <c r="T487" i="1"/>
  <c r="T547" i="1"/>
  <c r="T548" i="1"/>
  <c r="T623" i="1"/>
  <c r="T603" i="1"/>
  <c r="T552" i="1"/>
  <c r="T488" i="1"/>
  <c r="T553" i="1"/>
  <c r="T554" i="1"/>
  <c r="T555" i="1"/>
  <c r="T604" i="1"/>
  <c r="T491" i="1"/>
  <c r="T605" i="1"/>
  <c r="T492" i="1"/>
  <c r="T606" i="1"/>
  <c r="T493" i="1"/>
  <c r="T607" i="1"/>
  <c r="T494" i="1"/>
  <c r="T608" i="1"/>
  <c r="T497" i="1"/>
  <c r="T609" i="1"/>
  <c r="T498" i="1"/>
  <c r="T611" i="1"/>
  <c r="T499" i="1"/>
  <c r="T500" i="1"/>
  <c r="T501" i="1"/>
  <c r="T502" i="1"/>
  <c r="T573" i="1"/>
  <c r="T574" i="1"/>
  <c r="T624" i="1"/>
  <c r="T612" i="1"/>
  <c r="T556" i="1"/>
  <c r="T503" i="1"/>
  <c r="T579" i="1"/>
  <c r="T580" i="1"/>
  <c r="T581" i="1"/>
  <c r="T504" i="1"/>
  <c r="T505" i="1"/>
  <c r="T506" i="1"/>
  <c r="T507" i="1"/>
  <c r="T508" i="1"/>
  <c r="T509" i="1"/>
  <c r="T510" i="1"/>
  <c r="T511" i="1"/>
  <c r="T512" i="1"/>
  <c r="T513" i="1"/>
  <c r="T592" i="1"/>
  <c r="T593" i="1"/>
  <c r="T628" i="1"/>
  <c r="T613" i="1"/>
  <c r="T557" i="1"/>
  <c r="T514" i="1"/>
  <c r="T598" i="1"/>
  <c r="T599" i="1"/>
  <c r="T515" i="1"/>
  <c r="T516" i="1"/>
  <c r="T517" i="1"/>
  <c r="T520" i="1"/>
  <c r="T521" i="1"/>
  <c r="T522" i="1"/>
  <c r="T523" i="1"/>
  <c r="T527" i="1"/>
  <c r="T528" i="1"/>
  <c r="T529" i="1"/>
  <c r="T610" i="1"/>
  <c r="T629" i="1"/>
  <c r="T614" i="1"/>
  <c r="T558" i="1"/>
  <c r="T530" i="1"/>
  <c r="T615" i="1"/>
  <c r="T616" i="1"/>
  <c r="T531" i="1"/>
  <c r="T532" i="1"/>
  <c r="T533" i="1"/>
  <c r="T620" i="1"/>
  <c r="T630" i="1"/>
  <c r="T617" i="1"/>
  <c r="T559" i="1"/>
  <c r="T534" i="1"/>
  <c r="T625" i="1"/>
  <c r="T626" i="1"/>
  <c r="T627" i="1"/>
  <c r="T618" i="1"/>
  <c r="T560" i="1"/>
  <c r="T535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619" i="1"/>
  <c r="Q561" i="1"/>
  <c r="Q536" i="1"/>
  <c r="Q444" i="1"/>
  <c r="Q448" i="1"/>
  <c r="Q449" i="1"/>
  <c r="Q562" i="1"/>
  <c r="Q537" i="1"/>
  <c r="Q445" i="1"/>
  <c r="Q453" i="1"/>
  <c r="Q563" i="1"/>
  <c r="Q538" i="1"/>
  <c r="Q446" i="1"/>
  <c r="Q457" i="1"/>
  <c r="Q564" i="1"/>
  <c r="Q539" i="1"/>
  <c r="Q447" i="1"/>
  <c r="Q461" i="1"/>
  <c r="Q565" i="1"/>
  <c r="Q540" i="1"/>
  <c r="Q450" i="1"/>
  <c r="Q465" i="1"/>
  <c r="Q566" i="1"/>
  <c r="Q541" i="1"/>
  <c r="Q451" i="1"/>
  <c r="Q469" i="1"/>
  <c r="Q567" i="1"/>
  <c r="Q542" i="1"/>
  <c r="Q452" i="1"/>
  <c r="Q473" i="1"/>
  <c r="Q568" i="1"/>
  <c r="Q543" i="1"/>
  <c r="Q454" i="1"/>
  <c r="Q477" i="1"/>
  <c r="Q569" i="1"/>
  <c r="Q544" i="1"/>
  <c r="Q455" i="1"/>
  <c r="Q481" i="1"/>
  <c r="Q570" i="1"/>
  <c r="Q545" i="1"/>
  <c r="Q456" i="1"/>
  <c r="Q485" i="1"/>
  <c r="Q571" i="1"/>
  <c r="Q546" i="1"/>
  <c r="Q458" i="1"/>
  <c r="Q489" i="1"/>
  <c r="Q490" i="1"/>
  <c r="Q621" i="1"/>
  <c r="Q572" i="1"/>
  <c r="Q549" i="1"/>
  <c r="Q459" i="1"/>
  <c r="Q495" i="1"/>
  <c r="Q496" i="1"/>
  <c r="Q575" i="1"/>
  <c r="Q550" i="1"/>
  <c r="Q460" i="1"/>
  <c r="Q576" i="1"/>
  <c r="Q462" i="1"/>
  <c r="Q577" i="1"/>
  <c r="Q463" i="1"/>
  <c r="Q578" i="1"/>
  <c r="Q464" i="1"/>
  <c r="Q582" i="1"/>
  <c r="Q466" i="1"/>
  <c r="Q583" i="1"/>
  <c r="Q467" i="1"/>
  <c r="Q584" i="1"/>
  <c r="Q468" i="1"/>
  <c r="Q585" i="1"/>
  <c r="Q470" i="1"/>
  <c r="Q586" i="1"/>
  <c r="Q471" i="1"/>
  <c r="Q587" i="1"/>
  <c r="Q472" i="1"/>
  <c r="Q518" i="1"/>
  <c r="Q519" i="1"/>
  <c r="Q622" i="1"/>
  <c r="Q588" i="1"/>
  <c r="Q551" i="1"/>
  <c r="Q474" i="1"/>
  <c r="Q524" i="1"/>
  <c r="Q525" i="1"/>
  <c r="Q526" i="1"/>
  <c r="Q589" i="1"/>
  <c r="Q475" i="1"/>
  <c r="Q590" i="1"/>
  <c r="Q476" i="1"/>
  <c r="Q591" i="1"/>
  <c r="Q478" i="1"/>
  <c r="Q594" i="1"/>
  <c r="Q479" i="1"/>
  <c r="Q595" i="1"/>
  <c r="Q480" i="1"/>
  <c r="Q596" i="1"/>
  <c r="Q482" i="1"/>
  <c r="Q597" i="1"/>
  <c r="Q483" i="1"/>
  <c r="Q600" i="1"/>
  <c r="Q484" i="1"/>
  <c r="Q601" i="1"/>
  <c r="Q486" i="1"/>
  <c r="Q602" i="1"/>
  <c r="Q487" i="1"/>
  <c r="Q547" i="1"/>
  <c r="Q548" i="1"/>
  <c r="Q623" i="1"/>
  <c r="Q603" i="1"/>
  <c r="Q552" i="1"/>
  <c r="Q488" i="1"/>
  <c r="Q553" i="1"/>
  <c r="Q554" i="1"/>
  <c r="Q555" i="1"/>
  <c r="Q604" i="1"/>
  <c r="Q491" i="1"/>
  <c r="Q605" i="1"/>
  <c r="Q492" i="1"/>
  <c r="Q606" i="1"/>
  <c r="Q493" i="1"/>
  <c r="Q607" i="1"/>
  <c r="Q494" i="1"/>
  <c r="Q608" i="1"/>
  <c r="Q497" i="1"/>
  <c r="Q609" i="1"/>
  <c r="Q498" i="1"/>
  <c r="Q611" i="1"/>
  <c r="Q499" i="1"/>
  <c r="Q500" i="1"/>
  <c r="Q501" i="1"/>
  <c r="Q502" i="1"/>
  <c r="Q573" i="1"/>
  <c r="Q574" i="1"/>
  <c r="Q624" i="1"/>
  <c r="Q612" i="1"/>
  <c r="Q556" i="1"/>
  <c r="Q503" i="1"/>
  <c r="Q579" i="1"/>
  <c r="Q580" i="1"/>
  <c r="Q581" i="1"/>
  <c r="Q504" i="1"/>
  <c r="Q505" i="1"/>
  <c r="Q506" i="1"/>
  <c r="Q507" i="1"/>
  <c r="Q508" i="1"/>
  <c r="Q509" i="1"/>
  <c r="Q510" i="1"/>
  <c r="Q511" i="1"/>
  <c r="Q512" i="1"/>
  <c r="Q513" i="1"/>
  <c r="Q592" i="1"/>
  <c r="Q593" i="1"/>
  <c r="Q628" i="1"/>
  <c r="Q613" i="1"/>
  <c r="Q557" i="1"/>
  <c r="Q514" i="1"/>
  <c r="Q598" i="1"/>
  <c r="Q599" i="1"/>
  <c r="Q515" i="1"/>
  <c r="Q516" i="1"/>
  <c r="Q517" i="1"/>
  <c r="Q520" i="1"/>
  <c r="Q521" i="1"/>
  <c r="Q522" i="1"/>
  <c r="Q523" i="1"/>
  <c r="Q527" i="1"/>
  <c r="Q528" i="1"/>
  <c r="Q529" i="1"/>
  <c r="Q610" i="1"/>
  <c r="Q629" i="1"/>
  <c r="Q614" i="1"/>
  <c r="Q558" i="1"/>
  <c r="Q530" i="1"/>
  <c r="Q615" i="1"/>
  <c r="Q616" i="1"/>
  <c r="Q531" i="1"/>
  <c r="Q532" i="1"/>
  <c r="Q533" i="1"/>
  <c r="Q620" i="1"/>
  <c r="Q630" i="1"/>
  <c r="Q617" i="1"/>
  <c r="Q559" i="1"/>
  <c r="Q534" i="1"/>
  <c r="Q625" i="1"/>
  <c r="Q626" i="1"/>
  <c r="Q627" i="1"/>
  <c r="Q618" i="1"/>
  <c r="Q560" i="1"/>
  <c r="Q535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619" i="1"/>
  <c r="P561" i="1"/>
  <c r="P536" i="1"/>
  <c r="P444" i="1"/>
  <c r="P448" i="1"/>
  <c r="P449" i="1"/>
  <c r="P562" i="1"/>
  <c r="P537" i="1"/>
  <c r="P445" i="1"/>
  <c r="P453" i="1"/>
  <c r="P563" i="1"/>
  <c r="P538" i="1"/>
  <c r="P446" i="1"/>
  <c r="P457" i="1"/>
  <c r="P564" i="1"/>
  <c r="P539" i="1"/>
  <c r="P447" i="1"/>
  <c r="P461" i="1"/>
  <c r="P565" i="1"/>
  <c r="P540" i="1"/>
  <c r="P450" i="1"/>
  <c r="P465" i="1"/>
  <c r="P566" i="1"/>
  <c r="P541" i="1"/>
  <c r="P451" i="1"/>
  <c r="P469" i="1"/>
  <c r="P567" i="1"/>
  <c r="P542" i="1"/>
  <c r="P452" i="1"/>
  <c r="P473" i="1"/>
  <c r="P568" i="1"/>
  <c r="P543" i="1"/>
  <c r="P454" i="1"/>
  <c r="P477" i="1"/>
  <c r="P569" i="1"/>
  <c r="P544" i="1"/>
  <c r="P455" i="1"/>
  <c r="P481" i="1"/>
  <c r="P570" i="1"/>
  <c r="P545" i="1"/>
  <c r="P456" i="1"/>
  <c r="P485" i="1"/>
  <c r="P571" i="1"/>
  <c r="P546" i="1"/>
  <c r="P458" i="1"/>
  <c r="P489" i="1"/>
  <c r="P490" i="1"/>
  <c r="P621" i="1"/>
  <c r="P572" i="1"/>
  <c r="P549" i="1"/>
  <c r="P459" i="1"/>
  <c r="P495" i="1"/>
  <c r="P496" i="1"/>
  <c r="P575" i="1"/>
  <c r="P550" i="1"/>
  <c r="P460" i="1"/>
  <c r="P576" i="1"/>
  <c r="P462" i="1"/>
  <c r="P577" i="1"/>
  <c r="P463" i="1"/>
  <c r="P578" i="1"/>
  <c r="P464" i="1"/>
  <c r="P582" i="1"/>
  <c r="P466" i="1"/>
  <c r="P583" i="1"/>
  <c r="P467" i="1"/>
  <c r="P584" i="1"/>
  <c r="P468" i="1"/>
  <c r="P585" i="1"/>
  <c r="P470" i="1"/>
  <c r="P586" i="1"/>
  <c r="P471" i="1"/>
  <c r="P587" i="1"/>
  <c r="P472" i="1"/>
  <c r="P518" i="1"/>
  <c r="P519" i="1"/>
  <c r="P622" i="1"/>
  <c r="P588" i="1"/>
  <c r="P551" i="1"/>
  <c r="P474" i="1"/>
  <c r="P524" i="1"/>
  <c r="P525" i="1"/>
  <c r="P526" i="1"/>
  <c r="P589" i="1"/>
  <c r="P475" i="1"/>
  <c r="P590" i="1"/>
  <c r="P476" i="1"/>
  <c r="P591" i="1"/>
  <c r="P478" i="1"/>
  <c r="P594" i="1"/>
  <c r="P479" i="1"/>
  <c r="P595" i="1"/>
  <c r="P480" i="1"/>
  <c r="P596" i="1"/>
  <c r="P482" i="1"/>
  <c r="P597" i="1"/>
  <c r="P483" i="1"/>
  <c r="P600" i="1"/>
  <c r="P484" i="1"/>
  <c r="P601" i="1"/>
  <c r="P486" i="1"/>
  <c r="P602" i="1"/>
  <c r="P487" i="1"/>
  <c r="P547" i="1"/>
  <c r="P548" i="1"/>
  <c r="P623" i="1"/>
  <c r="P603" i="1"/>
  <c r="P552" i="1"/>
  <c r="P488" i="1"/>
  <c r="P553" i="1"/>
  <c r="P554" i="1"/>
  <c r="P555" i="1"/>
  <c r="P604" i="1"/>
  <c r="P491" i="1"/>
  <c r="P605" i="1"/>
  <c r="P492" i="1"/>
  <c r="P606" i="1"/>
  <c r="P493" i="1"/>
  <c r="P607" i="1"/>
  <c r="P494" i="1"/>
  <c r="P608" i="1"/>
  <c r="P497" i="1"/>
  <c r="P609" i="1"/>
  <c r="P498" i="1"/>
  <c r="P611" i="1"/>
  <c r="P499" i="1"/>
  <c r="P500" i="1"/>
  <c r="P501" i="1"/>
  <c r="P502" i="1"/>
  <c r="P573" i="1"/>
  <c r="P574" i="1"/>
  <c r="P624" i="1"/>
  <c r="P612" i="1"/>
  <c r="P556" i="1"/>
  <c r="P503" i="1"/>
  <c r="P579" i="1"/>
  <c r="P580" i="1"/>
  <c r="P581" i="1"/>
  <c r="P504" i="1"/>
  <c r="P505" i="1"/>
  <c r="P506" i="1"/>
  <c r="P507" i="1"/>
  <c r="P508" i="1"/>
  <c r="P509" i="1"/>
  <c r="P510" i="1"/>
  <c r="P511" i="1"/>
  <c r="P512" i="1"/>
  <c r="P513" i="1"/>
  <c r="P592" i="1"/>
  <c r="P593" i="1"/>
  <c r="P628" i="1"/>
  <c r="P613" i="1"/>
  <c r="P557" i="1"/>
  <c r="P514" i="1"/>
  <c r="P598" i="1"/>
  <c r="P599" i="1"/>
  <c r="P515" i="1"/>
  <c r="P516" i="1"/>
  <c r="P517" i="1"/>
  <c r="P520" i="1"/>
  <c r="P521" i="1"/>
  <c r="P522" i="1"/>
  <c r="P523" i="1"/>
  <c r="P527" i="1"/>
  <c r="P528" i="1"/>
  <c r="P529" i="1"/>
  <c r="P610" i="1"/>
  <c r="P629" i="1"/>
  <c r="P614" i="1"/>
  <c r="P558" i="1"/>
  <c r="P530" i="1"/>
  <c r="P615" i="1"/>
  <c r="P616" i="1"/>
  <c r="P531" i="1"/>
  <c r="P532" i="1"/>
  <c r="P533" i="1"/>
  <c r="P620" i="1"/>
  <c r="P630" i="1"/>
  <c r="P617" i="1"/>
  <c r="P559" i="1"/>
  <c r="P534" i="1"/>
  <c r="P625" i="1"/>
  <c r="P626" i="1"/>
  <c r="P627" i="1"/>
  <c r="P618" i="1"/>
  <c r="P560" i="1"/>
  <c r="P535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R1000" i="1" s="1"/>
  <c r="P1001" i="1"/>
  <c r="P1002" i="1"/>
  <c r="R1002" i="1" s="1"/>
  <c r="P1003" i="1"/>
  <c r="R1003" i="1" s="1"/>
  <c r="P1004" i="1"/>
  <c r="R1004" i="1" s="1"/>
  <c r="P1005" i="1"/>
  <c r="R1005" i="1" s="1"/>
  <c r="P1006" i="1"/>
  <c r="R1006" i="1" s="1"/>
  <c r="P1007" i="1"/>
  <c r="R1007" i="1" s="1"/>
  <c r="P1008" i="1"/>
  <c r="R1008" i="1" s="1"/>
  <c r="P1009" i="1"/>
  <c r="R1009" i="1" s="1"/>
  <c r="P1010" i="1"/>
  <c r="R1010" i="1" s="1"/>
  <c r="P1011" i="1"/>
  <c r="P1012" i="1"/>
  <c r="R1012" i="1" s="1"/>
  <c r="P1013" i="1"/>
  <c r="R1013" i="1" s="1"/>
  <c r="P1014" i="1"/>
  <c r="R1014" i="1" s="1"/>
  <c r="P1015" i="1"/>
  <c r="R1015" i="1" s="1"/>
  <c r="P1016" i="1"/>
  <c r="R1016" i="1" s="1"/>
  <c r="P1017" i="1"/>
  <c r="R1017" i="1" s="1"/>
  <c r="P1018" i="1"/>
  <c r="R1018" i="1" s="1"/>
  <c r="P1019" i="1"/>
  <c r="R1019" i="1" s="1"/>
  <c r="P1020" i="1"/>
  <c r="R1020" i="1" s="1"/>
  <c r="P1021" i="1"/>
  <c r="R1021" i="1" s="1"/>
  <c r="P1022" i="1"/>
  <c r="R1022" i="1" s="1"/>
  <c r="P1023" i="1"/>
  <c r="R1023" i="1" s="1"/>
  <c r="P1024" i="1"/>
  <c r="R1024" i="1" s="1"/>
  <c r="P1025" i="1"/>
  <c r="R1025" i="1" s="1"/>
  <c r="P1026" i="1"/>
  <c r="R1026" i="1" s="1"/>
  <c r="P1027" i="1"/>
  <c r="R1027" i="1" s="1"/>
  <c r="P1028" i="1"/>
  <c r="P1029" i="1"/>
  <c r="R1029" i="1" s="1"/>
  <c r="P1030" i="1"/>
  <c r="R1030" i="1" s="1"/>
  <c r="P1031" i="1"/>
  <c r="R1031" i="1" s="1"/>
  <c r="P1032" i="1"/>
  <c r="R1032" i="1" s="1"/>
  <c r="P1033" i="1"/>
  <c r="P1034" i="1"/>
  <c r="P1035" i="1"/>
  <c r="R1035" i="1" s="1"/>
  <c r="P1036" i="1"/>
  <c r="P1037" i="1"/>
  <c r="R1037" i="1" s="1"/>
  <c r="P1038" i="1"/>
  <c r="R1038" i="1" s="1"/>
  <c r="P1039" i="1"/>
  <c r="P1040" i="1"/>
  <c r="R1040" i="1" s="1"/>
  <c r="P1041" i="1"/>
  <c r="R1041" i="1" s="1"/>
  <c r="P1042" i="1"/>
  <c r="P1043" i="1"/>
  <c r="R1043" i="1" s="1"/>
  <c r="P1044" i="1"/>
  <c r="R1044" i="1" s="1"/>
  <c r="P1045" i="1"/>
  <c r="P1046" i="1"/>
  <c r="R1046" i="1" s="1"/>
  <c r="P1047" i="1"/>
  <c r="R1047" i="1" s="1"/>
  <c r="P1048" i="1"/>
  <c r="R1048" i="1" s="1"/>
  <c r="P1049" i="1"/>
  <c r="R1049" i="1" s="1"/>
  <c r="P1050" i="1"/>
  <c r="P1051" i="1"/>
  <c r="P1052" i="1"/>
  <c r="P1053" i="1"/>
  <c r="P1054" i="1"/>
  <c r="R1054" i="1" s="1"/>
  <c r="P2" i="1"/>
  <c r="R1011" i="1" l="1"/>
  <c r="R1053" i="1"/>
  <c r="R1033" i="1"/>
  <c r="R999" i="1"/>
  <c r="R1036" i="1"/>
  <c r="R1028" i="1"/>
  <c r="R1045" i="1"/>
  <c r="R1042" i="1"/>
  <c r="R1051" i="1"/>
  <c r="R1039" i="1"/>
  <c r="R1034" i="1"/>
  <c r="R1050" i="1"/>
  <c r="R1052" i="1"/>
  <c r="R1001" i="1"/>
  <c r="R3" i="1"/>
  <c r="R997" i="1"/>
  <c r="R995" i="1"/>
  <c r="R993" i="1"/>
  <c r="R991" i="1"/>
  <c r="R989" i="1"/>
  <c r="R987" i="1"/>
  <c r="R985" i="1"/>
  <c r="R983" i="1"/>
  <c r="R981" i="1"/>
  <c r="R979" i="1"/>
  <c r="R977" i="1"/>
  <c r="R975" i="1"/>
  <c r="R973" i="1"/>
  <c r="R971" i="1"/>
  <c r="R969" i="1"/>
  <c r="R967" i="1"/>
  <c r="R965" i="1"/>
  <c r="R2" i="1"/>
  <c r="S2" i="1" s="1"/>
  <c r="R998" i="1"/>
  <c r="R996" i="1"/>
  <c r="R994" i="1"/>
  <c r="R992" i="1"/>
  <c r="R990" i="1"/>
  <c r="R988" i="1"/>
  <c r="R986" i="1"/>
  <c r="R984" i="1"/>
  <c r="R982" i="1"/>
  <c r="R980" i="1"/>
  <c r="R978" i="1"/>
  <c r="R976" i="1"/>
  <c r="R974" i="1"/>
  <c r="R972" i="1"/>
  <c r="R970" i="1"/>
  <c r="R968" i="1"/>
  <c r="R966" i="1"/>
  <c r="R964" i="1"/>
  <c r="R962" i="1"/>
  <c r="R960" i="1"/>
  <c r="R958" i="1"/>
  <c r="R956" i="1"/>
  <c r="R954" i="1"/>
  <c r="R952" i="1"/>
  <c r="R950" i="1"/>
  <c r="R948" i="1"/>
  <c r="R946" i="1"/>
  <c r="R944" i="1"/>
  <c r="R942" i="1"/>
  <c r="R940" i="1"/>
  <c r="R938" i="1"/>
  <c r="R936" i="1"/>
  <c r="R934" i="1"/>
  <c r="R932" i="1"/>
  <c r="R930" i="1"/>
  <c r="R928" i="1"/>
  <c r="R926" i="1"/>
  <c r="R924" i="1"/>
  <c r="R922" i="1"/>
  <c r="R920" i="1"/>
  <c r="R918" i="1"/>
  <c r="R916" i="1"/>
  <c r="R914" i="1"/>
  <c r="R912" i="1"/>
  <c r="R910" i="1"/>
  <c r="R908" i="1"/>
  <c r="R906" i="1"/>
  <c r="R904" i="1"/>
  <c r="R902" i="1"/>
  <c r="R900" i="1"/>
  <c r="R898" i="1"/>
  <c r="R896" i="1"/>
  <c r="R894" i="1"/>
  <c r="R892" i="1"/>
  <c r="R890" i="1"/>
  <c r="R888" i="1"/>
  <c r="R886" i="1"/>
  <c r="R963" i="1"/>
  <c r="R961" i="1"/>
  <c r="R959" i="1"/>
  <c r="R957" i="1"/>
  <c r="R955" i="1"/>
  <c r="R953" i="1"/>
  <c r="R951" i="1"/>
  <c r="R949" i="1"/>
  <c r="R947" i="1"/>
  <c r="R945" i="1"/>
  <c r="R943" i="1"/>
  <c r="R941" i="1"/>
  <c r="R939" i="1"/>
  <c r="R937" i="1"/>
  <c r="R935" i="1"/>
  <c r="R933" i="1"/>
  <c r="R931" i="1"/>
  <c r="R929" i="1"/>
  <c r="R927" i="1"/>
  <c r="R925" i="1"/>
  <c r="R923" i="1"/>
  <c r="R921" i="1"/>
  <c r="R919" i="1"/>
  <c r="R917" i="1"/>
  <c r="R915" i="1"/>
  <c r="R913" i="1"/>
  <c r="R911" i="1"/>
  <c r="R909" i="1"/>
  <c r="R907" i="1"/>
  <c r="R905" i="1"/>
  <c r="R903" i="1"/>
  <c r="R901" i="1"/>
  <c r="R899" i="1"/>
  <c r="R897" i="1"/>
  <c r="R895" i="1"/>
  <c r="R893" i="1"/>
  <c r="R891" i="1"/>
  <c r="R889" i="1"/>
  <c r="R887" i="1"/>
  <c r="R885" i="1"/>
  <c r="R883" i="1"/>
  <c r="R881" i="1"/>
  <c r="R879" i="1"/>
  <c r="R877" i="1"/>
  <c r="R875" i="1"/>
  <c r="R873" i="1"/>
  <c r="R871" i="1"/>
  <c r="R869" i="1"/>
  <c r="R867" i="1"/>
  <c r="R865" i="1"/>
  <c r="R863" i="1"/>
  <c r="R861" i="1"/>
  <c r="R859" i="1"/>
  <c r="R857" i="1"/>
  <c r="R855" i="1"/>
  <c r="R853" i="1"/>
  <c r="R851" i="1"/>
  <c r="R849" i="1"/>
  <c r="R847" i="1"/>
  <c r="R845" i="1"/>
  <c r="R843" i="1"/>
  <c r="R841" i="1"/>
  <c r="R839" i="1"/>
  <c r="R837" i="1"/>
  <c r="R835" i="1"/>
  <c r="R833" i="1"/>
  <c r="R831" i="1"/>
  <c r="R829" i="1"/>
  <c r="R827" i="1"/>
  <c r="R825" i="1"/>
  <c r="R823" i="1"/>
  <c r="R821" i="1"/>
  <c r="R819" i="1"/>
  <c r="R817" i="1"/>
  <c r="R815" i="1"/>
  <c r="R813" i="1"/>
  <c r="R811" i="1"/>
  <c r="R809" i="1"/>
  <c r="R807" i="1"/>
  <c r="R805" i="1"/>
  <c r="R803" i="1"/>
  <c r="R801" i="1"/>
  <c r="R799" i="1"/>
  <c r="R797" i="1"/>
  <c r="R795" i="1"/>
  <c r="R793" i="1"/>
  <c r="R791" i="1"/>
  <c r="R789" i="1"/>
  <c r="R787" i="1"/>
  <c r="R785" i="1"/>
  <c r="R783" i="1"/>
  <c r="R781" i="1"/>
  <c r="R779" i="1"/>
  <c r="R777" i="1"/>
  <c r="R775" i="1"/>
  <c r="R773" i="1"/>
  <c r="R771" i="1"/>
  <c r="R769" i="1"/>
  <c r="R767" i="1"/>
  <c r="R765" i="1"/>
  <c r="R763" i="1"/>
  <c r="R761" i="1"/>
  <c r="R759" i="1"/>
  <c r="R757" i="1"/>
  <c r="R755" i="1"/>
  <c r="R753" i="1"/>
  <c r="R751" i="1"/>
  <c r="R749" i="1"/>
  <c r="R747" i="1"/>
  <c r="R745" i="1"/>
  <c r="R743" i="1"/>
  <c r="R741" i="1"/>
  <c r="R739" i="1"/>
  <c r="R737" i="1"/>
  <c r="R735" i="1"/>
  <c r="R733" i="1"/>
  <c r="R731" i="1"/>
  <c r="R729" i="1"/>
  <c r="R727" i="1"/>
  <c r="R725" i="1"/>
  <c r="R723" i="1"/>
  <c r="R721" i="1"/>
  <c r="R719" i="1"/>
  <c r="R717" i="1"/>
  <c r="R715" i="1"/>
  <c r="R713" i="1"/>
  <c r="R711" i="1"/>
  <c r="R709" i="1"/>
  <c r="R707" i="1"/>
  <c r="R705" i="1"/>
  <c r="R703" i="1"/>
  <c r="R701" i="1"/>
  <c r="R699" i="1"/>
  <c r="R697" i="1"/>
  <c r="R695" i="1"/>
  <c r="R693" i="1"/>
  <c r="R691" i="1"/>
  <c r="R689" i="1"/>
  <c r="R687" i="1"/>
  <c r="R685" i="1"/>
  <c r="R683" i="1"/>
  <c r="R681" i="1"/>
  <c r="R679" i="1"/>
  <c r="R677" i="1"/>
  <c r="R675" i="1"/>
  <c r="R673" i="1"/>
  <c r="R671" i="1"/>
  <c r="R669" i="1"/>
  <c r="R667" i="1"/>
  <c r="R665" i="1"/>
  <c r="R663" i="1"/>
  <c r="R661" i="1"/>
  <c r="R659" i="1"/>
  <c r="R657" i="1"/>
  <c r="R655" i="1"/>
  <c r="R653" i="1"/>
  <c r="R651" i="1"/>
  <c r="R649" i="1"/>
  <c r="R647" i="1"/>
  <c r="R645" i="1"/>
  <c r="R643" i="1"/>
  <c r="R641" i="1"/>
  <c r="R639" i="1"/>
  <c r="R637" i="1"/>
  <c r="R635" i="1"/>
  <c r="R633" i="1"/>
  <c r="R631" i="1"/>
  <c r="R560" i="1"/>
  <c r="R627" i="1"/>
  <c r="R625" i="1"/>
  <c r="R559" i="1"/>
  <c r="R630" i="1"/>
  <c r="R533" i="1"/>
  <c r="R531" i="1"/>
  <c r="R615" i="1"/>
  <c r="R558" i="1"/>
  <c r="R629" i="1"/>
  <c r="R529" i="1"/>
  <c r="R527" i="1"/>
  <c r="R522" i="1"/>
  <c r="R520" i="1"/>
  <c r="R516" i="1"/>
  <c r="R599" i="1"/>
  <c r="R514" i="1"/>
  <c r="R613" i="1"/>
  <c r="R593" i="1"/>
  <c r="R513" i="1"/>
  <c r="R511" i="1"/>
  <c r="R509" i="1"/>
  <c r="R507" i="1"/>
  <c r="R505" i="1"/>
  <c r="R581" i="1"/>
  <c r="R579" i="1"/>
  <c r="R556" i="1"/>
  <c r="R624" i="1"/>
  <c r="R573" i="1"/>
  <c r="R501" i="1"/>
  <c r="R499" i="1"/>
  <c r="R498" i="1"/>
  <c r="R497" i="1"/>
  <c r="R494" i="1"/>
  <c r="R493" i="1"/>
  <c r="R492" i="1"/>
  <c r="R491" i="1"/>
  <c r="R555" i="1"/>
  <c r="R553" i="1"/>
  <c r="R552" i="1"/>
  <c r="R623" i="1"/>
  <c r="R547" i="1"/>
  <c r="R602" i="1"/>
  <c r="R601" i="1"/>
  <c r="R600" i="1"/>
  <c r="R597" i="1"/>
  <c r="R596" i="1"/>
  <c r="R595" i="1"/>
  <c r="R594" i="1"/>
  <c r="R591" i="1"/>
  <c r="R590" i="1"/>
  <c r="R589" i="1"/>
  <c r="R525" i="1"/>
  <c r="R474" i="1"/>
  <c r="R588" i="1"/>
  <c r="R519" i="1"/>
  <c r="R472" i="1"/>
  <c r="R471" i="1"/>
  <c r="R470" i="1"/>
  <c r="R468" i="1"/>
  <c r="R467" i="1"/>
  <c r="R466" i="1"/>
  <c r="R464" i="1"/>
  <c r="R463" i="1"/>
  <c r="R462" i="1"/>
  <c r="R460" i="1"/>
  <c r="R575" i="1"/>
  <c r="R495" i="1"/>
  <c r="R549" i="1"/>
  <c r="R621" i="1"/>
  <c r="R489" i="1"/>
  <c r="R546" i="1"/>
  <c r="R485" i="1"/>
  <c r="R545" i="1"/>
  <c r="R481" i="1"/>
  <c r="R544" i="1"/>
  <c r="R477" i="1"/>
  <c r="R543" i="1"/>
  <c r="R473" i="1"/>
  <c r="R542" i="1"/>
  <c r="R469" i="1"/>
  <c r="R541" i="1"/>
  <c r="R465" i="1"/>
  <c r="R540" i="1"/>
  <c r="R461" i="1"/>
  <c r="R539" i="1"/>
  <c r="R457" i="1"/>
  <c r="R538" i="1"/>
  <c r="R453" i="1"/>
  <c r="R537" i="1"/>
  <c r="R449" i="1"/>
  <c r="R444" i="1"/>
  <c r="R561" i="1"/>
  <c r="R443" i="1"/>
  <c r="R441" i="1"/>
  <c r="R439" i="1"/>
  <c r="R437" i="1"/>
  <c r="R435" i="1"/>
  <c r="R433" i="1"/>
  <c r="R431" i="1"/>
  <c r="R429" i="1"/>
  <c r="R427" i="1"/>
  <c r="R425" i="1"/>
  <c r="R423" i="1"/>
  <c r="R421" i="1"/>
  <c r="R419" i="1"/>
  <c r="R417" i="1"/>
  <c r="R415" i="1"/>
  <c r="R413" i="1"/>
  <c r="R411" i="1"/>
  <c r="R409" i="1"/>
  <c r="R407" i="1"/>
  <c r="R405" i="1"/>
  <c r="R403" i="1"/>
  <c r="R401" i="1"/>
  <c r="R399" i="1"/>
  <c r="R397" i="1"/>
  <c r="R395" i="1"/>
  <c r="R393" i="1"/>
  <c r="R391" i="1"/>
  <c r="R389" i="1"/>
  <c r="R387" i="1"/>
  <c r="R385" i="1"/>
  <c r="R383" i="1"/>
  <c r="R381" i="1"/>
  <c r="R379" i="1"/>
  <c r="R377" i="1"/>
  <c r="R375" i="1"/>
  <c r="R373" i="1"/>
  <c r="R371" i="1"/>
  <c r="R369" i="1"/>
  <c r="R367" i="1"/>
  <c r="R365" i="1"/>
  <c r="R363" i="1"/>
  <c r="R361" i="1"/>
  <c r="R359" i="1"/>
  <c r="R357" i="1"/>
  <c r="R355" i="1"/>
  <c r="R353" i="1"/>
  <c r="R351" i="1"/>
  <c r="R349" i="1"/>
  <c r="R347" i="1"/>
  <c r="R345" i="1"/>
  <c r="R343" i="1"/>
  <c r="R341" i="1"/>
  <c r="R339" i="1"/>
  <c r="R337" i="1"/>
  <c r="R335" i="1"/>
  <c r="R333" i="1"/>
  <c r="R331" i="1"/>
  <c r="R329" i="1"/>
  <c r="R327" i="1"/>
  <c r="R325" i="1"/>
  <c r="R323" i="1"/>
  <c r="R321" i="1"/>
  <c r="R319" i="1"/>
  <c r="R317" i="1"/>
  <c r="R315" i="1"/>
  <c r="R313" i="1"/>
  <c r="R311" i="1"/>
  <c r="R309" i="1"/>
  <c r="R307" i="1"/>
  <c r="R305" i="1"/>
  <c r="R303" i="1"/>
  <c r="R301" i="1"/>
  <c r="R299" i="1"/>
  <c r="R297" i="1"/>
  <c r="R295" i="1"/>
  <c r="R293" i="1"/>
  <c r="R291" i="1"/>
  <c r="R289" i="1"/>
  <c r="R287" i="1"/>
  <c r="R285" i="1"/>
  <c r="R283" i="1"/>
  <c r="R884" i="1"/>
  <c r="R882" i="1"/>
  <c r="R880" i="1"/>
  <c r="R878" i="1"/>
  <c r="R876" i="1"/>
  <c r="R874" i="1"/>
  <c r="R872" i="1"/>
  <c r="R870" i="1"/>
  <c r="R868" i="1"/>
  <c r="R866" i="1"/>
  <c r="R864" i="1"/>
  <c r="R862" i="1"/>
  <c r="R860" i="1"/>
  <c r="R858" i="1"/>
  <c r="R856" i="1"/>
  <c r="R854" i="1"/>
  <c r="R852" i="1"/>
  <c r="R850" i="1"/>
  <c r="R848" i="1"/>
  <c r="R846" i="1"/>
  <c r="R844" i="1"/>
  <c r="R842" i="1"/>
  <c r="R840" i="1"/>
  <c r="R838" i="1"/>
  <c r="R836" i="1"/>
  <c r="R834" i="1"/>
  <c r="R832" i="1"/>
  <c r="R830" i="1"/>
  <c r="R828" i="1"/>
  <c r="R826" i="1"/>
  <c r="R824" i="1"/>
  <c r="R822" i="1"/>
  <c r="R820" i="1"/>
  <c r="R818" i="1"/>
  <c r="R816" i="1"/>
  <c r="R814" i="1"/>
  <c r="R812" i="1"/>
  <c r="R810" i="1"/>
  <c r="R808" i="1"/>
  <c r="R806" i="1"/>
  <c r="R804" i="1"/>
  <c r="R802" i="1"/>
  <c r="R800" i="1"/>
  <c r="R798" i="1"/>
  <c r="R796" i="1"/>
  <c r="R794" i="1"/>
  <c r="R792" i="1"/>
  <c r="R790" i="1"/>
  <c r="R788" i="1"/>
  <c r="R786" i="1"/>
  <c r="R784" i="1"/>
  <c r="R782" i="1"/>
  <c r="R780" i="1"/>
  <c r="R778" i="1"/>
  <c r="R776" i="1"/>
  <c r="R774" i="1"/>
  <c r="R772" i="1"/>
  <c r="R770" i="1"/>
  <c r="R768" i="1"/>
  <c r="R766" i="1"/>
  <c r="R764" i="1"/>
  <c r="R762" i="1"/>
  <c r="R760" i="1"/>
  <c r="R758" i="1"/>
  <c r="R756" i="1"/>
  <c r="R754" i="1"/>
  <c r="R752" i="1"/>
  <c r="R750" i="1"/>
  <c r="R748" i="1"/>
  <c r="R746" i="1"/>
  <c r="R744" i="1"/>
  <c r="R742" i="1"/>
  <c r="R740" i="1"/>
  <c r="R738" i="1"/>
  <c r="R736" i="1"/>
  <c r="R734" i="1"/>
  <c r="R732" i="1"/>
  <c r="R730" i="1"/>
  <c r="R728" i="1"/>
  <c r="R726" i="1"/>
  <c r="R724" i="1"/>
  <c r="R722" i="1"/>
  <c r="R720" i="1"/>
  <c r="R718" i="1"/>
  <c r="R716" i="1"/>
  <c r="R714" i="1"/>
  <c r="R712" i="1"/>
  <c r="R710" i="1"/>
  <c r="R708" i="1"/>
  <c r="R706" i="1"/>
  <c r="R704" i="1"/>
  <c r="R702" i="1"/>
  <c r="R700" i="1"/>
  <c r="R698" i="1"/>
  <c r="R696" i="1"/>
  <c r="R694" i="1"/>
  <c r="R692" i="1"/>
  <c r="R690" i="1"/>
  <c r="R688" i="1"/>
  <c r="R686" i="1"/>
  <c r="R684" i="1"/>
  <c r="R682" i="1"/>
  <c r="R680" i="1"/>
  <c r="R678" i="1"/>
  <c r="R676" i="1"/>
  <c r="R674" i="1"/>
  <c r="R672" i="1"/>
  <c r="R670" i="1"/>
  <c r="R668" i="1"/>
  <c r="R666" i="1"/>
  <c r="R664" i="1"/>
  <c r="R662" i="1"/>
  <c r="R660" i="1"/>
  <c r="R658" i="1"/>
  <c r="R656" i="1"/>
  <c r="R654" i="1"/>
  <c r="R652" i="1"/>
  <c r="R650" i="1"/>
  <c r="R648" i="1"/>
  <c r="R646" i="1"/>
  <c r="R644" i="1"/>
  <c r="R642" i="1"/>
  <c r="R640" i="1"/>
  <c r="R638" i="1"/>
  <c r="R636" i="1"/>
  <c r="R634" i="1"/>
  <c r="R632" i="1"/>
  <c r="R535" i="1"/>
  <c r="R618" i="1"/>
  <c r="R626" i="1"/>
  <c r="R534" i="1"/>
  <c r="R617" i="1"/>
  <c r="R620" i="1"/>
  <c r="R532" i="1"/>
  <c r="R616" i="1"/>
  <c r="R530" i="1"/>
  <c r="R614" i="1"/>
  <c r="R610" i="1"/>
  <c r="R528" i="1"/>
  <c r="R523" i="1"/>
  <c r="R521" i="1"/>
  <c r="R517" i="1"/>
  <c r="R515" i="1"/>
  <c r="R598" i="1"/>
  <c r="R557" i="1"/>
  <c r="R628" i="1"/>
  <c r="R592" i="1"/>
  <c r="R512" i="1"/>
  <c r="R510" i="1"/>
  <c r="R508" i="1"/>
  <c r="R506" i="1"/>
  <c r="R504" i="1"/>
  <c r="R580" i="1"/>
  <c r="R503" i="1"/>
  <c r="R612" i="1"/>
  <c r="R574" i="1"/>
  <c r="R502" i="1"/>
  <c r="R500" i="1"/>
  <c r="R611" i="1"/>
  <c r="R609" i="1"/>
  <c r="R608" i="1"/>
  <c r="R607" i="1"/>
  <c r="R606" i="1"/>
  <c r="R605" i="1"/>
  <c r="R604" i="1"/>
  <c r="R554" i="1"/>
  <c r="R488" i="1"/>
  <c r="R603" i="1"/>
  <c r="R548" i="1"/>
  <c r="R487" i="1"/>
  <c r="R486" i="1"/>
  <c r="R484" i="1"/>
  <c r="R483" i="1"/>
  <c r="R482" i="1"/>
  <c r="R480" i="1"/>
  <c r="R479" i="1"/>
  <c r="R478" i="1"/>
  <c r="R476" i="1"/>
  <c r="R475" i="1"/>
  <c r="R526" i="1"/>
  <c r="R524" i="1"/>
  <c r="R551" i="1"/>
  <c r="R622" i="1"/>
  <c r="R518" i="1"/>
  <c r="R587" i="1"/>
  <c r="R586" i="1"/>
  <c r="R585" i="1"/>
  <c r="R584" i="1"/>
  <c r="R583" i="1"/>
  <c r="R582" i="1"/>
  <c r="R578" i="1"/>
  <c r="R577" i="1"/>
  <c r="R576" i="1"/>
  <c r="R550" i="1"/>
  <c r="R496" i="1"/>
  <c r="R459" i="1"/>
  <c r="R572" i="1"/>
  <c r="R490" i="1"/>
  <c r="R458" i="1"/>
  <c r="R571" i="1"/>
  <c r="R456" i="1"/>
  <c r="R570" i="1"/>
  <c r="R455" i="1"/>
  <c r="R569" i="1"/>
  <c r="R454" i="1"/>
  <c r="R568" i="1"/>
  <c r="R452" i="1"/>
  <c r="R567" i="1"/>
  <c r="R451" i="1"/>
  <c r="R566" i="1"/>
  <c r="R450" i="1"/>
  <c r="R565" i="1"/>
  <c r="R447" i="1"/>
  <c r="R564" i="1"/>
  <c r="R446" i="1"/>
  <c r="R563" i="1"/>
  <c r="R445" i="1"/>
  <c r="R562" i="1"/>
  <c r="R448" i="1"/>
  <c r="R536" i="1"/>
  <c r="R619" i="1"/>
  <c r="R442" i="1"/>
  <c r="R440" i="1"/>
  <c r="R438" i="1"/>
  <c r="R436" i="1"/>
  <c r="R434" i="1"/>
  <c r="R432" i="1"/>
  <c r="R430" i="1"/>
  <c r="R428" i="1"/>
  <c r="R426" i="1"/>
  <c r="R424" i="1"/>
  <c r="R422" i="1"/>
  <c r="R420" i="1"/>
  <c r="R418" i="1"/>
  <c r="R416" i="1"/>
  <c r="R414" i="1"/>
  <c r="R412" i="1"/>
  <c r="R410" i="1"/>
  <c r="R408" i="1"/>
  <c r="R406" i="1"/>
  <c r="R404" i="1"/>
  <c r="R402" i="1"/>
  <c r="R400" i="1"/>
  <c r="R398" i="1"/>
  <c r="R396" i="1"/>
  <c r="R394" i="1"/>
  <c r="R392" i="1"/>
  <c r="R390" i="1"/>
  <c r="R388" i="1"/>
  <c r="R386" i="1"/>
  <c r="R384" i="1"/>
  <c r="R382" i="1"/>
  <c r="R380" i="1"/>
  <c r="R378" i="1"/>
  <c r="R376" i="1"/>
  <c r="R374" i="1"/>
  <c r="R372" i="1"/>
  <c r="R370" i="1"/>
  <c r="R368" i="1"/>
  <c r="R366" i="1"/>
  <c r="R364" i="1"/>
  <c r="R362" i="1"/>
  <c r="R360" i="1"/>
  <c r="R358" i="1"/>
  <c r="R356" i="1"/>
  <c r="R354" i="1"/>
  <c r="R352" i="1"/>
  <c r="R350" i="1"/>
  <c r="R348" i="1"/>
  <c r="R346" i="1"/>
  <c r="R344" i="1"/>
  <c r="R342" i="1"/>
  <c r="R340" i="1"/>
  <c r="R338" i="1"/>
  <c r="R336" i="1"/>
  <c r="R334" i="1"/>
  <c r="R332" i="1"/>
  <c r="R330" i="1"/>
  <c r="R328" i="1"/>
  <c r="R326" i="1"/>
  <c r="R324" i="1"/>
  <c r="R322" i="1"/>
  <c r="R320" i="1"/>
  <c r="R318" i="1"/>
  <c r="R316" i="1"/>
  <c r="R314" i="1"/>
  <c r="R312" i="1"/>
  <c r="R310" i="1"/>
  <c r="R308" i="1"/>
  <c r="R306" i="1"/>
  <c r="R304" i="1"/>
  <c r="R302" i="1"/>
  <c r="R300" i="1"/>
  <c r="R298" i="1"/>
  <c r="R296" i="1"/>
  <c r="R294" i="1"/>
  <c r="R292" i="1"/>
  <c r="R290" i="1"/>
  <c r="R288" i="1"/>
  <c r="R286" i="1"/>
  <c r="R284" i="1"/>
  <c r="R282" i="1"/>
  <c r="R280" i="1"/>
  <c r="R278" i="1"/>
  <c r="R276" i="1"/>
  <c r="R274" i="1"/>
  <c r="R272" i="1"/>
  <c r="R270" i="1"/>
  <c r="R268" i="1"/>
  <c r="R266" i="1"/>
  <c r="R264" i="1"/>
  <c r="R262" i="1"/>
  <c r="R260" i="1"/>
  <c r="R258" i="1"/>
  <c r="R256" i="1"/>
  <c r="R254" i="1"/>
  <c r="R252" i="1"/>
  <c r="R250" i="1"/>
  <c r="R248" i="1"/>
  <c r="R246" i="1"/>
  <c r="R244" i="1"/>
  <c r="R242" i="1"/>
  <c r="R240" i="1"/>
  <c r="R238" i="1"/>
  <c r="R236" i="1"/>
  <c r="R234" i="1"/>
  <c r="R232" i="1"/>
  <c r="R230" i="1"/>
  <c r="R228" i="1"/>
  <c r="R226" i="1"/>
  <c r="R224" i="1"/>
  <c r="R222" i="1"/>
  <c r="R220" i="1"/>
  <c r="R218" i="1"/>
  <c r="R216" i="1"/>
  <c r="R214" i="1"/>
  <c r="R212" i="1"/>
  <c r="R210" i="1"/>
  <c r="R208" i="1"/>
  <c r="R206" i="1"/>
  <c r="R204" i="1"/>
  <c r="R202" i="1"/>
  <c r="R200" i="1"/>
  <c r="R198" i="1"/>
  <c r="R196" i="1"/>
  <c r="R194" i="1"/>
  <c r="R192" i="1"/>
  <c r="R190" i="1"/>
  <c r="R188" i="1"/>
  <c r="R186" i="1"/>
  <c r="R184" i="1"/>
  <c r="R182" i="1"/>
  <c r="R180" i="1"/>
  <c r="R178" i="1"/>
  <c r="R176" i="1"/>
  <c r="R174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16" i="1"/>
  <c r="R114" i="1"/>
  <c r="R112" i="1"/>
  <c r="R110" i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281" i="1"/>
  <c r="R279" i="1"/>
  <c r="R277" i="1"/>
  <c r="R275" i="1"/>
  <c r="R273" i="1"/>
  <c r="R271" i="1"/>
  <c r="R269" i="1"/>
  <c r="R267" i="1"/>
  <c r="R265" i="1"/>
  <c r="R263" i="1"/>
  <c r="R261" i="1"/>
  <c r="R259" i="1"/>
  <c r="R257" i="1"/>
  <c r="R255" i="1"/>
  <c r="R253" i="1"/>
  <c r="R251" i="1"/>
  <c r="R249" i="1"/>
  <c r="R247" i="1"/>
  <c r="R245" i="1"/>
  <c r="R243" i="1"/>
  <c r="R241" i="1"/>
  <c r="R239" i="1"/>
  <c r="R237" i="1"/>
  <c r="R235" i="1"/>
  <c r="R233" i="1"/>
  <c r="R231" i="1"/>
  <c r="R229" i="1"/>
  <c r="R227" i="1"/>
  <c r="R225" i="1"/>
  <c r="R223" i="1"/>
  <c r="R221" i="1"/>
  <c r="R219" i="1"/>
  <c r="R217" i="1"/>
  <c r="R215" i="1"/>
  <c r="R213" i="1"/>
  <c r="R211" i="1"/>
  <c r="R209" i="1"/>
  <c r="R207" i="1"/>
  <c r="R205" i="1"/>
  <c r="R203" i="1"/>
  <c r="R201" i="1"/>
  <c r="R199" i="1"/>
  <c r="R197" i="1"/>
  <c r="R195" i="1"/>
  <c r="R193" i="1"/>
  <c r="R191" i="1"/>
  <c r="R189" i="1"/>
  <c r="R187" i="1"/>
  <c r="R185" i="1"/>
  <c r="R183" i="1"/>
  <c r="R181" i="1"/>
  <c r="R179" i="1"/>
  <c r="R177" i="1"/>
  <c r="R175" i="1"/>
  <c r="R173" i="1"/>
  <c r="R171" i="1"/>
  <c r="R169" i="1"/>
  <c r="R167" i="1"/>
  <c r="R165" i="1"/>
  <c r="R163" i="1"/>
  <c r="R161" i="1"/>
  <c r="R159" i="1"/>
  <c r="R157" i="1"/>
  <c r="R155" i="1"/>
  <c r="R153" i="1"/>
  <c r="R151" i="1"/>
  <c r="R149" i="1"/>
  <c r="R147" i="1"/>
  <c r="R145" i="1"/>
  <c r="R143" i="1"/>
  <c r="R141" i="1"/>
  <c r="R139" i="1"/>
  <c r="R137" i="1"/>
  <c r="R135" i="1"/>
  <c r="R133" i="1"/>
  <c r="R131" i="1"/>
  <c r="R129" i="1"/>
  <c r="R127" i="1"/>
  <c r="R125" i="1"/>
  <c r="R123" i="1"/>
  <c r="R121" i="1"/>
  <c r="R119" i="1"/>
  <c r="R117" i="1"/>
  <c r="R115" i="1"/>
  <c r="R113" i="1"/>
  <c r="R111" i="1"/>
  <c r="R109" i="1"/>
  <c r="R107" i="1"/>
  <c r="R105" i="1"/>
  <c r="R103" i="1"/>
  <c r="R101" i="1"/>
  <c r="R99" i="1"/>
  <c r="R97" i="1"/>
  <c r="R95" i="1"/>
  <c r="R93" i="1"/>
  <c r="R91" i="1"/>
  <c r="R89" i="1"/>
  <c r="R87" i="1"/>
  <c r="R85" i="1"/>
  <c r="R83" i="1"/>
  <c r="R81" i="1"/>
  <c r="R79" i="1"/>
  <c r="R77" i="1"/>
  <c r="R75" i="1"/>
  <c r="R73" i="1"/>
  <c r="R71" i="1"/>
  <c r="R69" i="1"/>
  <c r="R67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E52" i="11"/>
  <c r="D52" i="11"/>
  <c r="C52" i="11"/>
  <c r="E36" i="11"/>
  <c r="D36" i="11"/>
  <c r="C36" i="11"/>
  <c r="E32" i="11"/>
  <c r="S3" i="1" l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D3" i="8"/>
  <c r="B3" i="8" l="1"/>
  <c r="D441" i="1" l="1"/>
  <c r="D440" i="1" l="1"/>
  <c r="N82" i="12"/>
  <c r="N439" i="1" l="1"/>
  <c r="M369" i="1" l="1"/>
  <c r="M371" i="1" s="1"/>
  <c r="B4" i="8" l="1"/>
  <c r="D437" i="1" l="1"/>
  <c r="E42" i="11" l="1"/>
  <c r="F45" i="11" l="1"/>
  <c r="F44" i="11"/>
  <c r="F43" i="11"/>
  <c r="N434" i="1" l="1"/>
  <c r="D428" i="1" l="1"/>
  <c r="D434" i="1" l="1"/>
  <c r="D433" i="1"/>
  <c r="D427" i="1"/>
  <c r="K5" i="11" l="1"/>
  <c r="K4" i="11"/>
  <c r="K3" i="11"/>
  <c r="K2" i="11"/>
  <c r="C41" i="11"/>
  <c r="B41" i="11"/>
  <c r="E26" i="11"/>
  <c r="B23" i="11"/>
  <c r="C23" i="11" s="1"/>
  <c r="B5" i="11"/>
  <c r="C8" i="11" s="1"/>
  <c r="C7" i="11" l="1"/>
  <c r="C17" i="11"/>
  <c r="C15" i="11"/>
  <c r="C13" i="11"/>
  <c r="C11" i="11"/>
  <c r="C9" i="11"/>
  <c r="C18" i="11"/>
  <c r="C16" i="11"/>
  <c r="C14" i="11"/>
  <c r="C12" i="11"/>
  <c r="C10" i="11"/>
  <c r="N429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104" i="1"/>
  <c r="K91" i="1"/>
  <c r="K92" i="1"/>
  <c r="K93" i="1"/>
  <c r="K94" i="1"/>
  <c r="K95" i="1"/>
  <c r="K102" i="1"/>
  <c r="K96" i="1"/>
  <c r="K97" i="1"/>
  <c r="K103" i="1"/>
  <c r="K98" i="1"/>
  <c r="K99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00" i="1"/>
  <c r="K139" i="1"/>
  <c r="K140" i="1"/>
  <c r="K141" i="1"/>
  <c r="K142" i="1"/>
  <c r="K143" i="1"/>
  <c r="K144" i="1"/>
  <c r="K145" i="1"/>
  <c r="K146" i="1"/>
  <c r="K147" i="1"/>
  <c r="K148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101" i="1"/>
  <c r="K105" i="1"/>
  <c r="K149" i="1"/>
  <c r="K150" i="1"/>
  <c r="K151" i="1"/>
  <c r="K152" i="1"/>
  <c r="K153" i="1"/>
  <c r="K155" i="1"/>
  <c r="K154" i="1"/>
  <c r="K156" i="1"/>
  <c r="K157" i="1"/>
  <c r="K158" i="1"/>
  <c r="K159" i="1"/>
  <c r="K160" i="1"/>
  <c r="K161" i="1"/>
  <c r="K162" i="1"/>
  <c r="K163" i="1"/>
  <c r="K164" i="1"/>
  <c r="K165" i="1"/>
  <c r="K166" i="1"/>
  <c r="K449" i="1"/>
  <c r="K496" i="1"/>
  <c r="K525" i="1"/>
  <c r="K554" i="1"/>
  <c r="K580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627" i="1"/>
  <c r="K526" i="1"/>
  <c r="K555" i="1"/>
  <c r="K581" i="1"/>
  <c r="K599" i="1"/>
  <c r="K616" i="1"/>
  <c r="K626" i="1"/>
  <c r="K69" i="1"/>
  <c r="K65" i="1"/>
  <c r="K66" i="1"/>
  <c r="K421" i="1"/>
  <c r="K422" i="1"/>
  <c r="K423" i="1"/>
  <c r="K424" i="1"/>
  <c r="K425" i="1"/>
  <c r="K426" i="1"/>
  <c r="K427" i="1"/>
  <c r="K428" i="1"/>
  <c r="K429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68" i="1"/>
  <c r="K70" i="1"/>
  <c r="K443" i="1"/>
  <c r="K490" i="1"/>
  <c r="K519" i="1"/>
  <c r="K548" i="1"/>
  <c r="K574" i="1"/>
  <c r="K593" i="1"/>
  <c r="K200" i="1"/>
  <c r="K201" i="1"/>
  <c r="K202" i="1"/>
  <c r="K67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442" i="1"/>
  <c r="K489" i="1"/>
  <c r="K518" i="1"/>
  <c r="K547" i="1"/>
  <c r="K573" i="1"/>
  <c r="K592" i="1"/>
  <c r="K610" i="1"/>
  <c r="K620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448" i="1"/>
  <c r="K495" i="1"/>
  <c r="K524" i="1"/>
  <c r="K553" i="1"/>
  <c r="K579" i="1"/>
  <c r="K598" i="1"/>
  <c r="K615" i="1"/>
  <c r="K625" i="1"/>
  <c r="K631" i="1"/>
  <c r="K453" i="1"/>
  <c r="K457" i="1"/>
  <c r="K461" i="1"/>
  <c r="K465" i="1"/>
  <c r="K469" i="1"/>
  <c r="K473" i="1"/>
  <c r="K477" i="1"/>
  <c r="K481" i="1"/>
  <c r="K485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8" i="1"/>
  <c r="K321" i="1"/>
  <c r="K322" i="1"/>
  <c r="K323" i="1"/>
  <c r="K324" i="1"/>
  <c r="K325" i="1"/>
  <c r="K326" i="1"/>
  <c r="K327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444" i="1"/>
  <c r="K459" i="1"/>
  <c r="K474" i="1"/>
  <c r="K488" i="1"/>
  <c r="K503" i="1"/>
  <c r="K514" i="1"/>
  <c r="K530" i="1"/>
  <c r="K534" i="1"/>
  <c r="K535" i="1"/>
  <c r="K445" i="1"/>
  <c r="K446" i="1"/>
  <c r="K447" i="1"/>
  <c r="K450" i="1"/>
  <c r="K451" i="1"/>
  <c r="K452" i="1"/>
  <c r="K454" i="1"/>
  <c r="K455" i="1"/>
  <c r="K456" i="1"/>
  <c r="K458" i="1"/>
  <c r="K460" i="1"/>
  <c r="K462" i="1"/>
  <c r="K463" i="1"/>
  <c r="K464" i="1"/>
  <c r="K466" i="1"/>
  <c r="K467" i="1"/>
  <c r="K468" i="1"/>
  <c r="K470" i="1"/>
  <c r="K471" i="1"/>
  <c r="K472" i="1"/>
  <c r="K475" i="1"/>
  <c r="K476" i="1"/>
  <c r="K478" i="1"/>
  <c r="K479" i="1"/>
  <c r="K480" i="1"/>
  <c r="K482" i="1"/>
  <c r="K483" i="1"/>
  <c r="K484" i="1"/>
  <c r="K486" i="1"/>
  <c r="K487" i="1"/>
  <c r="K491" i="1"/>
  <c r="K492" i="1"/>
  <c r="K493" i="1"/>
  <c r="K494" i="1"/>
  <c r="K497" i="1"/>
  <c r="K498" i="1"/>
  <c r="K499" i="1"/>
  <c r="K500" i="1"/>
  <c r="K501" i="1"/>
  <c r="K502" i="1"/>
  <c r="K504" i="1"/>
  <c r="K505" i="1"/>
  <c r="K506" i="1"/>
  <c r="K507" i="1"/>
  <c r="K508" i="1"/>
  <c r="K509" i="1"/>
  <c r="K510" i="1"/>
  <c r="K511" i="1"/>
  <c r="K512" i="1"/>
  <c r="K513" i="1"/>
  <c r="K515" i="1"/>
  <c r="K516" i="1"/>
  <c r="K517" i="1"/>
  <c r="K520" i="1"/>
  <c r="K521" i="1"/>
  <c r="K522" i="1"/>
  <c r="K523" i="1"/>
  <c r="K527" i="1"/>
  <c r="K528" i="1"/>
  <c r="K529" i="1"/>
  <c r="K531" i="1"/>
  <c r="K532" i="1"/>
  <c r="K533" i="1"/>
  <c r="K561" i="1"/>
  <c r="K572" i="1"/>
  <c r="K588" i="1"/>
  <c r="K603" i="1"/>
  <c r="K612" i="1"/>
  <c r="K613" i="1"/>
  <c r="K614" i="1"/>
  <c r="K617" i="1"/>
  <c r="K618" i="1"/>
  <c r="K562" i="1"/>
  <c r="K563" i="1"/>
  <c r="K564" i="1"/>
  <c r="K565" i="1"/>
  <c r="K566" i="1"/>
  <c r="K567" i="1"/>
  <c r="K568" i="1"/>
  <c r="K569" i="1"/>
  <c r="K570" i="1"/>
  <c r="K571" i="1"/>
  <c r="K575" i="1"/>
  <c r="K576" i="1"/>
  <c r="K577" i="1"/>
  <c r="K578" i="1"/>
  <c r="K582" i="1"/>
  <c r="K583" i="1"/>
  <c r="K584" i="1"/>
  <c r="K585" i="1"/>
  <c r="K586" i="1"/>
  <c r="K587" i="1"/>
  <c r="K589" i="1"/>
  <c r="K590" i="1"/>
  <c r="K591" i="1"/>
  <c r="K594" i="1"/>
  <c r="K595" i="1"/>
  <c r="K596" i="1"/>
  <c r="K597" i="1"/>
  <c r="K600" i="1"/>
  <c r="K601" i="1"/>
  <c r="K602" i="1"/>
  <c r="K604" i="1"/>
  <c r="K605" i="1"/>
  <c r="K606" i="1"/>
  <c r="K607" i="1"/>
  <c r="K608" i="1"/>
  <c r="K609" i="1"/>
  <c r="K611" i="1"/>
  <c r="K536" i="1"/>
  <c r="K549" i="1"/>
  <c r="K551" i="1"/>
  <c r="K552" i="1"/>
  <c r="K556" i="1"/>
  <c r="K557" i="1"/>
  <c r="K558" i="1"/>
  <c r="K559" i="1"/>
  <c r="K560" i="1"/>
  <c r="K537" i="1"/>
  <c r="K538" i="1"/>
  <c r="K539" i="1"/>
  <c r="K540" i="1"/>
  <c r="K541" i="1"/>
  <c r="K542" i="1"/>
  <c r="K543" i="1"/>
  <c r="K544" i="1"/>
  <c r="K545" i="1"/>
  <c r="K546" i="1"/>
  <c r="K55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619" i="1"/>
  <c r="K621" i="1"/>
  <c r="K622" i="1"/>
  <c r="K623" i="1"/>
  <c r="K624" i="1"/>
  <c r="K628" i="1"/>
  <c r="K629" i="1"/>
  <c r="K630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3" i="1"/>
  <c r="K2" i="1"/>
  <c r="E3" i="8" l="1"/>
  <c r="R3" i="7" l="1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R619" i="7"/>
  <c r="R620" i="7"/>
  <c r="R621" i="7"/>
  <c r="R622" i="7"/>
  <c r="R623" i="7"/>
  <c r="R624" i="7"/>
  <c r="R625" i="7"/>
  <c r="R626" i="7"/>
  <c r="R627" i="7"/>
  <c r="R628" i="7"/>
  <c r="R629" i="7"/>
  <c r="R630" i="7"/>
  <c r="R631" i="7"/>
  <c r="R632" i="7"/>
  <c r="R633" i="7"/>
  <c r="R634" i="7"/>
  <c r="R635" i="7"/>
  <c r="R636" i="7"/>
  <c r="R637" i="7"/>
  <c r="R638" i="7"/>
  <c r="R639" i="7"/>
  <c r="R640" i="7"/>
  <c r="R641" i="7"/>
  <c r="R642" i="7"/>
  <c r="R643" i="7"/>
  <c r="R644" i="7"/>
  <c r="R645" i="7"/>
  <c r="R646" i="7"/>
  <c r="R647" i="7"/>
  <c r="R648" i="7"/>
  <c r="R649" i="7"/>
  <c r="R650" i="7"/>
  <c r="R651" i="7"/>
  <c r="R652" i="7"/>
  <c r="R653" i="7"/>
  <c r="R654" i="7"/>
  <c r="R655" i="7"/>
  <c r="R656" i="7"/>
  <c r="R657" i="7"/>
  <c r="R658" i="7"/>
  <c r="R659" i="7"/>
  <c r="R660" i="7"/>
  <c r="R661" i="7"/>
  <c r="R662" i="7"/>
  <c r="R663" i="7"/>
  <c r="R664" i="7"/>
  <c r="R665" i="7"/>
  <c r="R666" i="7"/>
  <c r="R667" i="7"/>
  <c r="R668" i="7"/>
  <c r="R669" i="7"/>
  <c r="R670" i="7"/>
  <c r="R671" i="7"/>
  <c r="R672" i="7"/>
  <c r="R673" i="7"/>
  <c r="R674" i="7"/>
  <c r="R675" i="7"/>
  <c r="R676" i="7"/>
  <c r="R677" i="7"/>
  <c r="R678" i="7"/>
  <c r="R679" i="7"/>
  <c r="R680" i="7"/>
  <c r="R681" i="7"/>
  <c r="R682" i="7"/>
  <c r="R683" i="7"/>
  <c r="R684" i="7"/>
  <c r="R685" i="7"/>
  <c r="R686" i="7"/>
  <c r="R687" i="7"/>
  <c r="R688" i="7"/>
  <c r="R689" i="7"/>
  <c r="R690" i="7"/>
  <c r="R691" i="7"/>
  <c r="R692" i="7"/>
  <c r="R693" i="7"/>
  <c r="R694" i="7"/>
  <c r="R695" i="7"/>
  <c r="R696" i="7"/>
  <c r="R697" i="7"/>
  <c r="R698" i="7"/>
  <c r="R699" i="7"/>
  <c r="R700" i="7"/>
  <c r="R701" i="7"/>
  <c r="R702" i="7"/>
  <c r="R703" i="7"/>
  <c r="R704" i="7"/>
  <c r="R705" i="7"/>
  <c r="R706" i="7"/>
  <c r="R707" i="7"/>
  <c r="R708" i="7"/>
  <c r="R709" i="7"/>
  <c r="R710" i="7"/>
  <c r="R711" i="7"/>
  <c r="R712" i="7"/>
  <c r="R713" i="7"/>
  <c r="R714" i="7"/>
  <c r="R715" i="7"/>
  <c r="R716" i="7"/>
  <c r="R717" i="7"/>
  <c r="R718" i="7"/>
  <c r="R719" i="7"/>
  <c r="R720" i="7"/>
  <c r="R721" i="7"/>
  <c r="R722" i="7"/>
  <c r="R723" i="7"/>
  <c r="R724" i="7"/>
  <c r="R725" i="7"/>
  <c r="R726" i="7"/>
  <c r="R727" i="7"/>
  <c r="R728" i="7"/>
  <c r="R729" i="7"/>
  <c r="R730" i="7"/>
  <c r="R731" i="7"/>
  <c r="R732" i="7"/>
  <c r="R733" i="7"/>
  <c r="R734" i="7"/>
  <c r="R735" i="7"/>
  <c r="R736" i="7"/>
  <c r="R737" i="7"/>
  <c r="R738" i="7"/>
  <c r="R739" i="7"/>
  <c r="R740" i="7"/>
  <c r="R741" i="7"/>
  <c r="R742" i="7"/>
  <c r="R743" i="7"/>
  <c r="R744" i="7"/>
  <c r="R745" i="7"/>
  <c r="R746" i="7"/>
  <c r="R747" i="7"/>
  <c r="R748" i="7"/>
  <c r="R749" i="7"/>
  <c r="R750" i="7"/>
  <c r="R751" i="7"/>
  <c r="R752" i="7"/>
  <c r="R753" i="7"/>
  <c r="R754" i="7"/>
  <c r="R755" i="7"/>
  <c r="R756" i="7"/>
  <c r="R757" i="7"/>
  <c r="R758" i="7"/>
  <c r="R759" i="7"/>
  <c r="R760" i="7"/>
  <c r="R761" i="7"/>
  <c r="R762" i="7"/>
  <c r="R763" i="7"/>
  <c r="R764" i="7"/>
  <c r="R765" i="7"/>
  <c r="R766" i="7"/>
  <c r="R767" i="7"/>
  <c r="R768" i="7"/>
  <c r="R769" i="7"/>
  <c r="R770" i="7"/>
  <c r="R771" i="7"/>
  <c r="R772" i="7"/>
  <c r="R773" i="7"/>
  <c r="R774" i="7"/>
  <c r="R775" i="7"/>
  <c r="R776" i="7"/>
  <c r="R777" i="7"/>
  <c r="R778" i="7"/>
  <c r="R779" i="7"/>
  <c r="R780" i="7"/>
  <c r="R781" i="7"/>
  <c r="R782" i="7"/>
  <c r="R783" i="7"/>
  <c r="R784" i="7"/>
  <c r="R785" i="7"/>
  <c r="R786" i="7"/>
  <c r="R787" i="7"/>
  <c r="R788" i="7"/>
  <c r="R789" i="7"/>
  <c r="R790" i="7"/>
  <c r="R791" i="7"/>
  <c r="R792" i="7"/>
  <c r="R793" i="7"/>
  <c r="R794" i="7"/>
  <c r="R795" i="7"/>
  <c r="R796" i="7"/>
  <c r="R797" i="7"/>
  <c r="R798" i="7"/>
  <c r="R799" i="7"/>
  <c r="R800" i="7"/>
  <c r="R801" i="7"/>
  <c r="R802" i="7"/>
  <c r="R803" i="7"/>
  <c r="R804" i="7"/>
  <c r="R805" i="7"/>
  <c r="R806" i="7"/>
  <c r="R807" i="7"/>
  <c r="R808" i="7"/>
  <c r="R809" i="7"/>
  <c r="R810" i="7"/>
  <c r="R811" i="7"/>
  <c r="R812" i="7"/>
  <c r="R813" i="7"/>
  <c r="R814" i="7"/>
  <c r="R815" i="7"/>
  <c r="R816" i="7"/>
  <c r="R817" i="7"/>
  <c r="R818" i="7"/>
  <c r="R819" i="7"/>
  <c r="R820" i="7"/>
  <c r="R821" i="7"/>
  <c r="R822" i="7"/>
  <c r="R823" i="7"/>
  <c r="R824" i="7"/>
  <c r="R825" i="7"/>
  <c r="R826" i="7"/>
  <c r="R827" i="7"/>
  <c r="R828" i="7"/>
  <c r="R829" i="7"/>
  <c r="R830" i="7"/>
  <c r="R831" i="7"/>
  <c r="R832" i="7"/>
  <c r="R833" i="7"/>
  <c r="R834" i="7"/>
  <c r="R835" i="7"/>
  <c r="R836" i="7"/>
  <c r="R837" i="7"/>
  <c r="R838" i="7"/>
  <c r="R839" i="7"/>
  <c r="R840" i="7"/>
  <c r="R841" i="7"/>
  <c r="R842" i="7"/>
  <c r="R843" i="7"/>
  <c r="R844" i="7"/>
  <c r="R845" i="7"/>
  <c r="R846" i="7"/>
  <c r="R847" i="7"/>
  <c r="R848" i="7"/>
  <c r="R849" i="7"/>
  <c r="R850" i="7"/>
  <c r="R851" i="7"/>
  <c r="R852" i="7"/>
  <c r="R853" i="7"/>
  <c r="R854" i="7"/>
  <c r="R855" i="7"/>
  <c r="R856" i="7"/>
  <c r="R857" i="7"/>
  <c r="R858" i="7"/>
  <c r="R859" i="7"/>
  <c r="R860" i="7"/>
  <c r="R861" i="7"/>
  <c r="R862" i="7"/>
  <c r="R863" i="7"/>
  <c r="R864" i="7"/>
  <c r="R865" i="7"/>
  <c r="R866" i="7"/>
  <c r="R867" i="7"/>
  <c r="R868" i="7"/>
  <c r="R869" i="7"/>
  <c r="R870" i="7"/>
  <c r="R871" i="7"/>
  <c r="R872" i="7"/>
  <c r="R873" i="7"/>
  <c r="R874" i="7"/>
  <c r="R875" i="7"/>
  <c r="R876" i="7"/>
  <c r="R877" i="7"/>
  <c r="R878" i="7"/>
  <c r="R879" i="7"/>
  <c r="R880" i="7"/>
  <c r="R881" i="7"/>
  <c r="R882" i="7"/>
  <c r="R883" i="7"/>
  <c r="R884" i="7"/>
  <c r="R885" i="7"/>
  <c r="R886" i="7"/>
  <c r="R887" i="7"/>
  <c r="R888" i="7"/>
  <c r="R889" i="7"/>
  <c r="R890" i="7"/>
  <c r="R891" i="7"/>
  <c r="R892" i="7"/>
  <c r="R893" i="7"/>
  <c r="R894" i="7"/>
  <c r="R895" i="7"/>
  <c r="R896" i="7"/>
  <c r="R897" i="7"/>
  <c r="R898" i="7"/>
  <c r="R899" i="7"/>
  <c r="R900" i="7"/>
  <c r="R901" i="7"/>
  <c r="R902" i="7"/>
  <c r="R903" i="7"/>
  <c r="R904" i="7"/>
  <c r="R905" i="7"/>
  <c r="R906" i="7"/>
  <c r="R907" i="7"/>
  <c r="R908" i="7"/>
  <c r="R909" i="7"/>
  <c r="R910" i="7"/>
  <c r="R911" i="7"/>
  <c r="R912" i="7"/>
  <c r="R913" i="7"/>
  <c r="R914" i="7"/>
  <c r="R915" i="7"/>
  <c r="R916" i="7"/>
  <c r="R917" i="7"/>
  <c r="R918" i="7"/>
  <c r="R919" i="7"/>
  <c r="R920" i="7"/>
  <c r="R921" i="7"/>
  <c r="R922" i="7"/>
  <c r="R923" i="7"/>
  <c r="R924" i="7"/>
  <c r="R925" i="7"/>
  <c r="R926" i="7"/>
  <c r="R927" i="7"/>
  <c r="R928" i="7"/>
  <c r="R929" i="7"/>
  <c r="R930" i="7"/>
  <c r="R931" i="7"/>
  <c r="R932" i="7"/>
  <c r="R933" i="7"/>
  <c r="R934" i="7"/>
  <c r="R935" i="7"/>
  <c r="R936" i="7"/>
  <c r="R937" i="7"/>
  <c r="R938" i="7"/>
  <c r="R939" i="7"/>
  <c r="R940" i="7"/>
  <c r="R941" i="7"/>
  <c r="R942" i="7"/>
  <c r="R943" i="7"/>
  <c r="R944" i="7"/>
  <c r="R945" i="7"/>
  <c r="R946" i="7"/>
  <c r="R947" i="7"/>
  <c r="R948" i="7"/>
  <c r="R949" i="7"/>
  <c r="R950" i="7"/>
  <c r="R951" i="7"/>
  <c r="R952" i="7"/>
  <c r="R953" i="7"/>
  <c r="R954" i="7"/>
  <c r="R955" i="7"/>
  <c r="R956" i="7"/>
  <c r="R957" i="7"/>
  <c r="R958" i="7"/>
  <c r="R959" i="7"/>
  <c r="R960" i="7"/>
  <c r="R961" i="7"/>
  <c r="R962" i="7"/>
  <c r="R963" i="7"/>
  <c r="R964" i="7"/>
  <c r="R965" i="7"/>
  <c r="R966" i="7"/>
  <c r="R967" i="7"/>
  <c r="R968" i="7"/>
  <c r="R969" i="7"/>
  <c r="R970" i="7"/>
  <c r="R971" i="7"/>
  <c r="R972" i="7"/>
  <c r="R973" i="7"/>
  <c r="R974" i="7"/>
  <c r="R975" i="7"/>
  <c r="R976" i="7"/>
  <c r="R977" i="7"/>
  <c r="R978" i="7"/>
  <c r="R979" i="7"/>
  <c r="R980" i="7"/>
  <c r="R981" i="7"/>
  <c r="R982" i="7"/>
  <c r="R983" i="7"/>
  <c r="R984" i="7"/>
  <c r="R985" i="7"/>
  <c r="R986" i="7"/>
  <c r="R987" i="7"/>
  <c r="R988" i="7"/>
  <c r="R989" i="7"/>
  <c r="R990" i="7"/>
  <c r="R991" i="7"/>
  <c r="R992" i="7"/>
  <c r="R993" i="7"/>
  <c r="R994" i="7"/>
  <c r="R995" i="7"/>
  <c r="R996" i="7"/>
  <c r="R997" i="7"/>
  <c r="R998" i="7"/>
  <c r="R999" i="7"/>
  <c r="R2" i="7"/>
  <c r="P15" i="6"/>
  <c r="H4" i="8"/>
  <c r="G4" i="8"/>
  <c r="F4" i="8"/>
  <c r="E4" i="8"/>
  <c r="D4" i="8"/>
  <c r="C4" i="8"/>
  <c r="H3" i="8" l="1"/>
  <c r="F3" i="8"/>
  <c r="C3" i="8"/>
  <c r="L417" i="1"/>
  <c r="B6" i="8" l="1"/>
  <c r="G6" i="8" s="1"/>
  <c r="P310" i="7"/>
  <c r="Q310" i="7"/>
  <c r="P311" i="7"/>
  <c r="Q311" i="7"/>
  <c r="P312" i="7"/>
  <c r="Q312" i="7"/>
  <c r="P313" i="7"/>
  <c r="Q313" i="7"/>
  <c r="P314" i="7"/>
  <c r="Q314" i="7"/>
  <c r="P315" i="7"/>
  <c r="Q315" i="7"/>
  <c r="P316" i="7"/>
  <c r="Q316" i="7"/>
  <c r="P317" i="7"/>
  <c r="Q317" i="7"/>
  <c r="P318" i="7"/>
  <c r="Q318" i="7"/>
  <c r="P319" i="7"/>
  <c r="Q319" i="7"/>
  <c r="P320" i="7"/>
  <c r="Q320" i="7"/>
  <c r="P321" i="7"/>
  <c r="Q321" i="7"/>
  <c r="P322" i="7"/>
  <c r="Q322" i="7"/>
  <c r="P323" i="7"/>
  <c r="Q323" i="7"/>
  <c r="P324" i="7"/>
  <c r="Q324" i="7"/>
  <c r="P325" i="7"/>
  <c r="Q325" i="7"/>
  <c r="P326" i="7"/>
  <c r="Q326" i="7"/>
  <c r="P327" i="7"/>
  <c r="Q327" i="7"/>
  <c r="P328" i="7"/>
  <c r="Q328" i="7"/>
  <c r="P329" i="7"/>
  <c r="Q329" i="7"/>
  <c r="P330" i="7"/>
  <c r="Q330" i="7"/>
  <c r="P331" i="7"/>
  <c r="Q331" i="7"/>
  <c r="P332" i="7"/>
  <c r="Q332" i="7"/>
  <c r="P333" i="7"/>
  <c r="Q333" i="7"/>
  <c r="P334" i="7"/>
  <c r="Q334" i="7"/>
  <c r="P335" i="7"/>
  <c r="Q335" i="7"/>
  <c r="P336" i="7"/>
  <c r="Q336" i="7"/>
  <c r="P337" i="7"/>
  <c r="Q337" i="7"/>
  <c r="P338" i="7"/>
  <c r="Q338" i="7"/>
  <c r="P339" i="7"/>
  <c r="Q339" i="7"/>
  <c r="P340" i="7"/>
  <c r="Q340" i="7"/>
  <c r="P341" i="7"/>
  <c r="Q341" i="7"/>
  <c r="P342" i="7"/>
  <c r="Q342" i="7"/>
  <c r="P343" i="7"/>
  <c r="Q343" i="7"/>
  <c r="P344" i="7"/>
  <c r="Q344" i="7"/>
  <c r="P345" i="7"/>
  <c r="Q345" i="7"/>
  <c r="P346" i="7"/>
  <c r="Q346" i="7"/>
  <c r="P347" i="7"/>
  <c r="Q347" i="7"/>
  <c r="P348" i="7"/>
  <c r="Q348" i="7"/>
  <c r="P349" i="7"/>
  <c r="Q349" i="7"/>
  <c r="P350" i="7"/>
  <c r="Q350" i="7"/>
  <c r="P351" i="7"/>
  <c r="Q351" i="7"/>
  <c r="P352" i="7"/>
  <c r="Q352" i="7"/>
  <c r="P353" i="7"/>
  <c r="Q353" i="7"/>
  <c r="P354" i="7"/>
  <c r="Q354" i="7"/>
  <c r="P355" i="7"/>
  <c r="Q355" i="7"/>
  <c r="P356" i="7"/>
  <c r="Q356" i="7"/>
  <c r="P357" i="7"/>
  <c r="Q357" i="7"/>
  <c r="P358" i="7"/>
  <c r="Q358" i="7"/>
  <c r="P359" i="7"/>
  <c r="Q359" i="7"/>
  <c r="P360" i="7"/>
  <c r="Q360" i="7"/>
  <c r="P361" i="7"/>
  <c r="Q361" i="7"/>
  <c r="P362" i="7"/>
  <c r="Q362" i="7"/>
  <c r="P363" i="7"/>
  <c r="Q363" i="7"/>
  <c r="P364" i="7"/>
  <c r="Q364" i="7"/>
  <c r="P365" i="7"/>
  <c r="Q365" i="7"/>
  <c r="P366" i="7"/>
  <c r="Q366" i="7"/>
  <c r="P367" i="7"/>
  <c r="Q367" i="7"/>
  <c r="P368" i="7"/>
  <c r="Q368" i="7"/>
  <c r="P369" i="7"/>
  <c r="Q369" i="7"/>
  <c r="P370" i="7"/>
  <c r="Q370" i="7"/>
  <c r="P371" i="7"/>
  <c r="Q371" i="7"/>
  <c r="P372" i="7"/>
  <c r="Q372" i="7"/>
  <c r="P373" i="7"/>
  <c r="Q373" i="7"/>
  <c r="P374" i="7"/>
  <c r="Q374" i="7"/>
  <c r="P375" i="7"/>
  <c r="Q375" i="7"/>
  <c r="P376" i="7"/>
  <c r="Q376" i="7"/>
  <c r="P377" i="7"/>
  <c r="Q377" i="7"/>
  <c r="P378" i="7"/>
  <c r="Q378" i="7"/>
  <c r="P379" i="7"/>
  <c r="Q379" i="7"/>
  <c r="P380" i="7"/>
  <c r="Q380" i="7"/>
  <c r="P381" i="7"/>
  <c r="Q381" i="7"/>
  <c r="P382" i="7"/>
  <c r="Q382" i="7"/>
  <c r="P383" i="7"/>
  <c r="Q383" i="7"/>
  <c r="P384" i="7"/>
  <c r="Q384" i="7"/>
  <c r="P385" i="7"/>
  <c r="Q385" i="7"/>
  <c r="P386" i="7"/>
  <c r="Q386" i="7"/>
  <c r="P387" i="7"/>
  <c r="Q387" i="7"/>
  <c r="P388" i="7"/>
  <c r="Q388" i="7"/>
  <c r="P389" i="7"/>
  <c r="Q389" i="7"/>
  <c r="P390" i="7"/>
  <c r="Q390" i="7"/>
  <c r="P391" i="7"/>
  <c r="Q391" i="7"/>
  <c r="P392" i="7"/>
  <c r="Q392" i="7"/>
  <c r="P393" i="7"/>
  <c r="Q393" i="7"/>
  <c r="P394" i="7"/>
  <c r="Q394" i="7"/>
  <c r="P395" i="7"/>
  <c r="Q395" i="7"/>
  <c r="P396" i="7"/>
  <c r="Q396" i="7"/>
  <c r="P397" i="7"/>
  <c r="Q397" i="7"/>
  <c r="P398" i="7"/>
  <c r="Q398" i="7"/>
  <c r="P399" i="7"/>
  <c r="Q399" i="7"/>
  <c r="P400" i="7"/>
  <c r="Q400" i="7"/>
  <c r="P401" i="7"/>
  <c r="Q401" i="7"/>
  <c r="P402" i="7"/>
  <c r="Q402" i="7"/>
  <c r="P403" i="7"/>
  <c r="Q403" i="7"/>
  <c r="P404" i="7"/>
  <c r="Q404" i="7"/>
  <c r="P405" i="7"/>
  <c r="Q405" i="7"/>
  <c r="P406" i="7"/>
  <c r="Q406" i="7"/>
  <c r="P407" i="7"/>
  <c r="Q407" i="7"/>
  <c r="P408" i="7"/>
  <c r="Q408" i="7"/>
  <c r="P409" i="7"/>
  <c r="Q409" i="7"/>
  <c r="P410" i="7"/>
  <c r="Q410" i="7"/>
  <c r="P411" i="7"/>
  <c r="Q411" i="7"/>
  <c r="P412" i="7"/>
  <c r="Q412" i="7"/>
  <c r="P413" i="7"/>
  <c r="Q413" i="7"/>
  <c r="P414" i="7"/>
  <c r="Q414" i="7"/>
  <c r="P415" i="7"/>
  <c r="Q415" i="7"/>
  <c r="P416" i="7"/>
  <c r="Q416" i="7"/>
  <c r="P417" i="7"/>
  <c r="Q417" i="7"/>
  <c r="P418" i="7"/>
  <c r="Q418" i="7"/>
  <c r="P419" i="7"/>
  <c r="Q419" i="7"/>
  <c r="P420" i="7"/>
  <c r="Q420" i="7"/>
  <c r="P421" i="7"/>
  <c r="Q421" i="7"/>
  <c r="P422" i="7"/>
  <c r="Q422" i="7"/>
  <c r="P423" i="7"/>
  <c r="Q423" i="7"/>
  <c r="P424" i="7"/>
  <c r="Q424" i="7"/>
  <c r="P425" i="7"/>
  <c r="Q425" i="7"/>
  <c r="P426" i="7"/>
  <c r="Q426" i="7"/>
  <c r="P427" i="7"/>
  <c r="Q427" i="7"/>
  <c r="P428" i="7"/>
  <c r="Q428" i="7"/>
  <c r="P429" i="7"/>
  <c r="Q429" i="7"/>
  <c r="P430" i="7"/>
  <c r="Q430" i="7"/>
  <c r="P431" i="7"/>
  <c r="Q431" i="7"/>
  <c r="P432" i="7"/>
  <c r="Q432" i="7"/>
  <c r="P433" i="7"/>
  <c r="Q433" i="7"/>
  <c r="P434" i="7"/>
  <c r="Q434" i="7"/>
  <c r="P435" i="7"/>
  <c r="Q435" i="7"/>
  <c r="P436" i="7"/>
  <c r="Q436" i="7"/>
  <c r="P437" i="7"/>
  <c r="Q437" i="7"/>
  <c r="P438" i="7"/>
  <c r="Q438" i="7"/>
  <c r="P439" i="7"/>
  <c r="Q439" i="7"/>
  <c r="P440" i="7"/>
  <c r="Q440" i="7"/>
  <c r="P441" i="7"/>
  <c r="Q441" i="7"/>
  <c r="P442" i="7"/>
  <c r="Q442" i="7"/>
  <c r="P443" i="7"/>
  <c r="Q443" i="7"/>
  <c r="P444" i="7"/>
  <c r="Q444" i="7"/>
  <c r="P445" i="7"/>
  <c r="Q445" i="7"/>
  <c r="P446" i="7"/>
  <c r="Q446" i="7"/>
  <c r="P447" i="7"/>
  <c r="Q447" i="7"/>
  <c r="P448" i="7"/>
  <c r="Q448" i="7"/>
  <c r="P449" i="7"/>
  <c r="Q449" i="7"/>
  <c r="P450" i="7"/>
  <c r="Q450" i="7"/>
  <c r="P451" i="7"/>
  <c r="Q451" i="7"/>
  <c r="P452" i="7"/>
  <c r="Q452" i="7"/>
  <c r="P453" i="7"/>
  <c r="Q453" i="7"/>
  <c r="P454" i="7"/>
  <c r="Q454" i="7"/>
  <c r="P455" i="7"/>
  <c r="Q455" i="7"/>
  <c r="P456" i="7"/>
  <c r="Q456" i="7"/>
  <c r="P457" i="7"/>
  <c r="Q457" i="7"/>
  <c r="P458" i="7"/>
  <c r="Q458" i="7"/>
  <c r="P459" i="7"/>
  <c r="Q459" i="7"/>
  <c r="P460" i="7"/>
  <c r="Q460" i="7"/>
  <c r="P461" i="7"/>
  <c r="Q461" i="7"/>
  <c r="P462" i="7"/>
  <c r="Q462" i="7"/>
  <c r="P463" i="7"/>
  <c r="Q463" i="7"/>
  <c r="P464" i="7"/>
  <c r="Q464" i="7"/>
  <c r="P465" i="7"/>
  <c r="Q465" i="7"/>
  <c r="P466" i="7"/>
  <c r="Q466" i="7"/>
  <c r="P467" i="7"/>
  <c r="Q467" i="7"/>
  <c r="P468" i="7"/>
  <c r="Q468" i="7"/>
  <c r="P469" i="7"/>
  <c r="Q469" i="7"/>
  <c r="P470" i="7"/>
  <c r="Q470" i="7"/>
  <c r="P471" i="7"/>
  <c r="Q471" i="7"/>
  <c r="P472" i="7"/>
  <c r="Q472" i="7"/>
  <c r="P473" i="7"/>
  <c r="Q473" i="7"/>
  <c r="P474" i="7"/>
  <c r="Q474" i="7"/>
  <c r="P475" i="7"/>
  <c r="Q475" i="7"/>
  <c r="P476" i="7"/>
  <c r="Q476" i="7"/>
  <c r="P477" i="7"/>
  <c r="Q477" i="7"/>
  <c r="P478" i="7"/>
  <c r="Q478" i="7"/>
  <c r="P479" i="7"/>
  <c r="Q479" i="7"/>
  <c r="P480" i="7"/>
  <c r="Q480" i="7"/>
  <c r="P481" i="7"/>
  <c r="Q481" i="7"/>
  <c r="P482" i="7"/>
  <c r="Q482" i="7"/>
  <c r="P483" i="7"/>
  <c r="Q483" i="7"/>
  <c r="P484" i="7"/>
  <c r="Q484" i="7"/>
  <c r="P485" i="7"/>
  <c r="Q485" i="7"/>
  <c r="P486" i="7"/>
  <c r="Q486" i="7"/>
  <c r="P487" i="7"/>
  <c r="Q487" i="7"/>
  <c r="P488" i="7"/>
  <c r="Q488" i="7"/>
  <c r="P489" i="7"/>
  <c r="Q489" i="7"/>
  <c r="P490" i="7"/>
  <c r="Q490" i="7"/>
  <c r="P491" i="7"/>
  <c r="Q491" i="7"/>
  <c r="P492" i="7"/>
  <c r="Q492" i="7"/>
  <c r="P493" i="7"/>
  <c r="Q493" i="7"/>
  <c r="P494" i="7"/>
  <c r="Q494" i="7"/>
  <c r="P495" i="7"/>
  <c r="Q495" i="7"/>
  <c r="P496" i="7"/>
  <c r="Q496" i="7"/>
  <c r="P497" i="7"/>
  <c r="Q497" i="7"/>
  <c r="P498" i="7"/>
  <c r="Q498" i="7"/>
  <c r="P499" i="7"/>
  <c r="Q499" i="7"/>
  <c r="P500" i="7"/>
  <c r="Q500" i="7"/>
  <c r="P501" i="7"/>
  <c r="Q501" i="7"/>
  <c r="P502" i="7"/>
  <c r="Q502" i="7"/>
  <c r="P503" i="7"/>
  <c r="Q503" i="7"/>
  <c r="P504" i="7"/>
  <c r="Q504" i="7"/>
  <c r="P505" i="7"/>
  <c r="Q505" i="7"/>
  <c r="P506" i="7"/>
  <c r="Q506" i="7"/>
  <c r="P507" i="7"/>
  <c r="Q507" i="7"/>
  <c r="P508" i="7"/>
  <c r="Q508" i="7"/>
  <c r="P509" i="7"/>
  <c r="Q509" i="7"/>
  <c r="P510" i="7"/>
  <c r="Q510" i="7"/>
  <c r="P511" i="7"/>
  <c r="Q511" i="7"/>
  <c r="P512" i="7"/>
  <c r="Q512" i="7"/>
  <c r="P513" i="7"/>
  <c r="Q513" i="7"/>
  <c r="P514" i="7"/>
  <c r="Q514" i="7"/>
  <c r="P515" i="7"/>
  <c r="Q515" i="7"/>
  <c r="P516" i="7"/>
  <c r="Q516" i="7"/>
  <c r="P517" i="7"/>
  <c r="Q517" i="7"/>
  <c r="P518" i="7"/>
  <c r="Q518" i="7"/>
  <c r="P519" i="7"/>
  <c r="Q519" i="7"/>
  <c r="P520" i="7"/>
  <c r="Q520" i="7"/>
  <c r="P521" i="7"/>
  <c r="Q521" i="7"/>
  <c r="P522" i="7"/>
  <c r="Q522" i="7"/>
  <c r="P523" i="7"/>
  <c r="Q523" i="7"/>
  <c r="P524" i="7"/>
  <c r="Q524" i="7"/>
  <c r="P525" i="7"/>
  <c r="Q525" i="7"/>
  <c r="P526" i="7"/>
  <c r="Q526" i="7"/>
  <c r="P527" i="7"/>
  <c r="Q527" i="7"/>
  <c r="P528" i="7"/>
  <c r="Q528" i="7"/>
  <c r="P529" i="7"/>
  <c r="Q529" i="7"/>
  <c r="P530" i="7"/>
  <c r="Q530" i="7"/>
  <c r="P531" i="7"/>
  <c r="Q531" i="7"/>
  <c r="P532" i="7"/>
  <c r="Q532" i="7"/>
  <c r="P533" i="7"/>
  <c r="Q533" i="7"/>
  <c r="P534" i="7"/>
  <c r="Q534" i="7"/>
  <c r="P535" i="7"/>
  <c r="Q535" i="7"/>
  <c r="P536" i="7"/>
  <c r="Q536" i="7"/>
  <c r="P537" i="7"/>
  <c r="Q537" i="7"/>
  <c r="P538" i="7"/>
  <c r="Q538" i="7"/>
  <c r="P539" i="7"/>
  <c r="Q539" i="7"/>
  <c r="P540" i="7"/>
  <c r="Q540" i="7"/>
  <c r="P541" i="7"/>
  <c r="Q541" i="7"/>
  <c r="P542" i="7"/>
  <c r="Q542" i="7"/>
  <c r="P543" i="7"/>
  <c r="Q543" i="7"/>
  <c r="P544" i="7"/>
  <c r="Q544" i="7"/>
  <c r="P545" i="7"/>
  <c r="Q545" i="7"/>
  <c r="P546" i="7"/>
  <c r="Q546" i="7"/>
  <c r="P547" i="7"/>
  <c r="Q547" i="7"/>
  <c r="P548" i="7"/>
  <c r="Q548" i="7"/>
  <c r="P549" i="7"/>
  <c r="Q549" i="7"/>
  <c r="P550" i="7"/>
  <c r="Q550" i="7"/>
  <c r="P551" i="7"/>
  <c r="Q551" i="7"/>
  <c r="P552" i="7"/>
  <c r="Q552" i="7"/>
  <c r="P553" i="7"/>
  <c r="Q553" i="7"/>
  <c r="P554" i="7"/>
  <c r="Q554" i="7"/>
  <c r="P555" i="7"/>
  <c r="Q555" i="7"/>
  <c r="P556" i="7"/>
  <c r="Q556" i="7"/>
  <c r="P557" i="7"/>
  <c r="Q557" i="7"/>
  <c r="P558" i="7"/>
  <c r="Q558" i="7"/>
  <c r="P559" i="7"/>
  <c r="Q559" i="7"/>
  <c r="P560" i="7"/>
  <c r="Q560" i="7"/>
  <c r="P561" i="7"/>
  <c r="Q561" i="7"/>
  <c r="P562" i="7"/>
  <c r="Q562" i="7"/>
  <c r="P563" i="7"/>
  <c r="Q563" i="7"/>
  <c r="P564" i="7"/>
  <c r="Q564" i="7"/>
  <c r="P565" i="7"/>
  <c r="Q565" i="7"/>
  <c r="P566" i="7"/>
  <c r="Q566" i="7"/>
  <c r="P567" i="7"/>
  <c r="Q567" i="7"/>
  <c r="P568" i="7"/>
  <c r="Q568" i="7"/>
  <c r="P569" i="7"/>
  <c r="Q569" i="7"/>
  <c r="P570" i="7"/>
  <c r="Q570" i="7"/>
  <c r="P571" i="7"/>
  <c r="Q571" i="7"/>
  <c r="P572" i="7"/>
  <c r="Q572" i="7"/>
  <c r="P573" i="7"/>
  <c r="Q573" i="7"/>
  <c r="P574" i="7"/>
  <c r="Q574" i="7"/>
  <c r="P575" i="7"/>
  <c r="Q575" i="7"/>
  <c r="P576" i="7"/>
  <c r="Q576" i="7"/>
  <c r="P577" i="7"/>
  <c r="Q577" i="7"/>
  <c r="P578" i="7"/>
  <c r="Q578" i="7"/>
  <c r="P579" i="7"/>
  <c r="Q579" i="7"/>
  <c r="P580" i="7"/>
  <c r="Q580" i="7"/>
  <c r="P581" i="7"/>
  <c r="Q581" i="7"/>
  <c r="P582" i="7"/>
  <c r="Q582" i="7"/>
  <c r="P583" i="7"/>
  <c r="Q583" i="7"/>
  <c r="P584" i="7"/>
  <c r="Q584" i="7"/>
  <c r="P585" i="7"/>
  <c r="Q585" i="7"/>
  <c r="P586" i="7"/>
  <c r="Q586" i="7"/>
  <c r="P587" i="7"/>
  <c r="Q587" i="7"/>
  <c r="P588" i="7"/>
  <c r="Q588" i="7"/>
  <c r="P589" i="7"/>
  <c r="Q589" i="7"/>
  <c r="P590" i="7"/>
  <c r="Q590" i="7"/>
  <c r="P591" i="7"/>
  <c r="Q591" i="7"/>
  <c r="P592" i="7"/>
  <c r="Q592" i="7"/>
  <c r="P593" i="7"/>
  <c r="Q593" i="7"/>
  <c r="P594" i="7"/>
  <c r="Q594" i="7"/>
  <c r="P595" i="7"/>
  <c r="Q595" i="7"/>
  <c r="P596" i="7"/>
  <c r="Q596" i="7"/>
  <c r="P597" i="7"/>
  <c r="Q597" i="7"/>
  <c r="P598" i="7"/>
  <c r="Q598" i="7"/>
  <c r="P599" i="7"/>
  <c r="Q599" i="7"/>
  <c r="P600" i="7"/>
  <c r="Q600" i="7"/>
  <c r="P601" i="7"/>
  <c r="Q601" i="7"/>
  <c r="P602" i="7"/>
  <c r="Q602" i="7"/>
  <c r="P603" i="7"/>
  <c r="Q603" i="7"/>
  <c r="P604" i="7"/>
  <c r="Q604" i="7"/>
  <c r="P605" i="7"/>
  <c r="Q605" i="7"/>
  <c r="P606" i="7"/>
  <c r="Q606" i="7"/>
  <c r="P607" i="7"/>
  <c r="Q607" i="7"/>
  <c r="P608" i="7"/>
  <c r="Q608" i="7"/>
  <c r="P609" i="7"/>
  <c r="Q609" i="7"/>
  <c r="P610" i="7"/>
  <c r="Q610" i="7"/>
  <c r="P611" i="7"/>
  <c r="Q611" i="7"/>
  <c r="P612" i="7"/>
  <c r="Q612" i="7"/>
  <c r="P613" i="7"/>
  <c r="Q613" i="7"/>
  <c r="P614" i="7"/>
  <c r="Q614" i="7"/>
  <c r="P615" i="7"/>
  <c r="Q615" i="7"/>
  <c r="P616" i="7"/>
  <c r="Q616" i="7"/>
  <c r="P617" i="7"/>
  <c r="Q617" i="7"/>
  <c r="P618" i="7"/>
  <c r="Q618" i="7"/>
  <c r="P619" i="7"/>
  <c r="Q619" i="7"/>
  <c r="P620" i="7"/>
  <c r="Q620" i="7"/>
  <c r="P621" i="7"/>
  <c r="Q621" i="7"/>
  <c r="P622" i="7"/>
  <c r="Q622" i="7"/>
  <c r="P623" i="7"/>
  <c r="Q623" i="7"/>
  <c r="P624" i="7"/>
  <c r="Q624" i="7"/>
  <c r="P625" i="7"/>
  <c r="Q625" i="7"/>
  <c r="P626" i="7"/>
  <c r="Q626" i="7"/>
  <c r="P627" i="7"/>
  <c r="Q627" i="7"/>
  <c r="P628" i="7"/>
  <c r="Q628" i="7"/>
  <c r="P629" i="7"/>
  <c r="Q629" i="7"/>
  <c r="P630" i="7"/>
  <c r="Q630" i="7"/>
  <c r="P631" i="7"/>
  <c r="Q631" i="7"/>
  <c r="P632" i="7"/>
  <c r="Q632" i="7"/>
  <c r="P633" i="7"/>
  <c r="Q633" i="7"/>
  <c r="P634" i="7"/>
  <c r="Q634" i="7"/>
  <c r="P635" i="7"/>
  <c r="Q635" i="7"/>
  <c r="P636" i="7"/>
  <c r="Q636" i="7"/>
  <c r="P637" i="7"/>
  <c r="Q637" i="7"/>
  <c r="P638" i="7"/>
  <c r="Q638" i="7"/>
  <c r="P639" i="7"/>
  <c r="Q639" i="7"/>
  <c r="P640" i="7"/>
  <c r="Q640" i="7"/>
  <c r="P641" i="7"/>
  <c r="Q641" i="7"/>
  <c r="P642" i="7"/>
  <c r="Q642" i="7"/>
  <c r="P643" i="7"/>
  <c r="Q643" i="7"/>
  <c r="P644" i="7"/>
  <c r="Q644" i="7"/>
  <c r="P645" i="7"/>
  <c r="Q645" i="7"/>
  <c r="P646" i="7"/>
  <c r="Q646" i="7"/>
  <c r="P647" i="7"/>
  <c r="Q647" i="7"/>
  <c r="P648" i="7"/>
  <c r="Q648" i="7"/>
  <c r="P649" i="7"/>
  <c r="Q649" i="7"/>
  <c r="P650" i="7"/>
  <c r="Q650" i="7"/>
  <c r="P651" i="7"/>
  <c r="Q651" i="7"/>
  <c r="P652" i="7"/>
  <c r="Q652" i="7"/>
  <c r="P653" i="7"/>
  <c r="Q653" i="7"/>
  <c r="P654" i="7"/>
  <c r="Q654" i="7"/>
  <c r="P655" i="7"/>
  <c r="Q655" i="7"/>
  <c r="P656" i="7"/>
  <c r="Q656" i="7"/>
  <c r="P657" i="7"/>
  <c r="Q657" i="7"/>
  <c r="P658" i="7"/>
  <c r="Q658" i="7"/>
  <c r="P659" i="7"/>
  <c r="Q659" i="7"/>
  <c r="P660" i="7"/>
  <c r="Q660" i="7"/>
  <c r="P661" i="7"/>
  <c r="Q661" i="7"/>
  <c r="P662" i="7"/>
  <c r="Q662" i="7"/>
  <c r="P663" i="7"/>
  <c r="Q663" i="7"/>
  <c r="P664" i="7"/>
  <c r="Q664" i="7"/>
  <c r="P665" i="7"/>
  <c r="Q665" i="7"/>
  <c r="P666" i="7"/>
  <c r="Q666" i="7"/>
  <c r="P667" i="7"/>
  <c r="Q667" i="7"/>
  <c r="P668" i="7"/>
  <c r="Q668" i="7"/>
  <c r="P669" i="7"/>
  <c r="Q669" i="7"/>
  <c r="P670" i="7"/>
  <c r="Q670" i="7"/>
  <c r="P671" i="7"/>
  <c r="Q671" i="7"/>
  <c r="P672" i="7"/>
  <c r="Q672" i="7"/>
  <c r="P673" i="7"/>
  <c r="Q673" i="7"/>
  <c r="P674" i="7"/>
  <c r="Q674" i="7"/>
  <c r="P675" i="7"/>
  <c r="Q675" i="7"/>
  <c r="P676" i="7"/>
  <c r="Q676" i="7"/>
  <c r="P677" i="7"/>
  <c r="Q677" i="7"/>
  <c r="P678" i="7"/>
  <c r="Q678" i="7"/>
  <c r="P679" i="7"/>
  <c r="Q679" i="7"/>
  <c r="P680" i="7"/>
  <c r="Q680" i="7"/>
  <c r="P681" i="7"/>
  <c r="Q681" i="7"/>
  <c r="P682" i="7"/>
  <c r="Q682" i="7"/>
  <c r="P683" i="7"/>
  <c r="Q683" i="7"/>
  <c r="P684" i="7"/>
  <c r="Q684" i="7"/>
  <c r="P685" i="7"/>
  <c r="Q685" i="7"/>
  <c r="P686" i="7"/>
  <c r="Q686" i="7"/>
  <c r="P687" i="7"/>
  <c r="Q687" i="7"/>
  <c r="P688" i="7"/>
  <c r="Q688" i="7"/>
  <c r="P689" i="7"/>
  <c r="Q689" i="7"/>
  <c r="P690" i="7"/>
  <c r="Q690" i="7"/>
  <c r="P691" i="7"/>
  <c r="Q691" i="7"/>
  <c r="P692" i="7"/>
  <c r="Q692" i="7"/>
  <c r="P693" i="7"/>
  <c r="Q693" i="7"/>
  <c r="P694" i="7"/>
  <c r="Q694" i="7"/>
  <c r="P695" i="7"/>
  <c r="Q695" i="7"/>
  <c r="P696" i="7"/>
  <c r="Q696" i="7"/>
  <c r="P697" i="7"/>
  <c r="Q697" i="7"/>
  <c r="P698" i="7"/>
  <c r="Q698" i="7"/>
  <c r="P699" i="7"/>
  <c r="Q699" i="7"/>
  <c r="P700" i="7"/>
  <c r="Q700" i="7"/>
  <c r="P701" i="7"/>
  <c r="Q701" i="7"/>
  <c r="P702" i="7"/>
  <c r="Q702" i="7"/>
  <c r="P703" i="7"/>
  <c r="Q703" i="7"/>
  <c r="P704" i="7"/>
  <c r="Q704" i="7"/>
  <c r="P705" i="7"/>
  <c r="Q705" i="7"/>
  <c r="P706" i="7"/>
  <c r="Q706" i="7"/>
  <c r="P707" i="7"/>
  <c r="Q707" i="7"/>
  <c r="P708" i="7"/>
  <c r="Q708" i="7"/>
  <c r="P709" i="7"/>
  <c r="Q709" i="7"/>
  <c r="P710" i="7"/>
  <c r="Q710" i="7"/>
  <c r="P711" i="7"/>
  <c r="Q711" i="7"/>
  <c r="P712" i="7"/>
  <c r="Q712" i="7"/>
  <c r="P713" i="7"/>
  <c r="Q713" i="7"/>
  <c r="P714" i="7"/>
  <c r="Q714" i="7"/>
  <c r="P715" i="7"/>
  <c r="Q715" i="7"/>
  <c r="P716" i="7"/>
  <c r="Q716" i="7"/>
  <c r="P717" i="7"/>
  <c r="Q717" i="7"/>
  <c r="P718" i="7"/>
  <c r="Q718" i="7"/>
  <c r="P719" i="7"/>
  <c r="Q719" i="7"/>
  <c r="P720" i="7"/>
  <c r="Q720" i="7"/>
  <c r="P721" i="7"/>
  <c r="Q721" i="7"/>
  <c r="P722" i="7"/>
  <c r="Q722" i="7"/>
  <c r="P723" i="7"/>
  <c r="Q723" i="7"/>
  <c r="P899" i="7"/>
  <c r="Q899" i="7"/>
  <c r="P900" i="7"/>
  <c r="Q900" i="7"/>
  <c r="P901" i="7"/>
  <c r="Q901" i="7"/>
  <c r="P902" i="7"/>
  <c r="Q902" i="7"/>
  <c r="P903" i="7"/>
  <c r="Q903" i="7"/>
  <c r="P904" i="7"/>
  <c r="Q904" i="7"/>
  <c r="P905" i="7"/>
  <c r="Q905" i="7"/>
  <c r="P906" i="7"/>
  <c r="Q906" i="7"/>
  <c r="P907" i="7"/>
  <c r="Q907" i="7"/>
  <c r="P908" i="7"/>
  <c r="Q908" i="7"/>
  <c r="P909" i="7"/>
  <c r="Q909" i="7"/>
  <c r="P910" i="7"/>
  <c r="Q910" i="7"/>
  <c r="P911" i="7"/>
  <c r="Q911" i="7"/>
  <c r="P912" i="7"/>
  <c r="Q912" i="7"/>
  <c r="P913" i="7"/>
  <c r="Q913" i="7"/>
  <c r="P914" i="7"/>
  <c r="Q914" i="7"/>
  <c r="P915" i="7"/>
  <c r="Q915" i="7"/>
  <c r="P916" i="7"/>
  <c r="Q916" i="7"/>
  <c r="P917" i="7"/>
  <c r="Q917" i="7"/>
  <c r="P918" i="7"/>
  <c r="Q918" i="7"/>
  <c r="P919" i="7"/>
  <c r="Q919" i="7"/>
  <c r="P920" i="7"/>
  <c r="Q920" i="7"/>
  <c r="P921" i="7"/>
  <c r="Q921" i="7"/>
  <c r="P922" i="7"/>
  <c r="Q922" i="7"/>
  <c r="P923" i="7"/>
  <c r="Q923" i="7"/>
  <c r="P924" i="7"/>
  <c r="Q924" i="7"/>
  <c r="P925" i="7"/>
  <c r="Q925" i="7"/>
  <c r="P926" i="7"/>
  <c r="Q926" i="7"/>
  <c r="P927" i="7"/>
  <c r="Q927" i="7"/>
  <c r="P928" i="7"/>
  <c r="Q928" i="7"/>
  <c r="P929" i="7"/>
  <c r="Q929" i="7"/>
  <c r="P930" i="7"/>
  <c r="Q930" i="7"/>
  <c r="P931" i="7"/>
  <c r="Q931" i="7"/>
  <c r="P932" i="7"/>
  <c r="Q932" i="7"/>
  <c r="P933" i="7"/>
  <c r="Q933" i="7"/>
  <c r="P934" i="7"/>
  <c r="Q934" i="7"/>
  <c r="P935" i="7"/>
  <c r="Q935" i="7"/>
  <c r="P936" i="7"/>
  <c r="Q936" i="7"/>
  <c r="P937" i="7"/>
  <c r="Q937" i="7"/>
  <c r="P938" i="7"/>
  <c r="Q938" i="7"/>
  <c r="P939" i="7"/>
  <c r="Q939" i="7"/>
  <c r="P940" i="7"/>
  <c r="Q940" i="7"/>
  <c r="P941" i="7"/>
  <c r="Q941" i="7"/>
  <c r="P942" i="7"/>
  <c r="Q942" i="7"/>
  <c r="P943" i="7"/>
  <c r="Q943" i="7"/>
  <c r="P944" i="7"/>
  <c r="Q944" i="7"/>
  <c r="P945" i="7"/>
  <c r="Q945" i="7"/>
  <c r="P946" i="7"/>
  <c r="Q946" i="7"/>
  <c r="P947" i="7"/>
  <c r="Q947" i="7"/>
  <c r="P948" i="7"/>
  <c r="Q948" i="7"/>
  <c r="P949" i="7"/>
  <c r="Q949" i="7"/>
  <c r="P950" i="7"/>
  <c r="Q950" i="7"/>
  <c r="P951" i="7"/>
  <c r="Q951" i="7"/>
  <c r="P952" i="7"/>
  <c r="Q952" i="7"/>
  <c r="P953" i="7"/>
  <c r="Q953" i="7"/>
  <c r="P954" i="7"/>
  <c r="Q954" i="7"/>
  <c r="P955" i="7"/>
  <c r="Q955" i="7"/>
  <c r="P956" i="7"/>
  <c r="Q956" i="7"/>
  <c r="P957" i="7"/>
  <c r="Q957" i="7"/>
  <c r="P958" i="7"/>
  <c r="Q958" i="7"/>
  <c r="P959" i="7"/>
  <c r="Q959" i="7"/>
  <c r="P960" i="7"/>
  <c r="Q960" i="7"/>
  <c r="P961" i="7"/>
  <c r="Q961" i="7"/>
  <c r="P962" i="7"/>
  <c r="Q962" i="7"/>
  <c r="P963" i="7"/>
  <c r="Q963" i="7"/>
  <c r="P964" i="7"/>
  <c r="Q964" i="7"/>
  <c r="P965" i="7"/>
  <c r="Q965" i="7"/>
  <c r="P966" i="7"/>
  <c r="Q966" i="7"/>
  <c r="P967" i="7"/>
  <c r="Q967" i="7"/>
  <c r="P968" i="7"/>
  <c r="Q968" i="7"/>
  <c r="P969" i="7"/>
  <c r="Q969" i="7"/>
  <c r="P970" i="7"/>
  <c r="Q970" i="7"/>
  <c r="P971" i="7"/>
  <c r="Q971" i="7"/>
  <c r="P972" i="7"/>
  <c r="Q972" i="7"/>
  <c r="P973" i="7"/>
  <c r="Q973" i="7"/>
  <c r="P974" i="7"/>
  <c r="Q974" i="7"/>
  <c r="P975" i="7"/>
  <c r="Q975" i="7"/>
  <c r="P976" i="7"/>
  <c r="Q976" i="7"/>
  <c r="P977" i="7"/>
  <c r="Q977" i="7"/>
  <c r="P978" i="7"/>
  <c r="Q978" i="7"/>
  <c r="P979" i="7"/>
  <c r="Q979" i="7"/>
  <c r="P980" i="7"/>
  <c r="Q980" i="7"/>
  <c r="P981" i="7"/>
  <c r="Q981" i="7"/>
  <c r="P982" i="7"/>
  <c r="Q982" i="7"/>
  <c r="P983" i="7"/>
  <c r="Q983" i="7"/>
  <c r="P984" i="7"/>
  <c r="Q984" i="7"/>
  <c r="P985" i="7"/>
  <c r="Q985" i="7"/>
  <c r="P986" i="7"/>
  <c r="Q986" i="7"/>
  <c r="P987" i="7"/>
  <c r="Q987" i="7"/>
  <c r="P988" i="7"/>
  <c r="Q988" i="7"/>
  <c r="P989" i="7"/>
  <c r="Q989" i="7"/>
  <c r="P990" i="7"/>
  <c r="Q990" i="7"/>
  <c r="P991" i="7"/>
  <c r="Q991" i="7"/>
  <c r="P992" i="7"/>
  <c r="Q992" i="7"/>
  <c r="P993" i="7"/>
  <c r="Q993" i="7"/>
  <c r="P994" i="7"/>
  <c r="Q994" i="7"/>
  <c r="P995" i="7"/>
  <c r="Q995" i="7"/>
  <c r="P996" i="7"/>
  <c r="Q996" i="7"/>
  <c r="P997" i="7"/>
  <c r="Q997" i="7"/>
  <c r="P998" i="7"/>
  <c r="Q998" i="7"/>
  <c r="P999" i="7"/>
  <c r="Q999" i="7"/>
  <c r="P754" i="7"/>
  <c r="I4" i="8" l="1"/>
  <c r="I3" i="8"/>
  <c r="D6" i="8"/>
  <c r="F6" i="8"/>
  <c r="C6" i="8"/>
  <c r="E6" i="8"/>
  <c r="Q754" i="7"/>
  <c r="Q753" i="7"/>
  <c r="P753" i="7"/>
  <c r="Q752" i="7"/>
  <c r="P752" i="7"/>
  <c r="Q751" i="7"/>
  <c r="P751" i="7"/>
  <c r="Q750" i="7"/>
  <c r="P750" i="7"/>
  <c r="Q749" i="7"/>
  <c r="P749" i="7"/>
  <c r="Q791" i="7"/>
  <c r="P791" i="7"/>
  <c r="Q790" i="7"/>
  <c r="P790" i="7"/>
  <c r="Q789" i="7"/>
  <c r="P789" i="7"/>
  <c r="Q788" i="7"/>
  <c r="P788" i="7"/>
  <c r="Q787" i="7"/>
  <c r="P787" i="7"/>
  <c r="Q786" i="7"/>
  <c r="P786" i="7"/>
  <c r="Q748" i="7"/>
  <c r="P748" i="7"/>
  <c r="Q747" i="7"/>
  <c r="P747" i="7"/>
  <c r="Q746" i="7"/>
  <c r="P746" i="7"/>
  <c r="Q745" i="7"/>
  <c r="P745" i="7"/>
  <c r="Q744" i="7"/>
  <c r="P744" i="7"/>
  <c r="Q743" i="7"/>
  <c r="P743" i="7"/>
  <c r="Q742" i="7"/>
  <c r="P742" i="7"/>
  <c r="Q741" i="7"/>
  <c r="P741" i="7"/>
  <c r="Q785" i="7"/>
  <c r="P785" i="7"/>
  <c r="Q784" i="7"/>
  <c r="P784" i="7"/>
  <c r="Q740" i="7"/>
  <c r="P740" i="7"/>
  <c r="Q783" i="7"/>
  <c r="P783" i="7"/>
  <c r="Q739" i="7"/>
  <c r="P739" i="7"/>
  <c r="Q738" i="7"/>
  <c r="P738" i="7"/>
  <c r="Q737" i="7"/>
  <c r="P737" i="7"/>
  <c r="Q736" i="7"/>
  <c r="P736" i="7"/>
  <c r="Q735" i="7"/>
  <c r="P735" i="7"/>
  <c r="Q734" i="7"/>
  <c r="P734" i="7"/>
  <c r="Q733" i="7"/>
  <c r="P733" i="7"/>
  <c r="Q732" i="7"/>
  <c r="P732" i="7"/>
  <c r="Q731" i="7"/>
  <c r="P731" i="7"/>
  <c r="Q730" i="7"/>
  <c r="P730" i="7"/>
  <c r="Q729" i="7"/>
  <c r="P729" i="7"/>
  <c r="Q782" i="7"/>
  <c r="P782" i="7"/>
  <c r="Q728" i="7"/>
  <c r="P728" i="7"/>
  <c r="Q781" i="7"/>
  <c r="P781" i="7"/>
  <c r="Q780" i="7"/>
  <c r="P780" i="7"/>
  <c r="Q779" i="7"/>
  <c r="P779" i="7"/>
  <c r="Q778" i="7"/>
  <c r="P778" i="7"/>
  <c r="Q727" i="7"/>
  <c r="P727" i="7"/>
  <c r="Q726" i="7"/>
  <c r="P726" i="7"/>
  <c r="Q725" i="7"/>
  <c r="P725" i="7"/>
  <c r="Q771" i="7"/>
  <c r="P771" i="7"/>
  <c r="Q767" i="7"/>
  <c r="P767" i="7"/>
  <c r="Q777" i="7"/>
  <c r="P777" i="7"/>
  <c r="Q776" i="7"/>
  <c r="P776" i="7"/>
  <c r="Q775" i="7"/>
  <c r="P775" i="7"/>
  <c r="Q774" i="7"/>
  <c r="P774" i="7"/>
  <c r="Q773" i="7"/>
  <c r="P773" i="7"/>
  <c r="Q770" i="7"/>
  <c r="P770" i="7"/>
  <c r="Q769" i="7"/>
  <c r="P769" i="7"/>
  <c r="Q768" i="7"/>
  <c r="P768" i="7"/>
  <c r="Q772" i="7"/>
  <c r="P772" i="7"/>
  <c r="Q766" i="7"/>
  <c r="P766" i="7"/>
  <c r="Q765" i="7"/>
  <c r="P765" i="7"/>
  <c r="Q724" i="7"/>
  <c r="P724" i="7"/>
  <c r="Q764" i="7"/>
  <c r="P764" i="7"/>
  <c r="Q763" i="7"/>
  <c r="P763" i="7"/>
  <c r="Q762" i="7"/>
  <c r="P762" i="7"/>
  <c r="Q792" i="7"/>
  <c r="P792" i="7"/>
  <c r="Q793" i="7"/>
  <c r="P793" i="7"/>
  <c r="Q794" i="7"/>
  <c r="P794" i="7"/>
  <c r="Q795" i="7"/>
  <c r="P795" i="7"/>
  <c r="Q796" i="7"/>
  <c r="P796" i="7"/>
  <c r="Q797" i="7"/>
  <c r="P797" i="7"/>
  <c r="Q798" i="7"/>
  <c r="P798" i="7"/>
  <c r="Q799" i="7"/>
  <c r="P799" i="7"/>
  <c r="Q800" i="7"/>
  <c r="P800" i="7"/>
  <c r="Q801" i="7"/>
  <c r="P801" i="7"/>
  <c r="Q802" i="7"/>
  <c r="P802" i="7"/>
  <c r="Q803" i="7"/>
  <c r="P803" i="7"/>
  <c r="Q804" i="7"/>
  <c r="P804" i="7"/>
  <c r="Q805" i="7"/>
  <c r="P805" i="7"/>
  <c r="Q806" i="7"/>
  <c r="P806" i="7"/>
  <c r="Q807" i="7"/>
  <c r="P807" i="7"/>
  <c r="Q808" i="7"/>
  <c r="P808" i="7"/>
  <c r="Q809" i="7"/>
  <c r="P809" i="7"/>
  <c r="Q810" i="7"/>
  <c r="P810" i="7"/>
  <c r="Q811" i="7"/>
  <c r="P811" i="7"/>
  <c r="Q812" i="7"/>
  <c r="P812" i="7"/>
  <c r="Q813" i="7"/>
  <c r="P813" i="7"/>
  <c r="Q814" i="7"/>
  <c r="P814" i="7"/>
  <c r="Q815" i="7"/>
  <c r="P815" i="7"/>
  <c r="Q816" i="7"/>
  <c r="P816" i="7"/>
  <c r="Q817" i="7"/>
  <c r="P817" i="7"/>
  <c r="Q818" i="7"/>
  <c r="P818" i="7"/>
  <c r="Q819" i="7"/>
  <c r="P819" i="7"/>
  <c r="Q820" i="7"/>
  <c r="P820" i="7"/>
  <c r="Q821" i="7"/>
  <c r="P821" i="7"/>
  <c r="Q822" i="7"/>
  <c r="P822" i="7"/>
  <c r="Q755" i="7"/>
  <c r="P755" i="7"/>
  <c r="Q756" i="7"/>
  <c r="P756" i="7"/>
  <c r="Q757" i="7"/>
  <c r="P757" i="7"/>
  <c r="Q758" i="7"/>
  <c r="P758" i="7"/>
  <c r="Q759" i="7"/>
  <c r="P759" i="7"/>
  <c r="Q760" i="7"/>
  <c r="P760" i="7"/>
  <c r="Q761" i="7"/>
  <c r="P761" i="7"/>
  <c r="Q823" i="7"/>
  <c r="P823" i="7"/>
  <c r="Q824" i="7"/>
  <c r="P824" i="7"/>
  <c r="Q2" i="7"/>
  <c r="P2" i="7"/>
  <c r="Q3" i="7"/>
  <c r="P3" i="7"/>
  <c r="Q4" i="7"/>
  <c r="P4" i="7"/>
  <c r="Q5" i="7"/>
  <c r="P5" i="7"/>
  <c r="Q6" i="7"/>
  <c r="P6" i="7"/>
  <c r="Q7" i="7"/>
  <c r="P7" i="7"/>
  <c r="Q8" i="7"/>
  <c r="P8" i="7"/>
  <c r="Q9" i="7"/>
  <c r="P9" i="7"/>
  <c r="Q10" i="7"/>
  <c r="P10" i="7"/>
  <c r="Q11" i="7"/>
  <c r="P11" i="7"/>
  <c r="Q12" i="7"/>
  <c r="P12" i="7"/>
  <c r="Q13" i="7"/>
  <c r="P13" i="7"/>
  <c r="Q14" i="7"/>
  <c r="P14" i="7"/>
  <c r="Q15" i="7"/>
  <c r="P15" i="7"/>
  <c r="Q16" i="7"/>
  <c r="P16" i="7"/>
  <c r="Q17" i="7"/>
  <c r="P17" i="7"/>
  <c r="Q18" i="7"/>
  <c r="P18" i="7"/>
  <c r="Q19" i="7"/>
  <c r="P19" i="7"/>
  <c r="Q20" i="7"/>
  <c r="P20" i="7"/>
  <c r="Q21" i="7"/>
  <c r="P21" i="7"/>
  <c r="Q22" i="7"/>
  <c r="P22" i="7"/>
  <c r="Q23" i="7"/>
  <c r="P23" i="7"/>
  <c r="Q24" i="7"/>
  <c r="P24" i="7"/>
  <c r="Q25" i="7"/>
  <c r="P25" i="7"/>
  <c r="Q26" i="7"/>
  <c r="P26" i="7"/>
  <c r="Q27" i="7"/>
  <c r="P27" i="7"/>
  <c r="Q28" i="7"/>
  <c r="P28" i="7"/>
  <c r="Q29" i="7"/>
  <c r="P29" i="7"/>
  <c r="Q30" i="7"/>
  <c r="P30" i="7"/>
  <c r="Q31" i="7"/>
  <c r="P31" i="7"/>
  <c r="Q32" i="7"/>
  <c r="P32" i="7"/>
  <c r="Q33" i="7"/>
  <c r="P33" i="7"/>
  <c r="Q34" i="7"/>
  <c r="P34" i="7"/>
  <c r="Q35" i="7"/>
  <c r="P35" i="7"/>
  <c r="Q36" i="7"/>
  <c r="P36" i="7"/>
  <c r="Q37" i="7"/>
  <c r="P37" i="7"/>
  <c r="Q38" i="7"/>
  <c r="P38" i="7"/>
  <c r="Q39" i="7"/>
  <c r="P39" i="7"/>
  <c r="Q40" i="7"/>
  <c r="P40" i="7"/>
  <c r="Q41" i="7"/>
  <c r="P41" i="7"/>
  <c r="Q42" i="7"/>
  <c r="P42" i="7"/>
  <c r="Q43" i="7"/>
  <c r="P43" i="7"/>
  <c r="Q44" i="7"/>
  <c r="P44" i="7"/>
  <c r="Q45" i="7"/>
  <c r="P45" i="7"/>
  <c r="Q46" i="7"/>
  <c r="P46" i="7"/>
  <c r="Q47" i="7"/>
  <c r="P47" i="7"/>
  <c r="Q48" i="7"/>
  <c r="P48" i="7"/>
  <c r="Q49" i="7"/>
  <c r="P49" i="7"/>
  <c r="Q50" i="7"/>
  <c r="P50" i="7"/>
  <c r="Q51" i="7"/>
  <c r="P51" i="7"/>
  <c r="Q52" i="7"/>
  <c r="P52" i="7"/>
  <c r="Q53" i="7"/>
  <c r="P53" i="7"/>
  <c r="Q54" i="7"/>
  <c r="P54" i="7"/>
  <c r="Q55" i="7"/>
  <c r="P55" i="7"/>
  <c r="Q56" i="7"/>
  <c r="P56" i="7"/>
  <c r="Q57" i="7"/>
  <c r="P57" i="7"/>
  <c r="Q58" i="7"/>
  <c r="P58" i="7"/>
  <c r="Q59" i="7"/>
  <c r="P59" i="7"/>
  <c r="Q60" i="7"/>
  <c r="P60" i="7"/>
  <c r="Q825" i="7"/>
  <c r="P825" i="7"/>
  <c r="Q836" i="7"/>
  <c r="P836" i="7"/>
  <c r="Q847" i="7"/>
  <c r="P847" i="7"/>
  <c r="Q858" i="7"/>
  <c r="P858" i="7"/>
  <c r="Q869" i="7"/>
  <c r="P869" i="7"/>
  <c r="Q880" i="7"/>
  <c r="P880" i="7"/>
  <c r="Q891" i="7"/>
  <c r="P891" i="7"/>
  <c r="Q897" i="7"/>
  <c r="P897" i="7"/>
  <c r="Q898" i="7"/>
  <c r="P898" i="7"/>
  <c r="Q826" i="7"/>
  <c r="P826" i="7"/>
  <c r="Q827" i="7"/>
  <c r="P827" i="7"/>
  <c r="Q828" i="7"/>
  <c r="P828" i="7"/>
  <c r="Q829" i="7"/>
  <c r="P829" i="7"/>
  <c r="Q830" i="7"/>
  <c r="P830" i="7"/>
  <c r="Q831" i="7"/>
  <c r="P831" i="7"/>
  <c r="Q832" i="7"/>
  <c r="P832" i="7"/>
  <c r="Q833" i="7"/>
  <c r="P833" i="7"/>
  <c r="Q834" i="7"/>
  <c r="P834" i="7"/>
  <c r="Q835" i="7"/>
  <c r="P835" i="7"/>
  <c r="Q837" i="7"/>
  <c r="P837" i="7"/>
  <c r="Q838" i="7"/>
  <c r="P838" i="7"/>
  <c r="Q839" i="7"/>
  <c r="P839" i="7"/>
  <c r="Q840" i="7"/>
  <c r="P840" i="7"/>
  <c r="Q841" i="7"/>
  <c r="P841" i="7"/>
  <c r="Q842" i="7"/>
  <c r="P842" i="7"/>
  <c r="Q843" i="7"/>
  <c r="P843" i="7"/>
  <c r="Q844" i="7"/>
  <c r="P844" i="7"/>
  <c r="Q845" i="7"/>
  <c r="P845" i="7"/>
  <c r="Q846" i="7"/>
  <c r="P846" i="7"/>
  <c r="Q848" i="7"/>
  <c r="P848" i="7"/>
  <c r="Q849" i="7"/>
  <c r="P849" i="7"/>
  <c r="Q850" i="7"/>
  <c r="P850" i="7"/>
  <c r="Q851" i="7"/>
  <c r="P851" i="7"/>
  <c r="Q852" i="7"/>
  <c r="P852" i="7"/>
  <c r="Q853" i="7"/>
  <c r="P853" i="7"/>
  <c r="Q854" i="7"/>
  <c r="P854" i="7"/>
  <c r="Q855" i="7"/>
  <c r="P855" i="7"/>
  <c r="Q61" i="7"/>
  <c r="P61" i="7"/>
  <c r="Q62" i="7"/>
  <c r="P62" i="7"/>
  <c r="Q856" i="7"/>
  <c r="P856" i="7"/>
  <c r="Q857" i="7"/>
  <c r="P857" i="7"/>
  <c r="Q859" i="7"/>
  <c r="P859" i="7"/>
  <c r="Q860" i="7"/>
  <c r="P860" i="7"/>
  <c r="Q861" i="7"/>
  <c r="P861" i="7"/>
  <c r="Q862" i="7"/>
  <c r="P862" i="7"/>
  <c r="Q863" i="7"/>
  <c r="P863" i="7"/>
  <c r="Q864" i="7"/>
  <c r="P864" i="7"/>
  <c r="Q865" i="7"/>
  <c r="P865" i="7"/>
  <c r="Q866" i="7"/>
  <c r="P866" i="7"/>
  <c r="Q867" i="7"/>
  <c r="P867" i="7"/>
  <c r="Q868" i="7"/>
  <c r="P868" i="7"/>
  <c r="Q870" i="7"/>
  <c r="P870" i="7"/>
  <c r="Q871" i="7"/>
  <c r="P871" i="7"/>
  <c r="Q872" i="7"/>
  <c r="P872" i="7"/>
  <c r="Q873" i="7"/>
  <c r="P873" i="7"/>
  <c r="Q874" i="7"/>
  <c r="P874" i="7"/>
  <c r="Q875" i="7"/>
  <c r="P875" i="7"/>
  <c r="Q876" i="7"/>
  <c r="P876" i="7"/>
  <c r="Q877" i="7"/>
  <c r="P877" i="7"/>
  <c r="Q878" i="7"/>
  <c r="P878" i="7"/>
  <c r="Q879" i="7"/>
  <c r="P879" i="7"/>
  <c r="Q881" i="7"/>
  <c r="P881" i="7"/>
  <c r="Q882" i="7"/>
  <c r="P882" i="7"/>
  <c r="Q883" i="7"/>
  <c r="P883" i="7"/>
  <c r="Q884" i="7"/>
  <c r="P884" i="7"/>
  <c r="Q885" i="7"/>
  <c r="P885" i="7"/>
  <c r="Q886" i="7"/>
  <c r="P886" i="7"/>
  <c r="Q887" i="7"/>
  <c r="P887" i="7"/>
  <c r="Q888" i="7"/>
  <c r="P888" i="7"/>
  <c r="Q889" i="7"/>
  <c r="P889" i="7"/>
  <c r="Q890" i="7"/>
  <c r="P890" i="7"/>
  <c r="Q892" i="7"/>
  <c r="P892" i="7"/>
  <c r="Q893" i="7"/>
  <c r="P893" i="7"/>
  <c r="Q894" i="7"/>
  <c r="P894" i="7"/>
  <c r="Q895" i="7"/>
  <c r="P895" i="7"/>
  <c r="Q896" i="7"/>
  <c r="P896" i="7"/>
  <c r="Q63" i="7"/>
  <c r="P63" i="7"/>
  <c r="Q64" i="7"/>
  <c r="P64" i="7"/>
  <c r="Q65" i="7"/>
  <c r="P65" i="7"/>
  <c r="Q66" i="7"/>
  <c r="P66" i="7"/>
  <c r="Q67" i="7"/>
  <c r="P67" i="7"/>
  <c r="Q68" i="7"/>
  <c r="P68" i="7"/>
  <c r="Q69" i="7"/>
  <c r="P69" i="7"/>
  <c r="Q70" i="7"/>
  <c r="P70" i="7"/>
  <c r="Q71" i="7"/>
  <c r="P71" i="7"/>
  <c r="Q72" i="7"/>
  <c r="P72" i="7"/>
  <c r="Q73" i="7"/>
  <c r="P73" i="7"/>
  <c r="Q74" i="7"/>
  <c r="P74" i="7"/>
  <c r="Q75" i="7"/>
  <c r="P75" i="7"/>
  <c r="Q76" i="7"/>
  <c r="P76" i="7"/>
  <c r="Q77" i="7"/>
  <c r="P77" i="7"/>
  <c r="Q78" i="7"/>
  <c r="P78" i="7"/>
  <c r="Q79" i="7"/>
  <c r="P79" i="7"/>
  <c r="Q80" i="7"/>
  <c r="P80" i="7"/>
  <c r="Q81" i="7"/>
  <c r="P81" i="7"/>
  <c r="Q82" i="7"/>
  <c r="P82" i="7"/>
  <c r="Q83" i="7"/>
  <c r="P83" i="7"/>
  <c r="Q84" i="7"/>
  <c r="P84" i="7"/>
  <c r="Q85" i="7"/>
  <c r="P85" i="7"/>
  <c r="Q86" i="7"/>
  <c r="P86" i="7"/>
  <c r="Q87" i="7"/>
  <c r="P87" i="7"/>
  <c r="Q88" i="7"/>
  <c r="P88" i="7"/>
  <c r="Q89" i="7"/>
  <c r="P89" i="7"/>
  <c r="Q90" i="7"/>
  <c r="P90" i="7"/>
  <c r="Q91" i="7"/>
  <c r="P91" i="7"/>
  <c r="Q92" i="7"/>
  <c r="P92" i="7"/>
  <c r="Q93" i="7"/>
  <c r="P93" i="7"/>
  <c r="Q94" i="7"/>
  <c r="P94" i="7"/>
  <c r="Q95" i="7"/>
  <c r="P95" i="7"/>
  <c r="Q96" i="7"/>
  <c r="P96" i="7"/>
  <c r="Q97" i="7"/>
  <c r="P97" i="7"/>
  <c r="Q98" i="7"/>
  <c r="P98" i="7"/>
  <c r="Q99" i="7"/>
  <c r="P99" i="7"/>
  <c r="Q100" i="7"/>
  <c r="P100" i="7"/>
  <c r="Q101" i="7"/>
  <c r="P101" i="7"/>
  <c r="Q102" i="7"/>
  <c r="P102" i="7"/>
  <c r="Q103" i="7"/>
  <c r="P103" i="7"/>
  <c r="Q104" i="7"/>
  <c r="P104" i="7"/>
  <c r="Q105" i="7"/>
  <c r="P105" i="7"/>
  <c r="Q106" i="7"/>
  <c r="P106" i="7"/>
  <c r="Q107" i="7"/>
  <c r="P107" i="7"/>
  <c r="Q108" i="7"/>
  <c r="P108" i="7"/>
  <c r="Q109" i="7"/>
  <c r="P109" i="7"/>
  <c r="Q110" i="7"/>
  <c r="P110" i="7"/>
  <c r="Q111" i="7"/>
  <c r="P111" i="7"/>
  <c r="Q112" i="7"/>
  <c r="P112" i="7"/>
  <c r="Q113" i="7"/>
  <c r="P113" i="7"/>
  <c r="Q114" i="7"/>
  <c r="P114" i="7"/>
  <c r="Q115" i="7"/>
  <c r="P115" i="7"/>
  <c r="Q116" i="7"/>
  <c r="P116" i="7"/>
  <c r="Q117" i="7"/>
  <c r="P117" i="7"/>
  <c r="Q118" i="7"/>
  <c r="P118" i="7"/>
  <c r="Q119" i="7"/>
  <c r="P119" i="7"/>
  <c r="Q120" i="7"/>
  <c r="P120" i="7"/>
  <c r="Q121" i="7"/>
  <c r="P121" i="7"/>
  <c r="Q122" i="7"/>
  <c r="P122" i="7"/>
  <c r="Q123" i="7"/>
  <c r="P123" i="7"/>
  <c r="Q124" i="7"/>
  <c r="P124" i="7"/>
  <c r="Q125" i="7"/>
  <c r="P125" i="7"/>
  <c r="Q126" i="7"/>
  <c r="P126" i="7"/>
  <c r="Q127" i="7"/>
  <c r="P127" i="7"/>
  <c r="Q128" i="7"/>
  <c r="P128" i="7"/>
  <c r="Q129" i="7"/>
  <c r="P129" i="7"/>
  <c r="Q130" i="7"/>
  <c r="P130" i="7"/>
  <c r="Q131" i="7"/>
  <c r="P131" i="7"/>
  <c r="Q132" i="7"/>
  <c r="P132" i="7"/>
  <c r="Q133" i="7"/>
  <c r="P133" i="7"/>
  <c r="Q134" i="7"/>
  <c r="P134" i="7"/>
  <c r="Q135" i="7"/>
  <c r="P135" i="7"/>
  <c r="Q136" i="7"/>
  <c r="P136" i="7"/>
  <c r="Q137" i="7"/>
  <c r="P137" i="7"/>
  <c r="Q138" i="7"/>
  <c r="P138" i="7"/>
  <c r="Q139" i="7"/>
  <c r="P139" i="7"/>
  <c r="Q140" i="7"/>
  <c r="P140" i="7"/>
  <c r="Q141" i="7"/>
  <c r="P141" i="7"/>
  <c r="Q142" i="7"/>
  <c r="P142" i="7"/>
  <c r="Q143" i="7"/>
  <c r="P143" i="7"/>
  <c r="Q144" i="7"/>
  <c r="P144" i="7"/>
  <c r="Q145" i="7"/>
  <c r="P145" i="7"/>
  <c r="Q146" i="7"/>
  <c r="P146" i="7"/>
  <c r="Q147" i="7"/>
  <c r="P147" i="7"/>
  <c r="Q148" i="7"/>
  <c r="P148" i="7"/>
  <c r="Q149" i="7"/>
  <c r="P149" i="7"/>
  <c r="Q150" i="7"/>
  <c r="P150" i="7"/>
  <c r="Q151" i="7"/>
  <c r="P151" i="7"/>
  <c r="Q152" i="7"/>
  <c r="P152" i="7"/>
  <c r="Q153" i="7"/>
  <c r="P153" i="7"/>
  <c r="Q154" i="7"/>
  <c r="P154" i="7"/>
  <c r="Q155" i="7"/>
  <c r="P155" i="7"/>
  <c r="Q156" i="7"/>
  <c r="P156" i="7"/>
  <c r="Q157" i="7"/>
  <c r="P157" i="7"/>
  <c r="Q158" i="7"/>
  <c r="P158" i="7"/>
  <c r="Q159" i="7"/>
  <c r="P159" i="7"/>
  <c r="Q160" i="7"/>
  <c r="P160" i="7"/>
  <c r="Q161" i="7"/>
  <c r="P161" i="7"/>
  <c r="Q162" i="7"/>
  <c r="P162" i="7"/>
  <c r="Q163" i="7"/>
  <c r="P163" i="7"/>
  <c r="Q164" i="7"/>
  <c r="P164" i="7"/>
  <c r="Q165" i="7"/>
  <c r="P165" i="7"/>
  <c r="Q166" i="7"/>
  <c r="P166" i="7"/>
  <c r="Q167" i="7"/>
  <c r="P167" i="7"/>
  <c r="Q168" i="7"/>
  <c r="P168" i="7"/>
  <c r="Q169" i="7"/>
  <c r="P169" i="7"/>
  <c r="Q170" i="7"/>
  <c r="P170" i="7"/>
  <c r="Q171" i="7"/>
  <c r="P171" i="7"/>
  <c r="Q172" i="7"/>
  <c r="P172" i="7"/>
  <c r="Q173" i="7"/>
  <c r="P173" i="7"/>
  <c r="Q174" i="7"/>
  <c r="P174" i="7"/>
  <c r="Q175" i="7"/>
  <c r="P175" i="7"/>
  <c r="Q176" i="7"/>
  <c r="P176" i="7"/>
  <c r="Q177" i="7"/>
  <c r="P177" i="7"/>
  <c r="Q178" i="7"/>
  <c r="P178" i="7"/>
  <c r="Q179" i="7"/>
  <c r="P179" i="7"/>
  <c r="Q180" i="7"/>
  <c r="P180" i="7"/>
  <c r="Q181" i="7"/>
  <c r="P181" i="7"/>
  <c r="Q182" i="7"/>
  <c r="P182" i="7"/>
  <c r="Q183" i="7"/>
  <c r="P183" i="7"/>
  <c r="Q184" i="7"/>
  <c r="P184" i="7"/>
  <c r="Q185" i="7"/>
  <c r="P185" i="7"/>
  <c r="Q186" i="7"/>
  <c r="P186" i="7"/>
  <c r="Q187" i="7"/>
  <c r="P187" i="7"/>
  <c r="Q188" i="7"/>
  <c r="P188" i="7"/>
  <c r="Q189" i="7"/>
  <c r="P189" i="7"/>
  <c r="Q190" i="7"/>
  <c r="P190" i="7"/>
  <c r="Q191" i="7"/>
  <c r="P191" i="7"/>
  <c r="Q192" i="7"/>
  <c r="P192" i="7"/>
  <c r="Q193" i="7"/>
  <c r="P193" i="7"/>
  <c r="Q194" i="7"/>
  <c r="P194" i="7"/>
  <c r="Q195" i="7"/>
  <c r="P195" i="7"/>
  <c r="Q196" i="7"/>
  <c r="P196" i="7"/>
  <c r="Q197" i="7"/>
  <c r="P197" i="7"/>
  <c r="Q198" i="7"/>
  <c r="P198" i="7"/>
  <c r="Q199" i="7"/>
  <c r="P199" i="7"/>
  <c r="Q200" i="7"/>
  <c r="P200" i="7"/>
  <c r="Q201" i="7"/>
  <c r="P201" i="7"/>
  <c r="Q202" i="7"/>
  <c r="P202" i="7"/>
  <c r="Q203" i="7"/>
  <c r="P203" i="7"/>
  <c r="Q204" i="7"/>
  <c r="P204" i="7"/>
  <c r="Q205" i="7"/>
  <c r="P205" i="7"/>
  <c r="Q206" i="7"/>
  <c r="P206" i="7"/>
  <c r="Q207" i="7"/>
  <c r="P207" i="7"/>
  <c r="Q208" i="7"/>
  <c r="P208" i="7"/>
  <c r="Q209" i="7"/>
  <c r="P209" i="7"/>
  <c r="Q210" i="7"/>
  <c r="P210" i="7"/>
  <c r="Q211" i="7"/>
  <c r="P211" i="7"/>
  <c r="Q212" i="7"/>
  <c r="P212" i="7"/>
  <c r="Q213" i="7"/>
  <c r="P213" i="7"/>
  <c r="Q214" i="7"/>
  <c r="P214" i="7"/>
  <c r="Q215" i="7"/>
  <c r="P215" i="7"/>
  <c r="Q216" i="7"/>
  <c r="P216" i="7"/>
  <c r="Q217" i="7"/>
  <c r="P217" i="7"/>
  <c r="Q218" i="7"/>
  <c r="P218" i="7"/>
  <c r="Q219" i="7"/>
  <c r="P219" i="7"/>
  <c r="Q220" i="7"/>
  <c r="P220" i="7"/>
  <c r="Q221" i="7"/>
  <c r="P221" i="7"/>
  <c r="Q222" i="7"/>
  <c r="P222" i="7"/>
  <c r="Q223" i="7"/>
  <c r="P223" i="7"/>
  <c r="Q224" i="7"/>
  <c r="P224" i="7"/>
  <c r="Q225" i="7"/>
  <c r="P225" i="7"/>
  <c r="Q226" i="7"/>
  <c r="P226" i="7"/>
  <c r="Q227" i="7"/>
  <c r="P227" i="7"/>
  <c r="Q228" i="7"/>
  <c r="P228" i="7"/>
  <c r="Q229" i="7"/>
  <c r="P229" i="7"/>
  <c r="Q230" i="7"/>
  <c r="P230" i="7"/>
  <c r="Q231" i="7"/>
  <c r="P231" i="7"/>
  <c r="Q232" i="7"/>
  <c r="P232" i="7"/>
  <c r="Q233" i="7"/>
  <c r="P233" i="7"/>
  <c r="Q234" i="7"/>
  <c r="P234" i="7"/>
  <c r="Q235" i="7"/>
  <c r="P235" i="7"/>
  <c r="Q236" i="7"/>
  <c r="P236" i="7"/>
  <c r="Q237" i="7"/>
  <c r="P237" i="7"/>
  <c r="Q238" i="7"/>
  <c r="P238" i="7"/>
  <c r="Q239" i="7"/>
  <c r="P239" i="7"/>
  <c r="Q240" i="7"/>
  <c r="P240" i="7"/>
  <c r="Q241" i="7"/>
  <c r="P241" i="7"/>
  <c r="Q242" i="7"/>
  <c r="P242" i="7"/>
  <c r="Q243" i="7"/>
  <c r="P243" i="7"/>
  <c r="Q244" i="7"/>
  <c r="P244" i="7"/>
  <c r="Q245" i="7"/>
  <c r="P245" i="7"/>
  <c r="Q246" i="7"/>
  <c r="P246" i="7"/>
  <c r="Q247" i="7"/>
  <c r="P247" i="7"/>
  <c r="Q248" i="7"/>
  <c r="P248" i="7"/>
  <c r="Q249" i="7"/>
  <c r="P249" i="7"/>
  <c r="Q250" i="7"/>
  <c r="P250" i="7"/>
  <c r="Q251" i="7"/>
  <c r="P251" i="7"/>
  <c r="Q252" i="7"/>
  <c r="P252" i="7"/>
  <c r="Q253" i="7"/>
  <c r="P253" i="7"/>
  <c r="Q254" i="7"/>
  <c r="P254" i="7"/>
  <c r="Q255" i="7"/>
  <c r="P255" i="7"/>
  <c r="Q256" i="7"/>
  <c r="P256" i="7"/>
  <c r="Q257" i="7"/>
  <c r="P257" i="7"/>
  <c r="Q258" i="7"/>
  <c r="P258" i="7"/>
  <c r="Q259" i="7"/>
  <c r="P259" i="7"/>
  <c r="Q260" i="7"/>
  <c r="P260" i="7"/>
  <c r="Q261" i="7"/>
  <c r="P261" i="7"/>
  <c r="Q262" i="7"/>
  <c r="P262" i="7"/>
  <c r="Q263" i="7"/>
  <c r="P263" i="7"/>
  <c r="Q264" i="7"/>
  <c r="P264" i="7"/>
  <c r="Q265" i="7"/>
  <c r="P265" i="7"/>
  <c r="Q266" i="7"/>
  <c r="P266" i="7"/>
  <c r="Q267" i="7"/>
  <c r="P267" i="7"/>
  <c r="Q268" i="7"/>
  <c r="P268" i="7"/>
  <c r="Q269" i="7"/>
  <c r="P269" i="7"/>
  <c r="Q270" i="7"/>
  <c r="P270" i="7"/>
  <c r="Q271" i="7"/>
  <c r="P271" i="7"/>
  <c r="Q272" i="7"/>
  <c r="P272" i="7"/>
  <c r="Q273" i="7"/>
  <c r="P273" i="7"/>
  <c r="Q274" i="7"/>
  <c r="P274" i="7"/>
  <c r="Q275" i="7"/>
  <c r="P275" i="7"/>
  <c r="Q276" i="7"/>
  <c r="P276" i="7"/>
  <c r="Q277" i="7"/>
  <c r="P277" i="7"/>
  <c r="Q278" i="7"/>
  <c r="P278" i="7"/>
  <c r="Q279" i="7"/>
  <c r="P279" i="7"/>
  <c r="Q280" i="7"/>
  <c r="P280" i="7"/>
  <c r="Q281" i="7"/>
  <c r="P281" i="7"/>
  <c r="Q282" i="7"/>
  <c r="P282" i="7"/>
  <c r="Q283" i="7"/>
  <c r="P283" i="7"/>
  <c r="Q284" i="7"/>
  <c r="P284" i="7"/>
  <c r="Q285" i="7"/>
  <c r="P285" i="7"/>
  <c r="Q286" i="7"/>
  <c r="P286" i="7"/>
  <c r="Q287" i="7"/>
  <c r="P287" i="7"/>
  <c r="Q288" i="7"/>
  <c r="P288" i="7"/>
  <c r="Q289" i="7"/>
  <c r="P289" i="7"/>
  <c r="Q290" i="7"/>
  <c r="P290" i="7"/>
  <c r="Q291" i="7"/>
  <c r="P291" i="7"/>
  <c r="Q292" i="7"/>
  <c r="P292" i="7"/>
  <c r="Q293" i="7"/>
  <c r="P293" i="7"/>
  <c r="Q294" i="7"/>
  <c r="P294" i="7"/>
  <c r="Q295" i="7"/>
  <c r="P295" i="7"/>
  <c r="Q296" i="7"/>
  <c r="P296" i="7"/>
  <c r="Q297" i="7"/>
  <c r="P297" i="7"/>
  <c r="Q298" i="7"/>
  <c r="P298" i="7"/>
  <c r="Q299" i="7"/>
  <c r="P299" i="7"/>
  <c r="Q300" i="7"/>
  <c r="P300" i="7"/>
  <c r="Q301" i="7"/>
  <c r="P301" i="7"/>
  <c r="Q302" i="7"/>
  <c r="P302" i="7"/>
  <c r="Q303" i="7"/>
  <c r="P303" i="7"/>
  <c r="Q304" i="7"/>
  <c r="P304" i="7"/>
  <c r="Q305" i="7"/>
  <c r="P305" i="7"/>
  <c r="Q306" i="7"/>
  <c r="P306" i="7"/>
  <c r="Q307" i="7"/>
  <c r="P307" i="7"/>
  <c r="Q308" i="7"/>
  <c r="P308" i="7"/>
  <c r="Q309" i="7"/>
  <c r="P309" i="7"/>
  <c r="G15" i="6" l="1"/>
  <c r="E15" i="6"/>
  <c r="C15" i="6"/>
  <c r="F15" i="6"/>
  <c r="D15" i="6"/>
  <c r="B15" i="6"/>
  <c r="O9" i="6"/>
  <c r="M9" i="6"/>
  <c r="K9" i="6"/>
  <c r="J9" i="6"/>
  <c r="F9" i="6"/>
  <c r="D9" i="6"/>
  <c r="B9" i="6"/>
  <c r="O3" i="6"/>
  <c r="M3" i="6"/>
  <c r="K3" i="6"/>
  <c r="G3" i="6"/>
  <c r="E3" i="6"/>
  <c r="C3" i="6"/>
  <c r="N9" i="6"/>
  <c r="L9" i="6"/>
  <c r="G9" i="6"/>
  <c r="E9" i="6"/>
  <c r="C9" i="6"/>
  <c r="N3" i="6"/>
  <c r="L3" i="6"/>
  <c r="J3" i="6"/>
  <c r="F3" i="6"/>
  <c r="D3" i="6"/>
  <c r="B3" i="6"/>
  <c r="J998" i="1"/>
  <c r="I998" i="1"/>
  <c r="H998" i="1"/>
  <c r="J997" i="1"/>
  <c r="I997" i="1"/>
  <c r="H997" i="1"/>
  <c r="J996" i="1"/>
  <c r="I996" i="1"/>
  <c r="H996" i="1"/>
  <c r="J995" i="1"/>
  <c r="I995" i="1"/>
  <c r="H995" i="1"/>
  <c r="J994" i="1"/>
  <c r="I994" i="1"/>
  <c r="H994" i="1"/>
  <c r="J993" i="1"/>
  <c r="I993" i="1"/>
  <c r="H993" i="1"/>
  <c r="J992" i="1"/>
  <c r="I992" i="1"/>
  <c r="H992" i="1"/>
  <c r="J991" i="1"/>
  <c r="I991" i="1"/>
  <c r="H991" i="1"/>
  <c r="J990" i="1"/>
  <c r="I990" i="1"/>
  <c r="H990" i="1"/>
  <c r="J989" i="1"/>
  <c r="I989" i="1"/>
  <c r="H989" i="1"/>
  <c r="J988" i="1"/>
  <c r="I988" i="1"/>
  <c r="H988" i="1"/>
  <c r="J987" i="1"/>
  <c r="I987" i="1"/>
  <c r="H987" i="1"/>
  <c r="J986" i="1"/>
  <c r="I986" i="1"/>
  <c r="H986" i="1"/>
  <c r="J985" i="1"/>
  <c r="I985" i="1"/>
  <c r="H985" i="1"/>
  <c r="J984" i="1"/>
  <c r="I984" i="1"/>
  <c r="H984" i="1"/>
  <c r="J983" i="1"/>
  <c r="I983" i="1"/>
  <c r="H983" i="1"/>
  <c r="J982" i="1"/>
  <c r="I982" i="1"/>
  <c r="H982" i="1"/>
  <c r="J981" i="1"/>
  <c r="I981" i="1"/>
  <c r="H981" i="1"/>
  <c r="J980" i="1"/>
  <c r="I980" i="1"/>
  <c r="H980" i="1"/>
  <c r="J979" i="1"/>
  <c r="I979" i="1"/>
  <c r="H979" i="1"/>
  <c r="J978" i="1"/>
  <c r="I978" i="1"/>
  <c r="H978" i="1"/>
  <c r="J977" i="1"/>
  <c r="I977" i="1"/>
  <c r="H977" i="1"/>
  <c r="J976" i="1"/>
  <c r="I976" i="1"/>
  <c r="H976" i="1"/>
  <c r="J975" i="1"/>
  <c r="I975" i="1"/>
  <c r="H975" i="1"/>
  <c r="J974" i="1"/>
  <c r="I974" i="1"/>
  <c r="H974" i="1"/>
  <c r="J973" i="1"/>
  <c r="I973" i="1"/>
  <c r="H973" i="1"/>
  <c r="J972" i="1"/>
  <c r="I972" i="1"/>
  <c r="H972" i="1"/>
  <c r="J971" i="1"/>
  <c r="I971" i="1"/>
  <c r="H971" i="1"/>
  <c r="J970" i="1"/>
  <c r="I970" i="1"/>
  <c r="H970" i="1"/>
  <c r="J969" i="1"/>
  <c r="I969" i="1"/>
  <c r="H969" i="1"/>
  <c r="J968" i="1"/>
  <c r="I968" i="1"/>
  <c r="H968" i="1"/>
  <c r="J967" i="1"/>
  <c r="I967" i="1"/>
  <c r="H967" i="1"/>
  <c r="J966" i="1"/>
  <c r="I966" i="1"/>
  <c r="H966" i="1"/>
  <c r="J965" i="1"/>
  <c r="I965" i="1"/>
  <c r="H965" i="1"/>
  <c r="J964" i="1"/>
  <c r="I964" i="1"/>
  <c r="H964" i="1"/>
  <c r="J963" i="1"/>
  <c r="I963" i="1"/>
  <c r="H963" i="1"/>
  <c r="J962" i="1"/>
  <c r="I962" i="1"/>
  <c r="H962" i="1"/>
  <c r="J961" i="1"/>
  <c r="I961" i="1"/>
  <c r="H961" i="1"/>
  <c r="J960" i="1"/>
  <c r="I960" i="1"/>
  <c r="H960" i="1"/>
  <c r="J959" i="1"/>
  <c r="I959" i="1"/>
  <c r="H959" i="1"/>
  <c r="J958" i="1"/>
  <c r="I958" i="1"/>
  <c r="H958" i="1"/>
  <c r="J957" i="1"/>
  <c r="I957" i="1"/>
  <c r="H957" i="1"/>
  <c r="J956" i="1"/>
  <c r="I956" i="1"/>
  <c r="H956" i="1"/>
  <c r="J955" i="1"/>
  <c r="I955" i="1"/>
  <c r="H955" i="1"/>
  <c r="J954" i="1"/>
  <c r="I954" i="1"/>
  <c r="H954" i="1"/>
  <c r="J953" i="1"/>
  <c r="I953" i="1"/>
  <c r="H953" i="1"/>
  <c r="J952" i="1"/>
  <c r="I952" i="1"/>
  <c r="H952" i="1"/>
  <c r="J951" i="1"/>
  <c r="I951" i="1"/>
  <c r="H951" i="1"/>
  <c r="J950" i="1"/>
  <c r="I950" i="1"/>
  <c r="H950" i="1"/>
  <c r="J949" i="1"/>
  <c r="I949" i="1"/>
  <c r="H949" i="1"/>
  <c r="J948" i="1"/>
  <c r="I948" i="1"/>
  <c r="H948" i="1"/>
  <c r="J947" i="1"/>
  <c r="I947" i="1"/>
  <c r="H947" i="1"/>
  <c r="J946" i="1"/>
  <c r="I946" i="1"/>
  <c r="H946" i="1"/>
  <c r="J945" i="1"/>
  <c r="I945" i="1"/>
  <c r="H945" i="1"/>
  <c r="J944" i="1"/>
  <c r="I944" i="1"/>
  <c r="H944" i="1"/>
  <c r="J943" i="1"/>
  <c r="I943" i="1"/>
  <c r="H943" i="1"/>
  <c r="J942" i="1"/>
  <c r="I942" i="1"/>
  <c r="H942" i="1"/>
  <c r="J941" i="1"/>
  <c r="I941" i="1"/>
  <c r="H941" i="1"/>
  <c r="J940" i="1"/>
  <c r="I940" i="1"/>
  <c r="H940" i="1"/>
  <c r="J939" i="1"/>
  <c r="I939" i="1"/>
  <c r="H939" i="1"/>
  <c r="J938" i="1"/>
  <c r="I938" i="1"/>
  <c r="H938" i="1"/>
  <c r="J937" i="1"/>
  <c r="I937" i="1"/>
  <c r="H937" i="1"/>
  <c r="J936" i="1"/>
  <c r="I936" i="1"/>
  <c r="H936" i="1"/>
  <c r="J935" i="1"/>
  <c r="I935" i="1"/>
  <c r="H935" i="1"/>
  <c r="J934" i="1"/>
  <c r="I934" i="1"/>
  <c r="H934" i="1"/>
  <c r="J933" i="1"/>
  <c r="I933" i="1"/>
  <c r="H933" i="1"/>
  <c r="J932" i="1"/>
  <c r="I932" i="1"/>
  <c r="H932" i="1"/>
  <c r="J931" i="1"/>
  <c r="I931" i="1"/>
  <c r="H931" i="1"/>
  <c r="J930" i="1"/>
  <c r="I930" i="1"/>
  <c r="H930" i="1"/>
  <c r="J929" i="1"/>
  <c r="I929" i="1"/>
  <c r="H929" i="1"/>
  <c r="J928" i="1"/>
  <c r="I928" i="1"/>
  <c r="H928" i="1"/>
  <c r="J927" i="1"/>
  <c r="I927" i="1"/>
  <c r="H927" i="1"/>
  <c r="J926" i="1"/>
  <c r="I926" i="1"/>
  <c r="H926" i="1"/>
  <c r="J925" i="1"/>
  <c r="I925" i="1"/>
  <c r="H925" i="1"/>
  <c r="J924" i="1"/>
  <c r="I924" i="1"/>
  <c r="H924" i="1"/>
  <c r="J923" i="1"/>
  <c r="I923" i="1"/>
  <c r="H923" i="1"/>
  <c r="J922" i="1"/>
  <c r="I922" i="1"/>
  <c r="H922" i="1"/>
  <c r="J921" i="1"/>
  <c r="I921" i="1"/>
  <c r="H921" i="1"/>
  <c r="J920" i="1"/>
  <c r="I920" i="1"/>
  <c r="H920" i="1"/>
  <c r="J919" i="1"/>
  <c r="I919" i="1"/>
  <c r="H919" i="1"/>
  <c r="J918" i="1"/>
  <c r="I918" i="1"/>
  <c r="H918" i="1"/>
  <c r="J917" i="1"/>
  <c r="I917" i="1"/>
  <c r="H917" i="1"/>
  <c r="J916" i="1"/>
  <c r="I916" i="1"/>
  <c r="H916" i="1"/>
  <c r="J915" i="1"/>
  <c r="I915" i="1"/>
  <c r="H915" i="1"/>
  <c r="J914" i="1"/>
  <c r="I914" i="1"/>
  <c r="H914" i="1"/>
  <c r="J913" i="1"/>
  <c r="I913" i="1"/>
  <c r="H913" i="1"/>
  <c r="J912" i="1"/>
  <c r="I912" i="1"/>
  <c r="H912" i="1"/>
  <c r="J911" i="1"/>
  <c r="I911" i="1"/>
  <c r="H911" i="1"/>
  <c r="J910" i="1"/>
  <c r="I910" i="1"/>
  <c r="H910" i="1"/>
  <c r="J909" i="1"/>
  <c r="I909" i="1"/>
  <c r="H909" i="1"/>
  <c r="J908" i="1"/>
  <c r="I908" i="1"/>
  <c r="H908" i="1"/>
  <c r="J907" i="1"/>
  <c r="I907" i="1"/>
  <c r="H907" i="1"/>
  <c r="J906" i="1"/>
  <c r="I906" i="1"/>
  <c r="H906" i="1"/>
  <c r="J905" i="1"/>
  <c r="I905" i="1"/>
  <c r="H905" i="1"/>
  <c r="J904" i="1"/>
  <c r="I904" i="1"/>
  <c r="H904" i="1"/>
  <c r="J903" i="1"/>
  <c r="I903" i="1"/>
  <c r="H903" i="1"/>
  <c r="J902" i="1"/>
  <c r="I902" i="1"/>
  <c r="H902" i="1"/>
  <c r="J901" i="1"/>
  <c r="I901" i="1"/>
  <c r="H901" i="1"/>
  <c r="J900" i="1"/>
  <c r="I900" i="1"/>
  <c r="H900" i="1"/>
  <c r="J899" i="1"/>
  <c r="I899" i="1"/>
  <c r="H899" i="1"/>
  <c r="J898" i="1"/>
  <c r="I898" i="1"/>
  <c r="H898" i="1"/>
  <c r="J897" i="1"/>
  <c r="I897" i="1"/>
  <c r="H897" i="1"/>
  <c r="J896" i="1"/>
  <c r="I896" i="1"/>
  <c r="H896" i="1"/>
  <c r="J895" i="1"/>
  <c r="I895" i="1"/>
  <c r="H895" i="1"/>
  <c r="J894" i="1"/>
  <c r="I894" i="1"/>
  <c r="H894" i="1"/>
  <c r="J893" i="1"/>
  <c r="I893" i="1"/>
  <c r="H893" i="1"/>
  <c r="J892" i="1"/>
  <c r="I892" i="1"/>
  <c r="H892" i="1"/>
  <c r="J891" i="1"/>
  <c r="I891" i="1"/>
  <c r="H891" i="1"/>
  <c r="J890" i="1"/>
  <c r="I890" i="1"/>
  <c r="H890" i="1"/>
  <c r="J889" i="1"/>
  <c r="I889" i="1"/>
  <c r="H889" i="1"/>
  <c r="J888" i="1"/>
  <c r="I888" i="1"/>
  <c r="H888" i="1"/>
  <c r="J887" i="1"/>
  <c r="I887" i="1"/>
  <c r="H887" i="1"/>
  <c r="J886" i="1"/>
  <c r="I886" i="1"/>
  <c r="H886" i="1"/>
  <c r="J885" i="1"/>
  <c r="I885" i="1"/>
  <c r="H885" i="1"/>
  <c r="J884" i="1"/>
  <c r="I884" i="1"/>
  <c r="H884" i="1"/>
  <c r="J883" i="1"/>
  <c r="I883" i="1"/>
  <c r="H883" i="1"/>
  <c r="J882" i="1"/>
  <c r="I882" i="1"/>
  <c r="H882" i="1"/>
  <c r="J881" i="1"/>
  <c r="I881" i="1"/>
  <c r="H881" i="1"/>
  <c r="J880" i="1"/>
  <c r="I880" i="1"/>
  <c r="H880" i="1"/>
  <c r="J879" i="1"/>
  <c r="I879" i="1"/>
  <c r="H879" i="1"/>
  <c r="J878" i="1"/>
  <c r="I878" i="1"/>
  <c r="H878" i="1"/>
  <c r="J877" i="1"/>
  <c r="I877" i="1"/>
  <c r="H877" i="1"/>
  <c r="J876" i="1"/>
  <c r="I876" i="1"/>
  <c r="H876" i="1"/>
  <c r="J875" i="1"/>
  <c r="I875" i="1"/>
  <c r="H875" i="1"/>
  <c r="J874" i="1"/>
  <c r="I874" i="1"/>
  <c r="H874" i="1"/>
  <c r="J873" i="1"/>
  <c r="I873" i="1"/>
  <c r="H873" i="1"/>
  <c r="J872" i="1"/>
  <c r="I872" i="1"/>
  <c r="H872" i="1"/>
  <c r="J871" i="1"/>
  <c r="I871" i="1"/>
  <c r="H871" i="1"/>
  <c r="J870" i="1"/>
  <c r="I870" i="1"/>
  <c r="H870" i="1"/>
  <c r="J869" i="1"/>
  <c r="I869" i="1"/>
  <c r="H869" i="1"/>
  <c r="J868" i="1"/>
  <c r="I868" i="1"/>
  <c r="H868" i="1"/>
  <c r="J867" i="1"/>
  <c r="I867" i="1"/>
  <c r="H867" i="1"/>
  <c r="J866" i="1"/>
  <c r="I866" i="1"/>
  <c r="H866" i="1"/>
  <c r="J865" i="1"/>
  <c r="I865" i="1"/>
  <c r="H865" i="1"/>
  <c r="J864" i="1"/>
  <c r="I864" i="1"/>
  <c r="H864" i="1"/>
  <c r="J863" i="1"/>
  <c r="I863" i="1"/>
  <c r="H863" i="1"/>
  <c r="J862" i="1"/>
  <c r="I862" i="1"/>
  <c r="H862" i="1"/>
  <c r="J861" i="1"/>
  <c r="I861" i="1"/>
  <c r="H861" i="1"/>
  <c r="J860" i="1"/>
  <c r="I860" i="1"/>
  <c r="H860" i="1"/>
  <c r="J859" i="1"/>
  <c r="I859" i="1"/>
  <c r="H859" i="1"/>
  <c r="J858" i="1"/>
  <c r="I858" i="1"/>
  <c r="H858" i="1"/>
  <c r="J857" i="1"/>
  <c r="I857" i="1"/>
  <c r="H857" i="1"/>
  <c r="J856" i="1"/>
  <c r="I856" i="1"/>
  <c r="H856" i="1"/>
  <c r="J855" i="1"/>
  <c r="I855" i="1"/>
  <c r="H855" i="1"/>
  <c r="J854" i="1"/>
  <c r="I854" i="1"/>
  <c r="H854" i="1"/>
  <c r="J853" i="1"/>
  <c r="I853" i="1"/>
  <c r="H853" i="1"/>
  <c r="J852" i="1"/>
  <c r="I852" i="1"/>
  <c r="H852" i="1"/>
  <c r="J851" i="1"/>
  <c r="I851" i="1"/>
  <c r="H851" i="1"/>
  <c r="J850" i="1"/>
  <c r="I850" i="1"/>
  <c r="H850" i="1"/>
  <c r="J849" i="1"/>
  <c r="I849" i="1"/>
  <c r="H849" i="1"/>
  <c r="J848" i="1"/>
  <c r="I848" i="1"/>
  <c r="H848" i="1"/>
  <c r="J847" i="1"/>
  <c r="I847" i="1"/>
  <c r="H847" i="1"/>
  <c r="J846" i="1"/>
  <c r="I846" i="1"/>
  <c r="H846" i="1"/>
  <c r="J845" i="1"/>
  <c r="I845" i="1"/>
  <c r="H845" i="1"/>
  <c r="J844" i="1"/>
  <c r="I844" i="1"/>
  <c r="H844" i="1"/>
  <c r="J843" i="1"/>
  <c r="I843" i="1"/>
  <c r="H843" i="1"/>
  <c r="J842" i="1"/>
  <c r="I842" i="1"/>
  <c r="H842" i="1"/>
  <c r="J841" i="1"/>
  <c r="I841" i="1"/>
  <c r="H841" i="1"/>
  <c r="J840" i="1"/>
  <c r="I840" i="1"/>
  <c r="H840" i="1"/>
  <c r="J839" i="1"/>
  <c r="I839" i="1"/>
  <c r="H839" i="1"/>
  <c r="J838" i="1"/>
  <c r="I838" i="1"/>
  <c r="H838" i="1"/>
  <c r="J837" i="1"/>
  <c r="I837" i="1"/>
  <c r="H837" i="1"/>
  <c r="J836" i="1"/>
  <c r="I836" i="1"/>
  <c r="H836" i="1"/>
  <c r="J835" i="1"/>
  <c r="I835" i="1"/>
  <c r="H835" i="1"/>
  <c r="J834" i="1"/>
  <c r="I834" i="1"/>
  <c r="H834" i="1"/>
  <c r="J833" i="1"/>
  <c r="I833" i="1"/>
  <c r="H833" i="1"/>
  <c r="J832" i="1"/>
  <c r="I832" i="1"/>
  <c r="H832" i="1"/>
  <c r="J831" i="1"/>
  <c r="I831" i="1"/>
  <c r="H831" i="1"/>
  <c r="J830" i="1"/>
  <c r="I830" i="1"/>
  <c r="H830" i="1"/>
  <c r="J829" i="1"/>
  <c r="I829" i="1"/>
  <c r="H829" i="1"/>
  <c r="J828" i="1"/>
  <c r="I828" i="1"/>
  <c r="H828" i="1"/>
  <c r="J827" i="1"/>
  <c r="I827" i="1"/>
  <c r="H827" i="1"/>
  <c r="J826" i="1"/>
  <c r="I826" i="1"/>
  <c r="H826" i="1"/>
  <c r="J825" i="1"/>
  <c r="I825" i="1"/>
  <c r="H825" i="1"/>
  <c r="J824" i="1"/>
  <c r="I824" i="1"/>
  <c r="H824" i="1"/>
  <c r="J823" i="1"/>
  <c r="I823" i="1"/>
  <c r="H823" i="1"/>
  <c r="J822" i="1"/>
  <c r="I822" i="1"/>
  <c r="H822" i="1"/>
  <c r="J821" i="1"/>
  <c r="I821" i="1"/>
  <c r="H821" i="1"/>
  <c r="J820" i="1"/>
  <c r="I820" i="1"/>
  <c r="H820" i="1"/>
  <c r="J819" i="1"/>
  <c r="I819" i="1"/>
  <c r="H819" i="1"/>
  <c r="J818" i="1"/>
  <c r="I818" i="1"/>
  <c r="H818" i="1"/>
  <c r="J817" i="1"/>
  <c r="I817" i="1"/>
  <c r="H817" i="1"/>
  <c r="J816" i="1"/>
  <c r="I816" i="1"/>
  <c r="H816" i="1"/>
  <c r="J815" i="1"/>
  <c r="I815" i="1"/>
  <c r="H815" i="1"/>
  <c r="J814" i="1"/>
  <c r="I814" i="1"/>
  <c r="H814" i="1"/>
  <c r="J813" i="1"/>
  <c r="I813" i="1"/>
  <c r="H813" i="1"/>
  <c r="J812" i="1"/>
  <c r="I812" i="1"/>
  <c r="H812" i="1"/>
  <c r="J811" i="1"/>
  <c r="I811" i="1"/>
  <c r="H811" i="1"/>
  <c r="J810" i="1"/>
  <c r="I810" i="1"/>
  <c r="H810" i="1"/>
  <c r="J809" i="1"/>
  <c r="I809" i="1"/>
  <c r="H809" i="1"/>
  <c r="J808" i="1"/>
  <c r="I808" i="1"/>
  <c r="H808" i="1"/>
  <c r="J807" i="1"/>
  <c r="I807" i="1"/>
  <c r="H807" i="1"/>
  <c r="J806" i="1"/>
  <c r="I806" i="1"/>
  <c r="H806" i="1"/>
  <c r="J805" i="1"/>
  <c r="I805" i="1"/>
  <c r="H805" i="1"/>
  <c r="J804" i="1"/>
  <c r="I804" i="1"/>
  <c r="H804" i="1"/>
  <c r="J803" i="1"/>
  <c r="I803" i="1"/>
  <c r="H803" i="1"/>
  <c r="J802" i="1"/>
  <c r="I802" i="1"/>
  <c r="H802" i="1"/>
  <c r="J801" i="1"/>
  <c r="I801" i="1"/>
  <c r="H801" i="1"/>
  <c r="J800" i="1"/>
  <c r="I800" i="1"/>
  <c r="H800" i="1"/>
  <c r="J799" i="1"/>
  <c r="I799" i="1"/>
  <c r="H799" i="1"/>
  <c r="J798" i="1"/>
  <c r="I798" i="1"/>
  <c r="H798" i="1"/>
  <c r="J797" i="1"/>
  <c r="I797" i="1"/>
  <c r="H797" i="1"/>
  <c r="J796" i="1"/>
  <c r="I796" i="1"/>
  <c r="H796" i="1"/>
  <c r="J795" i="1"/>
  <c r="I795" i="1"/>
  <c r="H795" i="1"/>
  <c r="J794" i="1"/>
  <c r="I794" i="1"/>
  <c r="H794" i="1"/>
  <c r="J793" i="1"/>
  <c r="I793" i="1"/>
  <c r="H793" i="1"/>
  <c r="J792" i="1"/>
  <c r="I792" i="1"/>
  <c r="H792" i="1"/>
  <c r="J791" i="1"/>
  <c r="I791" i="1"/>
  <c r="H791" i="1"/>
  <c r="J790" i="1"/>
  <c r="I790" i="1"/>
  <c r="H790" i="1"/>
  <c r="J789" i="1"/>
  <c r="I789" i="1"/>
  <c r="H789" i="1"/>
  <c r="J788" i="1"/>
  <c r="I788" i="1"/>
  <c r="H788" i="1"/>
  <c r="J787" i="1"/>
  <c r="I787" i="1"/>
  <c r="H787" i="1"/>
  <c r="J786" i="1"/>
  <c r="I786" i="1"/>
  <c r="H786" i="1"/>
  <c r="J785" i="1"/>
  <c r="I785" i="1"/>
  <c r="H785" i="1"/>
  <c r="J784" i="1"/>
  <c r="I784" i="1"/>
  <c r="H784" i="1"/>
  <c r="J783" i="1"/>
  <c r="I783" i="1"/>
  <c r="H783" i="1"/>
  <c r="J782" i="1"/>
  <c r="I782" i="1"/>
  <c r="H782" i="1"/>
  <c r="J781" i="1"/>
  <c r="I781" i="1"/>
  <c r="H781" i="1"/>
  <c r="J780" i="1"/>
  <c r="I780" i="1"/>
  <c r="H780" i="1"/>
  <c r="J779" i="1"/>
  <c r="I779" i="1"/>
  <c r="H779" i="1"/>
  <c r="J778" i="1"/>
  <c r="I778" i="1"/>
  <c r="H778" i="1"/>
  <c r="J777" i="1"/>
  <c r="I777" i="1"/>
  <c r="H777" i="1"/>
  <c r="J776" i="1"/>
  <c r="I776" i="1"/>
  <c r="H776" i="1"/>
  <c r="J775" i="1"/>
  <c r="I775" i="1"/>
  <c r="H775" i="1"/>
  <c r="J774" i="1"/>
  <c r="I774" i="1"/>
  <c r="H774" i="1"/>
  <c r="J773" i="1"/>
  <c r="I773" i="1"/>
  <c r="H773" i="1"/>
  <c r="J772" i="1"/>
  <c r="I772" i="1"/>
  <c r="H772" i="1"/>
  <c r="J771" i="1"/>
  <c r="I771" i="1"/>
  <c r="H771" i="1"/>
  <c r="J770" i="1"/>
  <c r="I770" i="1"/>
  <c r="H770" i="1"/>
  <c r="J769" i="1"/>
  <c r="I769" i="1"/>
  <c r="H769" i="1"/>
  <c r="J768" i="1"/>
  <c r="I768" i="1"/>
  <c r="H768" i="1"/>
  <c r="J767" i="1"/>
  <c r="I767" i="1"/>
  <c r="H767" i="1"/>
  <c r="J766" i="1"/>
  <c r="I766" i="1"/>
  <c r="H766" i="1"/>
  <c r="J765" i="1"/>
  <c r="I765" i="1"/>
  <c r="H765" i="1"/>
  <c r="J764" i="1"/>
  <c r="I764" i="1"/>
  <c r="H764" i="1"/>
  <c r="J763" i="1"/>
  <c r="I763" i="1"/>
  <c r="H763" i="1"/>
  <c r="J762" i="1"/>
  <c r="I762" i="1"/>
  <c r="H762" i="1"/>
  <c r="J761" i="1"/>
  <c r="I761" i="1"/>
  <c r="H761" i="1"/>
  <c r="J760" i="1"/>
  <c r="I760" i="1"/>
  <c r="H760" i="1"/>
  <c r="J759" i="1"/>
  <c r="I759" i="1"/>
  <c r="H759" i="1"/>
  <c r="J758" i="1"/>
  <c r="I758" i="1"/>
  <c r="H758" i="1"/>
  <c r="J757" i="1"/>
  <c r="I757" i="1"/>
  <c r="H757" i="1"/>
  <c r="J756" i="1"/>
  <c r="I756" i="1"/>
  <c r="H756" i="1"/>
  <c r="J755" i="1"/>
  <c r="I755" i="1"/>
  <c r="H755" i="1"/>
  <c r="J754" i="1"/>
  <c r="I754" i="1"/>
  <c r="H754" i="1"/>
  <c r="J753" i="1"/>
  <c r="I753" i="1"/>
  <c r="H753" i="1"/>
  <c r="J752" i="1"/>
  <c r="I752" i="1"/>
  <c r="H752" i="1"/>
  <c r="J751" i="1"/>
  <c r="I751" i="1"/>
  <c r="H751" i="1"/>
  <c r="J750" i="1"/>
  <c r="I750" i="1"/>
  <c r="H750" i="1"/>
  <c r="J749" i="1"/>
  <c r="I749" i="1"/>
  <c r="H749" i="1"/>
  <c r="J748" i="1"/>
  <c r="I748" i="1"/>
  <c r="H748" i="1"/>
  <c r="J747" i="1"/>
  <c r="I747" i="1"/>
  <c r="H747" i="1"/>
  <c r="J746" i="1"/>
  <c r="I746" i="1"/>
  <c r="H746" i="1"/>
  <c r="J745" i="1"/>
  <c r="I745" i="1"/>
  <c r="H745" i="1"/>
  <c r="J744" i="1"/>
  <c r="I744" i="1"/>
  <c r="H744" i="1"/>
  <c r="J743" i="1"/>
  <c r="I743" i="1"/>
  <c r="H743" i="1"/>
  <c r="J742" i="1"/>
  <c r="I742" i="1"/>
  <c r="H742" i="1"/>
  <c r="J741" i="1"/>
  <c r="I741" i="1"/>
  <c r="H741" i="1"/>
  <c r="J740" i="1"/>
  <c r="I740" i="1"/>
  <c r="H740" i="1"/>
  <c r="J739" i="1"/>
  <c r="I739" i="1"/>
  <c r="H739" i="1"/>
  <c r="J738" i="1"/>
  <c r="I738" i="1"/>
  <c r="H738" i="1"/>
  <c r="J737" i="1"/>
  <c r="I737" i="1"/>
  <c r="H737" i="1"/>
  <c r="J736" i="1"/>
  <c r="I736" i="1"/>
  <c r="H736" i="1"/>
  <c r="J735" i="1"/>
  <c r="I735" i="1"/>
  <c r="H735" i="1"/>
  <c r="J734" i="1"/>
  <c r="I734" i="1"/>
  <c r="H734" i="1"/>
  <c r="J733" i="1"/>
  <c r="I733" i="1"/>
  <c r="H733" i="1"/>
  <c r="J732" i="1"/>
  <c r="I732" i="1"/>
  <c r="H732" i="1"/>
  <c r="J731" i="1"/>
  <c r="I731" i="1"/>
  <c r="H731" i="1"/>
  <c r="J730" i="1"/>
  <c r="I730" i="1"/>
  <c r="H730" i="1"/>
  <c r="J729" i="1"/>
  <c r="I729" i="1"/>
  <c r="H729" i="1"/>
  <c r="J728" i="1"/>
  <c r="I728" i="1"/>
  <c r="H728" i="1"/>
  <c r="J727" i="1"/>
  <c r="I727" i="1"/>
  <c r="H727" i="1"/>
  <c r="J726" i="1"/>
  <c r="I726" i="1"/>
  <c r="H726" i="1"/>
  <c r="J725" i="1"/>
  <c r="I725" i="1"/>
  <c r="H725" i="1"/>
  <c r="J724" i="1"/>
  <c r="I724" i="1"/>
  <c r="H724" i="1"/>
  <c r="J723" i="1"/>
  <c r="I723" i="1"/>
  <c r="H723" i="1"/>
  <c r="J722" i="1"/>
  <c r="I722" i="1"/>
  <c r="H722" i="1"/>
  <c r="J721" i="1"/>
  <c r="I721" i="1"/>
  <c r="H721" i="1"/>
  <c r="J720" i="1"/>
  <c r="I720" i="1"/>
  <c r="H720" i="1"/>
  <c r="J719" i="1"/>
  <c r="I719" i="1"/>
  <c r="H719" i="1"/>
  <c r="J718" i="1"/>
  <c r="I718" i="1"/>
  <c r="H718" i="1"/>
  <c r="J717" i="1"/>
  <c r="I717" i="1"/>
  <c r="H717" i="1"/>
  <c r="J716" i="1"/>
  <c r="I716" i="1"/>
  <c r="H716" i="1"/>
  <c r="J715" i="1"/>
  <c r="I715" i="1"/>
  <c r="H715" i="1"/>
  <c r="J714" i="1"/>
  <c r="I714" i="1"/>
  <c r="H714" i="1"/>
  <c r="J713" i="1"/>
  <c r="I713" i="1"/>
  <c r="H713" i="1"/>
  <c r="J712" i="1"/>
  <c r="I712" i="1"/>
  <c r="H712" i="1"/>
  <c r="J711" i="1"/>
  <c r="I711" i="1"/>
  <c r="H711" i="1"/>
  <c r="J710" i="1"/>
  <c r="I710" i="1"/>
  <c r="H710" i="1"/>
  <c r="J709" i="1"/>
  <c r="I709" i="1"/>
  <c r="H709" i="1"/>
  <c r="J708" i="1"/>
  <c r="I708" i="1"/>
  <c r="H708" i="1"/>
  <c r="J707" i="1"/>
  <c r="I707" i="1"/>
  <c r="H707" i="1"/>
  <c r="J706" i="1"/>
  <c r="I706" i="1"/>
  <c r="H706" i="1"/>
  <c r="J705" i="1"/>
  <c r="I705" i="1"/>
  <c r="H705" i="1"/>
  <c r="J704" i="1"/>
  <c r="I704" i="1"/>
  <c r="H704" i="1"/>
  <c r="J703" i="1"/>
  <c r="I703" i="1"/>
  <c r="H703" i="1"/>
  <c r="J702" i="1"/>
  <c r="I702" i="1"/>
  <c r="H702" i="1"/>
  <c r="J701" i="1"/>
  <c r="I701" i="1"/>
  <c r="H701" i="1"/>
  <c r="J700" i="1"/>
  <c r="I700" i="1"/>
  <c r="H700" i="1"/>
  <c r="J699" i="1"/>
  <c r="I699" i="1"/>
  <c r="H699" i="1"/>
  <c r="J698" i="1"/>
  <c r="I698" i="1"/>
  <c r="H698" i="1"/>
  <c r="J697" i="1"/>
  <c r="I697" i="1"/>
  <c r="H697" i="1"/>
  <c r="J696" i="1"/>
  <c r="I696" i="1"/>
  <c r="H696" i="1"/>
  <c r="J695" i="1"/>
  <c r="I695" i="1"/>
  <c r="H695" i="1"/>
  <c r="J694" i="1"/>
  <c r="I694" i="1"/>
  <c r="H694" i="1"/>
  <c r="J693" i="1"/>
  <c r="I693" i="1"/>
  <c r="H693" i="1"/>
  <c r="J692" i="1"/>
  <c r="I692" i="1"/>
  <c r="H692" i="1"/>
  <c r="J691" i="1"/>
  <c r="I691" i="1"/>
  <c r="H691" i="1"/>
  <c r="J690" i="1"/>
  <c r="I690" i="1"/>
  <c r="H690" i="1"/>
  <c r="J689" i="1"/>
  <c r="I689" i="1"/>
  <c r="H689" i="1"/>
  <c r="J688" i="1"/>
  <c r="I688" i="1"/>
  <c r="H688" i="1"/>
  <c r="J687" i="1"/>
  <c r="I687" i="1"/>
  <c r="H687" i="1"/>
  <c r="J686" i="1"/>
  <c r="I686" i="1"/>
  <c r="H686" i="1"/>
  <c r="J685" i="1"/>
  <c r="I685" i="1"/>
  <c r="H685" i="1"/>
  <c r="J684" i="1"/>
  <c r="I684" i="1"/>
  <c r="H684" i="1"/>
  <c r="J683" i="1"/>
  <c r="I683" i="1"/>
  <c r="H683" i="1"/>
  <c r="J682" i="1"/>
  <c r="I682" i="1"/>
  <c r="H682" i="1"/>
  <c r="J681" i="1"/>
  <c r="I681" i="1"/>
  <c r="H681" i="1"/>
  <c r="J680" i="1"/>
  <c r="I680" i="1"/>
  <c r="H680" i="1"/>
  <c r="J679" i="1"/>
  <c r="I679" i="1"/>
  <c r="H679" i="1"/>
  <c r="J678" i="1"/>
  <c r="I678" i="1"/>
  <c r="H678" i="1"/>
  <c r="J677" i="1"/>
  <c r="I677" i="1"/>
  <c r="H677" i="1"/>
  <c r="J676" i="1"/>
  <c r="I676" i="1"/>
  <c r="H676" i="1"/>
  <c r="J675" i="1"/>
  <c r="I675" i="1"/>
  <c r="H675" i="1"/>
  <c r="J674" i="1"/>
  <c r="I674" i="1"/>
  <c r="H674" i="1"/>
  <c r="J673" i="1"/>
  <c r="I673" i="1"/>
  <c r="H673" i="1"/>
  <c r="J672" i="1"/>
  <c r="I672" i="1"/>
  <c r="H672" i="1"/>
  <c r="J671" i="1"/>
  <c r="I671" i="1"/>
  <c r="H671" i="1"/>
  <c r="J670" i="1"/>
  <c r="I670" i="1"/>
  <c r="H670" i="1"/>
  <c r="J669" i="1"/>
  <c r="I669" i="1"/>
  <c r="H669" i="1"/>
  <c r="J668" i="1"/>
  <c r="I668" i="1"/>
  <c r="H668" i="1"/>
  <c r="J667" i="1"/>
  <c r="I667" i="1"/>
  <c r="H667" i="1"/>
  <c r="J666" i="1"/>
  <c r="I666" i="1"/>
  <c r="H666" i="1"/>
  <c r="J665" i="1"/>
  <c r="I665" i="1"/>
  <c r="H665" i="1"/>
  <c r="J664" i="1"/>
  <c r="I664" i="1"/>
  <c r="H664" i="1"/>
  <c r="J663" i="1"/>
  <c r="I663" i="1"/>
  <c r="H663" i="1"/>
  <c r="J662" i="1"/>
  <c r="I662" i="1"/>
  <c r="H662" i="1"/>
  <c r="J661" i="1"/>
  <c r="I661" i="1"/>
  <c r="H661" i="1"/>
  <c r="J660" i="1"/>
  <c r="I660" i="1"/>
  <c r="H660" i="1"/>
  <c r="J659" i="1"/>
  <c r="I659" i="1"/>
  <c r="H659" i="1"/>
  <c r="J658" i="1"/>
  <c r="I658" i="1"/>
  <c r="H658" i="1"/>
  <c r="J657" i="1"/>
  <c r="I657" i="1"/>
  <c r="H657" i="1"/>
  <c r="J656" i="1"/>
  <c r="I656" i="1"/>
  <c r="H656" i="1"/>
  <c r="J655" i="1"/>
  <c r="I655" i="1"/>
  <c r="H655" i="1"/>
  <c r="J654" i="1"/>
  <c r="I654" i="1"/>
  <c r="H654" i="1"/>
  <c r="J653" i="1"/>
  <c r="I653" i="1"/>
  <c r="H653" i="1"/>
  <c r="J652" i="1"/>
  <c r="I652" i="1"/>
  <c r="H652" i="1"/>
  <c r="J651" i="1"/>
  <c r="I651" i="1"/>
  <c r="H651" i="1"/>
  <c r="J650" i="1"/>
  <c r="I650" i="1"/>
  <c r="H650" i="1"/>
  <c r="J649" i="1"/>
  <c r="I649" i="1"/>
  <c r="H649" i="1"/>
  <c r="J648" i="1"/>
  <c r="I648" i="1"/>
  <c r="H648" i="1"/>
  <c r="J647" i="1"/>
  <c r="I647" i="1"/>
  <c r="H647" i="1"/>
  <c r="J646" i="1"/>
  <c r="I646" i="1"/>
  <c r="H646" i="1"/>
  <c r="J645" i="1"/>
  <c r="I645" i="1"/>
  <c r="H645" i="1"/>
  <c r="J644" i="1"/>
  <c r="I644" i="1"/>
  <c r="H644" i="1"/>
  <c r="J643" i="1"/>
  <c r="I643" i="1"/>
  <c r="H643" i="1"/>
  <c r="J642" i="1"/>
  <c r="I642" i="1"/>
  <c r="H642" i="1"/>
  <c r="J641" i="1"/>
  <c r="I641" i="1"/>
  <c r="H641" i="1"/>
  <c r="J640" i="1"/>
  <c r="I640" i="1"/>
  <c r="H640" i="1"/>
  <c r="J639" i="1"/>
  <c r="I639" i="1"/>
  <c r="H639" i="1"/>
  <c r="J638" i="1"/>
  <c r="I638" i="1"/>
  <c r="H638" i="1"/>
  <c r="J637" i="1"/>
  <c r="I637" i="1"/>
  <c r="H637" i="1"/>
  <c r="J636" i="1"/>
  <c r="I636" i="1"/>
  <c r="H636" i="1"/>
  <c r="J635" i="1"/>
  <c r="I635" i="1"/>
  <c r="H635" i="1"/>
  <c r="J634" i="1"/>
  <c r="I634" i="1"/>
  <c r="H634" i="1"/>
  <c r="J633" i="1"/>
  <c r="I633" i="1"/>
  <c r="H633" i="1"/>
  <c r="J632" i="1"/>
  <c r="I632" i="1"/>
  <c r="H632" i="1"/>
  <c r="J630" i="1"/>
  <c r="I630" i="1"/>
  <c r="H630" i="1"/>
  <c r="J629" i="1"/>
  <c r="I629" i="1"/>
  <c r="H629" i="1"/>
  <c r="J628" i="1"/>
  <c r="I628" i="1"/>
  <c r="H628" i="1"/>
  <c r="J624" i="1"/>
  <c r="I624" i="1"/>
  <c r="H624" i="1"/>
  <c r="J623" i="1"/>
  <c r="I623" i="1"/>
  <c r="H623" i="1"/>
  <c r="J622" i="1"/>
  <c r="I622" i="1"/>
  <c r="H622" i="1"/>
  <c r="J621" i="1"/>
  <c r="I621" i="1"/>
  <c r="H621" i="1"/>
  <c r="J619" i="1"/>
  <c r="I619" i="1"/>
  <c r="H619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550" i="1"/>
  <c r="I550" i="1"/>
  <c r="H550" i="1"/>
  <c r="J546" i="1"/>
  <c r="I546" i="1"/>
  <c r="H546" i="1"/>
  <c r="J545" i="1"/>
  <c r="I545" i="1"/>
  <c r="H545" i="1"/>
  <c r="J544" i="1"/>
  <c r="I544" i="1"/>
  <c r="H544" i="1"/>
  <c r="J543" i="1"/>
  <c r="I543" i="1"/>
  <c r="H543" i="1"/>
  <c r="J542" i="1"/>
  <c r="I542" i="1"/>
  <c r="H542" i="1"/>
  <c r="J541" i="1"/>
  <c r="I541" i="1"/>
  <c r="H541" i="1"/>
  <c r="J540" i="1"/>
  <c r="I540" i="1"/>
  <c r="H540" i="1"/>
  <c r="J539" i="1"/>
  <c r="I539" i="1"/>
  <c r="H539" i="1"/>
  <c r="J538" i="1"/>
  <c r="I538" i="1"/>
  <c r="H538" i="1"/>
  <c r="J537" i="1"/>
  <c r="I537" i="1"/>
  <c r="H537" i="1"/>
  <c r="J560" i="1"/>
  <c r="I560" i="1"/>
  <c r="H560" i="1"/>
  <c r="J559" i="1"/>
  <c r="I559" i="1"/>
  <c r="H559" i="1"/>
  <c r="J558" i="1"/>
  <c r="I558" i="1"/>
  <c r="H558" i="1"/>
  <c r="J557" i="1"/>
  <c r="I557" i="1"/>
  <c r="H557" i="1"/>
  <c r="J556" i="1"/>
  <c r="I556" i="1"/>
  <c r="H556" i="1"/>
  <c r="J552" i="1"/>
  <c r="I552" i="1"/>
  <c r="H552" i="1"/>
  <c r="J551" i="1"/>
  <c r="I551" i="1"/>
  <c r="H551" i="1"/>
  <c r="J549" i="1"/>
  <c r="I549" i="1"/>
  <c r="H549" i="1"/>
  <c r="J536" i="1"/>
  <c r="I536" i="1"/>
  <c r="H536" i="1"/>
  <c r="J611" i="1"/>
  <c r="I611" i="1"/>
  <c r="H611" i="1"/>
  <c r="J609" i="1"/>
  <c r="I609" i="1"/>
  <c r="H609" i="1"/>
  <c r="J608" i="1"/>
  <c r="I608" i="1"/>
  <c r="H608" i="1"/>
  <c r="J607" i="1"/>
  <c r="I607" i="1"/>
  <c r="H607" i="1"/>
  <c r="J606" i="1"/>
  <c r="I606" i="1"/>
  <c r="H606" i="1"/>
  <c r="J605" i="1"/>
  <c r="I605" i="1"/>
  <c r="H605" i="1"/>
  <c r="J604" i="1"/>
  <c r="I604" i="1"/>
  <c r="H604" i="1"/>
  <c r="J602" i="1"/>
  <c r="I602" i="1"/>
  <c r="H602" i="1"/>
  <c r="J601" i="1"/>
  <c r="I601" i="1"/>
  <c r="H601" i="1"/>
  <c r="J600" i="1"/>
  <c r="I600" i="1"/>
  <c r="H600" i="1"/>
  <c r="J597" i="1"/>
  <c r="I597" i="1"/>
  <c r="H597" i="1"/>
  <c r="J596" i="1"/>
  <c r="I596" i="1"/>
  <c r="H596" i="1"/>
  <c r="J595" i="1"/>
  <c r="I595" i="1"/>
  <c r="H595" i="1"/>
  <c r="J594" i="1"/>
  <c r="I594" i="1"/>
  <c r="H594" i="1"/>
  <c r="J591" i="1"/>
  <c r="I591" i="1"/>
  <c r="H591" i="1"/>
  <c r="J590" i="1"/>
  <c r="I590" i="1"/>
  <c r="H590" i="1"/>
  <c r="J589" i="1"/>
  <c r="I589" i="1"/>
  <c r="H589" i="1"/>
  <c r="J587" i="1"/>
  <c r="I587" i="1"/>
  <c r="H587" i="1"/>
  <c r="J586" i="1"/>
  <c r="I586" i="1"/>
  <c r="H586" i="1"/>
  <c r="J585" i="1"/>
  <c r="I585" i="1"/>
  <c r="H585" i="1"/>
  <c r="J584" i="1"/>
  <c r="I584" i="1"/>
  <c r="H584" i="1"/>
  <c r="J583" i="1"/>
  <c r="I583" i="1"/>
  <c r="H583" i="1"/>
  <c r="J582" i="1"/>
  <c r="I582" i="1"/>
  <c r="H582" i="1"/>
  <c r="J578" i="1"/>
  <c r="I578" i="1"/>
  <c r="H578" i="1"/>
  <c r="J577" i="1"/>
  <c r="I577" i="1"/>
  <c r="H577" i="1"/>
  <c r="J576" i="1"/>
  <c r="I576" i="1"/>
  <c r="H576" i="1"/>
  <c r="J575" i="1"/>
  <c r="I575" i="1"/>
  <c r="H575" i="1"/>
  <c r="J571" i="1"/>
  <c r="I571" i="1"/>
  <c r="H571" i="1"/>
  <c r="J570" i="1"/>
  <c r="I570" i="1"/>
  <c r="H570" i="1"/>
  <c r="J569" i="1"/>
  <c r="I569" i="1"/>
  <c r="H569" i="1"/>
  <c r="J568" i="1"/>
  <c r="I568" i="1"/>
  <c r="H568" i="1"/>
  <c r="J567" i="1"/>
  <c r="I567" i="1"/>
  <c r="H567" i="1"/>
  <c r="J566" i="1"/>
  <c r="I566" i="1"/>
  <c r="H566" i="1"/>
  <c r="J565" i="1"/>
  <c r="I565" i="1"/>
  <c r="H565" i="1"/>
  <c r="J564" i="1"/>
  <c r="I564" i="1"/>
  <c r="H564" i="1"/>
  <c r="J563" i="1"/>
  <c r="I563" i="1"/>
  <c r="H563" i="1"/>
  <c r="J562" i="1"/>
  <c r="I562" i="1"/>
  <c r="H562" i="1"/>
  <c r="J618" i="1"/>
  <c r="I618" i="1"/>
  <c r="H618" i="1"/>
  <c r="J617" i="1"/>
  <c r="I617" i="1"/>
  <c r="H617" i="1"/>
  <c r="J614" i="1"/>
  <c r="I614" i="1"/>
  <c r="H614" i="1"/>
  <c r="J613" i="1"/>
  <c r="I613" i="1"/>
  <c r="H613" i="1"/>
  <c r="J612" i="1"/>
  <c r="I612" i="1"/>
  <c r="H612" i="1"/>
  <c r="J603" i="1"/>
  <c r="I603" i="1"/>
  <c r="H603" i="1"/>
  <c r="J588" i="1"/>
  <c r="I588" i="1"/>
  <c r="H588" i="1"/>
  <c r="J572" i="1"/>
  <c r="I572" i="1"/>
  <c r="H572" i="1"/>
  <c r="J561" i="1"/>
  <c r="I561" i="1"/>
  <c r="H561" i="1"/>
  <c r="J533" i="1"/>
  <c r="I533" i="1"/>
  <c r="H533" i="1"/>
  <c r="J532" i="1"/>
  <c r="I532" i="1"/>
  <c r="H532" i="1"/>
  <c r="J531" i="1"/>
  <c r="I531" i="1"/>
  <c r="H531" i="1"/>
  <c r="J529" i="1"/>
  <c r="I529" i="1"/>
  <c r="H529" i="1"/>
  <c r="J528" i="1"/>
  <c r="I528" i="1"/>
  <c r="H528" i="1"/>
  <c r="J527" i="1"/>
  <c r="I527" i="1"/>
  <c r="H527" i="1"/>
  <c r="J523" i="1"/>
  <c r="I523" i="1"/>
  <c r="H523" i="1"/>
  <c r="J522" i="1"/>
  <c r="I522" i="1"/>
  <c r="H522" i="1"/>
  <c r="J521" i="1"/>
  <c r="I521" i="1"/>
  <c r="H521" i="1"/>
  <c r="J520" i="1"/>
  <c r="I520" i="1"/>
  <c r="H520" i="1"/>
  <c r="J517" i="1"/>
  <c r="I517" i="1"/>
  <c r="H517" i="1"/>
  <c r="J516" i="1"/>
  <c r="I516" i="1"/>
  <c r="H516" i="1"/>
  <c r="J515" i="1"/>
  <c r="I515" i="1"/>
  <c r="H515" i="1"/>
  <c r="J513" i="1"/>
  <c r="I513" i="1"/>
  <c r="H513" i="1"/>
  <c r="J512" i="1"/>
  <c r="I512" i="1"/>
  <c r="H512" i="1"/>
  <c r="J511" i="1"/>
  <c r="I511" i="1"/>
  <c r="H511" i="1"/>
  <c r="J510" i="1"/>
  <c r="I510" i="1"/>
  <c r="H510" i="1"/>
  <c r="J509" i="1"/>
  <c r="I509" i="1"/>
  <c r="H509" i="1"/>
  <c r="J508" i="1"/>
  <c r="I508" i="1"/>
  <c r="H508" i="1"/>
  <c r="J507" i="1"/>
  <c r="I507" i="1"/>
  <c r="H507" i="1"/>
  <c r="J506" i="1"/>
  <c r="I506" i="1"/>
  <c r="H506" i="1"/>
  <c r="J505" i="1"/>
  <c r="I505" i="1"/>
  <c r="H505" i="1"/>
  <c r="J504" i="1"/>
  <c r="I504" i="1"/>
  <c r="H504" i="1"/>
  <c r="J502" i="1"/>
  <c r="I502" i="1"/>
  <c r="H502" i="1"/>
  <c r="J501" i="1"/>
  <c r="I501" i="1"/>
  <c r="H501" i="1"/>
  <c r="J500" i="1"/>
  <c r="I500" i="1"/>
  <c r="H500" i="1"/>
  <c r="J499" i="1"/>
  <c r="I499" i="1"/>
  <c r="H499" i="1"/>
  <c r="J498" i="1"/>
  <c r="I498" i="1"/>
  <c r="H498" i="1"/>
  <c r="J497" i="1"/>
  <c r="I497" i="1"/>
  <c r="H497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87" i="1"/>
  <c r="I487" i="1"/>
  <c r="H487" i="1"/>
  <c r="J486" i="1"/>
  <c r="I486" i="1"/>
  <c r="H486" i="1"/>
  <c r="J484" i="1"/>
  <c r="I484" i="1"/>
  <c r="H484" i="1"/>
  <c r="J483" i="1"/>
  <c r="I483" i="1"/>
  <c r="H483" i="1"/>
  <c r="J482" i="1"/>
  <c r="I482" i="1"/>
  <c r="H482" i="1"/>
  <c r="J480" i="1"/>
  <c r="I480" i="1"/>
  <c r="H480" i="1"/>
  <c r="J479" i="1"/>
  <c r="I479" i="1"/>
  <c r="H479" i="1"/>
  <c r="J478" i="1"/>
  <c r="I478" i="1"/>
  <c r="H478" i="1"/>
  <c r="J476" i="1"/>
  <c r="I476" i="1"/>
  <c r="H476" i="1"/>
  <c r="J475" i="1"/>
  <c r="I475" i="1"/>
  <c r="H475" i="1"/>
  <c r="J472" i="1"/>
  <c r="I472" i="1"/>
  <c r="H472" i="1"/>
  <c r="J471" i="1"/>
  <c r="I471" i="1"/>
  <c r="H471" i="1"/>
  <c r="J470" i="1"/>
  <c r="I470" i="1"/>
  <c r="H470" i="1"/>
  <c r="J468" i="1"/>
  <c r="I468" i="1"/>
  <c r="H468" i="1"/>
  <c r="J467" i="1"/>
  <c r="I467" i="1"/>
  <c r="H467" i="1"/>
  <c r="J466" i="1"/>
  <c r="I466" i="1"/>
  <c r="H466" i="1"/>
  <c r="J464" i="1"/>
  <c r="I464" i="1"/>
  <c r="H464" i="1"/>
  <c r="J463" i="1"/>
  <c r="I463" i="1"/>
  <c r="H463" i="1"/>
  <c r="J462" i="1"/>
  <c r="I462" i="1"/>
  <c r="H462" i="1"/>
  <c r="J460" i="1"/>
  <c r="I460" i="1"/>
  <c r="H460" i="1"/>
  <c r="J458" i="1"/>
  <c r="I458" i="1"/>
  <c r="H458" i="1"/>
  <c r="J456" i="1"/>
  <c r="I456" i="1"/>
  <c r="H456" i="1"/>
  <c r="J455" i="1"/>
  <c r="I455" i="1"/>
  <c r="H455" i="1"/>
  <c r="J454" i="1"/>
  <c r="I454" i="1"/>
  <c r="H454" i="1"/>
  <c r="J452" i="1"/>
  <c r="I452" i="1"/>
  <c r="H452" i="1"/>
  <c r="J451" i="1"/>
  <c r="I451" i="1"/>
  <c r="H451" i="1"/>
  <c r="J450" i="1"/>
  <c r="I450" i="1"/>
  <c r="H450" i="1"/>
  <c r="J447" i="1"/>
  <c r="I447" i="1"/>
  <c r="H447" i="1"/>
  <c r="J446" i="1"/>
  <c r="I446" i="1"/>
  <c r="H446" i="1"/>
  <c r="J445" i="1"/>
  <c r="I445" i="1"/>
  <c r="H445" i="1"/>
  <c r="J535" i="1"/>
  <c r="I535" i="1"/>
  <c r="H535" i="1"/>
  <c r="J534" i="1"/>
  <c r="I534" i="1"/>
  <c r="H534" i="1"/>
  <c r="J530" i="1"/>
  <c r="I530" i="1"/>
  <c r="H530" i="1"/>
  <c r="J514" i="1"/>
  <c r="I514" i="1"/>
  <c r="H514" i="1"/>
  <c r="J503" i="1"/>
  <c r="I503" i="1"/>
  <c r="H503" i="1"/>
  <c r="J488" i="1"/>
  <c r="I488" i="1"/>
  <c r="H488" i="1"/>
  <c r="J474" i="1"/>
  <c r="I474" i="1"/>
  <c r="H474" i="1"/>
  <c r="J459" i="1"/>
  <c r="I459" i="1"/>
  <c r="H459" i="1"/>
  <c r="J444" i="1"/>
  <c r="I444" i="1"/>
  <c r="H444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8" i="1"/>
  <c r="I328" i="1"/>
  <c r="H328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485" i="1"/>
  <c r="I485" i="1"/>
  <c r="H485" i="1"/>
  <c r="J481" i="1"/>
  <c r="I481" i="1"/>
  <c r="H481" i="1"/>
  <c r="J477" i="1"/>
  <c r="I477" i="1"/>
  <c r="H477" i="1"/>
  <c r="J473" i="1"/>
  <c r="I473" i="1"/>
  <c r="H473" i="1"/>
  <c r="J469" i="1"/>
  <c r="I469" i="1"/>
  <c r="H469" i="1"/>
  <c r="J465" i="1"/>
  <c r="I465" i="1"/>
  <c r="H465" i="1"/>
  <c r="J461" i="1"/>
  <c r="I461" i="1"/>
  <c r="H461" i="1"/>
  <c r="J457" i="1"/>
  <c r="I457" i="1"/>
  <c r="H457" i="1"/>
  <c r="J453" i="1"/>
  <c r="I453" i="1"/>
  <c r="H453" i="1"/>
  <c r="J631" i="1"/>
  <c r="I631" i="1"/>
  <c r="H631" i="1"/>
  <c r="J625" i="1"/>
  <c r="I625" i="1"/>
  <c r="H625" i="1"/>
  <c r="J615" i="1"/>
  <c r="I615" i="1"/>
  <c r="H615" i="1"/>
  <c r="J598" i="1"/>
  <c r="I598" i="1"/>
  <c r="H598" i="1"/>
  <c r="J579" i="1"/>
  <c r="I579" i="1"/>
  <c r="H579" i="1"/>
  <c r="J553" i="1"/>
  <c r="I553" i="1"/>
  <c r="H553" i="1"/>
  <c r="J524" i="1"/>
  <c r="I524" i="1"/>
  <c r="H524" i="1"/>
  <c r="J495" i="1"/>
  <c r="I495" i="1"/>
  <c r="H495" i="1"/>
  <c r="J448" i="1"/>
  <c r="I448" i="1"/>
  <c r="H448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L253" i="1"/>
  <c r="J253" i="1"/>
  <c r="I253" i="1"/>
  <c r="H253" i="1"/>
  <c r="J252" i="1"/>
  <c r="I252" i="1"/>
  <c r="H25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620" i="1"/>
  <c r="I620" i="1"/>
  <c r="H620" i="1"/>
  <c r="J610" i="1"/>
  <c r="I610" i="1"/>
  <c r="H610" i="1"/>
  <c r="J592" i="1"/>
  <c r="I592" i="1"/>
  <c r="H592" i="1"/>
  <c r="J573" i="1"/>
  <c r="I573" i="1"/>
  <c r="H573" i="1"/>
  <c r="J547" i="1"/>
  <c r="I547" i="1"/>
  <c r="H547" i="1"/>
  <c r="J518" i="1"/>
  <c r="I518" i="1"/>
  <c r="H518" i="1"/>
  <c r="J489" i="1"/>
  <c r="I489" i="1"/>
  <c r="H489" i="1"/>
  <c r="J442" i="1"/>
  <c r="I442" i="1"/>
  <c r="H44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67" i="1"/>
  <c r="I67" i="1"/>
  <c r="H67" i="1"/>
  <c r="J202" i="1"/>
  <c r="I202" i="1"/>
  <c r="H202" i="1"/>
  <c r="J201" i="1"/>
  <c r="I201" i="1"/>
  <c r="H201" i="1"/>
  <c r="J200" i="1"/>
  <c r="I200" i="1"/>
  <c r="H200" i="1"/>
  <c r="J593" i="1"/>
  <c r="I593" i="1"/>
  <c r="H593" i="1"/>
  <c r="J574" i="1"/>
  <c r="I574" i="1"/>
  <c r="H574" i="1"/>
  <c r="J548" i="1"/>
  <c r="I548" i="1"/>
  <c r="H548" i="1"/>
  <c r="J519" i="1"/>
  <c r="I519" i="1"/>
  <c r="H519" i="1"/>
  <c r="J490" i="1"/>
  <c r="I490" i="1"/>
  <c r="H490" i="1"/>
  <c r="J443" i="1"/>
  <c r="I443" i="1"/>
  <c r="H443" i="1"/>
  <c r="J70" i="1"/>
  <c r="I70" i="1"/>
  <c r="H70" i="1"/>
  <c r="J68" i="1"/>
  <c r="I68" i="1"/>
  <c r="H68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66" i="1"/>
  <c r="I66" i="1"/>
  <c r="H66" i="1"/>
  <c r="J65" i="1"/>
  <c r="I65" i="1"/>
  <c r="H65" i="1"/>
  <c r="J69" i="1"/>
  <c r="I69" i="1"/>
  <c r="H69" i="1"/>
  <c r="J626" i="1"/>
  <c r="I626" i="1"/>
  <c r="H626" i="1"/>
  <c r="J616" i="1"/>
  <c r="I616" i="1"/>
  <c r="H616" i="1"/>
  <c r="J599" i="1"/>
  <c r="I599" i="1"/>
  <c r="H599" i="1"/>
  <c r="J581" i="1"/>
  <c r="I581" i="1"/>
  <c r="H581" i="1"/>
  <c r="J555" i="1"/>
  <c r="I555" i="1"/>
  <c r="H555" i="1"/>
  <c r="J526" i="1"/>
  <c r="I526" i="1"/>
  <c r="H526" i="1"/>
  <c r="J627" i="1"/>
  <c r="I627" i="1"/>
  <c r="H627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7" i="1"/>
  <c r="I167" i="1"/>
  <c r="H167" i="1"/>
  <c r="J580" i="1"/>
  <c r="I580" i="1"/>
  <c r="H580" i="1"/>
  <c r="J554" i="1"/>
  <c r="I554" i="1"/>
  <c r="H554" i="1"/>
  <c r="J525" i="1"/>
  <c r="I525" i="1"/>
  <c r="H525" i="1"/>
  <c r="J496" i="1"/>
  <c r="I496" i="1"/>
  <c r="H496" i="1"/>
  <c r="J449" i="1"/>
  <c r="I449" i="1"/>
  <c r="H449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4" i="1"/>
  <c r="I154" i="1"/>
  <c r="H154" i="1"/>
  <c r="J155" i="1"/>
  <c r="I155" i="1"/>
  <c r="H155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05" i="1"/>
  <c r="I105" i="1"/>
  <c r="H105" i="1"/>
  <c r="J101" i="1"/>
  <c r="I101" i="1"/>
  <c r="H10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00" i="1"/>
  <c r="I100" i="1"/>
  <c r="H100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99" i="1"/>
  <c r="I99" i="1"/>
  <c r="H99" i="1"/>
  <c r="J98" i="1"/>
  <c r="I98" i="1"/>
  <c r="H98" i="1"/>
  <c r="J103" i="1"/>
  <c r="I103" i="1"/>
  <c r="H103" i="1"/>
  <c r="J97" i="1"/>
  <c r="I97" i="1"/>
  <c r="H97" i="1"/>
  <c r="J96" i="1"/>
  <c r="I96" i="1"/>
  <c r="H96" i="1"/>
  <c r="J102" i="1"/>
  <c r="I102" i="1"/>
  <c r="H102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104" i="1"/>
  <c r="I104" i="1"/>
  <c r="H104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H15" i="6" l="1"/>
  <c r="H9" i="6"/>
  <c r="C2" i="6"/>
  <c r="P9" i="6"/>
  <c r="P3" i="6"/>
  <c r="O2" i="6"/>
  <c r="B8" i="6"/>
  <c r="D8" i="6"/>
  <c r="D10" i="6" s="1"/>
  <c r="F8" i="6"/>
  <c r="F10" i="6" s="1"/>
  <c r="J8" i="6"/>
  <c r="J10" i="6" s="1"/>
  <c r="L8" i="6"/>
  <c r="L10" i="6" s="1"/>
  <c r="N8" i="6"/>
  <c r="N10" i="6" s="1"/>
  <c r="B14" i="6"/>
  <c r="D14" i="6"/>
  <c r="D16" i="6" s="1"/>
  <c r="F14" i="6"/>
  <c r="F16" i="6" s="1"/>
  <c r="J14" i="6"/>
  <c r="L14" i="6"/>
  <c r="N14" i="6"/>
  <c r="B2" i="6"/>
  <c r="D2" i="6"/>
  <c r="F2" i="6"/>
  <c r="J2" i="6"/>
  <c r="L2" i="6"/>
  <c r="N2" i="6"/>
  <c r="N4" i="6" s="1"/>
  <c r="C8" i="6"/>
  <c r="C10" i="6" s="1"/>
  <c r="E8" i="6"/>
  <c r="E10" i="6" s="1"/>
  <c r="G8" i="6"/>
  <c r="G10" i="6" s="1"/>
  <c r="K8" i="6"/>
  <c r="K10" i="6" s="1"/>
  <c r="M8" i="6"/>
  <c r="M10" i="6" s="1"/>
  <c r="O8" i="6"/>
  <c r="O10" i="6" s="1"/>
  <c r="C14" i="6"/>
  <c r="C16" i="6" s="1"/>
  <c r="E14" i="6"/>
  <c r="E16" i="6" s="1"/>
  <c r="G14" i="6"/>
  <c r="G16" i="6" s="1"/>
  <c r="K14" i="6"/>
  <c r="M14" i="6"/>
  <c r="O14" i="6"/>
  <c r="E2" i="6"/>
  <c r="G2" i="6"/>
  <c r="G4" i="6" s="1"/>
  <c r="K2" i="6"/>
  <c r="M2" i="6"/>
  <c r="Q9" i="6" l="1"/>
  <c r="Q15" i="6"/>
  <c r="B17" i="6"/>
  <c r="I15" i="6"/>
  <c r="G11" i="6"/>
  <c r="J11" i="6"/>
  <c r="H14" i="6"/>
  <c r="B16" i="6"/>
  <c r="G17" i="6"/>
  <c r="C17" i="6"/>
  <c r="D17" i="6"/>
  <c r="E17" i="6"/>
  <c r="F17" i="6"/>
  <c r="K11" i="6"/>
  <c r="M11" i="6"/>
  <c r="N11" i="6"/>
  <c r="O11" i="6"/>
  <c r="L11" i="6"/>
  <c r="C11" i="6"/>
  <c r="F11" i="6"/>
  <c r="E11" i="6"/>
  <c r="B11" i="6"/>
  <c r="D11" i="6"/>
  <c r="B10" i="6"/>
  <c r="H8" i="6"/>
  <c r="P2" i="6"/>
  <c r="P4" i="6" s="1"/>
  <c r="P14" i="6"/>
  <c r="P8" i="6"/>
  <c r="K4" i="6"/>
  <c r="D4" i="6"/>
  <c r="O4" i="6"/>
  <c r="M4" i="6"/>
  <c r="F4" i="6"/>
  <c r="L4" i="6"/>
  <c r="E4" i="6"/>
  <c r="H2" i="6"/>
  <c r="H3" i="6"/>
  <c r="I9" i="6" s="1"/>
  <c r="B4" i="6"/>
  <c r="J4" i="6"/>
  <c r="C4" i="6"/>
  <c r="P16" i="6" l="1"/>
  <c r="Q14" i="6"/>
  <c r="I8" i="6"/>
  <c r="I14" i="6"/>
  <c r="P10" i="6"/>
  <c r="Q8" i="6"/>
  <c r="H16" i="6"/>
  <c r="H10" i="6"/>
  <c r="B5" i="6"/>
  <c r="E5" i="6"/>
  <c r="C5" i="6"/>
  <c r="F5" i="6"/>
  <c r="D5" i="6"/>
  <c r="G5" i="6"/>
  <c r="H4" i="6"/>
  <c r="I10" i="6" l="1"/>
  <c r="I16" i="6"/>
  <c r="Q10" i="6"/>
  <c r="Q16" i="6"/>
  <c r="S444" i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</calcChain>
</file>

<file path=xl/sharedStrings.xml><?xml version="1.0" encoding="utf-8"?>
<sst xmlns="http://schemas.openxmlformats.org/spreadsheetml/2006/main" count="8955" uniqueCount="1298">
  <si>
    <t>Fecha de Pago</t>
  </si>
  <si>
    <t>VALORES DE TERSEROS</t>
  </si>
  <si>
    <t>Proveedor</t>
  </si>
  <si>
    <t>Número de Cheque</t>
  </si>
  <si>
    <t>Monto</t>
  </si>
  <si>
    <t>Estado</t>
  </si>
  <si>
    <t>Fecha de Emision</t>
  </si>
  <si>
    <t>Hoy</t>
  </si>
  <si>
    <t>1 - 7 días</t>
  </si>
  <si>
    <t>Observación</t>
  </si>
  <si>
    <t>Dia</t>
  </si>
  <si>
    <t>8- 30 días</t>
  </si>
  <si>
    <t>Mes</t>
  </si>
  <si>
    <t xml:space="preserve">Año </t>
  </si>
  <si>
    <t>31 - 60 días</t>
  </si>
  <si>
    <t xml:space="preserve">
</t>
  </si>
  <si>
    <t>61-90 Dias</t>
  </si>
  <si>
    <t>91-120 Dias</t>
  </si>
  <si>
    <t>-</t>
  </si>
  <si>
    <t>&gt;120 Dias</t>
  </si>
  <si>
    <t>Total</t>
  </si>
  <si>
    <t xml:space="preserve">Cantidad de Pesos
</t>
  </si>
  <si>
    <t>Pagado</t>
  </si>
  <si>
    <t>Veira</t>
  </si>
  <si>
    <t>Zoogant</t>
  </si>
  <si>
    <t>Raul Vorrazo</t>
  </si>
  <si>
    <t>Cantidad de Cheques</t>
  </si>
  <si>
    <t>Gama</t>
  </si>
  <si>
    <t>Jerez</t>
  </si>
  <si>
    <t>Fecha de Hoy</t>
  </si>
  <si>
    <t>Fecha de ingreso</t>
  </si>
  <si>
    <t>Cliente</t>
  </si>
  <si>
    <t>Fecha de Deposito</t>
  </si>
  <si>
    <t>Banco de Emisión</t>
  </si>
  <si>
    <t>Titular del Cheque</t>
  </si>
  <si>
    <t>Cuit Cheque</t>
  </si>
  <si>
    <t>Código</t>
  </si>
  <si>
    <t>Tipo</t>
  </si>
  <si>
    <t>Fecha de Salida</t>
  </si>
  <si>
    <t>Destinatario</t>
  </si>
  <si>
    <t>Mes de cobro</t>
  </si>
  <si>
    <t>Año de Cobro</t>
  </si>
  <si>
    <t>Petrich</t>
  </si>
  <si>
    <t>Macro</t>
  </si>
  <si>
    <t>Somatiti S.A.</t>
  </si>
  <si>
    <t>30-71616914-2</t>
  </si>
  <si>
    <t xml:space="preserve">Cabello Miguel
</t>
  </si>
  <si>
    <t>Provincia</t>
  </si>
  <si>
    <t xml:space="preserve">Serra Jose Bernardo
</t>
  </si>
  <si>
    <t>Depositado</t>
  </si>
  <si>
    <t>20-10475901-8</t>
  </si>
  <si>
    <t>Ambrosi Mariel Noelia</t>
  </si>
  <si>
    <t>27-33311326-6</t>
  </si>
  <si>
    <t>Santander Rio</t>
  </si>
  <si>
    <t>Prienza Irene Carola Edit</t>
  </si>
  <si>
    <t>27-25639646-2</t>
  </si>
  <si>
    <t>Manoli</t>
  </si>
  <si>
    <t>Nacion</t>
  </si>
  <si>
    <t>Gomez Nilda De Lorenzo</t>
  </si>
  <si>
    <t>27-04606155-7</t>
  </si>
  <si>
    <t>La Pastora</t>
  </si>
  <si>
    <t>ICBC</t>
  </si>
  <si>
    <t>Ramiro Pezoa</t>
  </si>
  <si>
    <t>20-37822707-1</t>
  </si>
  <si>
    <t>Banarik</t>
  </si>
  <si>
    <t>Credicoop</t>
  </si>
  <si>
    <t>Iglesias Adriana Patricia</t>
  </si>
  <si>
    <t>27-13830165-1</t>
  </si>
  <si>
    <t xml:space="preserve">Scorza Oscar Arturo
</t>
  </si>
  <si>
    <t xml:space="preserve">20-17685218-7
</t>
  </si>
  <si>
    <t>Chubut</t>
  </si>
  <si>
    <t>Fernandez Fanny Lilian</t>
  </si>
  <si>
    <t>27-21388764-0</t>
  </si>
  <si>
    <t>Matiel</t>
  </si>
  <si>
    <t>Cambria Nestor Antonio</t>
  </si>
  <si>
    <t>20-13643864-7</t>
  </si>
  <si>
    <t xml:space="preserve">Bancor
</t>
  </si>
  <si>
    <t xml:space="preserve">Gonzalez Claudia Beatriz
</t>
  </si>
  <si>
    <t>27-16468338-4</t>
  </si>
  <si>
    <t>La Pampa</t>
  </si>
  <si>
    <t>Tizon Maria Cecilia</t>
  </si>
  <si>
    <t>27-30730726-5</t>
  </si>
  <si>
    <t>Anton Veronica Patricia</t>
  </si>
  <si>
    <t>27-27977138-4</t>
  </si>
  <si>
    <t>Valdivia Leal Eliana Cristina</t>
  </si>
  <si>
    <t>27-92353970-6</t>
  </si>
  <si>
    <t xml:space="preserve">Berardo Carolina Soledad
</t>
  </si>
  <si>
    <t>27-31404261-7</t>
  </si>
  <si>
    <t>Sanabria y Angelicola Soc Cap</t>
  </si>
  <si>
    <t xml:space="preserve">30-63687334-5
</t>
  </si>
  <si>
    <t>Yordan Mariano Nicolas</t>
  </si>
  <si>
    <t>20-27444807-6</t>
  </si>
  <si>
    <t>Superville</t>
  </si>
  <si>
    <t>Fernandez Victor Andres</t>
  </si>
  <si>
    <t>Rontaltex</t>
  </si>
  <si>
    <t>20-16499348-6</t>
  </si>
  <si>
    <t>Pastora Neuquen</t>
  </si>
  <si>
    <t>Endosado</t>
  </si>
  <si>
    <t>Pastora Rioja</t>
  </si>
  <si>
    <t>Riza Pesdera</t>
  </si>
  <si>
    <t>20-3822707-1</t>
  </si>
  <si>
    <t xml:space="preserve">Ratti Maria Laura 
</t>
  </si>
  <si>
    <t>27-11061794-7</t>
  </si>
  <si>
    <t>Matices</t>
  </si>
  <si>
    <t>Rolando Raul Pavoni</t>
  </si>
  <si>
    <t>20-10755858-7</t>
  </si>
  <si>
    <t>Quintar Lilian Evelin</t>
  </si>
  <si>
    <t>27-27224230-0</t>
  </si>
  <si>
    <t>Bosio Mariela Alejandra</t>
  </si>
  <si>
    <t>27-27871338-0</t>
  </si>
  <si>
    <t>Iveco</t>
  </si>
  <si>
    <t>Sanchez Maria Del Rosario</t>
  </si>
  <si>
    <t>27-27759636-4</t>
  </si>
  <si>
    <t>Jorge Esteban Arduzzo</t>
  </si>
  <si>
    <t>23-10440807-9</t>
  </si>
  <si>
    <t>Caimo Luis Ruben</t>
  </si>
  <si>
    <t>20-10053856-4</t>
  </si>
  <si>
    <t xml:space="preserve">Veira </t>
  </si>
  <si>
    <t>Cancellieri Alma Telinda</t>
  </si>
  <si>
    <t>27-93616283-0</t>
  </si>
  <si>
    <t>Perez Jose Juan Ramon</t>
  </si>
  <si>
    <t>20-08569605-0</t>
  </si>
  <si>
    <t>Yo</t>
  </si>
  <si>
    <t>Galicia</t>
  </si>
  <si>
    <t>Intercity Comunicaciones SA</t>
  </si>
  <si>
    <t>30-70959404-0</t>
  </si>
  <si>
    <t>Gonzalez Claudia Beatriz</t>
  </si>
  <si>
    <t>Meneguzzi Luciana Andrea</t>
  </si>
  <si>
    <t>27-28958123-0</t>
  </si>
  <si>
    <t xml:space="preserve">Nacion
</t>
  </si>
  <si>
    <t>Trabalon Angela Maria Susana</t>
  </si>
  <si>
    <t>27-12331288-6</t>
  </si>
  <si>
    <t>Mandi</t>
  </si>
  <si>
    <t>ANULADO</t>
  </si>
  <si>
    <t>Bono Rosa Beatriz</t>
  </si>
  <si>
    <t>27-05487277-7</t>
  </si>
  <si>
    <t>A Pagar</t>
  </si>
  <si>
    <t>Laclau Aldo Emilio</t>
  </si>
  <si>
    <t>20-06141757-6</t>
  </si>
  <si>
    <t>Otranto</t>
  </si>
  <si>
    <t>Mendez Cintia Ivana Y Villega</t>
  </si>
  <si>
    <t xml:space="preserve">30-70908751-3
</t>
  </si>
  <si>
    <t>Sanchez Maria Del Rosaio</t>
  </si>
  <si>
    <t>Camusso Flavio Andres</t>
  </si>
  <si>
    <t>20-20622578-6</t>
  </si>
  <si>
    <t>Vargas Lilian</t>
  </si>
  <si>
    <t>27-14266621-4</t>
  </si>
  <si>
    <t>Lipo Mandi</t>
  </si>
  <si>
    <t>Patagonia</t>
  </si>
  <si>
    <t>El Carretel SRL</t>
  </si>
  <si>
    <t>Posdatado</t>
  </si>
  <si>
    <t>30-71548357-9</t>
  </si>
  <si>
    <t xml:space="preserve">Petrich
</t>
  </si>
  <si>
    <t xml:space="preserve">Convers Hector Ernesto
</t>
  </si>
  <si>
    <t>20-10596812-5</t>
  </si>
  <si>
    <t xml:space="preserve">Zoughout Diana
</t>
  </si>
  <si>
    <t>27-11958010-8</t>
  </si>
  <si>
    <t>Seg. Rio Uruguay</t>
  </si>
  <si>
    <t>Riabis</t>
  </si>
  <si>
    <t xml:space="preserve">Morresi Hugo Nestor
</t>
  </si>
  <si>
    <t>20-05510446-9</t>
  </si>
  <si>
    <t>Catalano Nicolas</t>
  </si>
  <si>
    <t>20-31215781-1</t>
  </si>
  <si>
    <t>Poli Martinez</t>
  </si>
  <si>
    <t>Lazaro Maria Bernarda</t>
  </si>
  <si>
    <t>27-32131612-9</t>
  </si>
  <si>
    <t>Bouzik</t>
  </si>
  <si>
    <t>Tajan Javier</t>
  </si>
  <si>
    <t>20-13393212-8</t>
  </si>
  <si>
    <t xml:space="preserve">Ecco
</t>
  </si>
  <si>
    <t>Supervielle</t>
  </si>
  <si>
    <t>Red Informatica de Pagos S.A.</t>
  </si>
  <si>
    <t>30-68134835-9</t>
  </si>
  <si>
    <t>El Fogon</t>
  </si>
  <si>
    <t>El Fogon S.A</t>
  </si>
  <si>
    <t xml:space="preserve">30-59004480-2
</t>
  </si>
  <si>
    <t>Boero Camila Alejandra</t>
  </si>
  <si>
    <t>27-39261112-1</t>
  </si>
  <si>
    <t>Sanjurjo Garcia Maria Juliana</t>
  </si>
  <si>
    <t>27-39588490-0</t>
  </si>
  <si>
    <t>Signiori Luis Alberto</t>
  </si>
  <si>
    <t>20-005510696-8</t>
  </si>
  <si>
    <t>Comafi</t>
  </si>
  <si>
    <t xml:space="preserve">Contar S.A.
</t>
  </si>
  <si>
    <t>30-61119439-7</t>
  </si>
  <si>
    <t>BBVA</t>
  </si>
  <si>
    <t>Bind</t>
  </si>
  <si>
    <t>Castaño Raul Oscar</t>
  </si>
  <si>
    <t>20-11963544-7</t>
  </si>
  <si>
    <t>Prov</t>
  </si>
  <si>
    <t>Oam</t>
  </si>
  <si>
    <t>Natalia Tifosi</t>
  </si>
  <si>
    <t>Dominguez Marcelo Alberto</t>
  </si>
  <si>
    <t>20-10590043-1</t>
  </si>
  <si>
    <t>Zougant</t>
  </si>
  <si>
    <t>Dodero</t>
  </si>
  <si>
    <t>Corti Gustavo Eduardo</t>
  </si>
  <si>
    <t>20-14375215-2</t>
  </si>
  <si>
    <t xml:space="preserve">20-05510696-8
</t>
  </si>
  <si>
    <t>Veccio</t>
  </si>
  <si>
    <t>20-05510696-8</t>
  </si>
  <si>
    <t>Prestamo</t>
  </si>
  <si>
    <t>6105-1077293/1</t>
  </si>
  <si>
    <t>Vercier</t>
  </si>
  <si>
    <t>6105-1153529/0</t>
  </si>
  <si>
    <t>6105-1153529/1</t>
  </si>
  <si>
    <t>Formosa</t>
  </si>
  <si>
    <t>Alarcon Pedro Victor</t>
  </si>
  <si>
    <t>20-16845452-0</t>
  </si>
  <si>
    <t xml:space="preserve">Vorrazo
</t>
  </si>
  <si>
    <t xml:space="preserve">Club del diseño SR
</t>
  </si>
  <si>
    <t>30-71015338-4</t>
  </si>
  <si>
    <t>Vorrazo</t>
  </si>
  <si>
    <t>Convers Hector Ernesto</t>
  </si>
  <si>
    <t>Garcia Javier</t>
  </si>
  <si>
    <t>20-22845810-5</t>
  </si>
  <si>
    <t>Mazzucco Diego Luis</t>
  </si>
  <si>
    <t>20-08525441-4</t>
  </si>
  <si>
    <t>matices</t>
  </si>
  <si>
    <t>bouzik gustavo</t>
  </si>
  <si>
    <t>Mateus Horacio Manuel</t>
  </si>
  <si>
    <t>20-20048225-6</t>
  </si>
  <si>
    <t>Bouzyk</t>
  </si>
  <si>
    <t>Frances</t>
  </si>
  <si>
    <t>Fernandez Mauricio Daniel</t>
  </si>
  <si>
    <t>20-26658770-9</t>
  </si>
  <si>
    <t>Serra Roberto Alejandro</t>
  </si>
  <si>
    <t xml:space="preserve">20-32830531-4
</t>
  </si>
  <si>
    <t>20-32830531-4</t>
  </si>
  <si>
    <t>Afip: M302639</t>
  </si>
  <si>
    <t>Cuota Nº1</t>
  </si>
  <si>
    <t>Cuota Nº2</t>
  </si>
  <si>
    <t>Cuota Nº3</t>
  </si>
  <si>
    <t>Cuota Nº4</t>
  </si>
  <si>
    <t>Cuota Nº5</t>
  </si>
  <si>
    <t>Gustavo Mennilli</t>
  </si>
  <si>
    <t xml:space="preserve">Pala Ana Maria
</t>
  </si>
  <si>
    <t>27-11049664-3</t>
  </si>
  <si>
    <t>---</t>
  </si>
  <si>
    <t>Landi Leonardo Gaston</t>
  </si>
  <si>
    <t>20-26465251-1</t>
  </si>
  <si>
    <t>Pedroche Osvaldo Jose</t>
  </si>
  <si>
    <t>20-11662886-5</t>
  </si>
  <si>
    <t>Bertoldi Aldo Jose</t>
  </si>
  <si>
    <t>Vaquero</t>
  </si>
  <si>
    <t xml:space="preserve">20-05368930-3
</t>
  </si>
  <si>
    <t xml:space="preserve">La Pampa
</t>
  </si>
  <si>
    <t>Serodino Nicolas Daniel</t>
  </si>
  <si>
    <t>20-31272365-5</t>
  </si>
  <si>
    <t>Luis Gomez y Cia Sacifi</t>
  </si>
  <si>
    <t>30-53774772-9</t>
  </si>
  <si>
    <t>Ana Bonifacio</t>
  </si>
  <si>
    <t>Tejiendo Arte SA</t>
  </si>
  <si>
    <t>30-70993802-5</t>
  </si>
  <si>
    <t>Org. Medica Atlantica</t>
  </si>
  <si>
    <t>30-54606896-6</t>
  </si>
  <si>
    <t>Pato Emilio Andres</t>
  </si>
  <si>
    <t>20-134554226-9</t>
  </si>
  <si>
    <t>OAM</t>
  </si>
  <si>
    <t>Dop Nestor Hugo</t>
  </si>
  <si>
    <t>20-12940526-1</t>
  </si>
  <si>
    <t>Transporte Orca</t>
  </si>
  <si>
    <t>Afip: L520024</t>
  </si>
  <si>
    <t>Cuota Nº8</t>
  </si>
  <si>
    <t>Signorelli Miguel Angel</t>
  </si>
  <si>
    <t>20-11616693-4</t>
  </si>
  <si>
    <t>Afip: M057143</t>
  </si>
  <si>
    <t>LA PAMPA</t>
  </si>
  <si>
    <t>Cuota Nº6</t>
  </si>
  <si>
    <t>Cuota Nº7</t>
  </si>
  <si>
    <t>20-13454226-9</t>
  </si>
  <si>
    <t>Bousyk</t>
  </si>
  <si>
    <t>Anhorn juan ricardo</t>
  </si>
  <si>
    <t>20-07695582-5</t>
  </si>
  <si>
    <t xml:space="preserve">Sanjurjo Garcia Maria Juliana
</t>
  </si>
  <si>
    <t>Class</t>
  </si>
  <si>
    <t>La Valle Antonio Alberto</t>
  </si>
  <si>
    <t>20-08479043-6</t>
  </si>
  <si>
    <t>Manzo</t>
  </si>
  <si>
    <t>Bovati Mario Sergio</t>
  </si>
  <si>
    <t>20-14748704-6</t>
  </si>
  <si>
    <t>Cassibba Julio Alberto</t>
  </si>
  <si>
    <t>20-05305088-4</t>
  </si>
  <si>
    <t>La pastora</t>
  </si>
  <si>
    <t>Viga</t>
  </si>
  <si>
    <t xml:space="preserve">Nuñez Licia Virginia Del
</t>
  </si>
  <si>
    <t>27-11685339-1</t>
  </si>
  <si>
    <t>BPN</t>
  </si>
  <si>
    <t>Recarte Vilma Liliana</t>
  </si>
  <si>
    <t>27-17006462-9</t>
  </si>
  <si>
    <t>Bonanza S.H.</t>
  </si>
  <si>
    <t>30-71462813-1</t>
  </si>
  <si>
    <t>Paulina Beatriz</t>
  </si>
  <si>
    <t>27-28661925-3</t>
  </si>
  <si>
    <t>Olguin Daniel y Sosa Ya</t>
  </si>
  <si>
    <t>Rechazado</t>
  </si>
  <si>
    <t>30-71468585-2</t>
  </si>
  <si>
    <t>Castellano Julieta Sabina</t>
  </si>
  <si>
    <t>27-31215595-3</t>
  </si>
  <si>
    <t>Paduan Estela Maris</t>
  </si>
  <si>
    <t>27-13367846-3</t>
  </si>
  <si>
    <t>Afip:M469312</t>
  </si>
  <si>
    <t>Qualitie Servicios</t>
  </si>
  <si>
    <t>30-71635884-0</t>
  </si>
  <si>
    <t>Rubin Valeria</t>
  </si>
  <si>
    <t>27-27433026-6</t>
  </si>
  <si>
    <t>Caffarena Julieta Erika</t>
  </si>
  <si>
    <t>27-22062662-3</t>
  </si>
  <si>
    <t>Villegas Gustavo Mauricio</t>
  </si>
  <si>
    <t>20-17180994-1</t>
  </si>
  <si>
    <t>Anguino Ivan Cristian Roque</t>
  </si>
  <si>
    <t>24-26182518-6</t>
  </si>
  <si>
    <t>Nuevo Banco Del Chaco</t>
  </si>
  <si>
    <t>Bertolucci Rene Federico</t>
  </si>
  <si>
    <t>20-30791872-3</t>
  </si>
  <si>
    <t>Margot S.R.L</t>
  </si>
  <si>
    <t>Falla Tecnica</t>
  </si>
  <si>
    <t>Bouzick Canje</t>
  </si>
  <si>
    <t>30-71458446-0</t>
  </si>
  <si>
    <t xml:space="preserve">Error fecha
</t>
  </si>
  <si>
    <t>Joris Paulina Beatriz</t>
  </si>
  <si>
    <t>Gonzalez Analia Gabriela</t>
  </si>
  <si>
    <t>27-22911289-4</t>
  </si>
  <si>
    <t>Temco</t>
  </si>
  <si>
    <t>Pereyra Mario Alejandro</t>
  </si>
  <si>
    <t>20-20825482-1</t>
  </si>
  <si>
    <t>----</t>
  </si>
  <si>
    <t>Anulado</t>
  </si>
  <si>
    <t>Carelli Leticia</t>
  </si>
  <si>
    <t>27-22704255-4</t>
  </si>
  <si>
    <t>Rangone Marina Soledad</t>
  </si>
  <si>
    <t>27-25644111-5</t>
  </si>
  <si>
    <t>AO Textil</t>
  </si>
  <si>
    <t>Bazan Sandra Maria</t>
  </si>
  <si>
    <t>27-116584512-4</t>
  </si>
  <si>
    <t>Allegretti Gustavo Carlos</t>
  </si>
  <si>
    <t xml:space="preserve">20-13770402-2
</t>
  </si>
  <si>
    <t>20-13770402-2</t>
  </si>
  <si>
    <t>Martines Carlos</t>
  </si>
  <si>
    <t>Muro Cristina Raquel</t>
  </si>
  <si>
    <t>27-13787839-4</t>
  </si>
  <si>
    <t>Bousyk Algodon</t>
  </si>
  <si>
    <t>Mosca Alicia Bella</t>
  </si>
  <si>
    <t>27-16535624-7</t>
  </si>
  <si>
    <t>David Hilado</t>
  </si>
  <si>
    <t>Tiene una parte rota</t>
  </si>
  <si>
    <t>BPBA</t>
  </si>
  <si>
    <t>Victor Jose Antonio</t>
  </si>
  <si>
    <t>20-24168928-0</t>
  </si>
  <si>
    <t>c</t>
  </si>
  <si>
    <t>Pato emiliano Andres</t>
  </si>
  <si>
    <t xml:space="preserve">Riabis 
</t>
  </si>
  <si>
    <t>macro</t>
  </si>
  <si>
    <t>catalano nicolas</t>
  </si>
  <si>
    <t>Pastora</t>
  </si>
  <si>
    <t xml:space="preserve">Ermantraut nestor
</t>
  </si>
  <si>
    <t>20-18461228-4</t>
  </si>
  <si>
    <t>Martin Jorge Carlos</t>
  </si>
  <si>
    <t>20-07367368-3</t>
  </si>
  <si>
    <t>??</t>
  </si>
  <si>
    <t>Lanhil</t>
  </si>
  <si>
    <t>Municipalidad de Ayacucho</t>
  </si>
  <si>
    <t>33-99900568-9</t>
  </si>
  <si>
    <t>Ganderatz S.A.</t>
  </si>
  <si>
    <t>33-70946211-9</t>
  </si>
  <si>
    <t>Afip:M528572</t>
  </si>
  <si>
    <t>6105-1200039/0</t>
  </si>
  <si>
    <t>credicoop</t>
  </si>
  <si>
    <t>signori luis</t>
  </si>
  <si>
    <t>a</t>
  </si>
  <si>
    <t>gayone</t>
  </si>
  <si>
    <t>salud industritral</t>
  </si>
  <si>
    <t>jose manuel gallego</t>
  </si>
  <si>
    <t>lospepes srl</t>
  </si>
  <si>
    <t>C</t>
  </si>
  <si>
    <t>paracas nicolas</t>
  </si>
  <si>
    <t>galicia</t>
  </si>
  <si>
    <t>toraglio,mercedes</t>
  </si>
  <si>
    <t>27-30687024-1</t>
  </si>
  <si>
    <t>Muro Cristrina Raquel</t>
  </si>
  <si>
    <t>PETRICH MASSON</t>
  </si>
  <si>
    <t>MASSON DANIEL</t>
  </si>
  <si>
    <t>3068117450-4</t>
  </si>
  <si>
    <t>PETRICH GARCIA</t>
  </si>
  <si>
    <t>FRANCES</t>
  </si>
  <si>
    <t>GARCIA JAVIER</t>
  </si>
  <si>
    <t>PETRICH TODINO</t>
  </si>
  <si>
    <t>EREARNAU</t>
  </si>
  <si>
    <t>30-71159621-2</t>
  </si>
  <si>
    <t>San Cristobal Ecco</t>
  </si>
  <si>
    <t>petrich todino</t>
  </si>
  <si>
    <t>construir america sa</t>
  </si>
  <si>
    <t>30-711473873-5</t>
  </si>
  <si>
    <t>Bouzyk Gustavo</t>
  </si>
  <si>
    <t>20-37011941-5</t>
  </si>
  <si>
    <t>ARREGLAR NUMERO Y FECHA</t>
  </si>
  <si>
    <t>AOT</t>
  </si>
  <si>
    <t>Bouzik, Carlos</t>
  </si>
  <si>
    <t>Di toro maria alejandra</t>
  </si>
  <si>
    <t>27-21096179-3</t>
  </si>
  <si>
    <t>bouzik gust</t>
  </si>
  <si>
    <t>provincia</t>
  </si>
  <si>
    <t>gustavo bouzik</t>
  </si>
  <si>
    <t>i</t>
  </si>
  <si>
    <t>bouzik Carlos</t>
  </si>
  <si>
    <t>longhio, maria EUGENIA</t>
  </si>
  <si>
    <t xml:space="preserve">27-13552791-8
</t>
  </si>
  <si>
    <t>Covers Hector Ernesto</t>
  </si>
  <si>
    <t xml:space="preserve">A
</t>
  </si>
  <si>
    <t xml:space="preserve">DOS ERRORES, INARREGLABLE
</t>
  </si>
  <si>
    <t>convers petrich</t>
  </si>
  <si>
    <t>Polirubro Amigo S.A.</t>
  </si>
  <si>
    <t>30-66665029-4</t>
  </si>
  <si>
    <t>Marchioni Arnaldo Ernesto</t>
  </si>
  <si>
    <t>20-13891782-8</t>
  </si>
  <si>
    <t>Pallotti Juan Carlos</t>
  </si>
  <si>
    <t>20-08527402-4</t>
  </si>
  <si>
    <t>Anton Victor Jose</t>
  </si>
  <si>
    <t>Afip: M618474</t>
  </si>
  <si>
    <t>Povincia</t>
  </si>
  <si>
    <t>I</t>
  </si>
  <si>
    <t>Sanjurjo Garcia Martin Nataniel</t>
  </si>
  <si>
    <t>23-34230004-9</t>
  </si>
  <si>
    <t>Provinicia</t>
  </si>
  <si>
    <t>Cuota Nº9</t>
  </si>
  <si>
    <t>Cuota Nº10</t>
  </si>
  <si>
    <t>Cassibba</t>
  </si>
  <si>
    <t>Cuota Nº11</t>
  </si>
  <si>
    <t>Cuota Nº12</t>
  </si>
  <si>
    <t>Cuota Nº13</t>
  </si>
  <si>
    <t>Cuota Nº14</t>
  </si>
  <si>
    <t>Cuota Nº15</t>
  </si>
  <si>
    <t>Cuota Nº16</t>
  </si>
  <si>
    <t>Cuota Nº17</t>
  </si>
  <si>
    <t>Cuota Nº18</t>
  </si>
  <si>
    <t>Tovillas Carlos Enrique</t>
  </si>
  <si>
    <t>20-04970412-8</t>
  </si>
  <si>
    <t>Element</t>
  </si>
  <si>
    <t>Club de diseño SRL</t>
  </si>
  <si>
    <t>Eco Uniformes</t>
  </si>
  <si>
    <t>x-74</t>
  </si>
  <si>
    <t>x-73</t>
  </si>
  <si>
    <t>Roxana</t>
  </si>
  <si>
    <t>x-72</t>
  </si>
  <si>
    <t>x-71</t>
  </si>
  <si>
    <t>x-70</t>
  </si>
  <si>
    <t>x-69</t>
  </si>
  <si>
    <t>x-68</t>
  </si>
  <si>
    <t>x-67</t>
  </si>
  <si>
    <t>x-66</t>
  </si>
  <si>
    <t>x-65</t>
  </si>
  <si>
    <t>x-64</t>
  </si>
  <si>
    <t>x-63</t>
  </si>
  <si>
    <t>x-62</t>
  </si>
  <si>
    <t>x-61</t>
  </si>
  <si>
    <t>x-60</t>
  </si>
  <si>
    <t>x-59</t>
  </si>
  <si>
    <t>x-58</t>
  </si>
  <si>
    <t>x-57</t>
  </si>
  <si>
    <t>30-63507155-5</t>
  </si>
  <si>
    <t>x-56</t>
  </si>
  <si>
    <t>x-55</t>
  </si>
  <si>
    <t>x-54</t>
  </si>
  <si>
    <t>x-53</t>
  </si>
  <si>
    <t>20-20035646-3</t>
  </si>
  <si>
    <t>x-52</t>
  </si>
  <si>
    <t>Itau</t>
  </si>
  <si>
    <t>20-04413615-6</t>
  </si>
  <si>
    <t>x-51</t>
  </si>
  <si>
    <t>30-70737613-5</t>
  </si>
  <si>
    <t>x-50</t>
  </si>
  <si>
    <t>30-68999009-2</t>
  </si>
  <si>
    <t>x-49</t>
  </si>
  <si>
    <t>30-68537634-9</t>
  </si>
  <si>
    <t>x-48</t>
  </si>
  <si>
    <t>30-54574548-4</t>
  </si>
  <si>
    <t>x-47</t>
  </si>
  <si>
    <t>x-46</t>
  </si>
  <si>
    <t>x-45</t>
  </si>
  <si>
    <t>x-44</t>
  </si>
  <si>
    <t>x-43</t>
  </si>
  <si>
    <t>x-42</t>
  </si>
  <si>
    <t>x-41</t>
  </si>
  <si>
    <t>x-40</t>
  </si>
  <si>
    <t>x-39</t>
  </si>
  <si>
    <t>30-71463883-8</t>
  </si>
  <si>
    <t>x-38</t>
  </si>
  <si>
    <t>Juan Manuel  Gallego</t>
  </si>
  <si>
    <t>Los Pepes SRL</t>
  </si>
  <si>
    <t>33-71508741-9</t>
  </si>
  <si>
    <t>Riavis</t>
  </si>
  <si>
    <t>Bancor</t>
  </si>
  <si>
    <t>30-6373390-5</t>
  </si>
  <si>
    <t>x-37</t>
  </si>
  <si>
    <t>30-63733907-5</t>
  </si>
  <si>
    <t>x-36</t>
  </si>
  <si>
    <t>30-66636715-0</t>
  </si>
  <si>
    <t>x-35</t>
  </si>
  <si>
    <t>x-34</t>
  </si>
  <si>
    <t>x-33</t>
  </si>
  <si>
    <t>x-32</t>
  </si>
  <si>
    <t>20-1325770-9</t>
  </si>
  <si>
    <t>x-31</t>
  </si>
  <si>
    <t>x-30</t>
  </si>
  <si>
    <t>x-29</t>
  </si>
  <si>
    <t>x-28</t>
  </si>
  <si>
    <t>30-70984048-3</t>
  </si>
  <si>
    <t>x-27</t>
  </si>
  <si>
    <t>x-26</t>
  </si>
  <si>
    <t>x-25</t>
  </si>
  <si>
    <t>x-24</t>
  </si>
  <si>
    <t>x-23</t>
  </si>
  <si>
    <t>x-22</t>
  </si>
  <si>
    <t>x-21</t>
  </si>
  <si>
    <t>x-20</t>
  </si>
  <si>
    <t>x-19</t>
  </si>
  <si>
    <t>x-18</t>
  </si>
  <si>
    <t>x-17</t>
  </si>
  <si>
    <t>x-16</t>
  </si>
  <si>
    <t>x-15</t>
  </si>
  <si>
    <t>x-14</t>
  </si>
  <si>
    <t>20-10095207-7</t>
  </si>
  <si>
    <t>x-13</t>
  </si>
  <si>
    <t>x-12</t>
  </si>
  <si>
    <t>x-11</t>
  </si>
  <si>
    <t>x-10</t>
  </si>
  <si>
    <t>x-9</t>
  </si>
  <si>
    <t>x-8</t>
  </si>
  <si>
    <t>x-7</t>
  </si>
  <si>
    <t>x-6</t>
  </si>
  <si>
    <t>Speranza</t>
  </si>
  <si>
    <t>x-5</t>
  </si>
  <si>
    <t>x-4</t>
  </si>
  <si>
    <t>x-3</t>
  </si>
  <si>
    <t>x-2</t>
  </si>
  <si>
    <t>Ciudad</t>
  </si>
  <si>
    <t>30-71118911-0</t>
  </si>
  <si>
    <t>x-1</t>
  </si>
  <si>
    <t xml:space="preserve">Pampa  Y Novillo S.A </t>
  </si>
  <si>
    <t>Pampa y Novillo S.A</t>
  </si>
  <si>
    <t>33-1464790-9</t>
  </si>
  <si>
    <t>Zoughout Diana</t>
  </si>
  <si>
    <t>Cambiado por efectivo</t>
  </si>
  <si>
    <t>Garcia Sanjurj Martin Nataniel</t>
  </si>
  <si>
    <t>Bazan, Sandra Maria</t>
  </si>
  <si>
    <t>27-16584512-4</t>
  </si>
  <si>
    <t>Solchaga Vanesa Cinthia</t>
  </si>
  <si>
    <t>27-26145120-6</t>
  </si>
  <si>
    <t>A</t>
  </si>
  <si>
    <t>Roxi</t>
  </si>
  <si>
    <t>Taraburelli Estela del Carmen</t>
  </si>
  <si>
    <t>27-17421745-4</t>
  </si>
  <si>
    <t>Garcia Sanjurj Maria Juliana</t>
  </si>
  <si>
    <t>Pellegrino Ana Maria</t>
  </si>
  <si>
    <t>27-05462541-9</t>
  </si>
  <si>
    <t>Riabias</t>
  </si>
  <si>
    <t>Leza Leandro Ezequiel</t>
  </si>
  <si>
    <t>20-33324350-5</t>
  </si>
  <si>
    <t>Organiz medica Atlan S.A.</t>
  </si>
  <si>
    <t>Godoy Luis Antonio</t>
  </si>
  <si>
    <t>20-17006624-4</t>
  </si>
  <si>
    <t>B</t>
  </si>
  <si>
    <t>Colon S.A</t>
  </si>
  <si>
    <t>30-2124450-7</t>
  </si>
  <si>
    <t>signori analuz</t>
  </si>
  <si>
    <t>27-24924330-8</t>
  </si>
  <si>
    <t>ver</t>
  </si>
  <si>
    <t>Clinica Colon</t>
  </si>
  <si>
    <t>30-54577813-7</t>
  </si>
  <si>
    <t>VER</t>
  </si>
  <si>
    <t>Petrich (los bascos)</t>
  </si>
  <si>
    <t>C-002</t>
  </si>
  <si>
    <t>C-001</t>
  </si>
  <si>
    <t>A-038</t>
  </si>
  <si>
    <t>A-037</t>
  </si>
  <si>
    <t>A-036</t>
  </si>
  <si>
    <t>A-035</t>
  </si>
  <si>
    <t>A-034</t>
  </si>
  <si>
    <t>A-033</t>
  </si>
  <si>
    <t>A-032</t>
  </si>
  <si>
    <t>Gusman</t>
  </si>
  <si>
    <t>Coop Trab Text Contex LTD</t>
  </si>
  <si>
    <t>33-66576279-9</t>
  </si>
  <si>
    <t>B-061</t>
  </si>
  <si>
    <t>B-060</t>
  </si>
  <si>
    <t>Marelo Manzo</t>
  </si>
  <si>
    <t>B-059</t>
  </si>
  <si>
    <t>B-058</t>
  </si>
  <si>
    <t>B-057</t>
  </si>
  <si>
    <t>B-056</t>
  </si>
  <si>
    <t>B-055</t>
  </si>
  <si>
    <t>B-054</t>
  </si>
  <si>
    <t>B-053</t>
  </si>
  <si>
    <t>B-052</t>
  </si>
  <si>
    <t>Rantalex</t>
  </si>
  <si>
    <t>B-051</t>
  </si>
  <si>
    <t>B-050</t>
  </si>
  <si>
    <t>B-049</t>
  </si>
  <si>
    <t>Allegreti Gustavo Carlos</t>
  </si>
  <si>
    <t>B-048</t>
  </si>
  <si>
    <t>Mal confeccionado: Centavos</t>
  </si>
  <si>
    <t>Pugliese Jorge oscar</t>
  </si>
  <si>
    <t>B-047</t>
  </si>
  <si>
    <t>B-046</t>
  </si>
  <si>
    <t>B-045</t>
  </si>
  <si>
    <t>B-044</t>
  </si>
  <si>
    <t>B-043</t>
  </si>
  <si>
    <t>B-042</t>
  </si>
  <si>
    <t>B-041</t>
  </si>
  <si>
    <t>B-040</t>
  </si>
  <si>
    <t>B-039</t>
  </si>
  <si>
    <t>B-038</t>
  </si>
  <si>
    <t>B-037</t>
  </si>
  <si>
    <t>INSTRUCCIONES  PARA CARGAR UN CHEQUE:</t>
  </si>
  <si>
    <t>PONER EL MOUSE SOBRE LA FILA NUMERO 10.</t>
  </si>
  <si>
    <t xml:space="preserve">LA FILA 9 SIEMPRE TIENE QUE ESTAR VACIA
</t>
  </si>
  <si>
    <t xml:space="preserve">APRETAR SEGUNDO CLICK DEL MOUSE
</t>
  </si>
  <si>
    <t>Urbaneja Cesar Rene</t>
  </si>
  <si>
    <t>PONER "INSERTAR 1 ARRIBA"</t>
  </si>
  <si>
    <t>20-05057960-4</t>
  </si>
  <si>
    <t xml:space="preserve">SE CREARA UNA NUEVA FILA NUMERO 10 NUEVA, Y EL RESTO DE FILAS SE DESPLAZARAN HACIA ABAJO
</t>
  </si>
  <si>
    <t>B-036</t>
  </si>
  <si>
    <t>COMPLETAR LA FILA NORMALMENTE.</t>
  </si>
  <si>
    <t>INSTRUCCIONES PARA VERIFICAR PAGOS DE CHEQUES:</t>
  </si>
  <si>
    <t>PAGINA DEL BANCO</t>
  </si>
  <si>
    <t>CUENTA</t>
  </si>
  <si>
    <t>EXTRACTOS ELECTRONICOS</t>
  </si>
  <si>
    <t>EL Q TIENE EL ICONO DE UNA IMPRESORA</t>
  </si>
  <si>
    <t>El Norosal S.A.</t>
  </si>
  <si>
    <t>30-70887339-6</t>
  </si>
  <si>
    <t>B-035</t>
  </si>
  <si>
    <t>Flores Silvana Elisabet</t>
  </si>
  <si>
    <t>27-25075914-8</t>
  </si>
  <si>
    <t>B-034</t>
  </si>
  <si>
    <t>B-033</t>
  </si>
  <si>
    <t>Martin Fernando Roberto</t>
  </si>
  <si>
    <t>20-17995601-2</t>
  </si>
  <si>
    <t>B-032</t>
  </si>
  <si>
    <t>PailleHue SRL</t>
  </si>
  <si>
    <t>30-51962306-0</t>
  </si>
  <si>
    <t>B-031</t>
  </si>
  <si>
    <t>Espinosa Monica Silva</t>
  </si>
  <si>
    <t>BIND</t>
  </si>
  <si>
    <t>B-001</t>
  </si>
  <si>
    <t>Pago a oam</t>
  </si>
  <si>
    <t>Class Carlos</t>
  </si>
  <si>
    <t>Julio</t>
  </si>
  <si>
    <t>B-002</t>
  </si>
  <si>
    <t>Agosto</t>
  </si>
  <si>
    <t>Septiembre</t>
  </si>
  <si>
    <t xml:space="preserve">Octubre 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</si>
  <si>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</si>
  <si>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</si>
  <si>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</si>
  <si>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</si>
  <si>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</si>
  <si>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</si>
  <si>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</si>
  <si>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</si>
  <si>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B-003</t>
  </si>
  <si>
    <t>A-001</t>
  </si>
  <si>
    <t>Pastora Rioja S.A.</t>
  </si>
  <si>
    <t>B-004</t>
  </si>
  <si>
    <t>A Cobrar</t>
  </si>
  <si>
    <t>B-005</t>
  </si>
  <si>
    <t>Rodriguez Luis Maria Francisco</t>
  </si>
  <si>
    <t>20-13125770-9</t>
  </si>
  <si>
    <t>B-011</t>
  </si>
  <si>
    <t>Deposito</t>
  </si>
  <si>
    <t>B-007</t>
  </si>
  <si>
    <t>Schwindt Carlos Walter</t>
  </si>
  <si>
    <t>20-18504496-4</t>
  </si>
  <si>
    <t>B-008</t>
  </si>
  <si>
    <t>Cricco Alicia</t>
  </si>
  <si>
    <t>23-11808560-4</t>
  </si>
  <si>
    <t>B-009</t>
  </si>
  <si>
    <t>B-012</t>
  </si>
  <si>
    <t>B-013</t>
  </si>
  <si>
    <t>B-014</t>
  </si>
  <si>
    <t>B-015</t>
  </si>
  <si>
    <t>Ya lo endosaste</t>
  </si>
  <si>
    <t>Anhorn Juan Ricardo</t>
  </si>
  <si>
    <t>B-016</t>
  </si>
  <si>
    <t>B-006</t>
  </si>
  <si>
    <t>B-010</t>
  </si>
  <si>
    <t>A-002</t>
  </si>
  <si>
    <t>Pastora Neuquen S.A.</t>
  </si>
  <si>
    <t>A-003</t>
  </si>
  <si>
    <t>A-004</t>
  </si>
  <si>
    <t>B-017</t>
  </si>
  <si>
    <t>B-018</t>
  </si>
  <si>
    <t>B-019</t>
  </si>
  <si>
    <t>B-020</t>
  </si>
  <si>
    <t>A-005</t>
  </si>
  <si>
    <t>Baiud Wanda Elisabet</t>
  </si>
  <si>
    <t>23-31211968-4</t>
  </si>
  <si>
    <t>B-021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</si>
  <si>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</si>
  <si>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</si>
  <si>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</si>
  <si>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</si>
  <si>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</si>
  <si>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</si>
  <si>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</si>
  <si>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</si>
  <si>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</si>
  <si>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º</t>
  </si>
  <si>
    <t>A-015</t>
  </si>
  <si>
    <t>A-016</t>
  </si>
  <si>
    <t>B-022</t>
  </si>
  <si>
    <t>A-017</t>
  </si>
  <si>
    <t>B-023</t>
  </si>
  <si>
    <t>B-024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</si>
  <si>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</si>
  <si>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</si>
  <si>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</si>
  <si>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</si>
  <si>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</si>
  <si>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</si>
  <si>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</si>
  <si>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</si>
  <si>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Garcia Sanjurjon Daniel Alejo</t>
  </si>
  <si>
    <t>Garcia Sanjurjo Daniel Alejo</t>
  </si>
  <si>
    <t>20-35216842-5</t>
  </si>
  <si>
    <t>B-025</t>
  </si>
  <si>
    <t>Magallanes Maria Mirtha</t>
  </si>
  <si>
    <t>27-14630508-9</t>
  </si>
  <si>
    <t>B-026</t>
  </si>
  <si>
    <t>B-027</t>
  </si>
  <si>
    <t>B-028</t>
  </si>
  <si>
    <t>B-029</t>
  </si>
  <si>
    <t>B-030</t>
  </si>
  <si>
    <t>A-026</t>
  </si>
  <si>
    <t>A-027</t>
  </si>
  <si>
    <t>A-028</t>
  </si>
  <si>
    <t>A-029</t>
  </si>
  <si>
    <t>A-030</t>
  </si>
  <si>
    <t>A-031</t>
  </si>
  <si>
    <t>SUM of Monto</t>
  </si>
  <si>
    <t>Total general</t>
  </si>
  <si>
    <t>Total 2020</t>
  </si>
  <si>
    <t>Nº de Fact</t>
  </si>
  <si>
    <t>Matocha</t>
  </si>
  <si>
    <t>Reynosa Jorge Andres</t>
  </si>
  <si>
    <t>20-25076223-3</t>
  </si>
  <si>
    <t>Vecchio</t>
  </si>
  <si>
    <t>Sanchez Fernando Gabriel</t>
  </si>
  <si>
    <t>20-25973603-0</t>
  </si>
  <si>
    <t>Tenaglia Maria Graciela</t>
  </si>
  <si>
    <t>27-13769994-5</t>
  </si>
  <si>
    <t>Dia de cobro</t>
  </si>
  <si>
    <t>Etiquetas de columna</t>
  </si>
  <si>
    <t>Etiquetas de fila</t>
  </si>
  <si>
    <t>Suma de Monto</t>
  </si>
  <si>
    <t>Lartex SRL</t>
  </si>
  <si>
    <t>Recuperado</t>
  </si>
  <si>
    <t>Seguro Gol</t>
  </si>
  <si>
    <t>Lartex</t>
  </si>
  <si>
    <t>Mena Andres Esteban</t>
  </si>
  <si>
    <t>20-2536889-6</t>
  </si>
  <si>
    <t>CAMBIADO</t>
  </si>
  <si>
    <t>17/4 RECHAZADO</t>
  </si>
  <si>
    <t>Martinez</t>
  </si>
  <si>
    <t>20-19078281-7</t>
  </si>
  <si>
    <t>Dopchiz*iair</t>
  </si>
  <si>
    <t>Plazo p/ Reponer</t>
  </si>
  <si>
    <t>Bousyk x efectivo</t>
  </si>
  <si>
    <t>A Depositar</t>
  </si>
  <si>
    <t>Petz Marcela de los Angeles</t>
  </si>
  <si>
    <t>27-21760514-3</t>
  </si>
  <si>
    <t>Se pago intereses el 6/5/20 x 1218,26</t>
  </si>
  <si>
    <t>Se pago intereses el 6/5/20 x 3575,34</t>
  </si>
  <si>
    <t>PRESTAMO A TASA CERO</t>
  </si>
  <si>
    <t>Monto total del credito</t>
  </si>
  <si>
    <t>Monto del credito tramitado</t>
  </si>
  <si>
    <t>METODO:</t>
  </si>
  <si>
    <t>Pago a visa 3 cuotas + pago de autonomos</t>
  </si>
  <si>
    <t>Cuota</t>
  </si>
  <si>
    <t>Cuotas</t>
  </si>
  <si>
    <t>Pago autonomos x vencimiento</t>
  </si>
  <si>
    <t>Cuota a recibir</t>
  </si>
  <si>
    <t>TASA:</t>
  </si>
  <si>
    <t>Cuota a pagar</t>
  </si>
  <si>
    <t>Meses a pagar:</t>
  </si>
  <si>
    <t>Cuota a pagar:</t>
  </si>
  <si>
    <t>Pago 6 meses de gracia</t>
  </si>
  <si>
    <t xml:space="preserve"> 12 cuotas a partir del mes siguiente</t>
  </si>
  <si>
    <t>3 meses de gracia, y 9 cuotas mensuales</t>
  </si>
  <si>
    <t>Monto del credito</t>
  </si>
  <si>
    <t>EN QUE SISTEMA??</t>
  </si>
  <si>
    <t>Intereses</t>
  </si>
  <si>
    <t>Total a devolver</t>
  </si>
  <si>
    <t>TARJETA FRANCES</t>
  </si>
  <si>
    <t>Fecha de acreditacion</t>
  </si>
  <si>
    <t>Periodo</t>
  </si>
  <si>
    <t>8/4/2020 - 7/5/2020</t>
  </si>
  <si>
    <t>Pago en vencimientos</t>
  </si>
  <si>
    <t>TARJETA PROVINCIA</t>
  </si>
  <si>
    <t>19/3/2020 - 23/4/2020</t>
  </si>
  <si>
    <t>TOTAL DEUDA</t>
  </si>
  <si>
    <t>Prestamos tasa cero</t>
  </si>
  <si>
    <t>Tarjeta Frances</t>
  </si>
  <si>
    <t>Tarjeta Provincia</t>
  </si>
  <si>
    <t>TOTAL</t>
  </si>
  <si>
    <t>Avelino Garcia Sociedad Anonim</t>
  </si>
  <si>
    <t>signori Ana Luz</t>
  </si>
  <si>
    <t>26/5 (VER SI ES)</t>
  </si>
  <si>
    <t xml:space="preserve">26/5 VER SI ES </t>
  </si>
  <si>
    <t>Borra</t>
  </si>
  <si>
    <t>Kees Marina Soledad</t>
  </si>
  <si>
    <t>23-29859387-4</t>
  </si>
  <si>
    <t>Fotos Nino Srl</t>
  </si>
  <si>
    <t>30-68140575-1</t>
  </si>
  <si>
    <t>Deposito en cc</t>
  </si>
  <si>
    <t>Sosa Fernando Alberto</t>
  </si>
  <si>
    <t>20-23479311-0</t>
  </si>
  <si>
    <t>Ver si es 17/6</t>
  </si>
  <si>
    <t>Broto Monica Graciela</t>
  </si>
  <si>
    <t>27-17211496-8</t>
  </si>
  <si>
    <t>6105-11738664/1</t>
  </si>
  <si>
    <t>Frente al BCRA</t>
  </si>
  <si>
    <t>Martin - Mandi</t>
  </si>
  <si>
    <t>No se</t>
  </si>
  <si>
    <t>Rita Ferrando</t>
  </si>
  <si>
    <t>Tovar Luis Maria</t>
  </si>
  <si>
    <t>20-12663675-0</t>
  </si>
  <si>
    <t>Mendizabal Antonela</t>
  </si>
  <si>
    <t>27-33646782-4</t>
  </si>
  <si>
    <t>Mendoza Juan Pablo</t>
  </si>
  <si>
    <t>20-26057362-5</t>
  </si>
  <si>
    <t>Guillermo Pons y Ricardo Pons Sociedad D</t>
  </si>
  <si>
    <t>33-66414782-9</t>
  </si>
  <si>
    <t>20-17995601-3</t>
  </si>
  <si>
    <t>Mandy</t>
  </si>
  <si>
    <t>RE Gestion en salud MDP SRL</t>
  </si>
  <si>
    <t>Cabello Miguel</t>
  </si>
  <si>
    <t>Paula SRL</t>
  </si>
  <si>
    <t>30-70891062-3</t>
  </si>
  <si>
    <t>Lizarraga Marcelo Sebastian</t>
  </si>
  <si>
    <t>20-33681152-0</t>
  </si>
  <si>
    <t>Coinag</t>
  </si>
  <si>
    <t>Mutual de Soc del Arias foot</t>
  </si>
  <si>
    <t>30-61991064-4</t>
  </si>
  <si>
    <t>Bertola Jose Luis</t>
  </si>
  <si>
    <t>23-20135927-9</t>
  </si>
  <si>
    <t>Bertero Paola del Valle</t>
  </si>
  <si>
    <t>27-31335256-6</t>
  </si>
  <si>
    <t>Grimal Susana Beatriz</t>
  </si>
  <si>
    <t>27-13672652-3</t>
  </si>
  <si>
    <t>Santa Fe</t>
  </si>
  <si>
    <t>Bargas Lorena Guadalupe</t>
  </si>
  <si>
    <t>27-29566646-9</t>
  </si>
  <si>
    <t>Comercial Las Toscas Sociedad</t>
  </si>
  <si>
    <t>30-71203380-7</t>
  </si>
  <si>
    <t>Peralta Gladys Noemi</t>
  </si>
  <si>
    <t>27-26586636-6</t>
  </si>
  <si>
    <t>Sejas Vanesa Carolina</t>
  </si>
  <si>
    <t>27-27879568-9</t>
  </si>
  <si>
    <t>Torresi Sandra Veronica</t>
  </si>
  <si>
    <t>27-23466133-2</t>
  </si>
  <si>
    <t>Escobar Sandra Julieta</t>
  </si>
  <si>
    <t>27-24747863-4</t>
  </si>
  <si>
    <t>Duelli Raul Alberto</t>
  </si>
  <si>
    <t>20-13036878-7</t>
  </si>
  <si>
    <t>Giulianelli Omar Isaac Ramon</t>
  </si>
  <si>
    <t>20-16180842-4</t>
  </si>
  <si>
    <t>Cuello Matias Ramon</t>
  </si>
  <si>
    <t>20-27361033-3</t>
  </si>
  <si>
    <t>Pagada</t>
  </si>
  <si>
    <t>Techista</t>
  </si>
  <si>
    <t>INPA SAS</t>
  </si>
  <si>
    <t>30-71615088-3</t>
  </si>
  <si>
    <t>Techista Daniel Barrionuevo</t>
  </si>
  <si>
    <t>Lipovetzky</t>
  </si>
  <si>
    <t>Signori Luis Alberto</t>
  </si>
  <si>
    <t>Turnaturi Marcela Alejandra</t>
  </si>
  <si>
    <t>27-18378863-4</t>
  </si>
  <si>
    <t>Jerez Marcelo Fabian</t>
  </si>
  <si>
    <t>20-17178735-2</t>
  </si>
  <si>
    <t>Municipalidad de Loberia</t>
  </si>
  <si>
    <t>30-99902281-9</t>
  </si>
  <si>
    <t>Romero Cintia Anabel</t>
  </si>
  <si>
    <t>27-22173452-7</t>
  </si>
  <si>
    <t>Patricia Ramos</t>
  </si>
  <si>
    <t>Ramos Patricia Cecilia</t>
  </si>
  <si>
    <t>23-14393221-4</t>
  </si>
  <si>
    <t>Club de diseño S R</t>
  </si>
  <si>
    <t>INICIO CUARENTENA</t>
  </si>
  <si>
    <t>Total a pagar</t>
  </si>
  <si>
    <t>CFT</t>
  </si>
  <si>
    <t>Garcia Cortiñas Juan Ignacio</t>
  </si>
  <si>
    <t>20-29510356-7</t>
  </si>
  <si>
    <t>Vencidos</t>
  </si>
  <si>
    <t>Los Vascos SRL</t>
  </si>
  <si>
    <t>30-52975244-6</t>
  </si>
  <si>
    <t>Eden Betina Alejandra</t>
  </si>
  <si>
    <t>27-24988465-6</t>
  </si>
  <si>
    <t>Consorcio gerardo</t>
  </si>
  <si>
    <t>Club de Diseño S R</t>
  </si>
  <si>
    <t>La zonal S.A.</t>
  </si>
  <si>
    <t>30-70943803-0</t>
  </si>
  <si>
    <t>Minuz Hugo</t>
  </si>
  <si>
    <t>20-06440251-0</t>
  </si>
  <si>
    <t>Centro Card SA</t>
  </si>
  <si>
    <t>30-70838935-4</t>
  </si>
  <si>
    <t>Villanueva Leandro Aaron</t>
  </si>
  <si>
    <t>20-40960729-3</t>
  </si>
  <si>
    <t>Fidani Graciela Rosa</t>
  </si>
  <si>
    <t>27-14178381-0</t>
  </si>
  <si>
    <t>Campilia Maria Agustina</t>
  </si>
  <si>
    <t>27-33612440-4</t>
  </si>
  <si>
    <t>Nievas Juan Carlos</t>
  </si>
  <si>
    <t>20-17800401-9</t>
  </si>
  <si>
    <t>Silvestre Luciana Gisela</t>
  </si>
  <si>
    <t>27-27348310-7</t>
  </si>
  <si>
    <t>Ateca Julian</t>
  </si>
  <si>
    <t>20-17152102-6</t>
  </si>
  <si>
    <t>Molfeta S.A.S.</t>
  </si>
  <si>
    <t>30-71671165-6</t>
  </si>
  <si>
    <t>Silveste Luciana Gisela</t>
  </si>
  <si>
    <t>Tarjeta Naranja S.A.</t>
  </si>
  <si>
    <t>Pagnucco Carmen Rosa Victoria</t>
  </si>
  <si>
    <t>27-12043442-5</t>
  </si>
  <si>
    <t>Galiacia</t>
  </si>
  <si>
    <t>Piatti Patricia Susana</t>
  </si>
  <si>
    <t>27-20143169-2</t>
  </si>
  <si>
    <t>Arnese Luciana Maria De Lujan</t>
  </si>
  <si>
    <t>27-30374825-9</t>
  </si>
  <si>
    <t>Alcura S.A.</t>
  </si>
  <si>
    <t>30-71534942-2</t>
  </si>
  <si>
    <t>Aguvia SRL</t>
  </si>
  <si>
    <t>30-71498922-3</t>
  </si>
  <si>
    <t>Epokas Valentina S.A.S.</t>
  </si>
  <si>
    <t>30-71636966-4</t>
  </si>
  <si>
    <t>Victor Colaccio</t>
  </si>
  <si>
    <t>(Varios elementos)</t>
  </si>
  <si>
    <t>Joaquin</t>
  </si>
  <si>
    <t>Quattro Ingenieria Mar Del Plata S.R.L.</t>
  </si>
  <si>
    <t>30-7148766-3</t>
  </si>
  <si>
    <t>Afip: N795279</t>
  </si>
  <si>
    <t>Cuota Nº19</t>
  </si>
  <si>
    <t>Cuota Nº20</t>
  </si>
  <si>
    <t>Cuota Nº21</t>
  </si>
  <si>
    <t>Cuota Nº22</t>
  </si>
  <si>
    <t>Cuota Nº23</t>
  </si>
  <si>
    <t>Cuota Nº24</t>
  </si>
  <si>
    <t>Cuota Nº25</t>
  </si>
  <si>
    <t>Cuota Nº26</t>
  </si>
  <si>
    <t>Cuota Nº27</t>
  </si>
  <si>
    <t>Cuota Nº28</t>
  </si>
  <si>
    <t>Cuota Nº29</t>
  </si>
  <si>
    <t>Cuota Nº30</t>
  </si>
  <si>
    <t>Cuota Nº31</t>
  </si>
  <si>
    <t>Cuota Nº32</t>
  </si>
  <si>
    <t>Cuota Nº33</t>
  </si>
  <si>
    <t>Cuota Nº34</t>
  </si>
  <si>
    <t>Cuota Nº35</t>
  </si>
  <si>
    <t>Cuota Nº36</t>
  </si>
  <si>
    <t>Cuota Nº37</t>
  </si>
  <si>
    <t>Cuota Nº38</t>
  </si>
  <si>
    <t>Cuota Nº39</t>
  </si>
  <si>
    <t>Cuota Nº40</t>
  </si>
  <si>
    <t>Cuota Nº41</t>
  </si>
  <si>
    <t>Cuota Nº42</t>
  </si>
  <si>
    <t>Cuota Nº43</t>
  </si>
  <si>
    <t>Cuota Nº44</t>
  </si>
  <si>
    <t>Cuota Nº45</t>
  </si>
  <si>
    <t>Cuota Nº46</t>
  </si>
  <si>
    <t>Cuota Nº47</t>
  </si>
  <si>
    <t>Cuota Nº48</t>
  </si>
  <si>
    <t>Cuota Nº49</t>
  </si>
  <si>
    <t>Cuota Nº50</t>
  </si>
  <si>
    <t>Cuota Nº51</t>
  </si>
  <si>
    <t>Cuota Nº52</t>
  </si>
  <si>
    <t>Cuota Nº53</t>
  </si>
  <si>
    <t>Cuota Nº54</t>
  </si>
  <si>
    <t>Cuota Nº55</t>
  </si>
  <si>
    <t>Cuota Nº56</t>
  </si>
  <si>
    <t>Cuota Nº57</t>
  </si>
  <si>
    <t>Cuota Nº58</t>
  </si>
  <si>
    <t>Cuota Nº59</t>
  </si>
  <si>
    <t>Cuota Nº60</t>
  </si>
  <si>
    <t>Cuota Nº61</t>
  </si>
  <si>
    <t>Cuota Nº62</t>
  </si>
  <si>
    <t>Cuota Nº63</t>
  </si>
  <si>
    <t>Cuota Nº64</t>
  </si>
  <si>
    <t>Cuota Nº65</t>
  </si>
  <si>
    <t>Cuota Nº66</t>
  </si>
  <si>
    <t>Cuota Nº67</t>
  </si>
  <si>
    <t>Cuota Nº68</t>
  </si>
  <si>
    <t>Cuota Nº69</t>
  </si>
  <si>
    <t>Cuota Nº70</t>
  </si>
  <si>
    <t>Cuota Nº71</t>
  </si>
  <si>
    <t>Cuota Nº72</t>
  </si>
  <si>
    <t>Afip: N796086</t>
  </si>
  <si>
    <t>Afip: N795505</t>
  </si>
  <si>
    <t>Onena</t>
  </si>
  <si>
    <t>Carlos Bouzyk</t>
  </si>
  <si>
    <t>Valerga Gustavo Ariel</t>
  </si>
  <si>
    <t>20-24343800-5</t>
  </si>
  <si>
    <t>Cortes Walter Hernan</t>
  </si>
  <si>
    <t>23-22307161-9</t>
  </si>
  <si>
    <t>Herrera Ana Claudia</t>
  </si>
  <si>
    <t>27-17483218-3</t>
  </si>
  <si>
    <t>Godoy Mario Alberto</t>
  </si>
  <si>
    <t>20-14256710-6</t>
  </si>
  <si>
    <t>Agroservicios Brunetti Hnos. S</t>
  </si>
  <si>
    <t>30-71548113-4</t>
  </si>
  <si>
    <t>Sanchez Adolfo Adan</t>
  </si>
  <si>
    <t>20-34389597-7</t>
  </si>
  <si>
    <t>Sabena Graciela Silvana</t>
  </si>
  <si>
    <t>27-13472981-9</t>
  </si>
  <si>
    <t>HSBC</t>
  </si>
  <si>
    <t>Zenon Torino S.A.</t>
  </si>
  <si>
    <t>30-70798726-6</t>
  </si>
  <si>
    <t>Siscom S.R.L.</t>
  </si>
  <si>
    <t>30-64641720-8</t>
  </si>
  <si>
    <t>Jimenez Julia Elena</t>
  </si>
  <si>
    <t>27-23241703-5</t>
  </si>
  <si>
    <t>Sañudo Veronica Gabriela</t>
  </si>
  <si>
    <t>27-24785771-6</t>
  </si>
  <si>
    <t>Sastre Claudia Rosana Fernanda</t>
  </si>
  <si>
    <t>27-23392440-2</t>
  </si>
  <si>
    <t>Saint Genez Maria Milca</t>
  </si>
  <si>
    <t>27-25890941-6</t>
  </si>
  <si>
    <t>Obregon Maria Del Rosario</t>
  </si>
  <si>
    <t>27-21110142-9</t>
  </si>
  <si>
    <t>Comuna de Charbonier</t>
  </si>
  <si>
    <t>30-66854272-3</t>
  </si>
  <si>
    <t>Nuñez Maria Elisa Dominga</t>
  </si>
  <si>
    <t>27-13507273-2</t>
  </si>
  <si>
    <t>Oller Nicolas Alberto</t>
  </si>
  <si>
    <t>20-28054893-7</t>
  </si>
  <si>
    <t>Baldan Eliana Celina</t>
  </si>
  <si>
    <t>27-31399736-2</t>
  </si>
  <si>
    <t>Dezotti Fabricio Carlos</t>
  </si>
  <si>
    <t>20-21766472-2</t>
  </si>
  <si>
    <t>Ricardo Elia Mauricio Carlos Elia</t>
  </si>
  <si>
    <t>30-71591658-0</t>
  </si>
  <si>
    <t>Laza Walter Jose Luis</t>
  </si>
  <si>
    <t>20-14586077-7</t>
  </si>
  <si>
    <t>Melisa y Martin</t>
  </si>
  <si>
    <t>Bridge To Experienc SAS</t>
  </si>
  <si>
    <t>30-71683428-6</t>
  </si>
  <si>
    <t>Mendoza Mario Emmanuel</t>
  </si>
  <si>
    <t>20-34790746-5</t>
  </si>
  <si>
    <t>Otanto</t>
  </si>
  <si>
    <t>Orca</t>
  </si>
  <si>
    <t>Astengo Daniel Oscar</t>
  </si>
  <si>
    <t>20-14690348-8</t>
  </si>
  <si>
    <t>Rodriguez Carlos Alberto</t>
  </si>
  <si>
    <t>20-05250169-6</t>
  </si>
  <si>
    <t>Barrueco Adalberto Omar</t>
  </si>
  <si>
    <t>20-12167299-6</t>
  </si>
  <si>
    <t>Trembo Agropecuaria S.A.</t>
  </si>
  <si>
    <t>30-70758457-9</t>
  </si>
  <si>
    <t>Para sacar efect por 66800$-,</t>
  </si>
  <si>
    <t>Ao Textil</t>
  </si>
  <si>
    <t>Zalaquett</t>
  </si>
  <si>
    <t>Afip: O203812</t>
  </si>
  <si>
    <t>Devuelto por Veira, x supuesto "vencimiento"</t>
  </si>
  <si>
    <t>,</t>
  </si>
  <si>
    <t>NO SE</t>
  </si>
  <si>
    <t>(Todas)</t>
  </si>
  <si>
    <t>Maisonave</t>
  </si>
  <si>
    <t>Gomeria el pampeano</t>
  </si>
  <si>
    <t>Retiro 200.000$</t>
  </si>
  <si>
    <t>Total 2021</t>
  </si>
  <si>
    <t>Vincent Pablo Alberto</t>
  </si>
  <si>
    <t>20-17315483-7</t>
  </si>
  <si>
    <t>Devuelto</t>
  </si>
  <si>
    <t>Rechazado por otranto</t>
  </si>
  <si>
    <t>Retiro 130,000$</t>
  </si>
  <si>
    <t>Cuota Nº1 CAP</t>
  </si>
  <si>
    <t>Cuota Nº1 INT</t>
  </si>
  <si>
    <t>Cuota Nº2 CAP</t>
  </si>
  <si>
    <t>Cuota Nº2 INT</t>
  </si>
  <si>
    <t>Cuota Nº3 CAP</t>
  </si>
  <si>
    <t>Cuota Nº3 INT</t>
  </si>
  <si>
    <t>Cuota Nº4 CAP</t>
  </si>
  <si>
    <t>Cuota Nº4 INT</t>
  </si>
  <si>
    <t>Cuota Nº5 CAP</t>
  </si>
  <si>
    <t>Cuota Nº5 INT</t>
  </si>
  <si>
    <t>Cuota Nº6 CAP</t>
  </si>
  <si>
    <t>Cuota Nº6 INT</t>
  </si>
  <si>
    <t>Cuota Nº7 CAP</t>
  </si>
  <si>
    <t>Cuota Nº7 INT</t>
  </si>
  <si>
    <t>Cuota Nº8 CAP</t>
  </si>
  <si>
    <t>Cuota Nº8 INT</t>
  </si>
  <si>
    <t>Cuota Nº9 CAP</t>
  </si>
  <si>
    <t>Cuota Nº9 INT</t>
  </si>
  <si>
    <t>Cuota Nº10 CAP</t>
  </si>
  <si>
    <t>Cuota Nº10 INT</t>
  </si>
  <si>
    <t>Cuota Nº11 CAP</t>
  </si>
  <si>
    <t>Cuota Nº11 INT</t>
  </si>
  <si>
    <t>Cuota Nº12 CAP</t>
  </si>
  <si>
    <t>Cuota Nº12 INT</t>
  </si>
  <si>
    <t>Seguro Eco</t>
  </si>
  <si>
    <t>Melano Miguel Angel</t>
  </si>
  <si>
    <t>20-11345164-6</t>
  </si>
  <si>
    <t>Tucuman</t>
  </si>
  <si>
    <t>Robles Rene Gustavo</t>
  </si>
  <si>
    <t>20-21028538-6</t>
  </si>
  <si>
    <t>S.B.M. S.A.S.</t>
  </si>
  <si>
    <t>30-71671543-0</t>
  </si>
  <si>
    <t>Bergia Norberto Hector</t>
  </si>
  <si>
    <t>20-20541301-5</t>
  </si>
  <si>
    <t>Martin</t>
  </si>
  <si>
    <t>IVA</t>
  </si>
  <si>
    <t>Casa Blanca</t>
  </si>
  <si>
    <t>Se lo comio el cajeroi</t>
  </si>
  <si>
    <t>Esteban - Shima</t>
  </si>
  <si>
    <t>5/22021</t>
  </si>
  <si>
    <t>Se le vencio a Rontaltex</t>
  </si>
  <si>
    <t>Blub de diseño SR</t>
  </si>
  <si>
    <t>Martinez Apolo</t>
  </si>
  <si>
    <t>Ruiz Gutierrez Francisco Del C</t>
  </si>
  <si>
    <t>27-92341950-6</t>
  </si>
  <si>
    <t>Fue rechazado, y al dia me lo pago en efectivo</t>
  </si>
  <si>
    <t>Sindicato</t>
  </si>
  <si>
    <t>X4OGNYX8J7R20L6</t>
  </si>
  <si>
    <t>Echeq</t>
  </si>
  <si>
    <t>MP68NKWY6LKNR7O</t>
  </si>
  <si>
    <t>Miranda Myriam Angelica</t>
  </si>
  <si>
    <t>27-14792393-2</t>
  </si>
  <si>
    <t>Ruben Cava</t>
  </si>
  <si>
    <t>Victor Brizuela</t>
  </si>
  <si>
    <t>Consorcio Prop. Edif. Gulfi I</t>
  </si>
  <si>
    <t>30-54233724-5</t>
  </si>
  <si>
    <t>Consorcio de Prop Edificio Mat</t>
  </si>
  <si>
    <t>30-56216996-9</t>
  </si>
  <si>
    <t>Cons Prop Ed Bolivar 2760</t>
  </si>
  <si>
    <t>30-54237382-9</t>
  </si>
  <si>
    <t>Nerak S.A.</t>
  </si>
  <si>
    <t>30-70946270-5</t>
  </si>
  <si>
    <t>(en blanco)</t>
  </si>
  <si>
    <t>Strasser Beatriz Susana</t>
  </si>
  <si>
    <t>27-12130666-8</t>
  </si>
  <si>
    <t>Grupo Famsal SRL</t>
  </si>
  <si>
    <t>30-71604988-0</t>
  </si>
  <si>
    <t>Rojo Mariela Elizabeth</t>
  </si>
  <si>
    <t>27-21383395-8</t>
  </si>
  <si>
    <t>Gomez Fernando Antonio</t>
  </si>
  <si>
    <t>20-23163653-7</t>
  </si>
  <si>
    <t>Bersano Marcelo Adrian</t>
  </si>
  <si>
    <t>20-20260101-5</t>
  </si>
  <si>
    <t>Cames Jose Antonio</t>
  </si>
  <si>
    <t>20-11551829-2</t>
  </si>
  <si>
    <t>Ortiz Cristiana Ruben</t>
  </si>
  <si>
    <t>20-23438919-0</t>
  </si>
  <si>
    <t>Vazquez Israel Carlos</t>
  </si>
  <si>
    <t>20-93738236-8</t>
  </si>
  <si>
    <t>Retirar 40,000$ p/gober</t>
  </si>
  <si>
    <t>Fechas de pago</t>
  </si>
  <si>
    <t>Monto a pagar</t>
  </si>
  <si>
    <t>Monto a cobrar</t>
  </si>
  <si>
    <t>Diferencia</t>
  </si>
  <si>
    <t>Acumulativo</t>
  </si>
  <si>
    <t>Monto "a pagar"</t>
  </si>
  <si>
    <t>Monto "A depositar"</t>
  </si>
  <si>
    <t>Retirar 120,000$ p/gober</t>
  </si>
  <si>
    <t>Retirar 62,000$ p/gober</t>
  </si>
  <si>
    <t>Puron German</t>
  </si>
  <si>
    <t>20-32198420-8</t>
  </si>
  <si>
    <t>Retirar 69,000$ p/gober</t>
  </si>
  <si>
    <t>27-20042244-4</t>
  </si>
  <si>
    <t>Morey Maria Marta</t>
  </si>
  <si>
    <t>Asensio Marcos Daniel</t>
  </si>
  <si>
    <t>Salas Alexis Sebastian</t>
  </si>
  <si>
    <t>20-16927574-3</t>
  </si>
  <si>
    <t>20-33177561-5</t>
  </si>
  <si>
    <t>27-10388828-5</t>
  </si>
  <si>
    <t>De Serro Buedo Ascension Maria</t>
  </si>
  <si>
    <t>San Cristobal Gol</t>
  </si>
  <si>
    <t>Expensas gerardo</t>
  </si>
  <si>
    <t>Nunca se cobro</t>
  </si>
  <si>
    <t>Cambio cheques riabis</t>
  </si>
  <si>
    <t>Cambio cheques de riabis por los de el, para otranto</t>
  </si>
  <si>
    <t>No se la fecha de pago</t>
  </si>
  <si>
    <t>Visa Provincia</t>
  </si>
  <si>
    <t>Master Provincia</t>
  </si>
  <si>
    <t>Cierre 20/5/2021</t>
  </si>
  <si>
    <t>Ramos Natalia Lizama Yamil Y L</t>
  </si>
  <si>
    <t>33-71109490-9</t>
  </si>
  <si>
    <t>Casim Maria Florencia</t>
  </si>
  <si>
    <t>Mennilli Gustavo Daniel</t>
  </si>
  <si>
    <t>Transp Autom La Patag SRL</t>
  </si>
  <si>
    <t>27-29211741-3</t>
  </si>
  <si>
    <t>20-12200655-8</t>
  </si>
  <si>
    <t>30-70746041-1</t>
  </si>
  <si>
    <t>Kess Marina Soledad</t>
  </si>
  <si>
    <t>Garis Laura Carina</t>
  </si>
  <si>
    <t>27-26907915-6</t>
  </si>
  <si>
    <t>Panromar</t>
  </si>
  <si>
    <t>Alonso Maria Eugenia</t>
  </si>
  <si>
    <t>27-20463557-4</t>
  </si>
  <si>
    <t>Carrizo Raul</t>
  </si>
  <si>
    <t>Ayala Carmen Haydee</t>
  </si>
  <si>
    <t>23-05792994-4</t>
  </si>
  <si>
    <t>Contador</t>
  </si>
  <si>
    <t>Arrighi Raul Daniel</t>
  </si>
  <si>
    <t>20-12196892-5</t>
  </si>
  <si>
    <t>30-71174219-7</t>
  </si>
  <si>
    <t>Rodriguez Spiller Fernando</t>
  </si>
  <si>
    <t>20-24897624-2</t>
  </si>
  <si>
    <t>Petroseg Servicios SRL</t>
  </si>
  <si>
    <t>27-29478450-6</t>
  </si>
  <si>
    <t>Por Alg 24/3 200kilos</t>
  </si>
  <si>
    <t>Pague 1193</t>
  </si>
  <si>
    <t>Pague 1214,32</t>
  </si>
  <si>
    <t>Pague 1177,43</t>
  </si>
  <si>
    <t>INICIO CUOTAS INT PRESTAMO INMOBILIARIO</t>
  </si>
  <si>
    <t>INICIO CUOTAS TOTALES PRESTAMO INMOBILIARIO</t>
  </si>
  <si>
    <t>Rodriguez Ruben Dario</t>
  </si>
  <si>
    <t>20-04888315-0</t>
  </si>
  <si>
    <t>Cacerez Nestor Fabian Jesus</t>
  </si>
  <si>
    <t>20-21384214-6</t>
  </si>
  <si>
    <t>Miculic Catalina Nelly</t>
  </si>
  <si>
    <t>27-01793930-6</t>
  </si>
  <si>
    <t>Vidu Boutique de Bonazza SH</t>
  </si>
  <si>
    <t>30-60252140-7</t>
  </si>
  <si>
    <t>Consorcio Prop Edif Guili I</t>
  </si>
  <si>
    <t>12/7/20021</t>
  </si>
  <si>
    <t>Variacion periodo anterior</t>
  </si>
  <si>
    <t>Fioriti Estela Nevis</t>
  </si>
  <si>
    <t>27-11152519-1</t>
  </si>
  <si>
    <t>Por falta de firma</t>
  </si>
  <si>
    <t>Gerardo Expensas</t>
  </si>
  <si>
    <t>Pague 1221,88</t>
  </si>
  <si>
    <t>Pague 1205,93</t>
  </si>
  <si>
    <t>Pague 1243,72</t>
  </si>
  <si>
    <t>20-28102931-3</t>
  </si>
  <si>
    <t>Eco Seguro</t>
  </si>
  <si>
    <t>O 7250$</t>
  </si>
  <si>
    <t>transportadora San Cayetano De</t>
  </si>
  <si>
    <t>30-71068592-0</t>
  </si>
  <si>
    <t>Industrial</t>
  </si>
  <si>
    <t xml:space="preserve">Karaguiosov Juan Emilio </t>
  </si>
  <si>
    <t>20-25261511-4</t>
  </si>
  <si>
    <t>Sindicato de trabajadores muni</t>
  </si>
  <si>
    <t>33-63723043-9</t>
  </si>
  <si>
    <t>Fernandez Julio Cesar</t>
  </si>
  <si>
    <t>20-16603744-2</t>
  </si>
  <si>
    <t>Echayre Carlos Alberto</t>
  </si>
  <si>
    <t>20-16603675-2</t>
  </si>
  <si>
    <t>Sosa Julio Nestor</t>
  </si>
  <si>
    <t>20-17590852-9</t>
  </si>
  <si>
    <t>Emanuel Albañil</t>
  </si>
  <si>
    <t>Covid Joaco</t>
  </si>
  <si>
    <t>Pague 1234,44</t>
  </si>
  <si>
    <t>Pague 1273,12</t>
  </si>
  <si>
    <t>Pague 1250,76</t>
  </si>
  <si>
    <t>Victor Collaccio</t>
  </si>
  <si>
    <t>Gesualdo Graciela Beatriz</t>
  </si>
  <si>
    <t>27-14131212-5</t>
  </si>
  <si>
    <t>Santa Monica S.A.</t>
  </si>
  <si>
    <t>Castañeira Hector Jose Luis</t>
  </si>
  <si>
    <t>20-22346917-6</t>
  </si>
  <si>
    <t>30-529752446</t>
  </si>
  <si>
    <t>Ledsma Luis Maria</t>
  </si>
  <si>
    <t>20-13454393-1</t>
  </si>
  <si>
    <t>Anuncibay Marina Ines</t>
  </si>
  <si>
    <t>23-22671656-4</t>
  </si>
  <si>
    <t>Devuelto por onena</t>
  </si>
  <si>
    <t>Tejiendo Arte</t>
  </si>
  <si>
    <t>Gurban Pablo Amadeo</t>
  </si>
  <si>
    <t>20-13807861-3</t>
  </si>
  <si>
    <t>Cons Prop Edif Colon 1545</t>
  </si>
  <si>
    <t>30-54132533-2</t>
  </si>
  <si>
    <t>Prop Edif Ñandu VIII</t>
  </si>
  <si>
    <t>30-59805465-3</t>
  </si>
  <si>
    <t>Ferreras Gabriela Patricia</t>
  </si>
  <si>
    <t>27-14319139-2</t>
  </si>
  <si>
    <t>Carlos</t>
  </si>
  <si>
    <t>Pampeano</t>
  </si>
  <si>
    <t>Por Alg 24/3 200kilos - No lo recupero Carlos</t>
  </si>
  <si>
    <t>No se sabe nada</t>
  </si>
  <si>
    <t>lipovetzky</t>
  </si>
  <si>
    <t>Residencia Suredaperetti SRL</t>
  </si>
  <si>
    <t>33-71519528-9</t>
  </si>
  <si>
    <t>Juan Carlos Latour SRL</t>
  </si>
  <si>
    <t>30-70845691-4</t>
  </si>
  <si>
    <t>Afip: P232734</t>
  </si>
  <si>
    <t>Pague 1302,52</t>
  </si>
  <si>
    <t>Pague 1262,94</t>
  </si>
  <si>
    <t>Pague 1279,64</t>
  </si>
  <si>
    <t>Del Marmol Benmergui Juan Cruz</t>
  </si>
  <si>
    <t>20-27073213-6</t>
  </si>
  <si>
    <t>No se sabe nada - Estaba re vencido, se cobro el 21/9/2021</t>
  </si>
  <si>
    <t>Los Vascos</t>
  </si>
  <si>
    <t>Rus Eco Seguro</t>
  </si>
  <si>
    <t>orca</t>
  </si>
  <si>
    <t>Total 2022</t>
  </si>
  <si>
    <t>Leguizamon Gabriela Lujan</t>
  </si>
  <si>
    <t>27-23797427-7</t>
  </si>
  <si>
    <t>Pague 1331,92</t>
  </si>
  <si>
    <t>Pague 1291,45</t>
  </si>
  <si>
    <t>Pague 1308,53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</si>
</sst>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\ * #,##0.00_-;\-&quot;$&quot;\ * #,##0.00_-;_-&quot;$&quot;\ * &quot;-&quot;??_-;_-@_-"/>
    <numFmt numFmtId="164" formatCode="&quot;$&quot;#,##0.00"/>
    <numFmt numFmtId="165" formatCode="dd/mm"/>
    <numFmt numFmtId="166" formatCode="d/m"/>
    <numFmt numFmtId="167" formatCode="dd/mm/yyyy"/>
    <numFmt numFmtId="168" formatCode="d/m/yy"/>
    <numFmt numFmtId="169" formatCode="dd/mm/yy"/>
    <numFmt numFmtId="170" formatCode="&quot;$&quot;\ #,##0.00"/>
    <numFmt numFmtId="171" formatCode="0.000%"/>
  </numFmts>
  <fonts count="51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7981D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i/>
      <sz val="10"/>
      <color theme="1"/>
      <name val="Arial"/>
      <family val="2"/>
    </font>
    <font>
      <b/>
      <i/>
      <sz val="24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1C4587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6"/>
      <color theme="1"/>
      <name val="Arial"/>
      <family val="2"/>
    </font>
    <font>
      <i/>
      <sz val="11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theme="4" tint="-0.249977111117893"/>
      <name val="Arial"/>
      <family val="2"/>
    </font>
    <font>
      <b/>
      <sz val="14"/>
      <color theme="4" tint="-0.249977111117893"/>
      <name val="Arial"/>
      <family val="2"/>
    </font>
    <font>
      <sz val="24"/>
      <color rgb="FF000000"/>
      <name val="Arial"/>
      <family val="2"/>
    </font>
    <font>
      <sz val="24"/>
      <color theme="1"/>
      <name val="Arial"/>
      <family val="2"/>
    </font>
    <font>
      <b/>
      <i/>
      <u/>
      <sz val="11"/>
      <color rgb="FFFF0000"/>
      <name val="Arial"/>
      <family val="2"/>
    </font>
    <font>
      <b/>
      <sz val="18"/>
      <color theme="5" tint="-0.24997711111789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8"/>
      <color rgb="FF000000"/>
      <name val="Arial"/>
      <family val="2"/>
    </font>
    <font>
      <b/>
      <i/>
      <sz val="18"/>
      <color theme="1"/>
      <name val="Arial"/>
      <family val="2"/>
    </font>
    <font>
      <b/>
      <sz val="12"/>
      <color rgb="FF1C4587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</font>
    <font>
      <b/>
      <sz val="11"/>
      <color theme="1"/>
      <name val="Arial"/>
      <scheme val="minor"/>
    </font>
    <font>
      <b/>
      <sz val="11"/>
      <color theme="2"/>
      <name val="Arial"/>
      <scheme val="minor"/>
    </font>
    <font>
      <sz val="24"/>
      <color rgb="FF000000"/>
      <name val="Arial"/>
    </font>
    <font>
      <b/>
      <sz val="10"/>
      <color indexed="1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33" fillId="0" borderId="0" applyFont="0" applyFill="0" applyBorder="0" applyAlignment="0" applyProtection="0"/>
  </cellStyleXfs>
  <cellXfs count="25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6" fillId="0" borderId="0" xfId="0" applyFont="1"/>
    <xf numFmtId="0" fontId="17" fillId="0" borderId="1" xfId="0" applyFont="1" applyBorder="1" applyAlignment="1"/>
    <xf numFmtId="164" fontId="17" fillId="0" borderId="1" xfId="0" applyNumberFormat="1" applyFont="1" applyBorder="1" applyAlignment="1"/>
    <xf numFmtId="164" fontId="17" fillId="0" borderId="1" xfId="0" applyNumberFormat="1" applyFont="1" applyBorder="1"/>
    <xf numFmtId="164" fontId="18" fillId="0" borderId="1" xfId="0" applyNumberFormat="1" applyFont="1" applyBorder="1"/>
    <xf numFmtId="164" fontId="4" fillId="0" borderId="0" xfId="0" applyNumberFormat="1" applyFont="1"/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0" fillId="0" borderId="7" xfId="0" applyFont="1" applyBorder="1" applyAlignment="1"/>
    <xf numFmtId="0" fontId="21" fillId="0" borderId="7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4" fontId="20" fillId="0" borderId="0" xfId="1" applyFont="1" applyAlignment="1"/>
    <xf numFmtId="44" fontId="21" fillId="0" borderId="0" xfId="1" applyFont="1" applyAlignment="1">
      <alignment horizontal="center"/>
    </xf>
    <xf numFmtId="0" fontId="0" fillId="0" borderId="0" xfId="0" applyFont="1" applyAlignment="1"/>
    <xf numFmtId="0" fontId="0" fillId="0" borderId="7" xfId="0" applyFont="1" applyBorder="1" applyAlignment="1"/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7" xfId="0" applyFont="1" applyBorder="1"/>
    <xf numFmtId="165" fontId="4" fillId="0" borderId="7" xfId="0" applyNumberFormat="1" applyFont="1" applyBorder="1" applyAlignment="1">
      <alignment horizontal="center"/>
    </xf>
    <xf numFmtId="168" fontId="4" fillId="0" borderId="7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6" fillId="0" borderId="7" xfId="0" applyFont="1" applyBorder="1" applyAlignment="1"/>
    <xf numFmtId="14" fontId="21" fillId="0" borderId="7" xfId="0" applyNumberFormat="1" applyFont="1" applyBorder="1" applyAlignment="1">
      <alignment horizontal="center"/>
    </xf>
    <xf numFmtId="167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164" fontId="23" fillId="0" borderId="7" xfId="0" applyNumberFormat="1" applyFont="1" applyBorder="1" applyAlignment="1">
      <alignment horizontal="center"/>
    </xf>
    <xf numFmtId="0" fontId="27" fillId="0" borderId="0" xfId="0" applyFont="1" applyAlignment="1"/>
    <xf numFmtId="0" fontId="0" fillId="0" borderId="0" xfId="0" applyFont="1" applyAlignment="1"/>
    <xf numFmtId="14" fontId="28" fillId="11" borderId="1" xfId="0" applyNumberFormat="1" applyFont="1" applyFill="1" applyBorder="1" applyAlignment="1">
      <alignment horizontal="center"/>
    </xf>
    <xf numFmtId="0" fontId="29" fillId="11" borderId="1" xfId="0" applyFont="1" applyFill="1" applyBorder="1" applyAlignment="1">
      <alignment horizontal="center"/>
    </xf>
    <xf numFmtId="164" fontId="29" fillId="11" borderId="1" xfId="0" applyNumberFormat="1" applyFont="1" applyFill="1" applyBorder="1" applyAlignment="1">
      <alignment horizontal="center"/>
    </xf>
    <xf numFmtId="14" fontId="30" fillId="11" borderId="1" xfId="0" applyNumberFormat="1" applyFont="1" applyFill="1" applyBorder="1" applyAlignment="1">
      <alignment horizontal="center"/>
    </xf>
    <xf numFmtId="0" fontId="28" fillId="11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44" fontId="0" fillId="0" borderId="0" xfId="0" applyNumberFormat="1" applyFont="1" applyAlignment="1"/>
    <xf numFmtId="170" fontId="18" fillId="0" borderId="1" xfId="0" applyNumberFormat="1" applyFont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25" fillId="7" borderId="0" xfId="0" applyFont="1" applyFill="1" applyAlignment="1">
      <alignment horizontal="center"/>
    </xf>
    <xf numFmtId="0" fontId="20" fillId="12" borderId="0" xfId="0" applyFont="1" applyFill="1" applyAlignment="1"/>
    <xf numFmtId="0" fontId="1" fillId="0" borderId="4" xfId="0" applyFont="1" applyBorder="1" applyAlignment="1">
      <alignment horizontal="center"/>
    </xf>
    <xf numFmtId="49" fontId="7" fillId="4" borderId="8" xfId="0" applyNumberFormat="1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31" fillId="0" borderId="7" xfId="0" applyFont="1" applyBorder="1" applyAlignment="1"/>
    <xf numFmtId="0" fontId="32" fillId="0" borderId="7" xfId="0" applyFont="1" applyBorder="1" applyAlignment="1">
      <alignment horizontal="center"/>
    </xf>
    <xf numFmtId="0" fontId="32" fillId="0" borderId="7" xfId="0" applyFont="1" applyBorder="1" applyAlignment="1"/>
    <xf numFmtId="14" fontId="1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horizontal="center"/>
    </xf>
    <xf numFmtId="14" fontId="5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4" fillId="7" borderId="0" xfId="0" applyFont="1" applyFill="1" applyAlignment="1">
      <alignment horizontal="center"/>
    </xf>
    <xf numFmtId="44" fontId="20" fillId="0" borderId="0" xfId="1" applyFont="1" applyAlignment="1">
      <alignment horizontal="center"/>
    </xf>
    <xf numFmtId="44" fontId="21" fillId="0" borderId="0" xfId="1" applyFont="1" applyAlignment="1"/>
    <xf numFmtId="0" fontId="21" fillId="0" borderId="0" xfId="0" applyFont="1" applyAlignment="1"/>
    <xf numFmtId="14" fontId="1" fillId="14" borderId="1" xfId="0" applyNumberFormat="1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164" fontId="4" fillId="14" borderId="1" xfId="0" applyNumberFormat="1" applyFont="1" applyFill="1" applyBorder="1" applyAlignment="1">
      <alignment horizontal="center"/>
    </xf>
    <xf numFmtId="9" fontId="1" fillId="2" borderId="0" xfId="2" applyFont="1" applyFill="1" applyAlignment="1">
      <alignment horizontal="center"/>
    </xf>
    <xf numFmtId="0" fontId="17" fillId="0" borderId="0" xfId="0" applyFont="1" applyAlignment="1"/>
    <xf numFmtId="0" fontId="34" fillId="0" borderId="0" xfId="0" applyFont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9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44" fontId="0" fillId="0" borderId="7" xfId="0" applyNumberFormat="1" applyFont="1" applyBorder="1" applyAlignment="1"/>
    <xf numFmtId="16" fontId="0" fillId="0" borderId="0" xfId="0" applyNumberFormat="1" applyFont="1" applyAlignment="1"/>
    <xf numFmtId="44" fontId="0" fillId="0" borderId="7" xfId="1" applyFont="1" applyBorder="1" applyAlignment="1"/>
    <xf numFmtId="14" fontId="0" fillId="0" borderId="7" xfId="0" applyNumberFormat="1" applyFont="1" applyBorder="1" applyAlignment="1"/>
    <xf numFmtId="0" fontId="0" fillId="0" borderId="7" xfId="0" applyFont="1" applyFill="1" applyBorder="1" applyAlignment="1"/>
    <xf numFmtId="0" fontId="6" fillId="0" borderId="0" xfId="0" applyFont="1" applyAlignment="1"/>
    <xf numFmtId="14" fontId="0" fillId="0" borderId="10" xfId="0" applyNumberFormat="1" applyFont="1" applyBorder="1" applyAlignment="1"/>
    <xf numFmtId="44" fontId="0" fillId="0" borderId="11" xfId="1" applyFont="1" applyBorder="1" applyAlignment="1"/>
    <xf numFmtId="0" fontId="6" fillId="0" borderId="7" xfId="0" applyFont="1" applyBorder="1" applyAlignment="1"/>
    <xf numFmtId="17" fontId="0" fillId="0" borderId="7" xfId="0" applyNumberFormat="1" applyFont="1" applyBorder="1" applyAlignment="1"/>
    <xf numFmtId="44" fontId="0" fillId="0" borderId="0" xfId="0" applyNumberFormat="1" applyFont="1" applyBorder="1" applyAlignment="1"/>
    <xf numFmtId="9" fontId="0" fillId="0" borderId="7" xfId="0" applyNumberFormat="1" applyFont="1" applyBorder="1" applyAlignment="1"/>
    <xf numFmtId="0" fontId="0" fillId="13" borderId="7" xfId="0" applyFont="1" applyFill="1" applyBorder="1" applyAlignment="1"/>
    <xf numFmtId="0" fontId="6" fillId="0" borderId="0" xfId="0" applyFont="1" applyFill="1" applyBorder="1" applyAlignment="1"/>
    <xf numFmtId="0" fontId="6" fillId="0" borderId="10" xfId="0" applyFont="1" applyBorder="1" applyAlignment="1"/>
    <xf numFmtId="44" fontId="0" fillId="15" borderId="7" xfId="1" applyFont="1" applyFill="1" applyBorder="1" applyAlignment="1"/>
    <xf numFmtId="44" fontId="0" fillId="15" borderId="7" xfId="0" applyNumberFormat="1" applyFont="1" applyFill="1" applyBorder="1" applyAlignment="1"/>
    <xf numFmtId="44" fontId="0" fillId="13" borderId="7" xfId="1" applyFont="1" applyFill="1" applyBorder="1" applyAlignment="1"/>
    <xf numFmtId="0" fontId="6" fillId="13" borderId="7" xfId="0" applyFont="1" applyFill="1" applyBorder="1" applyAlignment="1"/>
    <xf numFmtId="0" fontId="0" fillId="0" borderId="0" xfId="0" applyFont="1" applyAlignment="1"/>
    <xf numFmtId="0" fontId="6" fillId="0" borderId="7" xfId="0" applyFont="1" applyFill="1" applyBorder="1" applyAlignment="1"/>
    <xf numFmtId="0" fontId="36" fillId="0" borderId="7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16" fontId="4" fillId="0" borderId="7" xfId="0" applyNumberFormat="1" applyFont="1" applyBorder="1" applyAlignment="1">
      <alignment horizontal="center"/>
    </xf>
    <xf numFmtId="0" fontId="38" fillId="13" borderId="0" xfId="0" applyFont="1" applyFill="1" applyAlignment="1"/>
    <xf numFmtId="0" fontId="39" fillId="0" borderId="12" xfId="0" applyFont="1" applyBorder="1" applyAlignment="1">
      <alignment vertical="center"/>
    </xf>
    <xf numFmtId="0" fontId="39" fillId="0" borderId="12" xfId="0" applyFont="1" applyBorder="1" applyAlignment="1">
      <alignment horizontal="center" vertical="center"/>
    </xf>
    <xf numFmtId="0" fontId="41" fillId="0" borderId="0" xfId="0" applyFont="1" applyAlignment="1"/>
    <xf numFmtId="0" fontId="41" fillId="0" borderId="0" xfId="0" applyFont="1" applyAlignment="1">
      <alignment horizontal="center" vertical="center"/>
    </xf>
    <xf numFmtId="0" fontId="8" fillId="0" borderId="7" xfId="0" applyFont="1" applyBorder="1" applyAlignment="1"/>
    <xf numFmtId="14" fontId="8" fillId="0" borderId="7" xfId="0" applyNumberFormat="1" applyFont="1" applyBorder="1" applyAlignment="1"/>
    <xf numFmtId="44" fontId="8" fillId="0" borderId="7" xfId="0" applyNumberFormat="1" applyFont="1" applyBorder="1" applyAlignment="1"/>
    <xf numFmtId="10" fontId="1" fillId="2" borderId="0" xfId="2" applyNumberFormat="1" applyFont="1" applyFill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2" fillId="0" borderId="0" xfId="0" applyFont="1" applyAlignment="1"/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8" fillId="0" borderId="0" xfId="0" applyFont="1" applyAlignment="1"/>
    <xf numFmtId="9" fontId="8" fillId="0" borderId="7" xfId="2" applyFont="1" applyBorder="1" applyAlignment="1"/>
    <xf numFmtId="170" fontId="0" fillId="0" borderId="0" xfId="0" applyNumberFormat="1" applyFont="1" applyAlignment="1"/>
    <xf numFmtId="0" fontId="0" fillId="0" borderId="0" xfId="0" applyFont="1" applyAlignment="1"/>
    <xf numFmtId="0" fontId="41" fillId="0" borderId="0" xfId="0" applyFont="1" applyAlignment="1">
      <alignment horizontal="center"/>
    </xf>
    <xf numFmtId="0" fontId="44" fillId="8" borderId="0" xfId="0" applyFont="1" applyFill="1" applyAlignment="1">
      <alignment horizontal="center" vertical="center"/>
    </xf>
    <xf numFmtId="0" fontId="40" fillId="8" borderId="0" xfId="0" applyFont="1" applyFill="1" applyAlignment="1">
      <alignment horizontal="center" vertical="center"/>
    </xf>
    <xf numFmtId="0" fontId="0" fillId="0" borderId="0" xfId="0" applyFont="1" applyAlignment="1"/>
    <xf numFmtId="14" fontId="4" fillId="11" borderId="7" xfId="0" applyNumberFormat="1" applyFont="1" applyFill="1" applyBorder="1" applyAlignment="1">
      <alignment horizontal="center"/>
    </xf>
    <xf numFmtId="14" fontId="4" fillId="11" borderId="1" xfId="0" applyNumberFormat="1" applyFont="1" applyFill="1" applyBorder="1" applyAlignment="1">
      <alignment horizontal="center"/>
    </xf>
    <xf numFmtId="14" fontId="10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/>
    </xf>
    <xf numFmtId="14" fontId="11" fillId="11" borderId="1" xfId="0" applyNumberFormat="1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0" fillId="14" borderId="0" xfId="0" applyFont="1" applyFill="1" applyAlignment="1"/>
    <xf numFmtId="14" fontId="4" fillId="0" borderId="11" xfId="0" applyNumberFormat="1" applyFont="1" applyBorder="1" applyAlignment="1">
      <alignment horizontal="center"/>
    </xf>
    <xf numFmtId="0" fontId="0" fillId="0" borderId="0" xfId="0" applyFont="1" applyBorder="1" applyAlignment="1"/>
    <xf numFmtId="14" fontId="5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indent="1"/>
    </xf>
    <xf numFmtId="0" fontId="0" fillId="0" borderId="0" xfId="0" applyFont="1" applyAlignment="1"/>
    <xf numFmtId="10" fontId="0" fillId="0" borderId="0" xfId="2" applyNumberFormat="1" applyFont="1" applyAlignment="1"/>
    <xf numFmtId="0" fontId="17" fillId="0" borderId="9" xfId="0" applyFont="1" applyBorder="1" applyAlignment="1"/>
    <xf numFmtId="164" fontId="18" fillId="0" borderId="9" xfId="0" applyNumberFormat="1" applyFont="1" applyBorder="1"/>
    <xf numFmtId="170" fontId="18" fillId="0" borderId="9" xfId="0" applyNumberFormat="1" applyFont="1" applyBorder="1"/>
    <xf numFmtId="10" fontId="17" fillId="0" borderId="9" xfId="2" applyNumberFormat="1" applyFont="1" applyBorder="1" applyAlignment="1"/>
    <xf numFmtId="10" fontId="18" fillId="0" borderId="9" xfId="2" applyNumberFormat="1" applyFont="1" applyBorder="1"/>
    <xf numFmtId="0" fontId="0" fillId="0" borderId="0" xfId="0" applyFont="1" applyAlignment="1"/>
    <xf numFmtId="170" fontId="20" fillId="0" borderId="7" xfId="0" applyNumberFormat="1" applyFont="1" applyBorder="1" applyAlignment="1"/>
    <xf numFmtId="0" fontId="0" fillId="0" borderId="0" xfId="0" applyFont="1" applyAlignment="1"/>
    <xf numFmtId="14" fontId="0" fillId="0" borderId="0" xfId="0" applyNumberFormat="1" applyFont="1" applyAlignment="1"/>
    <xf numFmtId="14" fontId="12" fillId="11" borderId="1" xfId="0" applyNumberFormat="1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17" fontId="8" fillId="0" borderId="7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9" fontId="0" fillId="0" borderId="0" xfId="2" applyFont="1" applyAlignment="1"/>
    <xf numFmtId="14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44" fontId="4" fillId="0" borderId="0" xfId="0" applyNumberFormat="1" applyFont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4" fontId="0" fillId="0" borderId="0" xfId="0" applyNumberFormat="1" applyFont="1" applyBorder="1" applyAlignment="1"/>
    <xf numFmtId="164" fontId="45" fillId="0" borderId="1" xfId="0" applyNumberFormat="1" applyFont="1" applyBorder="1" applyAlignment="1">
      <alignment horizontal="center"/>
    </xf>
    <xf numFmtId="9" fontId="1" fillId="2" borderId="0" xfId="2" applyFont="1" applyFill="1" applyAlignment="1">
      <alignment horizontal="center" wrapText="1"/>
    </xf>
    <xf numFmtId="0" fontId="0" fillId="0" borderId="0" xfId="0" applyFont="1" applyAlignment="1"/>
    <xf numFmtId="10" fontId="17" fillId="0" borderId="9" xfId="2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1" fillId="0" borderId="1" xfId="0" applyFont="1" applyBorder="1"/>
    <xf numFmtId="0" fontId="41" fillId="0" borderId="1" xfId="0" applyFont="1" applyBorder="1" applyAlignment="1"/>
    <xf numFmtId="0" fontId="15" fillId="2" borderId="0" xfId="0" applyFont="1" applyFill="1" applyAlignment="1">
      <alignment horizontal="center"/>
    </xf>
    <xf numFmtId="164" fontId="0" fillId="0" borderId="0" xfId="0" applyNumberFormat="1" applyFont="1" applyAlignment="1"/>
    <xf numFmtId="171" fontId="0" fillId="0" borderId="0" xfId="2" applyNumberFormat="1" applyFont="1" applyAlignment="1"/>
    <xf numFmtId="0" fontId="6" fillId="0" borderId="7" xfId="0" applyFont="1" applyBorder="1" applyAlignment="1">
      <alignment horizontal="center"/>
    </xf>
    <xf numFmtId="0" fontId="0" fillId="0" borderId="0" xfId="0" applyFont="1" applyAlignment="1"/>
    <xf numFmtId="44" fontId="0" fillId="0" borderId="0" xfId="0" applyNumberFormat="1" applyFont="1" applyFill="1" applyBorder="1" applyAlignment="1"/>
    <xf numFmtId="0" fontId="0" fillId="0" borderId="0" xfId="0" applyFont="1" applyAlignment="1"/>
    <xf numFmtId="44" fontId="47" fillId="6" borderId="7" xfId="0" applyNumberFormat="1" applyFont="1" applyFill="1" applyBorder="1" applyAlignment="1"/>
    <xf numFmtId="44" fontId="48" fillId="10" borderId="7" xfId="0" applyNumberFormat="1" applyFont="1" applyFill="1" applyBorder="1" applyAlignment="1"/>
    <xf numFmtId="44" fontId="46" fillId="0" borderId="7" xfId="0" applyNumberFormat="1" applyFont="1" applyBorder="1" applyAlignment="1"/>
    <xf numFmtId="0" fontId="46" fillId="0" borderId="7" xfId="0" pivotButton="1" applyFont="1" applyBorder="1" applyAlignment="1">
      <alignment horizontal="center"/>
    </xf>
    <xf numFmtId="0" fontId="46" fillId="0" borderId="7" xfId="0" applyFont="1" applyBorder="1" applyAlignment="1">
      <alignment horizontal="center"/>
    </xf>
    <xf numFmtId="0" fontId="47" fillId="6" borderId="7" xfId="0" applyFont="1" applyFill="1" applyBorder="1" applyAlignment="1">
      <alignment horizontal="center"/>
    </xf>
    <xf numFmtId="44" fontId="47" fillId="6" borderId="7" xfId="0" applyNumberFormat="1" applyFont="1" applyFill="1" applyBorder="1" applyAlignment="1">
      <alignment horizontal="center"/>
    </xf>
    <xf numFmtId="0" fontId="48" fillId="10" borderId="7" xfId="0" applyFont="1" applyFill="1" applyBorder="1" applyAlignment="1">
      <alignment horizontal="center"/>
    </xf>
    <xf numFmtId="44" fontId="48" fillId="10" borderId="7" xfId="0" applyNumberFormat="1" applyFont="1" applyFill="1" applyBorder="1" applyAlignment="1">
      <alignment horizontal="center"/>
    </xf>
    <xf numFmtId="44" fontId="46" fillId="0" borderId="7" xfId="0" applyNumberFormat="1" applyFont="1" applyBorder="1" applyAlignment="1">
      <alignment horizontal="center"/>
    </xf>
    <xf numFmtId="0" fontId="49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3" fillId="0" borderId="0" xfId="0" applyFont="1" applyAlignment="1"/>
    <xf numFmtId="0" fontId="0" fillId="0" borderId="0" xfId="0" applyFont="1" applyAlignment="1"/>
    <xf numFmtId="14" fontId="0" fillId="0" borderId="15" xfId="0" applyNumberFormat="1" applyFill="1" applyBorder="1" applyAlignment="1"/>
    <xf numFmtId="0" fontId="0" fillId="0" borderId="15" xfId="0" applyFill="1" applyBorder="1" applyAlignment="1"/>
    <xf numFmtId="0" fontId="50" fillId="0" borderId="14" xfId="0" applyFont="1" applyFill="1" applyBorder="1" applyAlignment="1">
      <alignment horizontal="center"/>
    </xf>
    <xf numFmtId="14" fontId="0" fillId="0" borderId="16" xfId="0" applyNumberFormat="1" applyFill="1" applyBorder="1" applyAlignment="1"/>
    <xf numFmtId="0" fontId="0" fillId="0" borderId="16" xfId="0" applyFill="1" applyBorder="1" applyAlignment="1"/>
  </cellXfs>
  <cellStyles count="3">
    <cellStyle name="Moneda" xfId="1" builtinId="4"/>
    <cellStyle name="Normal" xfId="0" builtinId="0"/>
    <cellStyle name="Porcentaje" xfId="2" builtinId="5"/>
  </cellStyles>
  <dxfs count="3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Arial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scheme val="minor"/>
      </font>
      <fill>
        <patternFill patternType="solid">
          <fgColor indexed="65"/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5"/>
          <bgColor theme="5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249977111117893"/>
        </patternFill>
      </fill>
    </dxf>
    <dxf>
      <font>
        <color theme="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numFmt numFmtId="34" formatCode="_-&quot;$&quot;\ * #,##0.00_-;\-&quot;$&quot;\ * #,##0.00_-;_-&quot;$&quot;\ * &quot;-&quot;??_-;_-@_-"/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z val="12"/>
      </font>
    </dxf>
    <dxf>
      <alignment horizontal="center" readingOrder="0"/>
    </dxf>
    <dxf>
      <font>
        <b val="0"/>
      </font>
    </dxf>
    <dxf>
      <font>
        <b/>
      </font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font>
        <color theme="4" tint="-0.249977111117893"/>
      </font>
    </dxf>
    <dxf>
      <alignment vertical="top" readingOrder="0"/>
    </dxf>
    <dxf>
      <alignment vertical="bottom" readingOrder="0"/>
    </dxf>
    <dxf>
      <alignment vertical="center" readingOrder="0"/>
    </dxf>
    <dxf>
      <font>
        <sz val="18"/>
      </font>
    </dxf>
    <dxf>
      <alignment vertical="center" readingOrder="0"/>
    </dxf>
    <dxf>
      <font>
        <sz val="9"/>
      </font>
    </dxf>
    <dxf>
      <font>
        <sz val="14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lor theme="5" tint="-0.249977111117893"/>
      </font>
    </dxf>
    <dxf>
      <alignment vertical="center" readingOrder="0"/>
    </dxf>
    <dxf>
      <font>
        <b val="0"/>
      </font>
    </dxf>
    <dxf>
      <font>
        <sz val="16"/>
      </font>
    </dxf>
    <dxf>
      <font>
        <sz val="24"/>
      </font>
    </dxf>
    <dxf>
      <font>
        <b val="0"/>
      </font>
    </dxf>
    <dxf>
      <font>
        <b/>
      </font>
    </dxf>
    <dxf>
      <font>
        <sz val="16"/>
      </font>
    </dxf>
    <dxf>
      <font>
        <sz val="18"/>
      </font>
    </dxf>
    <dxf>
      <font>
        <sz val="12"/>
      </font>
    </dxf>
    <dxf>
      <font>
        <b val="0"/>
      </font>
    </dxf>
    <dxf>
      <font>
        <b/>
      </font>
    </dxf>
    <dxf>
      <font>
        <sz val="16"/>
      </font>
    </dxf>
    <dxf>
      <font>
        <sz val="18"/>
      </font>
    </dxf>
    <dxf>
      <font>
        <i/>
      </font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ont>
        <sz val="12"/>
      </font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FFFF"/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indent="1" readingOrder="0"/>
    </dxf>
    <dxf>
      <alignment indent="1" readingOrder="0"/>
    </dxf>
    <dxf>
      <alignment indent="1" readingOrder="0"/>
    </dxf>
    <dxf>
      <alignment indent="1" readingOrder="0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u/>
      </font>
    </dxf>
    <dxf>
      <font>
        <u/>
      </font>
    </dxf>
    <dxf>
      <font>
        <i/>
      </font>
    </dxf>
    <dxf>
      <font>
        <i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ont>
        <b/>
      </font>
    </dxf>
    <dxf>
      <font>
        <b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ont>
        <sz val="12"/>
      </font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ont>
        <i/>
      </font>
    </dxf>
    <dxf>
      <font>
        <sz val="18"/>
      </font>
    </dxf>
    <dxf>
      <font>
        <sz val="16"/>
      </font>
    </dxf>
    <dxf>
      <font>
        <b/>
      </font>
    </dxf>
    <dxf>
      <font>
        <b val="0"/>
      </font>
    </dxf>
    <dxf>
      <font>
        <sz val="12"/>
      </font>
    </dxf>
    <dxf>
      <font>
        <sz val="18"/>
      </font>
    </dxf>
    <dxf>
      <font>
        <sz val="16"/>
      </font>
    </dxf>
    <dxf>
      <font>
        <b/>
      </font>
    </dxf>
    <dxf>
      <font>
        <b val="0"/>
      </font>
    </dxf>
    <dxf>
      <font>
        <sz val="24"/>
      </font>
    </dxf>
    <dxf>
      <font>
        <sz val="16"/>
      </font>
    </dxf>
    <dxf>
      <font>
        <b val="0"/>
      </font>
    </dxf>
    <dxf>
      <alignment vertical="center" readingOrder="0"/>
    </dxf>
    <dxf>
      <font>
        <color theme="5" tint="-0.249977111117893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4"/>
      </font>
    </dxf>
    <dxf>
      <font>
        <sz val="9"/>
      </font>
    </dxf>
    <dxf>
      <alignment vertical="center" readingOrder="0"/>
    </dxf>
    <dxf>
      <font>
        <sz val="18"/>
      </font>
    </dxf>
    <dxf>
      <alignment vertical="center" readingOrder="0"/>
    </dxf>
    <dxf>
      <alignment vertical="bottom" readingOrder="0"/>
    </dxf>
    <dxf>
      <alignment vertical="top" readingOrder="0"/>
    </dxf>
    <dxf>
      <font>
        <color theme="4" tint="-0.249977111117893"/>
      </font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font>
        <b/>
      </font>
    </dxf>
    <dxf>
      <font>
        <b val="0"/>
      </font>
    </dxf>
    <dxf>
      <alignment horizontal="center" readingOrder="0"/>
    </dxf>
    <dxf>
      <font>
        <sz val="12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indexed="65"/>
        </patternFill>
      </fill>
    </dxf>
    <dxf>
      <numFmt numFmtId="34" formatCode="_-&quot;$&quot;\ * #,##0.00_-;\-&quot;$&quot;\ * #,##0.00_-;_-&quot;$&quot;\ * &quot;-&quot;??_-;_-@_-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2"/>
      </font>
    </dxf>
    <dxf>
      <fill>
        <patternFill>
          <bgColor theme="5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5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Arial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theme="5"/>
        </patternFill>
      </fill>
    </dxf>
    <dxf>
      <fill>
        <patternFill patternType="solid">
          <fgColor rgb="FFB7E1CD"/>
          <bgColor rgb="FFB7E1CD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uel" refreshedDate="44120.395767592592" createdVersion="6" refreshedVersion="6" minRefreshableVersion="3" recordCount="997">
  <cacheSource type="worksheet">
    <worksheetSource ref="A1:K998" sheet="A PAGAR"/>
  </cacheSource>
  <cacheFields count="11">
    <cacheField name="Fecha de Pago" numFmtId="0">
      <sharedItems containsDate="1" containsBlank="1" containsMixedTypes="1" minDate="2019-07-15T00:00:00" maxDate="2026-11-17T00:00:00"/>
    </cacheField>
    <cacheField name="Proveedor" numFmtId="0">
      <sharedItems containsBlank="1" count="56">
        <s v="-"/>
        <s v="Veira"/>
        <s v="Zoogant"/>
        <s v="Raul Vorrazo"/>
        <s v="Gama"/>
        <s v="Jerez"/>
        <s v="Manoli"/>
        <s v="La Pastora"/>
        <s v="Banarik"/>
        <s v="Matiel"/>
        <s v="Rontaltex"/>
        <s v="Pastora Neuquen"/>
        <s v="Pastora Rioja"/>
        <s v="Riza Pesdera"/>
        <s v="Matices"/>
        <s v="Iveco"/>
        <s v="Veira "/>
        <s v="Yo"/>
        <s v="Mandi"/>
        <s v="Otranto"/>
        <s v="Lipo Mandi"/>
        <s v="Seg. Rio Uruguay"/>
        <s v="Poli Martinez"/>
        <s v="Bouzik"/>
        <s v="Oam"/>
        <s v="Zougant"/>
        <s v="Prestamo"/>
        <s v="bouzik gustavo"/>
        <s v="Bouzyk"/>
        <s v="Afip: M302639"/>
        <s v="ANULADO"/>
        <s v="Vaquero"/>
        <m/>
        <s v="Vorrazo"/>
        <s v="Afip: L520024"/>
        <s v="Afip: M057143"/>
        <s v="Bousyk"/>
        <s v="Afip:M469312"/>
        <s v="Bouzick Canje"/>
        <s v="Temco"/>
        <s v="AO Textil"/>
        <s v="Pastora"/>
        <s v="??"/>
        <s v="Lanhil"/>
        <s v="Afip:M528572"/>
        <s v="San Cristobal Ecco"/>
        <s v="AOT"/>
        <s v="Seguro Gol"/>
        <s v="Afip: M618474"/>
        <s v="Veccio"/>
        <s v="Martin - Mandi"/>
        <s v="Mandy"/>
        <s v="Afip: N795279"/>
        <s v="Afip: N796086"/>
        <s v="Afip: N795505"/>
        <s v="Victor Colaccio"/>
      </sharedItems>
    </cacheField>
    <cacheField name="Número de Cheque" numFmtId="0">
      <sharedItems containsBlank="1" containsMixedTypes="1" containsNumber="1" containsInteger="1" minValue="62889167" maxValue="79702875" count="493">
        <n v="62889167"/>
        <n v="66126483"/>
        <n v="66126493"/>
        <n v="66126494"/>
        <n v="66126495"/>
        <n v="66126497"/>
        <n v="66126498"/>
        <n v="66126501"/>
        <n v="66126502"/>
        <n v="66126503"/>
        <n v="66126504"/>
        <n v="66126505"/>
        <n v="66126506"/>
        <n v="66126514"/>
        <n v="66126515"/>
        <n v="66126516"/>
        <n v="66126517"/>
        <n v="66126521"/>
        <n v="66126522"/>
        <n v="66126523"/>
        <n v="66126524"/>
        <n v="66126525"/>
        <n v="68230252"/>
        <n v="68230253"/>
        <n v="68230254"/>
        <n v="68230255"/>
        <n v="68230256"/>
        <n v="68230261"/>
        <n v="68230262"/>
        <n v="68230263"/>
        <n v="68230264"/>
        <n v="68230265"/>
        <n v="68230267"/>
        <n v="68230268"/>
        <n v="68230269"/>
        <n v="68230270"/>
        <n v="68230271"/>
        <n v="68230272"/>
        <n v="68230273"/>
        <n v="68230274"/>
        <n v="68230275"/>
        <n v="68230276"/>
        <n v="68230277"/>
        <n v="68230278"/>
        <n v="68230279"/>
        <n v="68230280"/>
        <n v="68230281"/>
        <n v="68230282"/>
        <n v="68230283"/>
        <n v="68230284"/>
        <n v="68230285"/>
        <n v="68230286"/>
        <n v="68230287"/>
        <n v="68230288"/>
        <n v="68230289"/>
        <n v="68230290"/>
        <n v="68230291"/>
        <n v="68230292"/>
        <n v="68230293"/>
        <n v="68230294"/>
        <n v="68230295"/>
        <n v="68230296"/>
        <n v="68230297"/>
        <n v="70455980"/>
        <n v="70455981"/>
        <n v="70455982"/>
        <n v="70455983"/>
        <n v="70455984"/>
        <n v="70455985"/>
        <n v="70455986"/>
        <n v="70455987"/>
        <n v="70455988"/>
        <n v="70455989"/>
        <n v="70455990"/>
        <n v="70455991"/>
        <n v="70455992"/>
        <n v="70455993"/>
        <n v="70455994"/>
        <n v="70455995"/>
        <n v="70455996"/>
        <n v="70455997"/>
        <n v="70455998"/>
        <n v="70455999"/>
        <n v="70456013"/>
        <n v="70456000"/>
        <n v="70456001"/>
        <n v="70456002"/>
        <n v="70456003"/>
        <n v="70456004"/>
        <n v="70456011"/>
        <n v="70456005"/>
        <n v="70456006"/>
        <n v="70456012"/>
        <n v="70456007"/>
        <n v="70456008"/>
        <n v="70456015"/>
        <n v="70456016"/>
        <n v="70456017"/>
        <n v="70456018"/>
        <n v="70456019"/>
        <n v="70456020"/>
        <n v="70456021"/>
        <n v="70456022"/>
        <n v="70456023"/>
        <n v="70456024"/>
        <n v="70456025"/>
        <n v="72178301"/>
        <n v="72178302"/>
        <n v="72178303"/>
        <n v="72178304"/>
        <n v="72178305"/>
        <n v="72178306"/>
        <n v="72178307"/>
        <n v="72178308"/>
        <n v="72178309"/>
        <n v="72178310"/>
        <n v="72178311"/>
        <n v="72178312"/>
        <n v="72178313"/>
        <n v="72178314"/>
        <n v="72178315"/>
        <n v="72178316"/>
        <n v="72178317"/>
        <n v="72178318"/>
        <n v="72178319"/>
        <n v="72178320"/>
        <n v="72178321"/>
        <n v="72178322"/>
        <n v="70456009"/>
        <n v="72178323"/>
        <n v="72178324"/>
        <n v="72178325"/>
        <n v="72178326"/>
        <n v="72178327"/>
        <n v="72178328"/>
        <n v="72178329"/>
        <n v="72178330"/>
        <n v="72178331"/>
        <n v="72178332"/>
        <s v="6105-1077293/1"/>
        <s v="6105-1153529/0"/>
        <s v="6105-1153529/1"/>
        <n v="70456010"/>
        <n v="70456014"/>
        <n v="72178333"/>
        <n v="72178334"/>
        <n v="72178335"/>
        <n v="72178336"/>
        <n v="72178337"/>
        <n v="72178339"/>
        <n v="72178338"/>
        <n v="72178340"/>
        <n v="72178341"/>
        <n v="72178342"/>
        <n v="72178343"/>
        <n v="72178344"/>
        <n v="72178345"/>
        <n v="72178346"/>
        <n v="72178347"/>
        <n v="72178348"/>
        <n v="72178349"/>
        <n v="72178350"/>
        <s v="Cuota Nº1"/>
        <s v="Cuota Nº2"/>
        <s v="Cuota Nº3"/>
        <s v="Cuota Nº4"/>
        <s v="Cuota Nº5"/>
        <n v="74728176"/>
        <n v="74728177"/>
        <n v="74728178"/>
        <n v="74728179"/>
        <n v="74728180"/>
        <n v="74728181"/>
        <n v="74728182"/>
        <n v="74728183"/>
        <n v="74728184"/>
        <n v="74728185"/>
        <n v="74728186"/>
        <n v="74728187"/>
        <n v="74728188"/>
        <n v="74728189"/>
        <n v="74728190"/>
        <n v="74728191"/>
        <n v="74728192"/>
        <s v="Cuota Nº8"/>
        <s v="Cuota Nº6"/>
        <s v="Cuota Nº7"/>
        <n v="70455977"/>
        <n v="68230298"/>
        <n v="68230299"/>
        <s v="6105-11738664/1"/>
        <n v="74728193"/>
        <n v="74728194"/>
        <n v="74728195"/>
        <n v="74728196"/>
        <n v="74728197"/>
        <n v="74728198"/>
        <n v="74728199"/>
        <n v="74728200"/>
        <n v="74728201"/>
        <n v="74728202"/>
        <n v="74728203"/>
        <n v="74728204"/>
        <n v="74728205"/>
        <n v="74728206"/>
        <n v="74728207"/>
        <n v="74728208"/>
        <n v="70455976"/>
        <n v="70455978"/>
        <n v="74728209"/>
        <n v="74728210"/>
        <n v="74728211"/>
        <n v="68230300"/>
        <n v="74728212"/>
        <n v="74728213"/>
        <n v="74728214"/>
        <n v="74728215"/>
        <n v="74728216"/>
        <n v="74728217"/>
        <n v="74728218"/>
        <n v="74728219"/>
        <n v="74728220"/>
        <n v="74728221"/>
        <n v="74728222"/>
        <n v="74728223"/>
        <n v="74728224"/>
        <n v="74728225"/>
        <n v="75613201"/>
        <n v="75613202"/>
        <n v="75613203"/>
        <n v="75613204"/>
        <n v="75613205"/>
        <n v="75613206"/>
        <n v="75613207"/>
        <n v="75613208"/>
        <n v="75613209"/>
        <n v="75613210"/>
        <n v="75613211"/>
        <n v="75613212"/>
        <n v="75613213"/>
        <n v="75613214"/>
        <n v="75613215"/>
        <n v="75613216"/>
        <n v="75613217"/>
        <n v="75613218"/>
        <n v="75613219"/>
        <n v="75613220"/>
        <n v="75613221"/>
        <n v="75613222"/>
        <n v="75613223"/>
        <n v="75613224"/>
        <n v="75613225"/>
        <n v="75613226"/>
        <n v="75613227"/>
        <n v="75613228"/>
        <n v="75613229"/>
        <n v="75613230"/>
        <n v="75613231"/>
        <n v="75613232"/>
        <n v="75613233"/>
        <n v="75613234"/>
        <n v="75613235"/>
        <s v="6105-1200039/0"/>
        <n v="75613236"/>
        <n v="75613237"/>
        <n v="75613238"/>
        <n v="75613239"/>
        <n v="75613240"/>
        <n v="75613241"/>
        <n v="75613242"/>
        <n v="75613243"/>
        <n v="75613244"/>
        <n v="75613245"/>
        <n v="75613246"/>
        <n v="75613247"/>
        <n v="75613248"/>
        <n v="75613249"/>
        <n v="75613250"/>
        <n v="77747426"/>
        <n v="77747427"/>
        <n v="77747428"/>
        <n v="77747429"/>
        <n v="77747430"/>
        <n v="77747431"/>
        <n v="77747432"/>
        <n v="77747433"/>
        <n v="77747434"/>
        <n v="77747435"/>
        <n v="77747436"/>
        <n v="77747437"/>
        <n v="77747438"/>
        <n v="77747439"/>
        <n v="77747440"/>
        <n v="77747441"/>
        <n v="77747442"/>
        <n v="77747443"/>
        <n v="77747444"/>
        <n v="77747445"/>
        <n v="77747446"/>
        <n v="77747447"/>
        <n v="77747448"/>
        <n v="77747449"/>
        <n v="77747450"/>
        <n v="77747451"/>
        <n v="77747452"/>
        <n v="77747453"/>
        <n v="77747454"/>
        <n v="77747455"/>
        <n v="77747456"/>
        <n v="77747457"/>
        <n v="77747458"/>
        <n v="77747459"/>
        <s v="Cuota Nº9"/>
        <s v="Cuota Nº10"/>
        <s v="Cuota Nº11"/>
        <s v="Cuota Nº12"/>
        <s v="Cuota Nº13"/>
        <s v="Cuota Nº14"/>
        <s v="Cuota Nº15"/>
        <s v="Cuota Nº16"/>
        <s v="Cuota Nº17"/>
        <s v="Cuota Nº18"/>
        <n v="77747460"/>
        <n v="77747461"/>
        <n v="77747462"/>
        <n v="77747463"/>
        <n v="77747464"/>
        <n v="77747465"/>
        <n v="77747466"/>
        <n v="77747467"/>
        <n v="77747468"/>
        <n v="77747469"/>
        <n v="77747470"/>
        <n v="77747471"/>
        <n v="77747472"/>
        <n v="77747473"/>
        <n v="77747474"/>
        <n v="77747475"/>
        <n v="78212376"/>
        <n v="78212377"/>
        <n v="78212378"/>
        <n v="78212379"/>
        <n v="78212387"/>
        <n v="78212380"/>
        <n v="78212381"/>
        <n v="78212382"/>
        <n v="78212383"/>
        <n v="78212384"/>
        <n v="78212385"/>
        <n v="78212386"/>
        <n v="78212388"/>
        <n v="78212389"/>
        <n v="78212390"/>
        <n v="78212391"/>
        <n v="78212392"/>
        <n v="78212393"/>
        <n v="78212394"/>
        <n v="78212395"/>
        <n v="78212396"/>
        <n v="78212397"/>
        <n v="78212398"/>
        <n v="78212399"/>
        <n v="78212400"/>
        <n v="78212401"/>
        <n v="78212402"/>
        <n v="78212403"/>
        <n v="78212404"/>
        <n v="78212405"/>
        <n v="78212406"/>
        <n v="78212407"/>
        <n v="78212408"/>
        <n v="78212409"/>
        <n v="78212410"/>
        <n v="78212411"/>
        <n v="78212412"/>
        <n v="78212413"/>
        <n v="78212414"/>
        <n v="78212415"/>
        <n v="78212416"/>
        <n v="78212417"/>
        <n v="78212418"/>
        <n v="78212419"/>
        <n v="78212420"/>
        <n v="78212421"/>
        <n v="78212422"/>
        <n v="78212423"/>
        <n v="78212424"/>
        <n v="78212425"/>
        <n v="79702826"/>
        <n v="79702827"/>
        <n v="79702828"/>
        <n v="79702829"/>
        <n v="79702830"/>
        <n v="79702831"/>
        <n v="79702832"/>
        <n v="79702833"/>
        <n v="79702834"/>
        <n v="79702835"/>
        <n v="79702836"/>
        <n v="79702837"/>
        <n v="79702838"/>
        <n v="79702839"/>
        <n v="79702840"/>
        <n v="79702841"/>
        <n v="79702842"/>
        <n v="79702843"/>
        <n v="79702844"/>
        <n v="79702845"/>
        <n v="79702846"/>
        <n v="79702847"/>
        <n v="79702848"/>
        <n v="79702849"/>
        <s v="Cuota Nº19"/>
        <s v="Cuota Nº20"/>
        <s v="Cuota Nº21"/>
        <s v="Cuota Nº22"/>
        <s v="Cuota Nº23"/>
        <s v="Cuota Nº24"/>
        <s v="Cuota Nº25"/>
        <s v="Cuota Nº26"/>
        <s v="Cuota Nº27"/>
        <s v="Cuota Nº28"/>
        <s v="Cuota Nº29"/>
        <s v="Cuota Nº30"/>
        <s v="Cuota Nº31"/>
        <s v="Cuota Nº32"/>
        <s v="Cuota Nº33"/>
        <s v="Cuota Nº34"/>
        <s v="Cuota Nº35"/>
        <s v="Cuota Nº36"/>
        <s v="Cuota Nº37"/>
        <s v="Cuota Nº38"/>
        <s v="Cuota Nº39"/>
        <s v="Cuota Nº40"/>
        <s v="Cuota Nº41"/>
        <s v="Cuota Nº42"/>
        <s v="Cuota Nº43"/>
        <s v="Cuota Nº44"/>
        <s v="Cuota Nº45"/>
        <s v="Cuota Nº46"/>
        <s v="Cuota Nº47"/>
        <s v="Cuota Nº48"/>
        <s v="Cuota Nº49"/>
        <s v="Cuota Nº50"/>
        <s v="Cuota Nº51"/>
        <s v="Cuota Nº52"/>
        <s v="Cuota Nº53"/>
        <s v="Cuota Nº54"/>
        <s v="Cuota Nº55"/>
        <s v="Cuota Nº56"/>
        <s v="Cuota Nº57"/>
        <s v="Cuota Nº58"/>
        <s v="Cuota Nº59"/>
        <s v="Cuota Nº60"/>
        <s v="Cuota Nº61"/>
        <s v="Cuota Nº62"/>
        <s v="Cuota Nº63"/>
        <s v="Cuota Nº64"/>
        <s v="Cuota Nº65"/>
        <s v="Cuota Nº66"/>
        <s v="Cuota Nº67"/>
        <s v="Cuota Nº68"/>
        <s v="Cuota Nº69"/>
        <s v="Cuota Nº70"/>
        <s v="Cuota Nº71"/>
        <s v="Cuota Nº72"/>
        <n v="79702850"/>
        <n v="79702851"/>
        <n v="79702852"/>
        <n v="79702853"/>
        <m/>
        <n v="79702875" u="1"/>
        <n v="79702867" u="1"/>
        <n v="79702859" u="1"/>
        <n v="79702872" u="1"/>
        <n v="79702864" u="1"/>
        <n v="79702856" u="1"/>
        <n v="79702869" u="1"/>
        <n v="79702861" u="1"/>
        <n v="79702874" u="1"/>
        <n v="79702866" u="1"/>
        <n v="79702858" u="1"/>
        <n v="79702871" u="1"/>
        <n v="79702863" u="1"/>
        <n v="79702855" u="1"/>
        <n v="79702868" u="1"/>
        <n v="79702860" u="1"/>
        <n v="79702873" u="1"/>
        <n v="79702865" u="1"/>
        <n v="79702857" u="1"/>
        <n v="79702870" u="1"/>
        <n v="79702862" u="1"/>
        <n v="79702854" u="1"/>
      </sharedItems>
    </cacheField>
    <cacheField name="Monto" numFmtId="164">
      <sharedItems containsBlank="1" containsMixedTypes="1" containsNumber="1" minValue="1048.56" maxValue="120000"/>
    </cacheField>
    <cacheField name="Estado" numFmtId="0">
      <sharedItems containsBlank="1" count="6">
        <s v="Pagado"/>
        <s v="Vencidos"/>
        <s v="Anulado"/>
        <s v="A Pagar"/>
        <s v="Recuperado"/>
        <m/>
      </sharedItems>
    </cacheField>
    <cacheField name="Fecha de Emision" numFmtId="0">
      <sharedItems containsDate="1" containsBlank="1" containsMixedTypes="1" minDate="2019-01-30T00:00:00" maxDate="2020-11-06T00:00:00"/>
    </cacheField>
    <cacheField name="Observación" numFmtId="0">
      <sharedItems containsDate="1" containsBlank="1" containsMixedTypes="1" minDate="2020-07-16T00:00:00" maxDate="2020-07-17T00:00:00"/>
    </cacheField>
    <cacheField name="Dia" numFmtId="0">
      <sharedItems containsMixedTypes="1" containsNumber="1" containsInteger="1" minValue="0" maxValue="31"/>
    </cacheField>
    <cacheField name="Mes" numFmtId="0">
      <sharedItems containsMixedTypes="1" containsNumber="1" containsInteger="1" minValue="1" maxValue="12" count="13">
        <n v="7"/>
        <n v="8"/>
        <n v="9"/>
        <n v="10"/>
        <n v="11"/>
        <n v="12"/>
        <n v="1"/>
        <n v="3"/>
        <n v="2"/>
        <n v="4"/>
        <n v="5"/>
        <s v="-"/>
        <n v="6"/>
      </sharedItems>
    </cacheField>
    <cacheField name="Año " numFmtId="0">
      <sharedItems containsMixedTypes="1" containsNumber="1" containsInteger="1" minValue="1900" maxValue="2026" count="10">
        <n v="2019"/>
        <n v="2020"/>
        <s v="-"/>
        <n v="2021"/>
        <n v="2022"/>
        <n v="2023"/>
        <n v="2024"/>
        <n v="2025"/>
        <n v="2026"/>
        <n v="1900"/>
      </sharedItems>
    </cacheField>
    <cacheField name="Plazo p/ Reponer" numFmtId="14">
      <sharedItems containsDate="1" containsMixedTypes="1" minDate="1900-02-28T00:00:00" maxDate="2027-01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guel" refreshedDate="44489.674267361108" createdVersion="6" refreshedVersion="6" minRefreshableVersion="3" recordCount="998">
  <cacheSource type="worksheet">
    <worksheetSource ref="A1:R999" sheet="A DEPOSITAR"/>
  </cacheSource>
  <cacheFields count="18">
    <cacheField name="Fecha de ingreso" numFmtId="0">
      <sharedItems containsNonDate="0" containsDate="1" containsString="0" containsBlank="1" minDate="2019-07-01T00:00:00" maxDate="2021-10-15T00:00:00"/>
    </cacheField>
    <cacheField name="Cliente" numFmtId="0">
      <sharedItems containsBlank="1"/>
    </cacheField>
    <cacheField name="Nº de Fact" numFmtId="0">
      <sharedItems containsBlank="1"/>
    </cacheField>
    <cacheField name="Fecha de Deposito" numFmtId="0">
      <sharedItems containsNonDate="0" containsDate="1" containsString="0" containsBlank="1" minDate="2019-06-28T00:00:00" maxDate="2022-01-01T00:00:00"/>
    </cacheField>
    <cacheField name="Banco de Emisión" numFmtId="0">
      <sharedItems containsBlank="1"/>
    </cacheField>
    <cacheField name="Número de Cheque" numFmtId="0">
      <sharedItems containsBlank="1" containsMixedTypes="1" containsNumber="1" containsInteger="1" minValue="47" maxValue="832555340"/>
    </cacheField>
    <cacheField name="Titular del Cheque" numFmtId="0">
      <sharedItems containsBlank="1"/>
    </cacheField>
    <cacheField name="Monto" numFmtId="164">
      <sharedItems containsString="0" containsBlank="1" containsNumber="1" minValue="489.98" maxValue="117000"/>
    </cacheField>
    <cacheField name="Estado" numFmtId="0">
      <sharedItems containsBlank="1" count="9">
        <s v="Depositado"/>
        <s v="Endosado"/>
        <s v="Anulado"/>
        <s v="Posdatado"/>
        <s v="Rechazado"/>
        <s v="Falla Tecnica"/>
        <s v="Devuelto"/>
        <s v="A Depositar"/>
        <m/>
      </sharedItems>
    </cacheField>
    <cacheField name="Cuit Cheque" numFmtId="0">
      <sharedItems containsBlank="1" containsMixedTypes="1" containsNumber="1" containsInteger="1" minValue="20055106968" maxValue="33715087419"/>
    </cacheField>
    <cacheField name="Código" numFmtId="0">
      <sharedItems containsBlank="1" containsMixedTypes="1" containsNumber="1" containsInteger="1" minValue="62" maxValue="833"/>
    </cacheField>
    <cacheField name="Tipo" numFmtId="0">
      <sharedItems containsBlank="1"/>
    </cacheField>
    <cacheField name="Fecha de Salida" numFmtId="0">
      <sharedItems containsDate="1" containsBlank="1" containsMixedTypes="1" minDate="2019-06-26T00:00:00" maxDate="2021-10-21T00:00:00"/>
    </cacheField>
    <cacheField name="Destinatario" numFmtId="0">
      <sharedItems containsBlank="1"/>
    </cacheField>
    <cacheField name="Observación" numFmtId="0">
      <sharedItems containsBlank="1" count="20">
        <s v="VER"/>
        <m/>
        <s v="Cambiado por efectivo"/>
        <s v="DOS ERRORES, INARREGLABLE_x000a_"/>
        <s v="ARREGLAR NUMERO Y FECHA"/>
        <s v="Tiene una parte rota"/>
        <s v="Error fecha_x000a_"/>
        <s v="Deposito en cc"/>
        <s v="NO SE"/>
        <s v="Devuelto por Veira, x supuesto &quot;vencimiento&quot;"/>
        <s v="Rechazado por otranto"/>
        <s v="Se lo comio el cajeroi"/>
        <s v="??"/>
        <s v="Carlos"/>
        <s v="Echeq"/>
        <s v="Por falta de firma"/>
        <s v="Covid Joaco"/>
        <s v="º"/>
        <s v="Ya lo endosaste"/>
        <s v="Mal confeccionado: Centavos"/>
      </sharedItems>
    </cacheField>
    <cacheField name="Mes de cobro" numFmtId="0">
      <sharedItems containsSemiMixedTypes="0" containsString="0" containsNumber="1" containsInteger="1" minValue="1" maxValue="12" count="12">
        <n v="8"/>
        <n v="10"/>
        <n v="11"/>
        <n v="12"/>
        <n v="7"/>
        <n v="9"/>
        <n v="1"/>
        <n v="2"/>
        <n v="3"/>
        <n v="4"/>
        <n v="5"/>
        <n v="6"/>
      </sharedItems>
    </cacheField>
    <cacheField name="Año de Cobro" numFmtId="0">
      <sharedItems containsSemiMixedTypes="0" containsString="0" containsNumber="1" containsInteger="1" minValue="1900" maxValue="2021" count="5">
        <n v="2019"/>
        <n v="2020"/>
        <n v="2021"/>
        <n v="1900"/>
        <n v="1987" u="1"/>
      </sharedItems>
    </cacheField>
    <cacheField name="Dia de cobro" numFmtId="0">
      <sharedItems containsSemiMixedTypes="0" containsString="0" containsNumber="1" containsInteger="1" minValue="0" maxValue="31" count="32">
        <n v="12"/>
        <n v="9"/>
        <n v="30"/>
        <n v="31"/>
        <n v="28"/>
        <n v="29"/>
        <n v="24"/>
        <n v="13"/>
        <n v="26"/>
        <n v="18"/>
        <n v="25"/>
        <n v="11"/>
        <n v="7"/>
        <n v="23"/>
        <n v="15"/>
        <n v="21"/>
        <n v="14"/>
        <n v="10"/>
        <n v="20"/>
        <n v="22"/>
        <n v="8"/>
        <n v="17"/>
        <n v="5"/>
        <n v="16"/>
        <n v="1"/>
        <n v="19"/>
        <n v="27"/>
        <n v="6"/>
        <n v="4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Miguel" refreshedDate="44490.421832638887" refreshedVersion="6" recordCount="997">
  <cacheSource type="worksheet">
    <worksheetSource ref="A1:J998" sheet="A PAGAR"/>
  </cacheSource>
  <cacheFields count="10">
    <cacheField name="Fecha de Pago" numFmtId="0">
      <sharedItems containsDate="1" containsBlank="1" containsMixedTypes="1" minDate="2019-07-15T00:00:00" maxDate="2026-11-17T00:00:00"/>
    </cacheField>
    <cacheField name="Proveedor" numFmtId="0">
      <sharedItems containsBlank="1"/>
    </cacheField>
    <cacheField name="Número de Cheque" numFmtId="0">
      <sharedItems containsDate="1" containsMixedTypes="1" minDate="1900-01-10T14:22:05" maxDate="1900-01-02T12:30:05"/>
    </cacheField>
    <cacheField name="Monto" numFmtId="164">
      <sharedItems containsBlank="1" containsMixedTypes="1" containsNumber="1" minValue="0" maxValue="184500"/>
    </cacheField>
    <cacheField name="Estado" numFmtId="0">
      <sharedItems containsBlank="1" count="8">
        <s v="Pagado"/>
        <s v="Vencidos"/>
        <s v="Anulado"/>
        <s v="Recuperado"/>
        <s v="A Pagar"/>
        <m/>
        <s v="Corona Virus" u="1"/>
        <s v="Rechazado" u="1"/>
      </sharedItems>
    </cacheField>
    <cacheField name="Fecha de Emision" numFmtId="0">
      <sharedItems containsDate="1" containsBlank="1" containsMixedTypes="1" minDate="2019-01-30T00:00:00" maxDate="2021-10-15T00:00:00"/>
    </cacheField>
    <cacheField name="Observación" numFmtId="0">
      <sharedItems containsDate="1" containsBlank="1" containsMixedTypes="1" minDate="2020-07-16T00:00:00" maxDate="1900-01-06T16:11:04"/>
    </cacheField>
    <cacheField name="Dia" numFmtId="0">
      <sharedItems containsMixedTypes="1" containsNumber="1" containsInteger="1" minValue="0" maxValue="31" count="31">
        <n v="30"/>
        <n v="23"/>
        <n v="16"/>
        <n v="8"/>
        <n v="15"/>
        <n v="31"/>
        <n v="10"/>
        <n v="7"/>
        <n v="22"/>
        <n v="24"/>
        <n v="21"/>
        <n v="27"/>
        <n v="9"/>
        <n v="14"/>
        <n v="29"/>
        <n v="4"/>
        <n v="13"/>
        <n v="18"/>
        <n v="20"/>
        <n v="19"/>
        <n v="11"/>
        <s v="-"/>
        <n v="26"/>
        <n v="17"/>
        <n v="28"/>
        <n v="6"/>
        <n v="25"/>
        <n v="3"/>
        <n v="1"/>
        <n v="12"/>
        <n v="0"/>
      </sharedItems>
    </cacheField>
    <cacheField name="Mes" numFmtId="0">
      <sharedItems containsMixedTypes="1" containsNumber="1" containsInteger="1" minValue="1" maxValue="12" count="13">
        <n v="7"/>
        <n v="8"/>
        <n v="9"/>
        <n v="10"/>
        <n v="11"/>
        <n v="12"/>
        <n v="1"/>
        <n v="3"/>
        <n v="2"/>
        <n v="4"/>
        <n v="5"/>
        <s v="-"/>
        <n v="6"/>
      </sharedItems>
    </cacheField>
    <cacheField name="Año " numFmtId="0">
      <sharedItems containsMixedTypes="1" containsNumber="1" containsInteger="1" minValue="1899" maxValue="2026" count="11">
        <n v="2019"/>
        <n v="2020"/>
        <s v="-"/>
        <n v="2021"/>
        <n v="2022"/>
        <n v="2023"/>
        <n v="2024"/>
        <n v="2025"/>
        <n v="2026"/>
        <n v="1900"/>
        <n v="189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7">
  <r>
    <d v="2019-07-30T00:00:00"/>
    <x v="0"/>
    <x v="0"/>
    <n v="5563"/>
    <x v="0"/>
    <d v="2019-07-15T00:00:00"/>
    <m/>
    <n v="30"/>
    <x v="0"/>
    <x v="0"/>
    <d v="2019-09-28T00:00:00"/>
  </r>
  <r>
    <d v="2019-07-23T00:00:00"/>
    <x v="1"/>
    <x v="1"/>
    <n v="6576"/>
    <x v="0"/>
    <d v="2019-07-15T00:00:00"/>
    <m/>
    <n v="23"/>
    <x v="0"/>
    <x v="0"/>
    <d v="2019-09-21T00:00:00"/>
  </r>
  <r>
    <d v="2019-07-16T00:00:00"/>
    <x v="2"/>
    <x v="2"/>
    <n v="10120"/>
    <x v="0"/>
    <d v="2019-07-15T00:00:00"/>
    <m/>
    <n v="16"/>
    <x v="0"/>
    <x v="0"/>
    <d v="2019-09-14T00:00:00"/>
  </r>
  <r>
    <d v="2019-07-23T00:00:00"/>
    <x v="3"/>
    <x v="3"/>
    <n v="3900"/>
    <x v="0"/>
    <d v="2019-07-15T00:00:00"/>
    <m/>
    <n v="23"/>
    <x v="0"/>
    <x v="0"/>
    <d v="2019-09-21T00:00:00"/>
  </r>
  <r>
    <d v="2019-08-08T00:00:00"/>
    <x v="3"/>
    <x v="4"/>
    <n v="3951"/>
    <x v="0"/>
    <d v="2019-07-15T00:00:00"/>
    <m/>
    <n v="8"/>
    <x v="1"/>
    <x v="0"/>
    <d v="2019-10-07T00:00:00"/>
  </r>
  <r>
    <d v="2019-07-15T00:00:00"/>
    <x v="4"/>
    <x v="5"/>
    <n v="1700"/>
    <x v="0"/>
    <d v="2019-07-15T00:00:00"/>
    <m/>
    <n v="15"/>
    <x v="0"/>
    <x v="0"/>
    <d v="2019-09-13T00:00:00"/>
  </r>
  <r>
    <d v="2019-07-23T00:00:00"/>
    <x v="4"/>
    <x v="6"/>
    <n v="1800"/>
    <x v="0"/>
    <d v="2019-07-15T00:00:00"/>
    <m/>
    <n v="23"/>
    <x v="0"/>
    <x v="0"/>
    <d v="2019-09-21T00:00:00"/>
  </r>
  <r>
    <d v="2019-07-15T00:00:00"/>
    <x v="5"/>
    <x v="7"/>
    <n v="9100"/>
    <x v="0"/>
    <d v="2019-07-15T00:00:00"/>
    <m/>
    <n v="15"/>
    <x v="0"/>
    <x v="0"/>
    <d v="2019-09-13T00:00:00"/>
  </r>
  <r>
    <d v="2019-07-23T00:00:00"/>
    <x v="5"/>
    <x v="8"/>
    <n v="9000"/>
    <x v="0"/>
    <d v="2019-07-15T00:00:00"/>
    <m/>
    <n v="23"/>
    <x v="0"/>
    <x v="0"/>
    <d v="2019-09-21T00:00:00"/>
  </r>
  <r>
    <d v="2019-07-31T00:00:00"/>
    <x v="5"/>
    <x v="9"/>
    <n v="10000"/>
    <x v="0"/>
    <d v="2019-07-15T00:00:00"/>
    <m/>
    <n v="31"/>
    <x v="0"/>
    <x v="0"/>
    <d v="2019-09-29T00:00:00"/>
  </r>
  <r>
    <d v="2019-07-16T00:00:00"/>
    <x v="5"/>
    <x v="10"/>
    <n v="7000"/>
    <x v="0"/>
    <d v="2019-07-15T00:00:00"/>
    <m/>
    <n v="16"/>
    <x v="0"/>
    <x v="0"/>
    <d v="2019-09-14T00:00:00"/>
  </r>
  <r>
    <d v="2019-07-30T00:00:00"/>
    <x v="5"/>
    <x v="11"/>
    <n v="7000"/>
    <x v="0"/>
    <d v="2019-07-15T00:00:00"/>
    <m/>
    <n v="30"/>
    <x v="0"/>
    <x v="0"/>
    <d v="2019-09-28T00:00:00"/>
  </r>
  <r>
    <d v="2019-08-08T00:00:00"/>
    <x v="5"/>
    <x v="12"/>
    <n v="6500"/>
    <x v="0"/>
    <d v="2019-07-15T00:00:00"/>
    <m/>
    <n v="8"/>
    <x v="1"/>
    <x v="0"/>
    <d v="2019-10-07T00:00:00"/>
  </r>
  <r>
    <d v="2019-07-15T00:00:00"/>
    <x v="2"/>
    <x v="13"/>
    <n v="12150"/>
    <x v="0"/>
    <d v="2019-07-15T00:00:00"/>
    <m/>
    <n v="15"/>
    <x v="0"/>
    <x v="0"/>
    <d v="2019-09-13T00:00:00"/>
  </r>
  <r>
    <d v="2019-07-23T00:00:00"/>
    <x v="2"/>
    <x v="14"/>
    <n v="12390"/>
    <x v="0"/>
    <d v="2019-07-15T00:00:00"/>
    <m/>
    <n v="23"/>
    <x v="0"/>
    <x v="0"/>
    <d v="2019-09-21T00:00:00"/>
  </r>
  <r>
    <d v="2019-07-31T00:00:00"/>
    <x v="2"/>
    <x v="15"/>
    <n v="13510"/>
    <x v="0"/>
    <d v="2019-07-15T00:00:00"/>
    <m/>
    <n v="31"/>
    <x v="0"/>
    <x v="0"/>
    <d v="2019-09-29T00:00:00"/>
  </r>
  <r>
    <d v="2019-09-08T00:00:00"/>
    <x v="4"/>
    <x v="16"/>
    <n v="3800"/>
    <x v="0"/>
    <d v="2019-07-15T00:00:00"/>
    <m/>
    <n v="8"/>
    <x v="2"/>
    <x v="0"/>
    <d v="2019-11-07T00:00:00"/>
  </r>
  <r>
    <d v="2019-08-16T00:00:00"/>
    <x v="2"/>
    <x v="17"/>
    <n v="8000"/>
    <x v="0"/>
    <d v="2019-07-15T00:00:00"/>
    <m/>
    <n v="16"/>
    <x v="1"/>
    <x v="0"/>
    <d v="2019-10-15T00:00:00"/>
  </r>
  <r>
    <d v="2019-08-23T00:00:00"/>
    <x v="2"/>
    <x v="18"/>
    <n v="12000"/>
    <x v="0"/>
    <d v="2019-07-15T00:00:00"/>
    <m/>
    <n v="23"/>
    <x v="1"/>
    <x v="0"/>
    <d v="2019-10-22T00:00:00"/>
  </r>
  <r>
    <d v="2019-09-08T00:00:00"/>
    <x v="2"/>
    <x v="19"/>
    <n v="10000"/>
    <x v="0"/>
    <d v="2019-07-15T00:00:00"/>
    <m/>
    <n v="8"/>
    <x v="2"/>
    <x v="0"/>
    <d v="2019-11-07T00:00:00"/>
  </r>
  <r>
    <d v="2019-09-16T00:00:00"/>
    <x v="2"/>
    <x v="20"/>
    <n v="11000"/>
    <x v="0"/>
    <d v="2019-07-15T00:00:00"/>
    <m/>
    <n v="16"/>
    <x v="2"/>
    <x v="0"/>
    <d v="2019-11-15T00:00:00"/>
  </r>
  <r>
    <d v="2019-09-23T00:00:00"/>
    <x v="2"/>
    <x v="21"/>
    <n v="9000"/>
    <x v="0"/>
    <d v="2019-07-15T00:00:00"/>
    <m/>
    <n v="23"/>
    <x v="2"/>
    <x v="0"/>
    <d v="2019-11-22T00:00:00"/>
  </r>
  <r>
    <d v="2019-07-23T00:00:00"/>
    <x v="0"/>
    <x v="22"/>
    <n v="5200"/>
    <x v="0"/>
    <d v="2019-07-12T00:00:00"/>
    <m/>
    <n v="23"/>
    <x v="0"/>
    <x v="0"/>
    <d v="2019-09-21T00:00:00"/>
  </r>
  <r>
    <d v="2019-08-08T00:00:00"/>
    <x v="0"/>
    <x v="23"/>
    <n v="5276.91"/>
    <x v="0"/>
    <d v="2019-07-12T00:00:00"/>
    <m/>
    <n v="8"/>
    <x v="1"/>
    <x v="0"/>
    <d v="2019-10-07T00:00:00"/>
  </r>
  <r>
    <d v="2019-08-23T00:00:00"/>
    <x v="0"/>
    <x v="24"/>
    <n v="5300"/>
    <x v="0"/>
    <d v="2019-07-15T00:00:00"/>
    <m/>
    <n v="23"/>
    <x v="1"/>
    <x v="0"/>
    <d v="2019-10-22T00:00:00"/>
  </r>
  <r>
    <d v="2019-08-08T00:00:00"/>
    <x v="6"/>
    <x v="25"/>
    <n v="3133"/>
    <x v="0"/>
    <d v="2019-07-15T00:00:00"/>
    <m/>
    <n v="8"/>
    <x v="1"/>
    <x v="0"/>
    <d v="2019-10-07T00:00:00"/>
  </r>
  <r>
    <d v="2019-08-23T00:00:00"/>
    <x v="6"/>
    <x v="26"/>
    <n v="3100.62"/>
    <x v="0"/>
    <d v="2019-07-15T00:00:00"/>
    <m/>
    <n v="23"/>
    <x v="1"/>
    <x v="0"/>
    <d v="2019-10-22T00:00:00"/>
  </r>
  <r>
    <d v="2019-07-16T00:00:00"/>
    <x v="7"/>
    <x v="27"/>
    <n v="6202.89"/>
    <x v="0"/>
    <d v="2019-07-15T00:00:00"/>
    <m/>
    <n v="16"/>
    <x v="0"/>
    <x v="0"/>
    <d v="2019-09-14T00:00:00"/>
  </r>
  <r>
    <d v="2019-08-08T00:00:00"/>
    <x v="8"/>
    <x v="28"/>
    <n v="7000"/>
    <x v="0"/>
    <d v="2019-07-15T00:00:00"/>
    <m/>
    <n v="8"/>
    <x v="1"/>
    <x v="0"/>
    <d v="2019-10-07T00:00:00"/>
  </r>
  <r>
    <d v="2019-08-10T00:00:00"/>
    <x v="8"/>
    <x v="29"/>
    <n v="8000"/>
    <x v="0"/>
    <d v="2019-07-15T00:00:00"/>
    <m/>
    <n v="10"/>
    <x v="1"/>
    <x v="0"/>
    <d v="2019-10-09T00:00:00"/>
  </r>
  <r>
    <d v="2019-09-08T00:00:00"/>
    <x v="8"/>
    <x v="30"/>
    <n v="7500"/>
    <x v="0"/>
    <d v="2019-07-15T00:00:00"/>
    <m/>
    <n v="8"/>
    <x v="2"/>
    <x v="0"/>
    <d v="2019-11-07T00:00:00"/>
  </r>
  <r>
    <d v="2019-09-10T00:00:00"/>
    <x v="8"/>
    <x v="31"/>
    <n v="8500"/>
    <x v="0"/>
    <d v="2019-07-15T00:00:00"/>
    <m/>
    <n v="10"/>
    <x v="2"/>
    <x v="0"/>
    <d v="2019-11-09T00:00:00"/>
  </r>
  <r>
    <d v="2019-07-16T00:00:00"/>
    <x v="9"/>
    <x v="32"/>
    <n v="9600"/>
    <x v="0"/>
    <d v="2019-07-15T00:00:00"/>
    <m/>
    <n v="16"/>
    <x v="0"/>
    <x v="0"/>
    <d v="2019-09-14T00:00:00"/>
  </r>
  <r>
    <d v="2019-07-23T00:00:00"/>
    <x v="9"/>
    <x v="33"/>
    <n v="10500"/>
    <x v="0"/>
    <d v="2019-07-15T00:00:00"/>
    <m/>
    <n v="23"/>
    <x v="0"/>
    <x v="0"/>
    <d v="2019-09-21T00:00:00"/>
  </r>
  <r>
    <d v="2019-07-30T00:00:00"/>
    <x v="9"/>
    <x v="34"/>
    <n v="10600"/>
    <x v="0"/>
    <d v="2019-07-15T00:00:00"/>
    <m/>
    <n v="30"/>
    <x v="0"/>
    <x v="0"/>
    <d v="2019-09-28T00:00:00"/>
  </r>
  <r>
    <d v="2019-08-08T00:00:00"/>
    <x v="9"/>
    <x v="35"/>
    <n v="10700"/>
    <x v="0"/>
    <d v="2019-07-15T00:00:00"/>
    <m/>
    <n v="8"/>
    <x v="1"/>
    <x v="0"/>
    <d v="2019-10-07T00:00:00"/>
  </r>
  <r>
    <d v="2019-08-16T00:00:00"/>
    <x v="9"/>
    <x v="36"/>
    <n v="10800"/>
    <x v="0"/>
    <d v="2019-07-15T00:00:00"/>
    <m/>
    <n v="16"/>
    <x v="1"/>
    <x v="0"/>
    <d v="2019-10-15T00:00:00"/>
  </r>
  <r>
    <d v="2019-08-23T00:00:00"/>
    <x v="9"/>
    <x v="37"/>
    <n v="7800"/>
    <x v="0"/>
    <d v="2019-07-15T00:00:00"/>
    <m/>
    <n v="23"/>
    <x v="1"/>
    <x v="0"/>
    <d v="2019-10-22T00:00:00"/>
  </r>
  <r>
    <d v="2019-07-30T00:00:00"/>
    <x v="5"/>
    <x v="38"/>
    <n v="3000"/>
    <x v="0"/>
    <d v="2019-07-15T00:00:00"/>
    <m/>
    <n v="30"/>
    <x v="0"/>
    <x v="0"/>
    <d v="2019-09-28T00:00:00"/>
  </r>
  <r>
    <d v="2019-07-23T00:00:00"/>
    <x v="5"/>
    <x v="39"/>
    <n v="6000"/>
    <x v="0"/>
    <d v="2019-07-15T00:00:00"/>
    <m/>
    <n v="23"/>
    <x v="0"/>
    <x v="0"/>
    <d v="2019-09-21T00:00:00"/>
  </r>
  <r>
    <d v="2019-09-07T00:00:00"/>
    <x v="5"/>
    <x v="40"/>
    <n v="6010"/>
    <x v="0"/>
    <d v="2019-07-15T00:00:00"/>
    <m/>
    <n v="7"/>
    <x v="2"/>
    <x v="0"/>
    <d v="2019-11-06T00:00:00"/>
  </r>
  <r>
    <d v="2019-09-22T00:00:00"/>
    <x v="5"/>
    <x v="41"/>
    <n v="6050"/>
    <x v="0"/>
    <d v="2019-07-15T00:00:00"/>
    <m/>
    <n v="22"/>
    <x v="2"/>
    <x v="0"/>
    <d v="2019-11-21T00:00:00"/>
  </r>
  <r>
    <d v="2019-09-30T00:00:00"/>
    <x v="5"/>
    <x v="42"/>
    <n v="6300"/>
    <x v="0"/>
    <d v="2019-07-15T00:00:00"/>
    <m/>
    <n v="30"/>
    <x v="2"/>
    <x v="0"/>
    <d v="2019-11-29T00:00:00"/>
  </r>
  <r>
    <d v="2019-09-08T00:00:00"/>
    <x v="3"/>
    <x v="43"/>
    <n v="7500"/>
    <x v="0"/>
    <d v="2019-07-15T00:00:00"/>
    <m/>
    <n v="8"/>
    <x v="2"/>
    <x v="0"/>
    <d v="2019-11-07T00:00:00"/>
  </r>
  <r>
    <d v="2019-09-22T00:00:00"/>
    <x v="3"/>
    <x v="44"/>
    <n v="7500"/>
    <x v="0"/>
    <d v="2019-07-15T00:00:00"/>
    <m/>
    <n v="22"/>
    <x v="2"/>
    <x v="0"/>
    <d v="2019-11-21T00:00:00"/>
  </r>
  <r>
    <d v="2019-09-30T00:00:00"/>
    <x v="3"/>
    <x v="45"/>
    <n v="7500"/>
    <x v="0"/>
    <d v="2019-07-15T00:00:00"/>
    <m/>
    <n v="30"/>
    <x v="2"/>
    <x v="0"/>
    <d v="2019-11-29T00:00:00"/>
  </r>
  <r>
    <d v="2019-10-08T00:00:00"/>
    <x v="3"/>
    <x v="46"/>
    <n v="7500"/>
    <x v="0"/>
    <d v="2019-07-15T00:00:00"/>
    <m/>
    <n v="8"/>
    <x v="3"/>
    <x v="0"/>
    <d v="2019-12-07T00:00:00"/>
  </r>
  <r>
    <d v="2019-10-22T00:00:00"/>
    <x v="3"/>
    <x v="47"/>
    <n v="7500"/>
    <x v="0"/>
    <d v="2019-07-15T00:00:00"/>
    <m/>
    <n v="22"/>
    <x v="3"/>
    <x v="0"/>
    <d v="2019-12-21T00:00:00"/>
  </r>
  <r>
    <d v="2019-10-30T00:00:00"/>
    <x v="3"/>
    <x v="48"/>
    <n v="7818"/>
    <x v="0"/>
    <d v="2019-07-15T00:00:00"/>
    <m/>
    <n v="30"/>
    <x v="4"/>
    <x v="0"/>
    <d v="2019-12-29T00:00:00"/>
  </r>
  <r>
    <d v="2019-08-24T00:00:00"/>
    <x v="10"/>
    <x v="49"/>
    <n v="1700"/>
    <x v="0"/>
    <d v="2019-07-15T00:00:00"/>
    <m/>
    <n v="24"/>
    <x v="1"/>
    <x v="0"/>
    <d v="2019-10-23T00:00:00"/>
  </r>
  <r>
    <d v="2019-08-10T00:00:00"/>
    <x v="11"/>
    <x v="50"/>
    <n v="2320.0500000000002"/>
    <x v="0"/>
    <d v="2019-07-15T00:00:00"/>
    <m/>
    <n v="10"/>
    <x v="1"/>
    <x v="0"/>
    <d v="2019-10-09T00:00:00"/>
  </r>
  <r>
    <d v="2019-08-16T00:00:00"/>
    <x v="12"/>
    <x v="51"/>
    <n v="4867.3999999999996"/>
    <x v="0"/>
    <d v="2019-07-15T00:00:00"/>
    <m/>
    <n v="16"/>
    <x v="1"/>
    <x v="0"/>
    <d v="2019-10-15T00:00:00"/>
  </r>
  <r>
    <d v="2019-08-23T00:00:00"/>
    <x v="13"/>
    <x v="52"/>
    <n v="4800"/>
    <x v="0"/>
    <d v="2019-07-15T00:00:00"/>
    <m/>
    <n v="23"/>
    <x v="1"/>
    <x v="0"/>
    <d v="2019-10-22T00:00:00"/>
  </r>
  <r>
    <d v="2019-08-30T00:00:00"/>
    <x v="13"/>
    <x v="53"/>
    <n v="4800"/>
    <x v="0"/>
    <d v="2019-07-15T00:00:00"/>
    <m/>
    <n v="30"/>
    <x v="1"/>
    <x v="0"/>
    <d v="2019-10-29T00:00:00"/>
  </r>
  <r>
    <d v="2019-08-08T00:00:00"/>
    <x v="14"/>
    <x v="54"/>
    <n v="8000"/>
    <x v="0"/>
    <d v="2019-07-15T00:00:00"/>
    <m/>
    <n v="8"/>
    <x v="1"/>
    <x v="0"/>
    <d v="2019-10-07T00:00:00"/>
  </r>
  <r>
    <d v="2019-09-07T00:00:00"/>
    <x v="14"/>
    <x v="55"/>
    <n v="7300"/>
    <x v="0"/>
    <d v="2019-07-18T00:00:00"/>
    <m/>
    <n v="7"/>
    <x v="2"/>
    <x v="0"/>
    <d v="2019-11-06T00:00:00"/>
  </r>
  <r>
    <d v="2019-09-16T00:00:00"/>
    <x v="14"/>
    <x v="56"/>
    <n v="7480"/>
    <x v="0"/>
    <d v="2019-07-18T00:00:00"/>
    <m/>
    <n v="16"/>
    <x v="2"/>
    <x v="0"/>
    <d v="2019-11-15T00:00:00"/>
  </r>
  <r>
    <d v="2019-09-21T00:00:00"/>
    <x v="14"/>
    <x v="57"/>
    <n v="7600"/>
    <x v="0"/>
    <d v="2019-07-18T00:00:00"/>
    <m/>
    <n v="21"/>
    <x v="2"/>
    <x v="0"/>
    <d v="2019-11-20T00:00:00"/>
  </r>
  <r>
    <d v="2019-09-30T00:00:00"/>
    <x v="14"/>
    <x v="58"/>
    <n v="7700"/>
    <x v="0"/>
    <d v="2019-07-18T00:00:00"/>
    <m/>
    <n v="30"/>
    <x v="2"/>
    <x v="0"/>
    <d v="2019-11-29T00:00:00"/>
  </r>
  <r>
    <d v="2019-09-27T00:00:00"/>
    <x v="14"/>
    <x v="59"/>
    <n v="7800"/>
    <x v="0"/>
    <d v="2019-07-18T00:00:00"/>
    <m/>
    <n v="27"/>
    <x v="2"/>
    <x v="0"/>
    <d v="2019-11-26T00:00:00"/>
  </r>
  <r>
    <d v="2019-10-22T00:00:00"/>
    <x v="4"/>
    <x v="60"/>
    <n v="3000"/>
    <x v="0"/>
    <d v="2019-07-20T00:00:00"/>
    <m/>
    <n v="22"/>
    <x v="3"/>
    <x v="0"/>
    <d v="2019-12-21T00:00:00"/>
  </r>
  <r>
    <d v="2019-08-16T00:00:00"/>
    <x v="15"/>
    <x v="61"/>
    <n v="2815"/>
    <x v="0"/>
    <d v="2019-07-25T00:00:00"/>
    <m/>
    <n v="16"/>
    <x v="1"/>
    <x v="0"/>
    <d v="2019-10-15T00:00:00"/>
  </r>
  <r>
    <d v="2019-08-30T00:00:00"/>
    <x v="15"/>
    <x v="62"/>
    <n v="2837"/>
    <x v="0"/>
    <d v="2019-07-25T00:00:00"/>
    <m/>
    <n v="30"/>
    <x v="1"/>
    <x v="0"/>
    <d v="2019-10-29T00:00:00"/>
  </r>
  <r>
    <d v="2019-09-22T00:00:00"/>
    <x v="7"/>
    <x v="63"/>
    <n v="2361.25"/>
    <x v="0"/>
    <d v="2019-08-12T00:00:00"/>
    <m/>
    <n v="22"/>
    <x v="2"/>
    <x v="0"/>
    <d v="2019-11-21T00:00:00"/>
  </r>
  <r>
    <d v="2019-09-07T00:00:00"/>
    <x v="16"/>
    <x v="64"/>
    <n v="4600"/>
    <x v="0"/>
    <d v="2019-08-12T00:00:00"/>
    <m/>
    <n v="7"/>
    <x v="2"/>
    <x v="0"/>
    <d v="2019-11-06T00:00:00"/>
  </r>
  <r>
    <d v="2019-09-22T00:00:00"/>
    <x v="16"/>
    <x v="65"/>
    <n v="4700"/>
    <x v="0"/>
    <d v="2019-08-12T00:00:00"/>
    <m/>
    <n v="22"/>
    <x v="2"/>
    <x v="0"/>
    <d v="2019-11-21T00:00:00"/>
  </r>
  <r>
    <d v="2019-10-07T00:00:00"/>
    <x v="16"/>
    <x v="66"/>
    <n v="4810"/>
    <x v="0"/>
    <d v="2019-08-12T00:00:00"/>
    <m/>
    <n v="7"/>
    <x v="3"/>
    <x v="0"/>
    <d v="2019-12-06T00:00:00"/>
  </r>
  <r>
    <d v="2019-10-22T00:00:00"/>
    <x v="1"/>
    <x v="67"/>
    <n v="4800"/>
    <x v="0"/>
    <d v="2019-08-12T00:00:00"/>
    <m/>
    <n v="22"/>
    <x v="3"/>
    <x v="0"/>
    <d v="2019-12-21T00:00:00"/>
  </r>
  <r>
    <d v="2019-08-15T00:00:00"/>
    <x v="17"/>
    <x v="68"/>
    <n v="15000"/>
    <x v="0"/>
    <d v="2019-08-12T00:00:00"/>
    <m/>
    <n v="15"/>
    <x v="1"/>
    <x v="0"/>
    <d v="2019-10-14T00:00:00"/>
  </r>
  <r>
    <d v="2019-09-22T00:00:00"/>
    <x v="1"/>
    <x v="69"/>
    <n v="3400"/>
    <x v="0"/>
    <d v="2019-08-22T00:00:00"/>
    <m/>
    <n v="22"/>
    <x v="2"/>
    <x v="0"/>
    <d v="2019-11-21T00:00:00"/>
  </r>
  <r>
    <d v="2019-09-22T00:00:00"/>
    <x v="1"/>
    <x v="70"/>
    <n v="3500"/>
    <x v="0"/>
    <d v="2019-08-22T00:00:00"/>
    <m/>
    <n v="22"/>
    <x v="2"/>
    <x v="0"/>
    <d v="2019-11-21T00:00:00"/>
  </r>
  <r>
    <d v="2019-10-22T00:00:00"/>
    <x v="1"/>
    <x v="71"/>
    <n v="3642"/>
    <x v="0"/>
    <d v="2019-08-22T00:00:00"/>
    <m/>
    <n v="22"/>
    <x v="3"/>
    <x v="0"/>
    <d v="2019-12-21T00:00:00"/>
  </r>
  <r>
    <d v="2019-11-07T00:00:00"/>
    <x v="1"/>
    <x v="72"/>
    <n v="3700"/>
    <x v="0"/>
    <d v="2019-08-22T00:00:00"/>
    <m/>
    <n v="7"/>
    <x v="4"/>
    <x v="0"/>
    <d v="2020-01-06T00:00:00"/>
  </r>
  <r>
    <d v="2019-11-22T00:00:00"/>
    <x v="1"/>
    <x v="73"/>
    <n v="3800"/>
    <x v="0"/>
    <d v="2019-08-22T00:00:00"/>
    <m/>
    <n v="22"/>
    <x v="4"/>
    <x v="0"/>
    <d v="2020-01-21T00:00:00"/>
  </r>
  <r>
    <d v="2019-11-30T00:00:00"/>
    <x v="4"/>
    <x v="74"/>
    <n v="4408"/>
    <x v="0"/>
    <d v="2019-08-22T00:00:00"/>
    <m/>
    <n v="30"/>
    <x v="4"/>
    <x v="0"/>
    <d v="2020-01-29T00:00:00"/>
  </r>
  <r>
    <d v="2019-12-07T00:00:00"/>
    <x v="18"/>
    <x v="75"/>
    <n v="4900"/>
    <x v="0"/>
    <d v="2019-08-22T00:00:00"/>
    <m/>
    <n v="7"/>
    <x v="5"/>
    <x v="0"/>
    <d v="2020-02-05T00:00:00"/>
  </r>
  <r>
    <d v="2019-10-22T00:00:00"/>
    <x v="3"/>
    <x v="76"/>
    <n v="5000"/>
    <x v="0"/>
    <d v="2019-08-22T00:00:00"/>
    <s v="ANULADO"/>
    <n v="22"/>
    <x v="3"/>
    <x v="0"/>
    <d v="2019-12-21T00:00:00"/>
  </r>
  <r>
    <d v="2019-11-07T00:00:00"/>
    <x v="3"/>
    <x v="77"/>
    <n v="5500"/>
    <x v="0"/>
    <d v="2019-08-22T00:00:00"/>
    <m/>
    <n v="7"/>
    <x v="4"/>
    <x v="0"/>
    <d v="2020-01-06T00:00:00"/>
  </r>
  <r>
    <d v="2020-01-22T00:00:00"/>
    <x v="1"/>
    <x v="78"/>
    <n v="6000"/>
    <x v="0"/>
    <d v="2019-08-22T00:00:00"/>
    <m/>
    <n v="22"/>
    <x v="6"/>
    <x v="1"/>
    <d v="2020-03-22T00:00:00"/>
  </r>
  <r>
    <d v="2019-12-22T00:00:00"/>
    <x v="3"/>
    <x v="79"/>
    <n v="6000"/>
    <x v="0"/>
    <d v="2019-08-22T00:00:00"/>
    <m/>
    <n v="22"/>
    <x v="5"/>
    <x v="0"/>
    <d v="2020-02-20T00:00:00"/>
  </r>
  <r>
    <d v="2020-03-31T00:00:00"/>
    <x v="1"/>
    <x v="80"/>
    <n v="6100"/>
    <x v="0"/>
    <d v="2019-08-22T00:00:00"/>
    <m/>
    <n v="31"/>
    <x v="7"/>
    <x v="1"/>
    <d v="2020-05-30T00:00:00"/>
  </r>
  <r>
    <d v="2019-12-07T00:00:00"/>
    <x v="3"/>
    <x v="81"/>
    <n v="6000"/>
    <x v="0"/>
    <d v="2019-08-22T00:00:00"/>
    <s v="ANULADO"/>
    <n v="7"/>
    <x v="5"/>
    <x v="0"/>
    <d v="2020-02-05T00:00:00"/>
  </r>
  <r>
    <d v="2019-08-22T00:00:00"/>
    <x v="17"/>
    <x v="82"/>
    <n v="14000"/>
    <x v="0"/>
    <d v="2019-08-22T00:00:00"/>
    <m/>
    <n v="22"/>
    <x v="1"/>
    <x v="0"/>
    <d v="2019-10-21T00:00:00"/>
  </r>
  <r>
    <d v="2019-12-07T00:00:00"/>
    <x v="19"/>
    <x v="83"/>
    <n v="5350"/>
    <x v="0"/>
    <d v="2019-08-29T00:00:00"/>
    <m/>
    <n v="7"/>
    <x v="5"/>
    <x v="0"/>
    <d v="2020-02-05T00:00:00"/>
  </r>
  <r>
    <d v="2019-11-07T00:00:00"/>
    <x v="4"/>
    <x v="84"/>
    <n v="3000"/>
    <x v="0"/>
    <d v="2019-08-26T00:00:00"/>
    <m/>
    <n v="7"/>
    <x v="4"/>
    <x v="0"/>
    <d v="2020-01-06T00:00:00"/>
  </r>
  <r>
    <d v="2019-11-22T00:00:00"/>
    <x v="4"/>
    <x v="85"/>
    <n v="2950"/>
    <x v="0"/>
    <d v="2019-08-26T00:00:00"/>
    <m/>
    <n v="22"/>
    <x v="4"/>
    <x v="0"/>
    <d v="2020-01-21T00:00:00"/>
  </r>
  <r>
    <d v="2019-11-07T00:00:00"/>
    <x v="2"/>
    <x v="86"/>
    <n v="8100"/>
    <x v="0"/>
    <d v="2019-08-26T00:00:00"/>
    <m/>
    <n v="7"/>
    <x v="4"/>
    <x v="0"/>
    <d v="2020-01-06T00:00:00"/>
  </r>
  <r>
    <d v="2019-11-16T00:00:00"/>
    <x v="2"/>
    <x v="87"/>
    <n v="8150"/>
    <x v="0"/>
    <d v="2019-08-26T00:00:00"/>
    <m/>
    <n v="16"/>
    <x v="4"/>
    <x v="0"/>
    <d v="2020-01-15T00:00:00"/>
  </r>
  <r>
    <d v="2019-11-22T00:00:00"/>
    <x v="2"/>
    <x v="88"/>
    <n v="8250"/>
    <x v="0"/>
    <d v="2019-08-26T00:00:00"/>
    <m/>
    <n v="22"/>
    <x v="4"/>
    <x v="0"/>
    <d v="2020-01-21T00:00:00"/>
  </r>
  <r>
    <d v="2019-11-22T00:00:00"/>
    <x v="19"/>
    <x v="89"/>
    <n v="5164.12"/>
    <x v="0"/>
    <d v="2019-08-29T00:00:00"/>
    <m/>
    <n v="22"/>
    <x v="4"/>
    <x v="0"/>
    <d v="2020-01-21T00:00:00"/>
  </r>
  <r>
    <d v="2019-11-30T00:00:00"/>
    <x v="2"/>
    <x v="90"/>
    <n v="8400"/>
    <x v="0"/>
    <d v="2019-08-26T00:00:00"/>
    <m/>
    <n v="30"/>
    <x v="4"/>
    <x v="0"/>
    <d v="2020-01-29T00:00:00"/>
  </r>
  <r>
    <d v="2019-10-31T00:00:00"/>
    <x v="2"/>
    <x v="91"/>
    <n v="8500"/>
    <x v="0"/>
    <d v="2019-08-26T00:00:00"/>
    <m/>
    <n v="31"/>
    <x v="3"/>
    <x v="0"/>
    <d v="2019-12-30T00:00:00"/>
  </r>
  <r>
    <d v="2019-11-30T00:00:00"/>
    <x v="19"/>
    <x v="92"/>
    <n v="5250"/>
    <x v="0"/>
    <d v="2019-08-29T00:00:00"/>
    <m/>
    <n v="30"/>
    <x v="4"/>
    <x v="0"/>
    <d v="2020-01-29T00:00:00"/>
  </r>
  <r>
    <d v="2019-10-27T00:00:00"/>
    <x v="2"/>
    <x v="93"/>
    <n v="8600"/>
    <x v="0"/>
    <d v="2019-08-26T00:00:00"/>
    <m/>
    <n v="27"/>
    <x v="3"/>
    <x v="0"/>
    <d v="2019-12-26T00:00:00"/>
  </r>
  <r>
    <d v="2019-10-30T00:00:00"/>
    <x v="19"/>
    <x v="94"/>
    <n v="4850"/>
    <x v="0"/>
    <d v="2019-08-29T00:00:00"/>
    <m/>
    <n v="30"/>
    <x v="3"/>
    <x v="0"/>
    <d v="2019-12-29T00:00:00"/>
  </r>
  <r>
    <d v="2019-12-22T00:00:00"/>
    <x v="20"/>
    <x v="95"/>
    <n v="3587.74"/>
    <x v="0"/>
    <d v="2019-08-29T00:00:00"/>
    <m/>
    <n v="22"/>
    <x v="5"/>
    <x v="0"/>
    <d v="2020-02-20T00:00:00"/>
  </r>
  <r>
    <d v="2019-11-07T00:00:00"/>
    <x v="14"/>
    <x v="96"/>
    <n v="4595"/>
    <x v="0"/>
    <d v="2019-08-29T00:00:00"/>
    <m/>
    <n v="7"/>
    <x v="4"/>
    <x v="0"/>
    <d v="2020-01-06T00:00:00"/>
  </r>
  <r>
    <d v="2019-11-16T00:00:00"/>
    <x v="14"/>
    <x v="97"/>
    <n v="4594"/>
    <x v="0"/>
    <d v="2019-08-29T00:00:00"/>
    <m/>
    <n v="16"/>
    <x v="4"/>
    <x v="0"/>
    <d v="2020-01-15T00:00:00"/>
  </r>
  <r>
    <d v="2019-11-07T00:00:00"/>
    <x v="14"/>
    <x v="98"/>
    <n v="6380"/>
    <x v="0"/>
    <d v="2019-08-29T00:00:00"/>
    <m/>
    <n v="7"/>
    <x v="4"/>
    <x v="0"/>
    <d v="2020-01-06T00:00:00"/>
  </r>
  <r>
    <d v="2019-11-16T00:00:00"/>
    <x v="14"/>
    <x v="99"/>
    <n v="6290"/>
    <x v="0"/>
    <d v="2019-08-29T00:00:00"/>
    <m/>
    <n v="16"/>
    <x v="4"/>
    <x v="0"/>
    <d v="2020-01-15T00:00:00"/>
  </r>
  <r>
    <d v="2019-08-29T00:00:00"/>
    <x v="17"/>
    <x v="100"/>
    <n v="7000"/>
    <x v="0"/>
    <d v="2019-08-29T00:00:00"/>
    <m/>
    <n v="29"/>
    <x v="1"/>
    <x v="0"/>
    <d v="2019-10-28T00:00:00"/>
  </r>
  <r>
    <d v="2019-10-22T00:00:00"/>
    <x v="10"/>
    <x v="101"/>
    <n v="1380.64"/>
    <x v="0"/>
    <d v="2019-09-02T00:00:00"/>
    <m/>
    <n v="22"/>
    <x v="3"/>
    <x v="0"/>
    <d v="2019-12-21T00:00:00"/>
  </r>
  <r>
    <d v="2019-09-04T00:00:00"/>
    <x v="17"/>
    <x v="102"/>
    <n v="9000"/>
    <x v="0"/>
    <d v="2019-09-02T00:00:00"/>
    <m/>
    <n v="4"/>
    <x v="2"/>
    <x v="0"/>
    <d v="2019-11-03T00:00:00"/>
  </r>
  <r>
    <d v="2019-11-07T00:00:00"/>
    <x v="21"/>
    <x v="103"/>
    <n v="2255"/>
    <x v="0"/>
    <d v="2019-09-02T00:00:00"/>
    <m/>
    <n v="7"/>
    <x v="4"/>
    <x v="0"/>
    <d v="2020-01-06T00:00:00"/>
  </r>
  <r>
    <d v="2019-09-13T00:00:00"/>
    <x v="17"/>
    <x v="104"/>
    <n v="11000"/>
    <x v="0"/>
    <d v="2019-09-13T00:00:00"/>
    <m/>
    <n v="13"/>
    <x v="2"/>
    <x v="0"/>
    <d v="2019-11-12T00:00:00"/>
  </r>
  <r>
    <d v="2019-10-08T00:00:00"/>
    <x v="14"/>
    <x v="105"/>
    <n v="8634"/>
    <x v="0"/>
    <d v="2019-10-14T00:00:00"/>
    <m/>
    <n v="8"/>
    <x v="3"/>
    <x v="0"/>
    <d v="2019-12-07T00:00:00"/>
  </r>
  <r>
    <d v="2019-09-18T00:00:00"/>
    <x v="17"/>
    <x v="106"/>
    <n v="15000"/>
    <x v="0"/>
    <d v="2019-09-18T00:00:00"/>
    <m/>
    <n v="18"/>
    <x v="2"/>
    <x v="0"/>
    <d v="2019-11-17T00:00:00"/>
  </r>
  <r>
    <d v="2019-09-20T00:00:00"/>
    <x v="17"/>
    <x v="107"/>
    <n v="10000"/>
    <x v="0"/>
    <d v="2019-09-20T00:00:00"/>
    <m/>
    <n v="20"/>
    <x v="2"/>
    <x v="0"/>
    <d v="2019-11-19T00:00:00"/>
  </r>
  <r>
    <d v="2019-11-08T00:00:00"/>
    <x v="14"/>
    <x v="108"/>
    <n v="6000"/>
    <x v="0"/>
    <d v="2019-09-20T00:00:00"/>
    <m/>
    <n v="8"/>
    <x v="4"/>
    <x v="0"/>
    <d v="2020-01-07T00:00:00"/>
  </r>
  <r>
    <d v="2019-11-23T00:00:00"/>
    <x v="14"/>
    <x v="109"/>
    <n v="6000"/>
    <x v="0"/>
    <d v="2019-09-20T00:00:00"/>
    <m/>
    <n v="23"/>
    <x v="4"/>
    <x v="0"/>
    <d v="2020-01-22T00:00:00"/>
  </r>
  <r>
    <d v="2019-11-30T00:00:00"/>
    <x v="14"/>
    <x v="110"/>
    <n v="7717"/>
    <x v="0"/>
    <d v="2019-09-20T00:00:00"/>
    <m/>
    <n v="30"/>
    <x v="4"/>
    <x v="0"/>
    <d v="2020-01-29T00:00:00"/>
  </r>
  <r>
    <d v="2020-02-19T00:00:00"/>
    <x v="10"/>
    <x v="111"/>
    <n v="6000"/>
    <x v="0"/>
    <d v="2019-09-26T00:00:00"/>
    <m/>
    <n v="19"/>
    <x v="8"/>
    <x v="1"/>
    <d v="2020-04-19T00:00:00"/>
  </r>
  <r>
    <d v="2020-03-08T00:00:00"/>
    <x v="1"/>
    <x v="112"/>
    <n v="5542"/>
    <x v="0"/>
    <d v="2019-09-26T00:00:00"/>
    <m/>
    <n v="8"/>
    <x v="7"/>
    <x v="1"/>
    <d v="2020-05-07T00:00:00"/>
  </r>
  <r>
    <d v="2019-11-22T00:00:00"/>
    <x v="22"/>
    <x v="113"/>
    <n v="3417"/>
    <x v="0"/>
    <d v="2019-09-26T00:00:00"/>
    <m/>
    <n v="22"/>
    <x v="4"/>
    <x v="0"/>
    <d v="2020-01-21T00:00:00"/>
  </r>
  <r>
    <d v="2019-11-22T00:00:00"/>
    <x v="14"/>
    <x v="114"/>
    <n v="2027"/>
    <x v="0"/>
    <d v="2019-09-27T00:00:00"/>
    <m/>
    <n v="22"/>
    <x v="4"/>
    <x v="0"/>
    <d v="2020-01-21T00:00:00"/>
  </r>
  <r>
    <d v="2019-11-22T00:00:00"/>
    <x v="23"/>
    <x v="115"/>
    <n v="11600"/>
    <x v="0"/>
    <d v="2019-09-27T00:00:00"/>
    <m/>
    <n v="22"/>
    <x v="4"/>
    <x v="0"/>
    <d v="2020-01-21T00:00:00"/>
  </r>
  <r>
    <d v="2019-11-30T00:00:00"/>
    <x v="23"/>
    <x v="116"/>
    <n v="11800"/>
    <x v="0"/>
    <d v="2019-09-27T00:00:00"/>
    <m/>
    <n v="30"/>
    <x v="4"/>
    <x v="0"/>
    <d v="2020-01-29T00:00:00"/>
  </r>
  <r>
    <d v="2019-12-08T00:00:00"/>
    <x v="23"/>
    <x v="117"/>
    <n v="12000"/>
    <x v="0"/>
    <d v="2019-09-27T00:00:00"/>
    <m/>
    <n v="8"/>
    <x v="5"/>
    <x v="0"/>
    <d v="2020-02-06T00:00:00"/>
  </r>
  <r>
    <d v="2019-12-22T00:00:00"/>
    <x v="23"/>
    <x v="118"/>
    <n v="12200"/>
    <x v="0"/>
    <d v="2019-09-27T00:00:00"/>
    <m/>
    <n v="22"/>
    <x v="5"/>
    <x v="0"/>
    <d v="2020-02-20T00:00:00"/>
  </r>
  <r>
    <d v="2019-12-16T00:00:00"/>
    <x v="23"/>
    <x v="119"/>
    <n v="12200"/>
    <x v="0"/>
    <d v="2019-09-27T00:00:00"/>
    <m/>
    <n v="16"/>
    <x v="5"/>
    <x v="0"/>
    <d v="2020-02-14T00:00:00"/>
  </r>
  <r>
    <d v="2019-11-30T00:00:00"/>
    <x v="14"/>
    <x v="120"/>
    <n v="5900"/>
    <x v="0"/>
    <d v="2019-09-27T00:00:00"/>
    <m/>
    <n v="30"/>
    <x v="4"/>
    <x v="0"/>
    <d v="2020-01-29T00:00:00"/>
  </r>
  <r>
    <d v="2019-12-08T00:00:00"/>
    <x v="14"/>
    <x v="121"/>
    <n v="6100"/>
    <x v="0"/>
    <d v="2019-09-27T00:00:00"/>
    <m/>
    <n v="8"/>
    <x v="5"/>
    <x v="0"/>
    <d v="2020-02-06T00:00:00"/>
  </r>
  <r>
    <d v="2019-11-22T00:00:00"/>
    <x v="14"/>
    <x v="122"/>
    <n v="8540"/>
    <x v="0"/>
    <d v="2019-10-14T00:00:00"/>
    <m/>
    <n v="22"/>
    <x v="4"/>
    <x v="0"/>
    <d v="2020-01-21T00:00:00"/>
  </r>
  <r>
    <d v="2019-11-30T00:00:00"/>
    <x v="14"/>
    <x v="123"/>
    <n v="9540"/>
    <x v="0"/>
    <d v="2019-10-14T00:00:00"/>
    <m/>
    <n v="30"/>
    <x v="4"/>
    <x v="0"/>
    <d v="2020-01-29T00:00:00"/>
  </r>
  <r>
    <d v="2019-12-08T00:00:00"/>
    <x v="14"/>
    <x v="124"/>
    <n v="10528"/>
    <x v="0"/>
    <d v="2019-10-14T00:00:00"/>
    <m/>
    <n v="8"/>
    <x v="5"/>
    <x v="0"/>
    <d v="2020-02-06T00:00:00"/>
  </r>
  <r>
    <d v="2019-10-11T00:00:00"/>
    <x v="17"/>
    <x v="125"/>
    <n v="20000"/>
    <x v="0"/>
    <d v="2019-10-14T00:00:00"/>
    <m/>
    <n v="11"/>
    <x v="3"/>
    <x v="0"/>
    <d v="2019-12-10T00:00:00"/>
  </r>
  <r>
    <d v="2019-11-08T00:00:00"/>
    <x v="14"/>
    <x v="126"/>
    <n v="7800"/>
    <x v="0"/>
    <d v="2019-10-16T00:00:00"/>
    <m/>
    <n v="8"/>
    <x v="4"/>
    <x v="0"/>
    <d v="2020-01-07T00:00:00"/>
  </r>
  <r>
    <d v="2019-10-16T00:00:00"/>
    <x v="17"/>
    <x v="127"/>
    <n v="15000"/>
    <x v="0"/>
    <d v="2019-10-16T00:00:00"/>
    <m/>
    <n v="16"/>
    <x v="3"/>
    <x v="0"/>
    <d v="2019-12-15T00:00:00"/>
  </r>
  <r>
    <d v="2019-11-09T00:00:00"/>
    <x v="19"/>
    <x v="128"/>
    <n v="4950"/>
    <x v="0"/>
    <d v="2019-08-29T00:00:00"/>
    <m/>
    <n v="9"/>
    <x v="4"/>
    <x v="0"/>
    <d v="2020-01-08T00:00:00"/>
  </r>
  <r>
    <d v="2019-10-10T00:00:00"/>
    <x v="24"/>
    <x v="129"/>
    <n v="4900"/>
    <x v="0"/>
    <d v="2019-10-18T00:00:00"/>
    <m/>
    <n v="10"/>
    <x v="3"/>
    <x v="0"/>
    <d v="2019-12-09T00:00:00"/>
  </r>
  <r>
    <d v="2019-11-22T00:00:00"/>
    <x v="25"/>
    <x v="130"/>
    <n v="5000"/>
    <x v="0"/>
    <d v="2019-10-18T00:00:00"/>
    <m/>
    <n v="22"/>
    <x v="4"/>
    <x v="0"/>
    <d v="2020-01-21T00:00:00"/>
  </r>
  <r>
    <d v="2019-11-30T00:00:00"/>
    <x v="25"/>
    <x v="131"/>
    <n v="6000"/>
    <x v="0"/>
    <d v="2019-10-18T00:00:00"/>
    <m/>
    <n v="30"/>
    <x v="4"/>
    <x v="0"/>
    <d v="2020-01-29T00:00:00"/>
  </r>
  <r>
    <d v="2019-12-08T00:00:00"/>
    <x v="25"/>
    <x v="132"/>
    <n v="11000"/>
    <x v="0"/>
    <d v="2019-10-18T00:00:00"/>
    <m/>
    <n v="8"/>
    <x v="5"/>
    <x v="0"/>
    <d v="2020-02-06T00:00:00"/>
  </r>
  <r>
    <d v="2019-12-22T00:00:00"/>
    <x v="25"/>
    <x v="133"/>
    <n v="12000"/>
    <x v="0"/>
    <d v="2019-10-18T00:00:00"/>
    <m/>
    <n v="22"/>
    <x v="5"/>
    <x v="0"/>
    <d v="2020-02-20T00:00:00"/>
  </r>
  <r>
    <d v="2020-01-07T00:00:00"/>
    <x v="25"/>
    <x v="134"/>
    <n v="10050"/>
    <x v="0"/>
    <d v="2019-10-18T00:00:00"/>
    <m/>
    <n v="7"/>
    <x v="6"/>
    <x v="1"/>
    <d v="2020-03-07T00:00:00"/>
  </r>
  <r>
    <d v="2020-01-22T00:00:00"/>
    <x v="25"/>
    <x v="135"/>
    <n v="10550"/>
    <x v="0"/>
    <d v="2019-10-18T00:00:00"/>
    <m/>
    <n v="22"/>
    <x v="6"/>
    <x v="1"/>
    <d v="2020-03-22T00:00:00"/>
  </r>
  <r>
    <d v="2020-01-30T00:00:00"/>
    <x v="25"/>
    <x v="136"/>
    <n v="10400"/>
    <x v="0"/>
    <d v="2019-10-18T00:00:00"/>
    <m/>
    <n v="30"/>
    <x v="6"/>
    <x v="1"/>
    <d v="2020-03-30T00:00:00"/>
  </r>
  <r>
    <d v="2019-11-22T00:00:00"/>
    <x v="10"/>
    <x v="137"/>
    <n v="4383.1099999999997"/>
    <x v="0"/>
    <d v="2019-10-18T00:00:00"/>
    <m/>
    <n v="22"/>
    <x v="4"/>
    <x v="0"/>
    <d v="2020-01-21T00:00:00"/>
  </r>
  <r>
    <d v="2019-10-18T00:00:00"/>
    <x v="17"/>
    <x v="138"/>
    <n v="21000"/>
    <x v="0"/>
    <d v="2019-10-18T00:00:00"/>
    <m/>
    <n v="18"/>
    <x v="3"/>
    <x v="0"/>
    <d v="2019-12-17T00:00:00"/>
  </r>
  <r>
    <d v="2019-08-26T00:00:00"/>
    <x v="26"/>
    <x v="139"/>
    <n v="14039.38"/>
    <x v="0"/>
    <d v="2019-07-29T00:00:00"/>
    <m/>
    <n v="26"/>
    <x v="1"/>
    <x v="0"/>
    <d v="2019-10-25T00:00:00"/>
  </r>
  <r>
    <d v="2019-09-26T00:00:00"/>
    <x v="26"/>
    <x v="139"/>
    <n v="13731.5"/>
    <x v="0"/>
    <d v="2019-07-29T00:00:00"/>
    <m/>
    <n v="26"/>
    <x v="2"/>
    <x v="0"/>
    <d v="2019-11-25T00:00:00"/>
  </r>
  <r>
    <d v="2019-10-26T00:00:00"/>
    <x v="26"/>
    <x v="139"/>
    <n v="13393.83"/>
    <x v="0"/>
    <d v="2019-07-29T00:00:00"/>
    <m/>
    <n v="26"/>
    <x v="3"/>
    <x v="0"/>
    <d v="2019-12-25T00:00:00"/>
  </r>
  <r>
    <d v="2019-11-26T00:00:00"/>
    <x v="26"/>
    <x v="139"/>
    <n v="13115.75"/>
    <x v="0"/>
    <d v="2019-07-29T00:00:00"/>
    <m/>
    <n v="26"/>
    <x v="4"/>
    <x v="0"/>
    <d v="2020-01-25T00:00:00"/>
  </r>
  <r>
    <d v="2019-12-26T00:00:00"/>
    <x v="26"/>
    <x v="139"/>
    <n v="12558.15"/>
    <x v="0"/>
    <d v="2019-07-29T00:00:00"/>
    <m/>
    <n v="26"/>
    <x v="5"/>
    <x v="0"/>
    <d v="2020-02-24T00:00:00"/>
  </r>
  <r>
    <d v="2020-03-13T00:00:00"/>
    <x v="26"/>
    <x v="140"/>
    <n v="17315.48"/>
    <x v="0"/>
    <d v="2019-07-29T00:00:00"/>
    <m/>
    <n v="13"/>
    <x v="7"/>
    <x v="1"/>
    <d v="2020-05-12T00:00:00"/>
  </r>
  <r>
    <d v="2019-08-13T00:00:00"/>
    <x v="26"/>
    <x v="141"/>
    <n v="22215.52"/>
    <x v="0"/>
    <d v="2019-07-29T00:00:00"/>
    <m/>
    <n v="13"/>
    <x v="1"/>
    <x v="0"/>
    <d v="2019-10-12T00:00:00"/>
  </r>
  <r>
    <d v="2019-09-13T00:00:00"/>
    <x v="26"/>
    <x v="141"/>
    <n v="21651.93"/>
    <x v="0"/>
    <d v="2019-07-29T00:00:00"/>
    <m/>
    <n v="13"/>
    <x v="2"/>
    <x v="0"/>
    <d v="2019-11-12T00:00:00"/>
  </r>
  <r>
    <d v="2019-10-13T00:00:00"/>
    <x v="26"/>
    <x v="141"/>
    <n v="20639.27"/>
    <x v="0"/>
    <d v="2019-07-29T00:00:00"/>
    <m/>
    <n v="13"/>
    <x v="3"/>
    <x v="0"/>
    <d v="2019-12-12T00:00:00"/>
  </r>
  <r>
    <d v="2019-11-13T00:00:00"/>
    <x v="26"/>
    <x v="141"/>
    <n v="20134.7"/>
    <x v="0"/>
    <d v="2019-07-29T00:00:00"/>
    <m/>
    <n v="13"/>
    <x v="4"/>
    <x v="0"/>
    <d v="2020-01-12T00:00:00"/>
  </r>
  <r>
    <d v="2019-12-13T00:00:00"/>
    <x v="26"/>
    <x v="141"/>
    <n v="19351.599999999999"/>
    <x v="0"/>
    <d v="2019-07-29T00:00:00"/>
    <m/>
    <n v="13"/>
    <x v="5"/>
    <x v="0"/>
    <d v="2020-02-11T00:00:00"/>
  </r>
  <r>
    <d v="2020-01-13T00:00:00"/>
    <x v="26"/>
    <x v="141"/>
    <n v="18747.490000000002"/>
    <x v="0"/>
    <d v="2019-07-29T00:00:00"/>
    <m/>
    <n v="13"/>
    <x v="6"/>
    <x v="1"/>
    <d v="2020-03-13T00:00:00"/>
  </r>
  <r>
    <d v="2020-02-13T00:00:00"/>
    <x v="26"/>
    <x v="141"/>
    <n v="18087.439999999999"/>
    <x v="0"/>
    <d v="2019-07-29T00:00:00"/>
    <m/>
    <n v="13"/>
    <x v="8"/>
    <x v="1"/>
    <d v="2020-04-13T00:00:00"/>
  </r>
  <r>
    <d v="2019-11-14T00:00:00"/>
    <x v="19"/>
    <x v="142"/>
    <n v="5050"/>
    <x v="0"/>
    <d v="2019-08-29T00:00:00"/>
    <m/>
    <n v="14"/>
    <x v="4"/>
    <x v="0"/>
    <d v="2020-01-13T00:00:00"/>
  </r>
  <r>
    <d v="2019-12-14T00:00:00"/>
    <x v="19"/>
    <x v="143"/>
    <n v="5450"/>
    <x v="0"/>
    <d v="2019-08-29T00:00:00"/>
    <m/>
    <n v="14"/>
    <x v="5"/>
    <x v="0"/>
    <d v="2020-02-12T00:00:00"/>
  </r>
  <r>
    <d v="2019-11-27T00:00:00"/>
    <x v="4"/>
    <x v="144"/>
    <n v="2800"/>
    <x v="0"/>
    <d v="2019-10-20T00:00:00"/>
    <m/>
    <n v="27"/>
    <x v="4"/>
    <x v="0"/>
    <d v="2020-01-26T00:00:00"/>
  </r>
  <r>
    <d v="2019-12-22T00:00:00"/>
    <x v="18"/>
    <x v="145"/>
    <n v="3616.5"/>
    <x v="0"/>
    <d v="2019-10-20T00:00:00"/>
    <m/>
    <n v="22"/>
    <x v="5"/>
    <x v="0"/>
    <d v="2020-02-20T00:00:00"/>
  </r>
  <r>
    <d v="2019-12-07T00:00:00"/>
    <x v="14"/>
    <x v="146"/>
    <n v="3900"/>
    <x v="0"/>
    <d v="2019-11-05T00:00:00"/>
    <m/>
    <n v="7"/>
    <x v="5"/>
    <x v="0"/>
    <d v="2020-02-05T00:00:00"/>
  </r>
  <r>
    <d v="2020-01-07T00:00:00"/>
    <x v="14"/>
    <x v="147"/>
    <n v="4000"/>
    <x v="0"/>
    <d v="2019-11-05T00:00:00"/>
    <m/>
    <n v="7"/>
    <x v="6"/>
    <x v="1"/>
    <d v="2020-03-07T00:00:00"/>
  </r>
  <r>
    <d v="2020-02-07T00:00:00"/>
    <x v="14"/>
    <x v="148"/>
    <n v="4050"/>
    <x v="1"/>
    <d v="2020-11-05T00:00:00"/>
    <m/>
    <n v="7"/>
    <x v="8"/>
    <x v="1"/>
    <d v="2020-04-07T00:00:00"/>
  </r>
  <r>
    <d v="2019-12-22T00:00:00"/>
    <x v="27"/>
    <x v="149"/>
    <n v="10500"/>
    <x v="0"/>
    <d v="2019-11-06T00:00:00"/>
    <m/>
    <n v="22"/>
    <x v="5"/>
    <x v="0"/>
    <d v="2020-02-20T00:00:00"/>
  </r>
  <r>
    <d v="2020-01-07T00:00:00"/>
    <x v="27"/>
    <x v="150"/>
    <n v="9500"/>
    <x v="0"/>
    <d v="2019-11-06T00:00:00"/>
    <m/>
    <n v="7"/>
    <x v="6"/>
    <x v="1"/>
    <d v="2020-03-07T00:00:00"/>
  </r>
  <r>
    <d v="2020-08-07T00:00:00"/>
    <x v="28"/>
    <x v="151"/>
    <n v="9000"/>
    <x v="2"/>
    <d v="2020-06-04T00:00:00"/>
    <m/>
    <n v="7"/>
    <x v="1"/>
    <x v="1"/>
    <d v="2020-10-06T00:00:00"/>
  </r>
  <r>
    <d v="2020-04-22T00:00:00"/>
    <x v="28"/>
    <x v="152"/>
    <n v="9500"/>
    <x v="0"/>
    <d v="2019-11-12T00:00:00"/>
    <m/>
    <n v="22"/>
    <x v="9"/>
    <x v="1"/>
    <d v="2020-06-21T00:00:00"/>
  </r>
  <r>
    <d v="2020-04-30T00:00:00"/>
    <x v="28"/>
    <x v="153"/>
    <n v="9800"/>
    <x v="2"/>
    <d v="2019-11-12T00:00:00"/>
    <m/>
    <n v="30"/>
    <x v="9"/>
    <x v="1"/>
    <d v="2020-06-29T00:00:00"/>
  </r>
  <r>
    <d v="2020-05-07T00:00:00"/>
    <x v="28"/>
    <x v="154"/>
    <n v="10200"/>
    <x v="2"/>
    <d v="2019-11-12T00:00:00"/>
    <m/>
    <n v="7"/>
    <x v="10"/>
    <x v="1"/>
    <d v="2020-07-06T00:00:00"/>
  </r>
  <r>
    <d v="2020-03-31T00:00:00"/>
    <x v="28"/>
    <x v="155"/>
    <n v="15000"/>
    <x v="0"/>
    <d v="2019-11-12T00:00:00"/>
    <m/>
    <n v="31"/>
    <x v="7"/>
    <x v="1"/>
    <d v="2020-05-30T00:00:00"/>
  </r>
  <r>
    <d v="2020-03-20T00:00:00"/>
    <x v="28"/>
    <x v="156"/>
    <n v="15000"/>
    <x v="0"/>
    <d v="2019-11-12T00:00:00"/>
    <m/>
    <n v="20"/>
    <x v="7"/>
    <x v="1"/>
    <d v="2020-05-19T00:00:00"/>
  </r>
  <r>
    <d v="2020-02-20T00:00:00"/>
    <x v="28"/>
    <x v="157"/>
    <n v="15000"/>
    <x v="0"/>
    <d v="2019-11-12T00:00:00"/>
    <m/>
    <n v="20"/>
    <x v="8"/>
    <x v="1"/>
    <d v="2020-04-20T00:00:00"/>
  </r>
  <r>
    <d v="2019-12-09T00:00:00"/>
    <x v="4"/>
    <x v="158"/>
    <n v="9000"/>
    <x v="0"/>
    <d v="2019-11-12T00:00:00"/>
    <m/>
    <n v="9"/>
    <x v="5"/>
    <x v="0"/>
    <d v="2020-02-07T00:00:00"/>
  </r>
  <r>
    <d v="2019-12-10T00:00:00"/>
    <x v="4"/>
    <x v="159"/>
    <n v="8845"/>
    <x v="0"/>
    <d v="2019-11-12T00:00:00"/>
    <m/>
    <n v="10"/>
    <x v="5"/>
    <x v="0"/>
    <d v="2020-02-08T00:00:00"/>
  </r>
  <r>
    <d v="2019-11-21T00:00:00"/>
    <x v="17"/>
    <x v="160"/>
    <n v="9000"/>
    <x v="0"/>
    <d v="2019-11-21T00:00:00"/>
    <m/>
    <n v="21"/>
    <x v="4"/>
    <x v="0"/>
    <d v="2020-01-20T00:00:00"/>
  </r>
  <r>
    <d v="2019-12-16T00:00:00"/>
    <x v="19"/>
    <x v="161"/>
    <n v="1852"/>
    <x v="0"/>
    <d v="2019-11-21T00:00:00"/>
    <m/>
    <n v="16"/>
    <x v="5"/>
    <x v="0"/>
    <d v="2020-02-14T00:00:00"/>
  </r>
  <r>
    <d v="2019-12-16T00:00:00"/>
    <x v="29"/>
    <x v="162"/>
    <n v="1153.93"/>
    <x v="0"/>
    <d v="2019-11-11T00:00:00"/>
    <m/>
    <n v="16"/>
    <x v="5"/>
    <x v="0"/>
    <d v="2020-02-14T00:00:00"/>
  </r>
  <r>
    <d v="2020-01-16T00:00:00"/>
    <x v="29"/>
    <x v="163"/>
    <n v="1153.93"/>
    <x v="0"/>
    <d v="2019-11-11T00:00:00"/>
    <m/>
    <n v="16"/>
    <x v="6"/>
    <x v="1"/>
    <d v="2020-03-16T00:00:00"/>
  </r>
  <r>
    <d v="2020-02-16T00:00:00"/>
    <x v="29"/>
    <x v="164"/>
    <n v="1153.93"/>
    <x v="0"/>
    <d v="2019-11-11T00:00:00"/>
    <m/>
    <n v="16"/>
    <x v="8"/>
    <x v="1"/>
    <d v="2020-04-16T00:00:00"/>
  </r>
  <r>
    <d v="2020-03-16T00:00:00"/>
    <x v="29"/>
    <x v="165"/>
    <n v="1153.93"/>
    <x v="0"/>
    <d v="2019-11-11T00:00:00"/>
    <m/>
    <n v="16"/>
    <x v="7"/>
    <x v="1"/>
    <d v="2020-05-15T00:00:00"/>
  </r>
  <r>
    <d v="2020-04-16T00:00:00"/>
    <x v="29"/>
    <x v="166"/>
    <n v="1153.93"/>
    <x v="2"/>
    <d v="2019-11-11T00:00:00"/>
    <m/>
    <n v="16"/>
    <x v="9"/>
    <x v="1"/>
    <d v="2020-06-15T00:00:00"/>
  </r>
  <r>
    <d v="2019-11-29T00:00:00"/>
    <x v="1"/>
    <x v="167"/>
    <n v="9500"/>
    <x v="0"/>
    <d v="2019-11-20T00:00:00"/>
    <m/>
    <n v="29"/>
    <x v="4"/>
    <x v="0"/>
    <d v="2020-01-28T00:00:00"/>
  </r>
  <r>
    <s v="---"/>
    <x v="30"/>
    <x v="168"/>
    <s v="---"/>
    <x v="0"/>
    <d v="2019-11-20T00:00:00"/>
    <m/>
    <s v="-"/>
    <x v="11"/>
    <x v="2"/>
    <e v="#VALUE!"/>
  </r>
  <r>
    <d v="2019-11-30T00:00:00"/>
    <x v="1"/>
    <x v="169"/>
    <n v="10000"/>
    <x v="0"/>
    <d v="2019-11-20T00:00:00"/>
    <m/>
    <n v="30"/>
    <x v="4"/>
    <x v="0"/>
    <d v="2020-01-29T00:00:00"/>
  </r>
  <r>
    <d v="2020-01-08T00:00:00"/>
    <x v="7"/>
    <x v="170"/>
    <n v="10500"/>
    <x v="0"/>
    <d v="2019-11-20T00:00:00"/>
    <m/>
    <n v="8"/>
    <x v="6"/>
    <x v="1"/>
    <d v="2020-03-08T00:00:00"/>
  </r>
  <r>
    <d v="2019-12-16T00:00:00"/>
    <x v="1"/>
    <x v="171"/>
    <n v="14000"/>
    <x v="0"/>
    <d v="2019-11-20T00:00:00"/>
    <m/>
    <n v="16"/>
    <x v="5"/>
    <x v="0"/>
    <d v="2020-02-14T00:00:00"/>
  </r>
  <r>
    <d v="2019-12-26T00:00:00"/>
    <x v="1"/>
    <x v="172"/>
    <n v="16000"/>
    <x v="0"/>
    <d v="2019-11-20T00:00:00"/>
    <m/>
    <n v="26"/>
    <x v="5"/>
    <x v="0"/>
    <d v="2020-02-24T00:00:00"/>
  </r>
  <r>
    <d v="2019-12-10T00:00:00"/>
    <x v="31"/>
    <x v="173"/>
    <n v="10000"/>
    <x v="0"/>
    <d v="2019-11-20T00:00:00"/>
    <m/>
    <n v="10"/>
    <x v="5"/>
    <x v="0"/>
    <d v="2020-02-08T00:00:00"/>
  </r>
  <r>
    <d v="2019-12-17T00:00:00"/>
    <x v="31"/>
    <x v="174"/>
    <n v="10000"/>
    <x v="0"/>
    <d v="2019-11-20T00:00:00"/>
    <m/>
    <n v="17"/>
    <x v="5"/>
    <x v="0"/>
    <d v="2020-02-15T00:00:00"/>
  </r>
  <r>
    <d v="2019-12-23T00:00:00"/>
    <x v="31"/>
    <x v="175"/>
    <n v="10000"/>
    <x v="0"/>
    <d v="2019-11-20T00:00:00"/>
    <m/>
    <n v="23"/>
    <x v="5"/>
    <x v="0"/>
    <d v="2020-02-21T00:00:00"/>
  </r>
  <r>
    <d v="2019-12-07T00:00:00"/>
    <x v="14"/>
    <x v="176"/>
    <n v="17500"/>
    <x v="0"/>
    <d v="2019-11-20T00:00:00"/>
    <m/>
    <n v="7"/>
    <x v="5"/>
    <x v="0"/>
    <d v="2020-02-05T00:00:00"/>
  </r>
  <r>
    <d v="2020-01-09T00:00:00"/>
    <x v="4"/>
    <x v="177"/>
    <n v="1500"/>
    <x v="0"/>
    <d v="2019-11-20T00:00:00"/>
    <m/>
    <n v="9"/>
    <x v="6"/>
    <x v="1"/>
    <d v="2020-03-09T00:00:00"/>
  </r>
  <r>
    <d v="2020-01-07T00:00:00"/>
    <x v="14"/>
    <x v="178"/>
    <n v="5700"/>
    <x v="0"/>
    <d v="2019-11-20T00:00:00"/>
    <m/>
    <n v="7"/>
    <x v="6"/>
    <x v="1"/>
    <d v="2020-03-07T00:00:00"/>
  </r>
  <r>
    <d v="2020-01-16T00:00:00"/>
    <x v="14"/>
    <x v="179"/>
    <n v="5800"/>
    <x v="0"/>
    <d v="2019-11-20T00:00:00"/>
    <m/>
    <n v="16"/>
    <x v="6"/>
    <x v="1"/>
    <d v="2020-03-16T00:00:00"/>
  </r>
  <r>
    <d v="2020-01-22T00:00:00"/>
    <x v="14"/>
    <x v="180"/>
    <n v="6000"/>
    <x v="0"/>
    <d v="2019-11-20T00:00:00"/>
    <m/>
    <n v="22"/>
    <x v="6"/>
    <x v="1"/>
    <d v="2020-03-22T00:00:00"/>
  </r>
  <r>
    <d v="2020-01-31T00:00:00"/>
    <x v="32"/>
    <x v="181"/>
    <n v="4000"/>
    <x v="0"/>
    <d v="2019-11-20T00:00:00"/>
    <m/>
    <n v="31"/>
    <x v="6"/>
    <x v="1"/>
    <d v="2020-03-31T00:00:00"/>
  </r>
  <r>
    <d v="2020-02-29T00:00:00"/>
    <x v="32"/>
    <x v="182"/>
    <n v="4000"/>
    <x v="0"/>
    <d v="2019-11-20T00:00:00"/>
    <m/>
    <n v="29"/>
    <x v="8"/>
    <x v="1"/>
    <d v="2020-04-29T00:00:00"/>
  </r>
  <r>
    <d v="2020-03-31T00:00:00"/>
    <x v="33"/>
    <x v="183"/>
    <n v="4023"/>
    <x v="2"/>
    <d v="2019-11-20T00:00:00"/>
    <m/>
    <n v="31"/>
    <x v="7"/>
    <x v="1"/>
    <d v="2020-05-30T00:00:00"/>
  </r>
  <r>
    <d v="2019-12-16T00:00:00"/>
    <x v="34"/>
    <x v="184"/>
    <n v="1713.88"/>
    <x v="0"/>
    <d v="2019-12-05T00:00:00"/>
    <m/>
    <n v="16"/>
    <x v="5"/>
    <x v="0"/>
    <d v="2020-02-14T00:00:00"/>
  </r>
  <r>
    <d v="2019-12-16T00:00:00"/>
    <x v="35"/>
    <x v="164"/>
    <n v="1684.61"/>
    <x v="0"/>
    <d v="2019-12-05T00:00:00"/>
    <m/>
    <n v="16"/>
    <x v="5"/>
    <x v="0"/>
    <d v="2020-02-14T00:00:00"/>
  </r>
  <r>
    <d v="2020-01-16T00:00:00"/>
    <x v="35"/>
    <x v="165"/>
    <n v="1684.61"/>
    <x v="0"/>
    <d v="2019-12-05T00:00:00"/>
    <m/>
    <n v="16"/>
    <x v="6"/>
    <x v="1"/>
    <d v="2020-03-16T00:00:00"/>
  </r>
  <r>
    <d v="2020-02-16T00:00:00"/>
    <x v="35"/>
    <x v="166"/>
    <n v="1684.61"/>
    <x v="0"/>
    <d v="2019-12-05T00:00:00"/>
    <m/>
    <n v="16"/>
    <x v="8"/>
    <x v="1"/>
    <d v="2020-04-16T00:00:00"/>
  </r>
  <r>
    <d v="2020-03-16T00:00:00"/>
    <x v="35"/>
    <x v="185"/>
    <n v="1684.61"/>
    <x v="0"/>
    <d v="2019-12-05T00:00:00"/>
    <m/>
    <n v="16"/>
    <x v="7"/>
    <x v="1"/>
    <d v="2020-05-15T00:00:00"/>
  </r>
  <r>
    <d v="2020-04-16T00:00:00"/>
    <x v="35"/>
    <x v="186"/>
    <n v="1698.65"/>
    <x v="0"/>
    <d v="2019-12-05T00:00:00"/>
    <s v="26/5 (VER SI ES)"/>
    <n v="16"/>
    <x v="9"/>
    <x v="1"/>
    <d v="2020-06-15T00:00:00"/>
  </r>
  <r>
    <d v="2020-05-16T00:00:00"/>
    <x v="35"/>
    <x v="184"/>
    <n v="1684.61"/>
    <x v="2"/>
    <d v="2019-12-05T00:00:00"/>
    <m/>
    <n v="16"/>
    <x v="10"/>
    <x v="1"/>
    <d v="2020-07-15T00:00:00"/>
  </r>
  <r>
    <d v="2019-11-22T00:00:00"/>
    <x v="18"/>
    <x v="187"/>
    <n v="4700"/>
    <x v="0"/>
    <d v="2019-08-05T00:00:00"/>
    <m/>
    <n v="22"/>
    <x v="4"/>
    <x v="0"/>
    <d v="2020-01-21T00:00:00"/>
  </r>
  <r>
    <d v="2019-11-23T00:00:00"/>
    <x v="36"/>
    <x v="188"/>
    <n v="8600"/>
    <x v="0"/>
    <d v="2019-07-25T00:00:00"/>
    <m/>
    <n v="23"/>
    <x v="4"/>
    <x v="0"/>
    <d v="2020-01-22T00:00:00"/>
  </r>
  <r>
    <d v="2019-11-23T00:00:00"/>
    <x v="36"/>
    <x v="189"/>
    <n v="8700"/>
    <x v="0"/>
    <d v="2019-07-25T00:00:00"/>
    <m/>
    <n v="23"/>
    <x v="4"/>
    <x v="0"/>
    <d v="2020-01-22T00:00:00"/>
  </r>
  <r>
    <d v="2019-11-23T00:00:00"/>
    <x v="26"/>
    <x v="190"/>
    <n v="20361.18"/>
    <x v="0"/>
    <d v="2019-07-23T00:00:00"/>
    <m/>
    <n v="23"/>
    <x v="4"/>
    <x v="0"/>
    <d v="2020-01-22T00:00:00"/>
  </r>
  <r>
    <d v="2019-12-23T00:00:00"/>
    <x v="26"/>
    <x v="190"/>
    <n v="20003.650000000001"/>
    <x v="0"/>
    <d v="2019-07-23T00:00:00"/>
    <m/>
    <n v="23"/>
    <x v="5"/>
    <x v="0"/>
    <d v="2020-02-21T00:00:00"/>
  </r>
  <r>
    <d v="2020-01-23T00:00:00"/>
    <x v="26"/>
    <x v="190"/>
    <n v="19540.18"/>
    <x v="0"/>
    <d v="2019-07-23T00:00:00"/>
    <m/>
    <n v="23"/>
    <x v="6"/>
    <x v="1"/>
    <d v="2020-03-23T00:00:00"/>
  </r>
  <r>
    <d v="2020-02-23T00:00:00"/>
    <x v="26"/>
    <x v="190"/>
    <n v="19248.849999999999"/>
    <x v="0"/>
    <d v="2019-07-23T00:00:00"/>
    <m/>
    <n v="23"/>
    <x v="8"/>
    <x v="1"/>
    <d v="2020-04-23T00:00:00"/>
  </r>
  <r>
    <d v="2020-03-23T00:00:00"/>
    <x v="26"/>
    <x v="190"/>
    <n v="19116.439999999999"/>
    <x v="0"/>
    <d v="2019-07-23T00:00:00"/>
    <m/>
    <n v="23"/>
    <x v="7"/>
    <x v="1"/>
    <d v="2020-05-22T00:00:00"/>
  </r>
  <r>
    <d v="2020-04-23T00:00:00"/>
    <x v="26"/>
    <x v="190"/>
    <n v="18507.3"/>
    <x v="0"/>
    <d v="2019-07-23T00:00:00"/>
    <m/>
    <n v="23"/>
    <x v="9"/>
    <x v="1"/>
    <d v="2020-06-22T00:00:00"/>
  </r>
  <r>
    <d v="2020-05-23T00:00:00"/>
    <x v="26"/>
    <x v="190"/>
    <n v="18192.34"/>
    <x v="0"/>
    <d v="2019-07-23T00:00:00"/>
    <m/>
    <n v="23"/>
    <x v="10"/>
    <x v="1"/>
    <d v="2020-07-22T00:00:00"/>
  </r>
  <r>
    <d v="2020-06-23T00:00:00"/>
    <x v="26"/>
    <x v="190"/>
    <n v="17500.91"/>
    <x v="0"/>
    <d v="2019-07-23T00:00:00"/>
    <m/>
    <n v="23"/>
    <x v="12"/>
    <x v="1"/>
    <d v="2020-08-22T00:00:00"/>
  </r>
  <r>
    <d v="2020-07-23T00:00:00"/>
    <x v="26"/>
    <x v="190"/>
    <n v="17063.88"/>
    <x v="0"/>
    <d v="2019-07-23T00:00:00"/>
    <m/>
    <n v="23"/>
    <x v="0"/>
    <x v="1"/>
    <d v="2020-09-21T00:00:00"/>
  </r>
  <r>
    <d v="2019-12-22T00:00:00"/>
    <x v="7"/>
    <x v="191"/>
    <n v="9190"/>
    <x v="0"/>
    <d v="2019-12-09T00:00:00"/>
    <m/>
    <n v="22"/>
    <x v="5"/>
    <x v="0"/>
    <d v="2020-02-20T00:00:00"/>
  </r>
  <r>
    <d v="2019-12-28T00:00:00"/>
    <x v="7"/>
    <x v="192"/>
    <n v="9200"/>
    <x v="0"/>
    <d v="2019-12-09T00:00:00"/>
    <m/>
    <n v="28"/>
    <x v="5"/>
    <x v="0"/>
    <d v="2020-02-26T00:00:00"/>
  </r>
  <r>
    <d v="2020-01-22T00:00:00"/>
    <x v="1"/>
    <x v="193"/>
    <n v="5900"/>
    <x v="0"/>
    <d v="2019-12-09T00:00:00"/>
    <m/>
    <n v="22"/>
    <x v="6"/>
    <x v="1"/>
    <d v="2020-03-22T00:00:00"/>
  </r>
  <r>
    <d v="2020-01-31T00:00:00"/>
    <x v="1"/>
    <x v="194"/>
    <n v="11900"/>
    <x v="0"/>
    <d v="2019-12-09T00:00:00"/>
    <m/>
    <n v="31"/>
    <x v="6"/>
    <x v="1"/>
    <d v="2020-03-31T00:00:00"/>
  </r>
  <r>
    <d v="2020-02-07T00:00:00"/>
    <x v="1"/>
    <x v="195"/>
    <n v="12600"/>
    <x v="0"/>
    <d v="2019-12-09T00:00:00"/>
    <m/>
    <n v="7"/>
    <x v="8"/>
    <x v="1"/>
    <d v="2020-04-07T00:00:00"/>
  </r>
  <r>
    <d v="2020-02-16T00:00:00"/>
    <x v="1"/>
    <x v="196"/>
    <n v="12850"/>
    <x v="0"/>
    <d v="2019-12-09T00:00:00"/>
    <m/>
    <n v="16"/>
    <x v="8"/>
    <x v="1"/>
    <d v="2020-04-16T00:00:00"/>
  </r>
  <r>
    <d v="2020-02-22T00:00:00"/>
    <x v="1"/>
    <x v="197"/>
    <n v="13950"/>
    <x v="0"/>
    <d v="2019-12-09T00:00:00"/>
    <m/>
    <n v="22"/>
    <x v="8"/>
    <x v="1"/>
    <d v="2020-04-22T00:00:00"/>
  </r>
  <r>
    <d v="2020-02-29T00:00:00"/>
    <x v="1"/>
    <x v="198"/>
    <n v="13900"/>
    <x v="0"/>
    <d v="2019-12-09T00:00:00"/>
    <m/>
    <n v="29"/>
    <x v="8"/>
    <x v="1"/>
    <d v="2020-04-29T00:00:00"/>
  </r>
  <r>
    <d v="2020-01-07T00:00:00"/>
    <x v="19"/>
    <x v="199"/>
    <n v="9890.59"/>
    <x v="0"/>
    <d v="2019-12-12T00:00:00"/>
    <m/>
    <n v="7"/>
    <x v="6"/>
    <x v="1"/>
    <d v="2020-03-07T00:00:00"/>
  </r>
  <r>
    <d v="2020-01-08T00:00:00"/>
    <x v="19"/>
    <x v="200"/>
    <n v="10500"/>
    <x v="0"/>
    <d v="2019-12-12T00:00:00"/>
    <m/>
    <n v="8"/>
    <x v="6"/>
    <x v="1"/>
    <d v="2020-03-08T00:00:00"/>
  </r>
  <r>
    <d v="2020-01-16T00:00:00"/>
    <x v="19"/>
    <x v="201"/>
    <n v="12500"/>
    <x v="0"/>
    <d v="2019-12-12T00:00:00"/>
    <m/>
    <n v="16"/>
    <x v="6"/>
    <x v="1"/>
    <d v="2020-03-16T00:00:00"/>
  </r>
  <r>
    <d v="2020-01-23T00:00:00"/>
    <x v="19"/>
    <x v="202"/>
    <n v="11500"/>
    <x v="0"/>
    <d v="2019-12-12T00:00:00"/>
    <m/>
    <n v="23"/>
    <x v="6"/>
    <x v="1"/>
    <d v="2020-03-23T00:00:00"/>
  </r>
  <r>
    <d v="2020-01-22T00:00:00"/>
    <x v="19"/>
    <x v="203"/>
    <n v="11500"/>
    <x v="0"/>
    <d v="2019-12-12T00:00:00"/>
    <m/>
    <n v="22"/>
    <x v="6"/>
    <x v="1"/>
    <d v="2020-03-22T00:00:00"/>
  </r>
  <r>
    <d v="2020-01-23T00:00:00"/>
    <x v="19"/>
    <x v="204"/>
    <n v="10500"/>
    <x v="0"/>
    <d v="2019-12-12T00:00:00"/>
    <m/>
    <n v="23"/>
    <x v="6"/>
    <x v="1"/>
    <d v="2020-03-23T00:00:00"/>
  </r>
  <r>
    <d v="2020-01-30T00:00:00"/>
    <x v="19"/>
    <x v="205"/>
    <n v="12000"/>
    <x v="0"/>
    <d v="2019-12-12T00:00:00"/>
    <m/>
    <n v="30"/>
    <x v="6"/>
    <x v="1"/>
    <d v="2020-03-30T00:00:00"/>
  </r>
  <r>
    <d v="2020-01-31T00:00:00"/>
    <x v="19"/>
    <x v="206"/>
    <n v="12500"/>
    <x v="0"/>
    <d v="2019-12-12T00:00:00"/>
    <m/>
    <n v="31"/>
    <x v="6"/>
    <x v="1"/>
    <d v="2020-03-31T00:00:00"/>
  </r>
  <r>
    <d v="2019-11-30T00:00:00"/>
    <x v="18"/>
    <x v="207"/>
    <n v="4600"/>
    <x v="0"/>
    <d v="2019-08-05T00:00:00"/>
    <m/>
    <n v="30"/>
    <x v="4"/>
    <x v="0"/>
    <d v="2020-01-29T00:00:00"/>
  </r>
  <r>
    <d v="2019-12-07T00:00:00"/>
    <x v="18"/>
    <x v="208"/>
    <n v="4627"/>
    <x v="0"/>
    <d v="2019-08-05T00:00:00"/>
    <m/>
    <n v="7"/>
    <x v="5"/>
    <x v="0"/>
    <d v="2020-02-05T00:00:00"/>
  </r>
  <r>
    <d v="2020-01-16T00:00:00"/>
    <x v="37"/>
    <x v="162"/>
    <n v="2970.88"/>
    <x v="0"/>
    <d v="2019-12-30T00:00:00"/>
    <m/>
    <n v="16"/>
    <x v="6"/>
    <x v="1"/>
    <d v="2020-03-16T00:00:00"/>
  </r>
  <r>
    <d v="2020-02-16T00:00:00"/>
    <x v="37"/>
    <x v="163"/>
    <n v="2970.88"/>
    <x v="0"/>
    <d v="2019-12-30T00:00:00"/>
    <m/>
    <n v="16"/>
    <x v="8"/>
    <x v="1"/>
    <d v="2020-04-16T00:00:00"/>
  </r>
  <r>
    <d v="2020-03-16T00:00:00"/>
    <x v="37"/>
    <x v="164"/>
    <n v="2970.88"/>
    <x v="0"/>
    <d v="2019-12-30T00:00:00"/>
    <m/>
    <n v="16"/>
    <x v="7"/>
    <x v="1"/>
    <d v="2020-05-15T00:00:00"/>
  </r>
  <r>
    <d v="2020-04-16T00:00:00"/>
    <x v="37"/>
    <x v="165"/>
    <n v="2995.64"/>
    <x v="2"/>
    <d v="2019-12-30T00:00:00"/>
    <s v="26/5 VER SI ES "/>
    <n v="16"/>
    <x v="9"/>
    <x v="1"/>
    <d v="2020-06-15T00:00:00"/>
  </r>
  <r>
    <d v="2020-05-16T00:00:00"/>
    <x v="37"/>
    <x v="166"/>
    <n v="2970.88"/>
    <x v="0"/>
    <d v="2019-12-30T00:00:00"/>
    <m/>
    <n v="16"/>
    <x v="10"/>
    <x v="1"/>
    <d v="2020-07-15T00:00:00"/>
  </r>
  <r>
    <d v="2020-06-16T00:00:00"/>
    <x v="37"/>
    <x v="185"/>
    <n v="2970.88"/>
    <x v="0"/>
    <d v="2019-12-30T00:00:00"/>
    <m/>
    <n v="16"/>
    <x v="12"/>
    <x v="1"/>
    <d v="2020-08-15T00:00:00"/>
  </r>
  <r>
    <d v="2019-12-30T00:00:00"/>
    <x v="17"/>
    <x v="209"/>
    <n v="120000"/>
    <x v="0"/>
    <d v="2019-01-30T00:00:00"/>
    <m/>
    <n v="30"/>
    <x v="5"/>
    <x v="0"/>
    <d v="2020-02-28T00:00:00"/>
  </r>
  <r>
    <d v="2020-02-29T00:00:00"/>
    <x v="1"/>
    <x v="210"/>
    <n v="9402"/>
    <x v="0"/>
    <d v="2020-01-04T00:00:00"/>
    <m/>
    <n v="29"/>
    <x v="8"/>
    <x v="1"/>
    <d v="2020-04-29T00:00:00"/>
  </r>
  <r>
    <d v="2020-03-22T00:00:00"/>
    <x v="1"/>
    <x v="211"/>
    <n v="9762"/>
    <x v="0"/>
    <d v="2020-01-04T00:00:00"/>
    <m/>
    <n v="22"/>
    <x v="7"/>
    <x v="1"/>
    <d v="2020-05-21T00:00:00"/>
  </r>
  <r>
    <d v="2019-12-08T00:00:00"/>
    <x v="28"/>
    <x v="212"/>
    <n v="8800"/>
    <x v="0"/>
    <d v="2019-07-25T00:00:00"/>
    <m/>
    <n v="8"/>
    <x v="5"/>
    <x v="0"/>
    <d v="2020-02-06T00:00:00"/>
  </r>
  <r>
    <d v="2020-02-08T00:00:00"/>
    <x v="10"/>
    <x v="213"/>
    <n v="6926.11"/>
    <x v="0"/>
    <d v="2020-02-06T00:00:00"/>
    <m/>
    <n v="8"/>
    <x v="8"/>
    <x v="1"/>
    <d v="2020-04-08T00:00:00"/>
  </r>
  <r>
    <d v="2020-01-08T00:00:00"/>
    <x v="24"/>
    <x v="214"/>
    <n v="3000"/>
    <x v="0"/>
    <d v="2020-01-07T00:00:00"/>
    <m/>
    <n v="8"/>
    <x v="6"/>
    <x v="1"/>
    <d v="2020-03-08T00:00:00"/>
  </r>
  <r>
    <d v="2020-08-21T00:00:00"/>
    <x v="38"/>
    <x v="215"/>
    <n v="10000"/>
    <x v="0"/>
    <d v="2020-05-06T00:00:00"/>
    <m/>
    <n v="21"/>
    <x v="1"/>
    <x v="1"/>
    <d v="2020-10-20T00:00:00"/>
  </r>
  <r>
    <d v="2020-03-31T00:00:00"/>
    <x v="38"/>
    <x v="216"/>
    <n v="10000"/>
    <x v="0"/>
    <d v="2020-01-12T00:00:00"/>
    <m/>
    <n v="31"/>
    <x v="7"/>
    <x v="1"/>
    <d v="2020-05-30T00:00:00"/>
  </r>
  <r>
    <d v="2020-04-08T00:00:00"/>
    <x v="38"/>
    <x v="217"/>
    <n v="10000"/>
    <x v="0"/>
    <d v="2020-01-12T00:00:00"/>
    <m/>
    <n v="8"/>
    <x v="9"/>
    <x v="1"/>
    <d v="2020-06-07T00:00:00"/>
  </r>
  <r>
    <d v="2020-04-16T00:00:00"/>
    <x v="38"/>
    <x v="218"/>
    <n v="10000"/>
    <x v="0"/>
    <d v="2020-01-12T00:00:00"/>
    <m/>
    <n v="16"/>
    <x v="9"/>
    <x v="1"/>
    <d v="2020-06-15T00:00:00"/>
  </r>
  <r>
    <d v="2020-04-22T00:00:00"/>
    <x v="38"/>
    <x v="219"/>
    <n v="10000"/>
    <x v="0"/>
    <d v="2020-01-12T00:00:00"/>
    <m/>
    <n v="22"/>
    <x v="9"/>
    <x v="1"/>
    <d v="2020-06-21T00:00:00"/>
  </r>
  <r>
    <d v="2020-04-30T00:00:00"/>
    <x v="38"/>
    <x v="220"/>
    <n v="10000"/>
    <x v="2"/>
    <d v="2020-01-12T00:00:00"/>
    <m/>
    <n v="30"/>
    <x v="9"/>
    <x v="1"/>
    <d v="2020-06-29T00:00:00"/>
  </r>
  <r>
    <d v="2020-05-08T00:00:00"/>
    <x v="38"/>
    <x v="221"/>
    <n v="10000"/>
    <x v="0"/>
    <d v="2020-01-12T00:00:00"/>
    <m/>
    <n v="8"/>
    <x v="10"/>
    <x v="1"/>
    <d v="2020-07-07T00:00:00"/>
  </r>
  <r>
    <d v="2020-03-08T00:00:00"/>
    <x v="39"/>
    <x v="222"/>
    <n v="6388.89"/>
    <x v="0"/>
    <d v="2020-01-13T00:00:00"/>
    <m/>
    <n v="8"/>
    <x v="7"/>
    <x v="1"/>
    <d v="2020-05-07T00:00:00"/>
  </r>
  <r>
    <d v="2020-03-16T00:00:00"/>
    <x v="39"/>
    <x v="223"/>
    <n v="6306"/>
    <x v="0"/>
    <d v="2020-01-13T00:00:00"/>
    <m/>
    <n v="16"/>
    <x v="7"/>
    <x v="1"/>
    <d v="2020-05-15T00:00:00"/>
  </r>
  <r>
    <s v="----"/>
    <x v="30"/>
    <x v="224"/>
    <s v="----"/>
    <x v="0"/>
    <s v="---"/>
    <m/>
    <s v="-"/>
    <x v="11"/>
    <x v="2"/>
    <e v="#VALUE!"/>
  </r>
  <r>
    <d v="2020-03-22T00:00:00"/>
    <x v="39"/>
    <x v="225"/>
    <n v="6406"/>
    <x v="0"/>
    <d v="2020-01-13T00:00:00"/>
    <m/>
    <n v="22"/>
    <x v="7"/>
    <x v="1"/>
    <d v="2020-05-21T00:00:00"/>
  </r>
  <r>
    <d v="2020-03-30T00:00:00"/>
    <x v="39"/>
    <x v="226"/>
    <n v="6506"/>
    <x v="0"/>
    <d v="2020-01-13T00:00:00"/>
    <m/>
    <n v="30"/>
    <x v="7"/>
    <x v="1"/>
    <d v="2020-05-29T00:00:00"/>
  </r>
  <r>
    <d v="2020-04-08T00:00:00"/>
    <x v="39"/>
    <x v="227"/>
    <n v="6606"/>
    <x v="0"/>
    <d v="2020-01-13T00:00:00"/>
    <m/>
    <n v="8"/>
    <x v="9"/>
    <x v="1"/>
    <d v="2020-06-07T00:00:00"/>
  </r>
  <r>
    <d v="2020-04-16T00:00:00"/>
    <x v="39"/>
    <x v="228"/>
    <n v="6706"/>
    <x v="0"/>
    <d v="2020-01-13T00:00:00"/>
    <m/>
    <n v="16"/>
    <x v="9"/>
    <x v="1"/>
    <d v="2020-06-15T00:00:00"/>
  </r>
  <r>
    <d v="2020-04-22T00:00:00"/>
    <x v="39"/>
    <x v="229"/>
    <n v="6806"/>
    <x v="0"/>
    <d v="2020-01-13T00:00:00"/>
    <m/>
    <n v="22"/>
    <x v="9"/>
    <x v="1"/>
    <d v="2020-06-21T00:00:00"/>
  </r>
  <r>
    <d v="2020-04-30T00:00:00"/>
    <x v="39"/>
    <x v="230"/>
    <n v="6906"/>
    <x v="2"/>
    <d v="2020-01-13T00:00:00"/>
    <s v="Frente al BCRA"/>
    <n v="30"/>
    <x v="9"/>
    <x v="1"/>
    <d v="2020-06-29T00:00:00"/>
  </r>
  <r>
    <d v="2020-03-30T00:00:00"/>
    <x v="40"/>
    <x v="231"/>
    <n v="4135.49"/>
    <x v="0"/>
    <d v="2020-01-15T00:00:00"/>
    <m/>
    <n v="30"/>
    <x v="7"/>
    <x v="1"/>
    <d v="2020-05-29T00:00:00"/>
  </r>
  <r>
    <d v="2020-04-08T00:00:00"/>
    <x v="40"/>
    <x v="232"/>
    <n v="4648"/>
    <x v="0"/>
    <d v="2020-01-15T00:00:00"/>
    <m/>
    <n v="8"/>
    <x v="9"/>
    <x v="1"/>
    <d v="2020-06-07T00:00:00"/>
  </r>
  <r>
    <d v="2020-04-22T00:00:00"/>
    <x v="40"/>
    <x v="233"/>
    <n v="4275.99"/>
    <x v="0"/>
    <d v="2020-01-15T00:00:00"/>
    <m/>
    <n v="22"/>
    <x v="9"/>
    <x v="1"/>
    <d v="2020-06-21T00:00:00"/>
  </r>
  <r>
    <d v="2020-01-17T00:00:00"/>
    <x v="17"/>
    <x v="234"/>
    <n v="7000"/>
    <x v="0"/>
    <d v="2020-01-17T00:00:00"/>
    <m/>
    <n v="17"/>
    <x v="6"/>
    <x v="1"/>
    <d v="2020-03-17T00:00:00"/>
  </r>
  <r>
    <d v="2020-02-16T00:00:00"/>
    <x v="19"/>
    <x v="235"/>
    <n v="10200"/>
    <x v="0"/>
    <d v="2020-01-21T00:00:00"/>
    <m/>
    <n v="16"/>
    <x v="8"/>
    <x v="1"/>
    <d v="2020-04-16T00:00:00"/>
  </r>
  <r>
    <d v="2020-02-22T00:00:00"/>
    <x v="19"/>
    <x v="236"/>
    <n v="11700"/>
    <x v="0"/>
    <d v="2020-01-21T00:00:00"/>
    <m/>
    <n v="22"/>
    <x v="8"/>
    <x v="1"/>
    <d v="2020-04-22T00:00:00"/>
  </r>
  <r>
    <d v="2020-02-29T00:00:00"/>
    <x v="19"/>
    <x v="237"/>
    <n v="12200"/>
    <x v="0"/>
    <d v="2020-01-21T00:00:00"/>
    <m/>
    <n v="29"/>
    <x v="8"/>
    <x v="1"/>
    <d v="2020-04-29T00:00:00"/>
  </r>
  <r>
    <d v="2020-03-08T00:00:00"/>
    <x v="19"/>
    <x v="238"/>
    <n v="12700"/>
    <x v="0"/>
    <d v="2020-01-21T00:00:00"/>
    <m/>
    <n v="8"/>
    <x v="7"/>
    <x v="1"/>
    <d v="2020-05-07T00:00:00"/>
  </r>
  <r>
    <d v="2020-03-16T00:00:00"/>
    <x v="19"/>
    <x v="239"/>
    <n v="13200"/>
    <x v="0"/>
    <d v="2020-01-21T00:00:00"/>
    <m/>
    <n v="16"/>
    <x v="7"/>
    <x v="1"/>
    <d v="2020-05-15T00:00:00"/>
  </r>
  <r>
    <d v="2020-03-22T00:00:00"/>
    <x v="19"/>
    <x v="240"/>
    <n v="14002"/>
    <x v="0"/>
    <d v="2020-01-21T00:00:00"/>
    <m/>
    <n v="22"/>
    <x v="7"/>
    <x v="1"/>
    <d v="2020-05-21T00:00:00"/>
  </r>
  <r>
    <d v="2020-03-30T00:00:00"/>
    <x v="19"/>
    <x v="241"/>
    <n v="14200"/>
    <x v="0"/>
    <d v="2020-01-21T00:00:00"/>
    <m/>
    <n v="30"/>
    <x v="7"/>
    <x v="1"/>
    <d v="2020-05-29T00:00:00"/>
  </r>
  <r>
    <d v="2020-04-08T00:00:00"/>
    <x v="19"/>
    <x v="242"/>
    <n v="14700"/>
    <x v="0"/>
    <d v="2020-01-21T00:00:00"/>
    <m/>
    <n v="8"/>
    <x v="9"/>
    <x v="1"/>
    <d v="2020-06-07T00:00:00"/>
  </r>
  <r>
    <d v="2020-04-16T00:00:00"/>
    <x v="19"/>
    <x v="243"/>
    <n v="15200"/>
    <x v="0"/>
    <d v="2020-01-21T00:00:00"/>
    <m/>
    <n v="16"/>
    <x v="9"/>
    <x v="1"/>
    <d v="2020-06-15T00:00:00"/>
  </r>
  <r>
    <d v="2020-04-22T00:00:00"/>
    <x v="19"/>
    <x v="244"/>
    <n v="15700"/>
    <x v="0"/>
    <d v="2020-01-21T00:00:00"/>
    <m/>
    <n v="22"/>
    <x v="9"/>
    <x v="1"/>
    <d v="2020-06-21T00:00:00"/>
  </r>
  <r>
    <d v="2020-04-30T00:00:00"/>
    <x v="19"/>
    <x v="245"/>
    <n v="16200"/>
    <x v="0"/>
    <d v="2020-01-21T00:00:00"/>
    <m/>
    <n v="30"/>
    <x v="9"/>
    <x v="1"/>
    <d v="2020-06-29T00:00:00"/>
  </r>
  <r>
    <d v="2020-01-21T00:00:00"/>
    <x v="17"/>
    <x v="246"/>
    <n v="10000"/>
    <x v="0"/>
    <d v="2020-01-21T00:00:00"/>
    <m/>
    <n v="21"/>
    <x v="6"/>
    <x v="1"/>
    <d v="2020-03-21T00:00:00"/>
  </r>
  <r>
    <d v="2020-02-16T00:00:00"/>
    <x v="31"/>
    <x v="247"/>
    <n v="12000"/>
    <x v="0"/>
    <d v="2020-01-21T00:00:00"/>
    <m/>
    <n v="16"/>
    <x v="8"/>
    <x v="1"/>
    <d v="2020-04-16T00:00:00"/>
  </r>
  <r>
    <d v="2020-02-19T00:00:00"/>
    <x v="31"/>
    <x v="248"/>
    <n v="13000"/>
    <x v="0"/>
    <d v="2020-01-21T00:00:00"/>
    <m/>
    <n v="19"/>
    <x v="8"/>
    <x v="1"/>
    <d v="2020-04-19T00:00:00"/>
  </r>
  <r>
    <d v="2020-02-08T00:00:00"/>
    <x v="31"/>
    <x v="249"/>
    <n v="11000"/>
    <x v="0"/>
    <d v="2020-01-21T00:00:00"/>
    <m/>
    <n v="8"/>
    <x v="8"/>
    <x v="1"/>
    <d v="2020-04-08T00:00:00"/>
  </r>
  <r>
    <d v="2020-01-23T00:00:00"/>
    <x v="17"/>
    <x v="250"/>
    <n v="10000"/>
    <x v="0"/>
    <d v="2020-01-21T00:00:00"/>
    <m/>
    <n v="23"/>
    <x v="6"/>
    <x v="1"/>
    <d v="2020-03-23T00:00:00"/>
  </r>
  <r>
    <d v="2020-02-10T00:00:00"/>
    <x v="41"/>
    <x v="251"/>
    <n v="5388.11"/>
    <x v="0"/>
    <d v="2020-01-24T00:00:00"/>
    <m/>
    <n v="10"/>
    <x v="8"/>
    <x v="1"/>
    <d v="2020-04-10T00:00:00"/>
  </r>
  <r>
    <d v="2020-01-24T00:00:00"/>
    <x v="17"/>
    <x v="252"/>
    <n v="12000"/>
    <x v="0"/>
    <d v="2020-01-24T00:00:00"/>
    <m/>
    <n v="24"/>
    <x v="6"/>
    <x v="1"/>
    <d v="2020-03-24T00:00:00"/>
  </r>
  <r>
    <d v="2020-08-20T00:00:00"/>
    <x v="42"/>
    <x v="253"/>
    <n v="4981"/>
    <x v="0"/>
    <m/>
    <m/>
    <n v="20"/>
    <x v="1"/>
    <x v="1"/>
    <d v="2020-10-19T00:00:00"/>
  </r>
  <r>
    <d v="2020-02-08T00:00:00"/>
    <x v="43"/>
    <x v="254"/>
    <n v="12000"/>
    <x v="0"/>
    <d v="2020-01-29T00:00:00"/>
    <m/>
    <n v="8"/>
    <x v="8"/>
    <x v="1"/>
    <d v="2020-04-08T00:00:00"/>
  </r>
  <r>
    <d v="2020-02-16T00:00:00"/>
    <x v="43"/>
    <x v="255"/>
    <n v="12500"/>
    <x v="0"/>
    <d v="2020-01-29T00:00:00"/>
    <m/>
    <n v="16"/>
    <x v="8"/>
    <x v="1"/>
    <d v="2020-04-16T00:00:00"/>
  </r>
  <r>
    <d v="2020-02-22T00:00:00"/>
    <x v="43"/>
    <x v="256"/>
    <n v="13000"/>
    <x v="0"/>
    <d v="2020-01-29T00:00:00"/>
    <m/>
    <n v="22"/>
    <x v="8"/>
    <x v="1"/>
    <d v="2020-04-22T00:00:00"/>
  </r>
  <r>
    <d v="2020-02-29T00:00:00"/>
    <x v="43"/>
    <x v="257"/>
    <n v="14000"/>
    <x v="0"/>
    <d v="2020-01-29T00:00:00"/>
    <m/>
    <n v="29"/>
    <x v="8"/>
    <x v="1"/>
    <d v="2020-04-29T00:00:00"/>
  </r>
  <r>
    <d v="2020-03-08T00:00:00"/>
    <x v="43"/>
    <x v="258"/>
    <n v="12000"/>
    <x v="0"/>
    <d v="2020-01-29T00:00:00"/>
    <m/>
    <n v="8"/>
    <x v="7"/>
    <x v="1"/>
    <d v="2020-05-07T00:00:00"/>
  </r>
  <r>
    <d v="2020-03-16T00:00:00"/>
    <x v="43"/>
    <x v="259"/>
    <n v="12500"/>
    <x v="0"/>
    <d v="2020-01-29T00:00:00"/>
    <m/>
    <n v="16"/>
    <x v="7"/>
    <x v="1"/>
    <d v="2020-05-15T00:00:00"/>
  </r>
  <r>
    <d v="2020-03-22T00:00:00"/>
    <x v="43"/>
    <x v="260"/>
    <n v="13000"/>
    <x v="0"/>
    <d v="2020-01-29T00:00:00"/>
    <m/>
    <n v="22"/>
    <x v="7"/>
    <x v="1"/>
    <d v="2020-05-21T00:00:00"/>
  </r>
  <r>
    <d v="2020-03-30T00:00:00"/>
    <x v="43"/>
    <x v="261"/>
    <n v="14000"/>
    <x v="0"/>
    <d v="2020-01-29T00:00:00"/>
    <m/>
    <n v="30"/>
    <x v="7"/>
    <x v="1"/>
    <d v="2020-05-29T00:00:00"/>
  </r>
  <r>
    <d v="2020-03-16T00:00:00"/>
    <x v="44"/>
    <x v="162"/>
    <n v="12412.65"/>
    <x v="0"/>
    <d v="2020-02-03T00:00:00"/>
    <m/>
    <n v="16"/>
    <x v="7"/>
    <x v="1"/>
    <d v="2020-05-15T00:00:00"/>
  </r>
  <r>
    <d v="2020-04-16T00:00:00"/>
    <x v="44"/>
    <x v="163"/>
    <n v="12412.65"/>
    <x v="2"/>
    <d v="2020-02-03T00:00:00"/>
    <s v="Ver si es 17/6"/>
    <n v="16"/>
    <x v="9"/>
    <x v="1"/>
    <d v="2020-06-15T00:00:00"/>
  </r>
  <r>
    <d v="2020-05-16T00:00:00"/>
    <x v="44"/>
    <x v="164"/>
    <n v="12412.65"/>
    <x v="2"/>
    <d v="2020-02-03T00:00:00"/>
    <m/>
    <n v="16"/>
    <x v="10"/>
    <x v="1"/>
    <d v="2020-07-15T00:00:00"/>
  </r>
  <r>
    <d v="2020-06-16T00:00:00"/>
    <x v="44"/>
    <x v="165"/>
    <n v="12412.65"/>
    <x v="0"/>
    <d v="2020-02-03T00:00:00"/>
    <d v="2020-07-16T00:00:00"/>
    <n v="16"/>
    <x v="12"/>
    <x v="1"/>
    <d v="2020-08-15T00:00:00"/>
  </r>
  <r>
    <d v="2020-07-16T00:00:00"/>
    <x v="44"/>
    <x v="166"/>
    <n v="12412.65"/>
    <x v="0"/>
    <d v="2020-02-03T00:00:00"/>
    <m/>
    <n v="16"/>
    <x v="0"/>
    <x v="1"/>
    <d v="2020-09-14T00:00:00"/>
  </r>
  <r>
    <d v="2020-08-16T00:00:00"/>
    <x v="44"/>
    <x v="185"/>
    <n v="12412.65"/>
    <x v="2"/>
    <d v="2020-02-03T00:00:00"/>
    <m/>
    <n v="16"/>
    <x v="1"/>
    <x v="1"/>
    <d v="2020-10-15T00:00:00"/>
  </r>
  <r>
    <d v="2020-09-16T00:00:00"/>
    <x v="44"/>
    <x v="186"/>
    <n v="12412.65"/>
    <x v="2"/>
    <d v="2020-02-03T00:00:00"/>
    <m/>
    <n v="16"/>
    <x v="2"/>
    <x v="1"/>
    <d v="2020-11-15T00:00:00"/>
  </r>
  <r>
    <d v="2020-10-16T00:00:00"/>
    <x v="44"/>
    <x v="184"/>
    <n v="12412.65"/>
    <x v="2"/>
    <d v="2020-02-03T00:00:00"/>
    <m/>
    <n v="16"/>
    <x v="3"/>
    <x v="1"/>
    <d v="2020-12-15T00:00:00"/>
  </r>
  <r>
    <d v="2020-01-30T00:00:00"/>
    <x v="26"/>
    <x v="262"/>
    <n v="21592.69"/>
    <x v="0"/>
    <d v="2019-12-30T00:00:00"/>
    <m/>
    <n v="30"/>
    <x v="6"/>
    <x v="1"/>
    <d v="2020-03-30T00:00:00"/>
  </r>
  <r>
    <d v="2020-02-29T00:00:00"/>
    <x v="26"/>
    <x v="262"/>
    <n v="21036.53"/>
    <x v="0"/>
    <d v="2019-12-30T00:00:00"/>
    <m/>
    <n v="29"/>
    <x v="8"/>
    <x v="1"/>
    <d v="2020-04-29T00:00:00"/>
  </r>
  <r>
    <d v="2020-03-30T00:00:00"/>
    <x v="26"/>
    <x v="262"/>
    <n v="20771.689999999999"/>
    <x v="0"/>
    <d v="2019-12-30T00:00:00"/>
    <m/>
    <n v="30"/>
    <x v="7"/>
    <x v="1"/>
    <d v="2020-05-29T00:00:00"/>
  </r>
  <r>
    <d v="2020-04-30T00:00:00"/>
    <x v="26"/>
    <x v="262"/>
    <n v="20864.38"/>
    <x v="0"/>
    <d v="2019-12-30T00:00:00"/>
    <m/>
    <n v="30"/>
    <x v="9"/>
    <x v="1"/>
    <d v="2020-06-29T00:00:00"/>
  </r>
  <r>
    <d v="2020-05-30T00:00:00"/>
    <x v="26"/>
    <x v="262"/>
    <n v="20112.78"/>
    <x v="0"/>
    <d v="2019-12-30T00:00:00"/>
    <m/>
    <n v="30"/>
    <x v="10"/>
    <x v="1"/>
    <d v="2020-07-29T00:00:00"/>
  </r>
  <r>
    <d v="2020-06-30T00:00:00"/>
    <x v="26"/>
    <x v="262"/>
    <n v="19540.18"/>
    <x v="0"/>
    <d v="2019-12-30T00:00:00"/>
    <m/>
    <n v="30"/>
    <x v="12"/>
    <x v="1"/>
    <d v="2020-08-29T00:00:00"/>
  </r>
  <r>
    <d v="2020-07-30T00:00:00"/>
    <x v="26"/>
    <x v="262"/>
    <n v="19050.23"/>
    <x v="0"/>
    <d v="2019-12-30T00:00:00"/>
    <m/>
    <n v="30"/>
    <x v="0"/>
    <x v="1"/>
    <d v="2020-09-28T00:00:00"/>
  </r>
  <r>
    <d v="2020-08-30T00:00:00"/>
    <x v="26"/>
    <x v="262"/>
    <n v="18719.18"/>
    <x v="0"/>
    <d v="2019-12-30T00:00:00"/>
    <m/>
    <n v="30"/>
    <x v="1"/>
    <x v="1"/>
    <d v="2020-10-29T00:00:00"/>
  </r>
  <r>
    <d v="2020-09-30T00:00:00"/>
    <x v="26"/>
    <x v="262"/>
    <n v="18308.669999999998"/>
    <x v="0"/>
    <d v="2019-12-30T00:00:00"/>
    <m/>
    <n v="30"/>
    <x v="2"/>
    <x v="1"/>
    <d v="2020-11-29T00:00:00"/>
  </r>
  <r>
    <d v="2020-10-30T00:00:00"/>
    <x v="26"/>
    <x v="262"/>
    <n v="17500"/>
    <x v="3"/>
    <d v="2019-12-30T00:00:00"/>
    <m/>
    <n v="30"/>
    <x v="3"/>
    <x v="1"/>
    <d v="2020-12-29T00:00:00"/>
  </r>
  <r>
    <d v="2020-11-30T00:00:00"/>
    <x v="26"/>
    <x v="262"/>
    <n v="17000"/>
    <x v="3"/>
    <d v="2019-12-30T00:00:00"/>
    <m/>
    <n v="30"/>
    <x v="4"/>
    <x v="1"/>
    <d v="2021-01-29T00:00:00"/>
  </r>
  <r>
    <d v="2020-12-30T00:00:00"/>
    <x v="26"/>
    <x v="262"/>
    <n v="16666"/>
    <x v="3"/>
    <d v="2019-12-30T00:00:00"/>
    <m/>
    <n v="30"/>
    <x v="5"/>
    <x v="1"/>
    <d v="2021-02-28T00:00:00"/>
  </r>
  <r>
    <d v="2020-01-31T00:00:00"/>
    <x v="17"/>
    <x v="263"/>
    <n v="12000"/>
    <x v="0"/>
    <d v="2020-01-31T00:00:00"/>
    <m/>
    <n v="31"/>
    <x v="6"/>
    <x v="1"/>
    <d v="2020-03-31T00:00:00"/>
  </r>
  <r>
    <d v="2020-04-08T00:00:00"/>
    <x v="43"/>
    <x v="264"/>
    <n v="13505.95"/>
    <x v="0"/>
    <d v="2020-01-29T00:00:00"/>
    <m/>
    <n v="8"/>
    <x v="9"/>
    <x v="1"/>
    <d v="2020-06-07T00:00:00"/>
  </r>
  <r>
    <d v="2020-02-06T00:00:00"/>
    <x v="17"/>
    <x v="265"/>
    <n v="10000"/>
    <x v="0"/>
    <d v="2020-02-06T00:00:00"/>
    <m/>
    <n v="6"/>
    <x v="8"/>
    <x v="1"/>
    <d v="2020-04-06T00:00:00"/>
  </r>
  <r>
    <d v="2020-04-08T00:00:00"/>
    <x v="18"/>
    <x v="266"/>
    <n v="6700"/>
    <x v="0"/>
    <d v="2020-02-06T00:00:00"/>
    <m/>
    <n v="8"/>
    <x v="9"/>
    <x v="1"/>
    <d v="2020-06-07T00:00:00"/>
  </r>
  <r>
    <d v="2020-03-30T00:00:00"/>
    <x v="18"/>
    <x v="267"/>
    <n v="6800"/>
    <x v="0"/>
    <d v="2020-02-06T00:00:00"/>
    <m/>
    <n v="30"/>
    <x v="7"/>
    <x v="1"/>
    <d v="2020-05-29T00:00:00"/>
  </r>
  <r>
    <d v="2020-04-16T00:00:00"/>
    <x v="18"/>
    <x v="268"/>
    <n v="6900"/>
    <x v="0"/>
    <d v="2020-02-06T00:00:00"/>
    <m/>
    <n v="16"/>
    <x v="9"/>
    <x v="1"/>
    <d v="2020-06-15T00:00:00"/>
  </r>
  <r>
    <d v="2020-04-22T00:00:00"/>
    <x v="18"/>
    <x v="269"/>
    <n v="8386.84"/>
    <x v="3"/>
    <d v="2020-02-06T00:00:00"/>
    <m/>
    <n v="22"/>
    <x v="9"/>
    <x v="1"/>
    <d v="2020-06-21T00:00:00"/>
  </r>
  <r>
    <d v="2020-04-30T00:00:00"/>
    <x v="18"/>
    <x v="270"/>
    <n v="7100"/>
    <x v="2"/>
    <d v="2020-02-06T00:00:00"/>
    <m/>
    <n v="30"/>
    <x v="9"/>
    <x v="1"/>
    <d v="2020-06-29T00:00:00"/>
  </r>
  <r>
    <d v="2020-05-08T00:00:00"/>
    <x v="18"/>
    <x v="271"/>
    <n v="7200"/>
    <x v="0"/>
    <d v="2020-02-06T00:00:00"/>
    <m/>
    <n v="8"/>
    <x v="10"/>
    <x v="1"/>
    <d v="2020-07-07T00:00:00"/>
  </r>
  <r>
    <d v="2020-05-16T00:00:00"/>
    <x v="18"/>
    <x v="272"/>
    <n v="7300"/>
    <x v="0"/>
    <d v="2020-02-06T00:00:00"/>
    <m/>
    <n v="16"/>
    <x v="10"/>
    <x v="1"/>
    <d v="2020-07-15T00:00:00"/>
  </r>
  <r>
    <d v="2020-02-07T00:00:00"/>
    <x v="17"/>
    <x v="273"/>
    <n v="20000"/>
    <x v="0"/>
    <d v="2020-02-07T00:00:00"/>
    <m/>
    <n v="7"/>
    <x v="8"/>
    <x v="1"/>
    <d v="2020-04-07T00:00:00"/>
  </r>
  <r>
    <d v="2020-08-08T00:00:00"/>
    <x v="1"/>
    <x v="274"/>
    <n v="11000"/>
    <x v="0"/>
    <d v="2020-02-10T00:00:00"/>
    <m/>
    <n v="8"/>
    <x v="1"/>
    <x v="1"/>
    <d v="2020-10-07T00:00:00"/>
  </r>
  <r>
    <d v="2020-08-16T00:00:00"/>
    <x v="1"/>
    <x v="275"/>
    <n v="12000"/>
    <x v="0"/>
    <d v="2020-05-22T00:00:00"/>
    <m/>
    <n v="16"/>
    <x v="1"/>
    <x v="1"/>
    <d v="2020-10-15T00:00:00"/>
  </r>
  <r>
    <d v="2020-08-22T00:00:00"/>
    <x v="11"/>
    <x v="276"/>
    <n v="13000"/>
    <x v="0"/>
    <d v="2020-06-23T00:00:00"/>
    <m/>
    <n v="22"/>
    <x v="1"/>
    <x v="1"/>
    <d v="2020-10-21T00:00:00"/>
  </r>
  <r>
    <d v="2020-08-30T00:00:00"/>
    <x v="1"/>
    <x v="277"/>
    <n v="14000"/>
    <x v="0"/>
    <d v="2020-05-22T00:00:00"/>
    <m/>
    <n v="30"/>
    <x v="1"/>
    <x v="1"/>
    <d v="2020-10-29T00:00:00"/>
  </r>
  <r>
    <d v="2020-04-16T00:00:00"/>
    <x v="45"/>
    <x v="278"/>
    <n v="4583"/>
    <x v="0"/>
    <d v="2020-02-17T00:00:00"/>
    <m/>
    <n v="16"/>
    <x v="9"/>
    <x v="1"/>
    <d v="2020-06-15T00:00:00"/>
  </r>
  <r>
    <d v="2020-04-30T00:00:00"/>
    <x v="45"/>
    <x v="279"/>
    <n v="4500"/>
    <x v="2"/>
    <d v="2020-02-17T00:00:00"/>
    <m/>
    <n v="30"/>
    <x v="9"/>
    <x v="1"/>
    <d v="2020-06-29T00:00:00"/>
  </r>
  <r>
    <d v="2020-05-16T00:00:00"/>
    <x v="45"/>
    <x v="280"/>
    <n v="4600"/>
    <x v="0"/>
    <d v="2020-02-17T00:00:00"/>
    <m/>
    <n v="16"/>
    <x v="10"/>
    <x v="1"/>
    <d v="2020-07-15T00:00:00"/>
  </r>
  <r>
    <d v="2020-05-30T00:00:00"/>
    <x v="45"/>
    <x v="281"/>
    <n v="4700"/>
    <x v="0"/>
    <d v="2020-02-17T00:00:00"/>
    <m/>
    <n v="30"/>
    <x v="10"/>
    <x v="1"/>
    <d v="2020-07-29T00:00:00"/>
  </r>
  <r>
    <d v="2020-03-22T00:00:00"/>
    <x v="12"/>
    <x v="282"/>
    <n v="6875.84"/>
    <x v="0"/>
    <d v="2020-02-17T00:00:00"/>
    <m/>
    <n v="22"/>
    <x v="7"/>
    <x v="1"/>
    <d v="2020-05-21T00:00:00"/>
  </r>
  <r>
    <d v="2020-03-07T00:00:00"/>
    <x v="11"/>
    <x v="283"/>
    <n v="4813"/>
    <x v="0"/>
    <d v="2020-02-17T00:00:00"/>
    <m/>
    <n v="7"/>
    <x v="7"/>
    <x v="1"/>
    <d v="2020-05-06T00:00:00"/>
  </r>
  <r>
    <d v="2020-03-16T00:00:00"/>
    <x v="11"/>
    <x v="284"/>
    <n v="5000.6899999999996"/>
    <x v="2"/>
    <d v="2020-02-17T00:00:00"/>
    <m/>
    <n v="16"/>
    <x v="7"/>
    <x v="1"/>
    <d v="2020-05-15T00:00:00"/>
  </r>
  <r>
    <d v="2020-03-22T00:00:00"/>
    <x v="11"/>
    <x v="285"/>
    <n v="5200"/>
    <x v="0"/>
    <d v="2020-02-17T00:00:00"/>
    <m/>
    <n v="22"/>
    <x v="7"/>
    <x v="1"/>
    <d v="2020-05-21T00:00:00"/>
  </r>
  <r>
    <d v="2020-03-31T00:00:00"/>
    <x v="11"/>
    <x v="286"/>
    <n v="5300"/>
    <x v="0"/>
    <d v="2020-02-17T00:00:00"/>
    <m/>
    <n v="31"/>
    <x v="7"/>
    <x v="1"/>
    <d v="2020-05-30T00:00:00"/>
  </r>
  <r>
    <d v="2020-03-30T00:00:00"/>
    <x v="10"/>
    <x v="287"/>
    <n v="7450"/>
    <x v="0"/>
    <d v="2020-02-18T00:00:00"/>
    <m/>
    <n v="30"/>
    <x v="7"/>
    <x v="1"/>
    <d v="2020-05-29T00:00:00"/>
  </r>
  <r>
    <d v="2020-04-08T00:00:00"/>
    <x v="10"/>
    <x v="288"/>
    <n v="7550"/>
    <x v="0"/>
    <d v="2020-02-18T00:00:00"/>
    <m/>
    <n v="8"/>
    <x v="9"/>
    <x v="1"/>
    <d v="2020-06-07T00:00:00"/>
  </r>
  <r>
    <d v="2020-04-16T00:00:00"/>
    <x v="10"/>
    <x v="289"/>
    <n v="7650"/>
    <x v="0"/>
    <d v="2020-02-18T00:00:00"/>
    <m/>
    <n v="16"/>
    <x v="9"/>
    <x v="1"/>
    <d v="2020-06-15T00:00:00"/>
  </r>
  <r>
    <d v="2020-04-22T00:00:00"/>
    <x v="10"/>
    <x v="290"/>
    <n v="7775.48"/>
    <x v="0"/>
    <d v="2020-02-18T00:00:00"/>
    <m/>
    <n v="22"/>
    <x v="9"/>
    <x v="1"/>
    <d v="2020-06-21T00:00:00"/>
  </r>
  <r>
    <d v="2020-04-30T00:00:00"/>
    <x v="10"/>
    <x v="291"/>
    <n v="7850"/>
    <x v="2"/>
    <d v="2020-02-18T00:00:00"/>
    <m/>
    <n v="30"/>
    <x v="9"/>
    <x v="1"/>
    <d v="2020-06-29T00:00:00"/>
  </r>
  <r>
    <d v="2020-05-08T00:00:00"/>
    <x v="28"/>
    <x v="292"/>
    <n v="7950"/>
    <x v="0"/>
    <d v="2020-08-08T00:00:00"/>
    <m/>
    <n v="8"/>
    <x v="10"/>
    <x v="1"/>
    <d v="2020-07-07T00:00:00"/>
  </r>
  <r>
    <d v="2020-08-21T00:00:00"/>
    <x v="28"/>
    <x v="293"/>
    <n v="8150"/>
    <x v="0"/>
    <d v="2020-05-06T00:00:00"/>
    <m/>
    <n v="21"/>
    <x v="1"/>
    <x v="1"/>
    <d v="2020-10-20T00:00:00"/>
  </r>
  <r>
    <d v="2020-05-22T00:00:00"/>
    <x v="46"/>
    <x v="294"/>
    <n v="5752.41"/>
    <x v="0"/>
    <d v="2020-02-19T00:00:00"/>
    <m/>
    <n v="22"/>
    <x v="10"/>
    <x v="1"/>
    <d v="2020-07-21T00:00:00"/>
  </r>
  <r>
    <d v="2020-04-22T00:00:00"/>
    <x v="46"/>
    <x v="295"/>
    <n v="3220"/>
    <x v="0"/>
    <d v="2020-02-19T00:00:00"/>
    <m/>
    <n v="22"/>
    <x v="9"/>
    <x v="1"/>
    <d v="2020-06-21T00:00:00"/>
  </r>
  <r>
    <d v="2020-04-30T00:00:00"/>
    <x v="46"/>
    <x v="296"/>
    <n v="3208.25"/>
    <x v="0"/>
    <d v="2020-02-19T00:00:00"/>
    <m/>
    <n v="30"/>
    <x v="9"/>
    <x v="1"/>
    <d v="2020-06-29T00:00:00"/>
  </r>
  <r>
    <d v="2020-04-30T00:00:00"/>
    <x v="47"/>
    <x v="297"/>
    <n v="2073"/>
    <x v="0"/>
    <d v="2020-03-05T00:00:00"/>
    <m/>
    <n v="30"/>
    <x v="9"/>
    <x v="1"/>
    <d v="2020-06-29T00:00:00"/>
  </r>
  <r>
    <d v="2020-04-30T00:00:00"/>
    <x v="18"/>
    <x v="298"/>
    <n v="7000"/>
    <x v="2"/>
    <d v="2020-03-10T00:00:00"/>
    <m/>
    <n v="30"/>
    <x v="9"/>
    <x v="1"/>
    <d v="2020-06-29T00:00:00"/>
  </r>
  <r>
    <d v="2020-03-31T00:00:00"/>
    <x v="19"/>
    <x v="299"/>
    <n v="16140"/>
    <x v="0"/>
    <d v="2020-02-27T00:00:00"/>
    <m/>
    <n v="31"/>
    <x v="7"/>
    <x v="1"/>
    <d v="2020-05-30T00:00:00"/>
  </r>
  <r>
    <d v="2020-04-08T00:00:00"/>
    <x v="19"/>
    <x v="300"/>
    <n v="16150"/>
    <x v="0"/>
    <d v="2020-02-27T00:00:00"/>
    <m/>
    <n v="8"/>
    <x v="9"/>
    <x v="1"/>
    <d v="2020-06-07T00:00:00"/>
  </r>
  <r>
    <d v="2020-04-16T00:00:00"/>
    <x v="19"/>
    <x v="301"/>
    <n v="16160"/>
    <x v="0"/>
    <d v="2020-02-27T00:00:00"/>
    <m/>
    <n v="16"/>
    <x v="9"/>
    <x v="1"/>
    <d v="2020-06-15T00:00:00"/>
  </r>
  <r>
    <d v="2020-04-22T00:00:00"/>
    <x v="19"/>
    <x v="302"/>
    <n v="16170"/>
    <x v="0"/>
    <d v="2020-02-27T00:00:00"/>
    <m/>
    <n v="22"/>
    <x v="9"/>
    <x v="1"/>
    <d v="2020-06-21T00:00:00"/>
  </r>
  <r>
    <d v="2020-04-30T00:00:00"/>
    <x v="19"/>
    <x v="303"/>
    <n v="16180"/>
    <x v="2"/>
    <d v="2020-02-27T00:00:00"/>
    <m/>
    <n v="30"/>
    <x v="9"/>
    <x v="1"/>
    <d v="2020-06-29T00:00:00"/>
  </r>
  <r>
    <d v="2020-05-08T00:00:00"/>
    <x v="19"/>
    <x v="304"/>
    <n v="16190"/>
    <x v="0"/>
    <d v="2020-02-27T00:00:00"/>
    <m/>
    <n v="8"/>
    <x v="10"/>
    <x v="1"/>
    <d v="2020-07-07T00:00:00"/>
  </r>
  <r>
    <d v="2020-05-22T00:00:00"/>
    <x v="19"/>
    <x v="305"/>
    <n v="16455.39"/>
    <x v="2"/>
    <d v="2020-02-27T00:00:00"/>
    <m/>
    <n v="22"/>
    <x v="10"/>
    <x v="1"/>
    <d v="2020-07-21T00:00:00"/>
  </r>
  <r>
    <d v="2020-05-16T00:00:00"/>
    <x v="19"/>
    <x v="306"/>
    <n v="16210"/>
    <x v="2"/>
    <d v="2020-02-27T00:00:00"/>
    <m/>
    <n v="16"/>
    <x v="10"/>
    <x v="1"/>
    <d v="2020-07-15T00:00:00"/>
  </r>
  <r>
    <d v="2020-05-30T00:00:00"/>
    <x v="19"/>
    <x v="307"/>
    <n v="16220"/>
    <x v="0"/>
    <d v="2020-02-27T00:00:00"/>
    <m/>
    <n v="30"/>
    <x v="10"/>
    <x v="1"/>
    <d v="2020-07-29T00:00:00"/>
  </r>
  <r>
    <d v="2020-06-08T00:00:00"/>
    <x v="19"/>
    <x v="308"/>
    <n v="16230"/>
    <x v="0"/>
    <d v="2020-02-27T00:00:00"/>
    <m/>
    <n v="8"/>
    <x v="12"/>
    <x v="1"/>
    <d v="2020-08-07T00:00:00"/>
  </r>
  <r>
    <d v="2020-06-16T00:00:00"/>
    <x v="19"/>
    <x v="309"/>
    <n v="16240"/>
    <x v="0"/>
    <d v="2020-02-27T00:00:00"/>
    <m/>
    <n v="16"/>
    <x v="12"/>
    <x v="1"/>
    <d v="2020-08-15T00:00:00"/>
  </r>
  <r>
    <d v="2020-06-22T00:00:00"/>
    <x v="19"/>
    <x v="310"/>
    <n v="16250"/>
    <x v="0"/>
    <d v="2020-02-27T00:00:00"/>
    <m/>
    <n v="22"/>
    <x v="12"/>
    <x v="1"/>
    <d v="2020-08-21T00:00:00"/>
  </r>
  <r>
    <d v="2020-06-30T00:00:00"/>
    <x v="19"/>
    <x v="311"/>
    <n v="16260"/>
    <x v="0"/>
    <d v="2020-02-27T00:00:00"/>
    <m/>
    <n v="30"/>
    <x v="12"/>
    <x v="1"/>
    <d v="2020-08-29T00:00:00"/>
  </r>
  <r>
    <d v="2020-07-16T00:00:00"/>
    <x v="48"/>
    <x v="162"/>
    <n v="3621.58"/>
    <x v="0"/>
    <d v="2020-03-02T00:00:00"/>
    <m/>
    <n v="16"/>
    <x v="0"/>
    <x v="1"/>
    <d v="2020-09-14T00:00:00"/>
  </r>
  <r>
    <d v="2020-08-16T00:00:00"/>
    <x v="48"/>
    <x v="163"/>
    <n v="3720.24"/>
    <x v="0"/>
    <d v="2020-03-02T00:00:00"/>
    <m/>
    <n v="16"/>
    <x v="1"/>
    <x v="1"/>
    <d v="2020-10-15T00:00:00"/>
  </r>
  <r>
    <d v="2020-09-16T00:00:00"/>
    <x v="48"/>
    <x v="164"/>
    <n v="3815.71"/>
    <x v="0"/>
    <d v="2020-03-02T00:00:00"/>
    <m/>
    <n v="16"/>
    <x v="2"/>
    <x v="1"/>
    <d v="2020-11-15T00:00:00"/>
  </r>
  <r>
    <d v="2020-10-16T00:00:00"/>
    <x v="48"/>
    <x v="165"/>
    <n v="3908"/>
    <x v="2"/>
    <d v="2020-03-02T00:00:00"/>
    <m/>
    <n v="16"/>
    <x v="3"/>
    <x v="1"/>
    <d v="2020-12-15T00:00:00"/>
  </r>
  <r>
    <d v="2020-11-16T00:00:00"/>
    <x v="48"/>
    <x v="166"/>
    <n v="4006.65"/>
    <x v="2"/>
    <d v="2020-03-02T00:00:00"/>
    <m/>
    <n v="16"/>
    <x v="4"/>
    <x v="1"/>
    <d v="2021-01-15T00:00:00"/>
  </r>
  <r>
    <d v="2020-12-16T00:00:00"/>
    <x v="48"/>
    <x v="185"/>
    <n v="4098.9399999999996"/>
    <x v="2"/>
    <d v="2020-03-02T00:00:00"/>
    <m/>
    <n v="16"/>
    <x v="5"/>
    <x v="1"/>
    <d v="2021-02-14T00:00:00"/>
  </r>
  <r>
    <d v="2021-01-16T00:00:00"/>
    <x v="48"/>
    <x v="186"/>
    <n v="4197.6000000000004"/>
    <x v="2"/>
    <d v="2020-03-02T00:00:00"/>
    <m/>
    <n v="16"/>
    <x v="6"/>
    <x v="3"/>
    <d v="2021-03-17T00:00:00"/>
  </r>
  <r>
    <d v="2021-02-16T00:00:00"/>
    <x v="48"/>
    <x v="184"/>
    <n v="4293.07"/>
    <x v="2"/>
    <d v="2020-03-02T00:00:00"/>
    <m/>
    <n v="16"/>
    <x v="8"/>
    <x v="3"/>
    <d v="2021-04-17T00:00:00"/>
  </r>
  <r>
    <d v="2021-03-16T00:00:00"/>
    <x v="48"/>
    <x v="312"/>
    <n v="4379"/>
    <x v="2"/>
    <d v="2020-03-02T00:00:00"/>
    <m/>
    <n v="16"/>
    <x v="7"/>
    <x v="3"/>
    <d v="2021-05-15T00:00:00"/>
  </r>
  <r>
    <d v="2021-04-16T00:00:00"/>
    <x v="48"/>
    <x v="313"/>
    <n v="4484.0200000000004"/>
    <x v="2"/>
    <d v="2020-03-02T00:00:00"/>
    <m/>
    <n v="16"/>
    <x v="9"/>
    <x v="3"/>
    <d v="2021-06-15T00:00:00"/>
  </r>
  <r>
    <d v="2021-05-16T00:00:00"/>
    <x v="48"/>
    <x v="314"/>
    <n v="4576.3100000000004"/>
    <x v="2"/>
    <d v="2020-03-02T00:00:00"/>
    <m/>
    <n v="16"/>
    <x v="10"/>
    <x v="3"/>
    <d v="2021-07-15T00:00:00"/>
  </r>
  <r>
    <d v="2021-06-16T00:00:00"/>
    <x v="48"/>
    <x v="315"/>
    <n v="4674.96"/>
    <x v="2"/>
    <d v="2020-03-02T00:00:00"/>
    <m/>
    <n v="16"/>
    <x v="12"/>
    <x v="3"/>
    <d v="2021-08-15T00:00:00"/>
  </r>
  <r>
    <d v="2021-07-16T00:00:00"/>
    <x v="48"/>
    <x v="316"/>
    <n v="4767.25"/>
    <x v="2"/>
    <d v="2020-03-02T00:00:00"/>
    <m/>
    <n v="16"/>
    <x v="0"/>
    <x v="3"/>
    <d v="2021-09-14T00:00:00"/>
  </r>
  <r>
    <d v="2021-08-16T00:00:00"/>
    <x v="48"/>
    <x v="317"/>
    <n v="4865.8999999999996"/>
    <x v="2"/>
    <d v="2020-03-02T00:00:00"/>
    <m/>
    <n v="16"/>
    <x v="1"/>
    <x v="3"/>
    <d v="2021-10-15T00:00:00"/>
  </r>
  <r>
    <d v="2021-09-16T00:00:00"/>
    <x v="48"/>
    <x v="318"/>
    <n v="4961.38"/>
    <x v="2"/>
    <d v="2020-03-02T00:00:00"/>
    <m/>
    <n v="16"/>
    <x v="2"/>
    <x v="3"/>
    <d v="2021-11-15T00:00:00"/>
  </r>
  <r>
    <d v="2021-10-16T00:00:00"/>
    <x v="48"/>
    <x v="319"/>
    <n v="5053.67"/>
    <x v="2"/>
    <d v="2020-03-02T00:00:00"/>
    <m/>
    <n v="16"/>
    <x v="3"/>
    <x v="3"/>
    <d v="2021-12-15T00:00:00"/>
  </r>
  <r>
    <d v="2021-11-16T00:00:00"/>
    <x v="48"/>
    <x v="320"/>
    <n v="5152.32"/>
    <x v="2"/>
    <d v="2020-03-02T00:00:00"/>
    <m/>
    <n v="16"/>
    <x v="4"/>
    <x v="3"/>
    <d v="2022-01-15T00:00:00"/>
  </r>
  <r>
    <d v="2021-12-16T00:00:00"/>
    <x v="48"/>
    <x v="321"/>
    <n v="5244.6"/>
    <x v="2"/>
    <d v="2020-03-02T00:00:00"/>
    <m/>
    <n v="16"/>
    <x v="5"/>
    <x v="3"/>
    <d v="2022-02-14T00:00:00"/>
  </r>
  <r>
    <d v="2020-05-08T00:00:00"/>
    <x v="18"/>
    <x v="322"/>
    <n v="7100"/>
    <x v="0"/>
    <d v="2020-03-10T00:00:00"/>
    <m/>
    <n v="8"/>
    <x v="10"/>
    <x v="1"/>
    <d v="2020-07-07T00:00:00"/>
  </r>
  <r>
    <d v="2020-05-22T00:00:00"/>
    <x v="18"/>
    <x v="323"/>
    <n v="7200"/>
    <x v="0"/>
    <d v="2020-03-10T00:00:00"/>
    <m/>
    <n v="22"/>
    <x v="10"/>
    <x v="1"/>
    <d v="2020-07-21T00:00:00"/>
  </r>
  <r>
    <d v="2020-05-30T00:00:00"/>
    <x v="18"/>
    <x v="324"/>
    <n v="7300"/>
    <x v="0"/>
    <d v="2020-03-10T00:00:00"/>
    <m/>
    <n v="30"/>
    <x v="10"/>
    <x v="1"/>
    <d v="2020-07-29T00:00:00"/>
  </r>
  <r>
    <d v="2020-06-08T00:00:00"/>
    <x v="18"/>
    <x v="325"/>
    <n v="7450"/>
    <x v="0"/>
    <d v="2020-03-10T00:00:00"/>
    <m/>
    <n v="8"/>
    <x v="12"/>
    <x v="1"/>
    <d v="2020-08-07T00:00:00"/>
  </r>
  <r>
    <d v="2020-06-22T00:00:00"/>
    <x v="18"/>
    <x v="326"/>
    <n v="7452.5"/>
    <x v="0"/>
    <d v="2020-03-10T00:00:00"/>
    <m/>
    <n v="22"/>
    <x v="12"/>
    <x v="1"/>
    <d v="2020-08-21T00:00:00"/>
  </r>
  <r>
    <d v="2020-06-30T00:00:00"/>
    <x v="18"/>
    <x v="327"/>
    <n v="7500"/>
    <x v="0"/>
    <d v="2020-03-10T00:00:00"/>
    <m/>
    <n v="30"/>
    <x v="12"/>
    <x v="1"/>
    <d v="2020-08-29T00:00:00"/>
  </r>
  <r>
    <d v="2020-07-08T00:00:00"/>
    <x v="18"/>
    <x v="328"/>
    <n v="7600"/>
    <x v="0"/>
    <d v="2020-03-10T00:00:00"/>
    <m/>
    <n v="8"/>
    <x v="0"/>
    <x v="1"/>
    <d v="2020-09-06T00:00:00"/>
  </r>
  <r>
    <d v="2020-07-16T00:00:00"/>
    <x v="18"/>
    <x v="329"/>
    <n v="7700"/>
    <x v="0"/>
    <d v="2020-03-10T00:00:00"/>
    <m/>
    <n v="16"/>
    <x v="0"/>
    <x v="1"/>
    <d v="2020-09-14T00:00:00"/>
  </r>
  <r>
    <d v="2020-07-22T00:00:00"/>
    <x v="18"/>
    <x v="330"/>
    <n v="7800"/>
    <x v="0"/>
    <d v="2020-03-10T00:00:00"/>
    <m/>
    <n v="22"/>
    <x v="0"/>
    <x v="1"/>
    <d v="2020-09-20T00:00:00"/>
  </r>
  <r>
    <d v="2020-09-07T00:00:00"/>
    <x v="28"/>
    <x v="331"/>
    <n v="9000"/>
    <x v="2"/>
    <d v="2020-03-18T00:00:00"/>
    <m/>
    <n v="7"/>
    <x v="2"/>
    <x v="1"/>
    <d v="2020-11-06T00:00:00"/>
  </r>
  <r>
    <d v="2020-05-22T00:00:00"/>
    <x v="10"/>
    <x v="332"/>
    <n v="9000"/>
    <x v="4"/>
    <d v="2020-03-18T00:00:00"/>
    <m/>
    <n v="22"/>
    <x v="10"/>
    <x v="1"/>
    <d v="2020-07-21T00:00:00"/>
  </r>
  <r>
    <d v="2020-06-22T00:00:00"/>
    <x v="28"/>
    <x v="333"/>
    <n v="19000"/>
    <x v="0"/>
    <d v="2020-03-18T00:00:00"/>
    <m/>
    <n v="22"/>
    <x v="12"/>
    <x v="1"/>
    <d v="2020-08-21T00:00:00"/>
  </r>
  <r>
    <d v="2020-06-30T00:00:00"/>
    <x v="28"/>
    <x v="334"/>
    <n v="20000"/>
    <x v="0"/>
    <d v="2020-03-18T00:00:00"/>
    <m/>
    <n v="30"/>
    <x v="12"/>
    <x v="1"/>
    <d v="2020-08-29T00:00:00"/>
  </r>
  <r>
    <d v="2020-07-08T00:00:00"/>
    <x v="28"/>
    <x v="335"/>
    <n v="21000"/>
    <x v="0"/>
    <d v="2020-03-18T00:00:00"/>
    <m/>
    <n v="8"/>
    <x v="0"/>
    <x v="1"/>
    <d v="2020-09-06T00:00:00"/>
  </r>
  <r>
    <d v="2020-07-13T00:00:00"/>
    <x v="1"/>
    <x v="336"/>
    <n v="5200"/>
    <x v="0"/>
    <d v="2020-03-18T00:00:00"/>
    <m/>
    <n v="13"/>
    <x v="0"/>
    <x v="1"/>
    <d v="2020-09-11T00:00:00"/>
  </r>
  <r>
    <d v="2020-07-22T00:00:00"/>
    <x v="1"/>
    <x v="337"/>
    <n v="5300"/>
    <x v="0"/>
    <d v="2020-05-22T00:00:00"/>
    <m/>
    <n v="22"/>
    <x v="0"/>
    <x v="1"/>
    <d v="2020-09-20T00:00:00"/>
  </r>
  <r>
    <d v="2020-07-30T00:00:00"/>
    <x v="1"/>
    <x v="338"/>
    <n v="5710"/>
    <x v="0"/>
    <d v="2020-05-22T00:00:00"/>
    <m/>
    <n v="30"/>
    <x v="0"/>
    <x v="1"/>
    <d v="2020-09-28T00:00:00"/>
  </r>
  <r>
    <d v="2020-06-07T00:00:00"/>
    <x v="1"/>
    <x v="339"/>
    <n v="5500"/>
    <x v="0"/>
    <d v="2020-03-18T00:00:00"/>
    <m/>
    <n v="7"/>
    <x v="12"/>
    <x v="1"/>
    <d v="2020-08-06T00:00:00"/>
  </r>
  <r>
    <d v="2020-06-22T00:00:00"/>
    <x v="1"/>
    <x v="340"/>
    <n v="6000"/>
    <x v="0"/>
    <d v="2020-03-18T00:00:00"/>
    <m/>
    <n v="22"/>
    <x v="12"/>
    <x v="1"/>
    <d v="2020-08-21T00:00:00"/>
  </r>
  <r>
    <d v="2020-08-30T00:00:00"/>
    <x v="28"/>
    <x v="341"/>
    <n v="4850"/>
    <x v="0"/>
    <d v="2020-05-06T00:00:00"/>
    <m/>
    <n v="30"/>
    <x v="1"/>
    <x v="1"/>
    <d v="2020-10-29T00:00:00"/>
  </r>
  <r>
    <d v="2020-08-07T00:00:00"/>
    <x v="28"/>
    <x v="342"/>
    <n v="9500"/>
    <x v="0"/>
    <d v="2020-05-06T00:00:00"/>
    <m/>
    <n v="7"/>
    <x v="1"/>
    <x v="1"/>
    <d v="2020-10-06T00:00:00"/>
  </r>
  <r>
    <d v="2020-08-16T00:00:00"/>
    <x v="28"/>
    <x v="343"/>
    <n v="16010"/>
    <x v="0"/>
    <d v="2020-05-06T00:00:00"/>
    <m/>
    <n v="16"/>
    <x v="1"/>
    <x v="1"/>
    <d v="2020-10-15T00:00:00"/>
  </r>
  <r>
    <d v="2020-08-22T00:00:00"/>
    <x v="28"/>
    <x v="344"/>
    <n v="16020"/>
    <x v="0"/>
    <d v="2020-05-06T00:00:00"/>
    <m/>
    <n v="22"/>
    <x v="1"/>
    <x v="1"/>
    <d v="2020-10-21T00:00:00"/>
  </r>
  <r>
    <d v="2020-08-30T00:00:00"/>
    <x v="28"/>
    <x v="345"/>
    <n v="16030"/>
    <x v="0"/>
    <d v="2020-05-06T00:00:00"/>
    <m/>
    <n v="30"/>
    <x v="1"/>
    <x v="1"/>
    <d v="2020-10-29T00:00:00"/>
  </r>
  <r>
    <d v="2020-09-08T00:00:00"/>
    <x v="28"/>
    <x v="346"/>
    <n v="16100"/>
    <x v="0"/>
    <d v="2020-05-06T00:00:00"/>
    <m/>
    <n v="8"/>
    <x v="2"/>
    <x v="1"/>
    <d v="2020-11-07T00:00:00"/>
  </r>
  <r>
    <d v="2020-09-16T00:00:00"/>
    <x v="28"/>
    <x v="347"/>
    <n v="16120"/>
    <x v="0"/>
    <d v="2020-05-06T00:00:00"/>
    <m/>
    <n v="16"/>
    <x v="2"/>
    <x v="1"/>
    <d v="2020-11-15T00:00:00"/>
  </r>
  <r>
    <d v="2020-09-22T00:00:00"/>
    <x v="28"/>
    <x v="348"/>
    <n v="16130"/>
    <x v="0"/>
    <d v="2020-05-06T00:00:00"/>
    <m/>
    <n v="22"/>
    <x v="2"/>
    <x v="1"/>
    <d v="2020-11-21T00:00:00"/>
  </r>
  <r>
    <d v="2020-09-30T00:00:00"/>
    <x v="28"/>
    <x v="349"/>
    <n v="16140"/>
    <x v="0"/>
    <d v="2020-05-06T00:00:00"/>
    <m/>
    <n v="30"/>
    <x v="2"/>
    <x v="1"/>
    <d v="2020-11-29T00:00:00"/>
  </r>
  <r>
    <d v="2020-06-30T00:00:00"/>
    <x v="1"/>
    <x v="350"/>
    <n v="7900"/>
    <x v="0"/>
    <d v="2020-05-22T00:00:00"/>
    <m/>
    <n v="30"/>
    <x v="12"/>
    <x v="1"/>
    <d v="2020-08-29T00:00:00"/>
  </r>
  <r>
    <d v="2020-07-08T00:00:00"/>
    <x v="49"/>
    <x v="351"/>
    <n v="2500"/>
    <x v="0"/>
    <d v="2020-05-30T00:00:00"/>
    <m/>
    <n v="8"/>
    <x v="0"/>
    <x v="1"/>
    <d v="2020-09-06T00:00:00"/>
  </r>
  <r>
    <d v="2020-07-22T00:00:00"/>
    <x v="49"/>
    <x v="352"/>
    <n v="2500"/>
    <x v="0"/>
    <d v="2020-05-30T00:00:00"/>
    <m/>
    <n v="22"/>
    <x v="0"/>
    <x v="1"/>
    <d v="2020-09-20T00:00:00"/>
  </r>
  <r>
    <d v="2020-08-08T00:00:00"/>
    <x v="49"/>
    <x v="353"/>
    <n v="2500"/>
    <x v="0"/>
    <d v="2020-05-30T00:00:00"/>
    <m/>
    <n v="8"/>
    <x v="1"/>
    <x v="1"/>
    <d v="2020-10-07T00:00:00"/>
  </r>
  <r>
    <d v="2020-08-31T00:00:00"/>
    <x v="28"/>
    <x v="354"/>
    <n v="7977"/>
    <x v="0"/>
    <d v="2020-06-04T00:00:00"/>
    <m/>
    <n v="31"/>
    <x v="1"/>
    <x v="1"/>
    <d v="2020-10-30T00:00:00"/>
  </r>
  <r>
    <d v="2020-07-31T00:00:00"/>
    <x v="28"/>
    <x v="355"/>
    <n v="8510"/>
    <x v="0"/>
    <d v="2020-06-04T00:00:00"/>
    <m/>
    <n v="31"/>
    <x v="0"/>
    <x v="1"/>
    <d v="2020-09-29T00:00:00"/>
  </r>
  <r>
    <d v="2020-08-22T00:00:00"/>
    <x v="28"/>
    <x v="356"/>
    <n v="8513"/>
    <x v="0"/>
    <d v="2020-06-04T00:00:00"/>
    <m/>
    <n v="22"/>
    <x v="1"/>
    <x v="1"/>
    <d v="2020-10-21T00:00:00"/>
  </r>
  <r>
    <d v="2020-07-22T00:00:00"/>
    <x v="11"/>
    <x v="357"/>
    <n v="11010.26"/>
    <x v="0"/>
    <d v="2020-06-23T00:00:00"/>
    <m/>
    <n v="22"/>
    <x v="0"/>
    <x v="1"/>
    <d v="2020-09-20T00:00:00"/>
  </r>
  <r>
    <d v="2020-08-07T00:00:00"/>
    <x v="11"/>
    <x v="358"/>
    <n v="11020"/>
    <x v="0"/>
    <d v="2020-06-23T00:00:00"/>
    <m/>
    <n v="7"/>
    <x v="1"/>
    <x v="1"/>
    <d v="2020-10-06T00:00:00"/>
  </r>
  <r>
    <d v="2020-07-07T00:00:00"/>
    <x v="11"/>
    <x v="359"/>
    <n v="11030"/>
    <x v="0"/>
    <d v="2020-06-23T00:00:00"/>
    <m/>
    <n v="7"/>
    <x v="0"/>
    <x v="1"/>
    <d v="2020-09-05T00:00:00"/>
  </r>
  <r>
    <d v="2020-07-22T00:00:00"/>
    <x v="12"/>
    <x v="360"/>
    <n v="7054.4"/>
    <x v="0"/>
    <d v="2020-06-23T00:00:00"/>
    <m/>
    <n v="22"/>
    <x v="0"/>
    <x v="1"/>
    <d v="2020-09-20T00:00:00"/>
  </r>
  <r>
    <d v="2020-08-07T00:00:00"/>
    <x v="12"/>
    <x v="361"/>
    <n v="7150"/>
    <x v="0"/>
    <d v="2020-06-23T00:00:00"/>
    <m/>
    <n v="7"/>
    <x v="1"/>
    <x v="1"/>
    <d v="2020-10-06T00:00:00"/>
  </r>
  <r>
    <d v="2020-08-22T00:00:00"/>
    <x v="12"/>
    <x v="362"/>
    <n v="7180"/>
    <x v="0"/>
    <d v="2020-06-23T00:00:00"/>
    <m/>
    <n v="22"/>
    <x v="1"/>
    <x v="1"/>
    <d v="2020-10-21T00:00:00"/>
  </r>
  <r>
    <d v="2020-09-07T00:00:00"/>
    <x v="12"/>
    <x v="363"/>
    <n v="7170"/>
    <x v="2"/>
    <d v="2020-06-23T00:00:00"/>
    <m/>
    <n v="7"/>
    <x v="2"/>
    <x v="1"/>
    <d v="2020-11-06T00:00:00"/>
  </r>
  <r>
    <d v="2020-07-22T00:00:00"/>
    <x v="10"/>
    <x v="364"/>
    <n v="4010"/>
    <x v="0"/>
    <d v="2020-06-23T00:00:00"/>
    <m/>
    <n v="22"/>
    <x v="0"/>
    <x v="1"/>
    <d v="2020-09-20T00:00:00"/>
  </r>
  <r>
    <d v="2020-08-07T00:00:00"/>
    <x v="10"/>
    <x v="365"/>
    <n v="4020"/>
    <x v="0"/>
    <d v="2020-06-23T00:00:00"/>
    <m/>
    <n v="7"/>
    <x v="1"/>
    <x v="1"/>
    <d v="2020-10-06T00:00:00"/>
  </r>
  <r>
    <d v="2020-08-22T00:00:00"/>
    <x v="10"/>
    <x v="366"/>
    <n v="4030"/>
    <x v="0"/>
    <d v="2020-06-23T00:00:00"/>
    <m/>
    <n v="22"/>
    <x v="1"/>
    <x v="1"/>
    <d v="2020-10-21T00:00:00"/>
  </r>
  <r>
    <d v="2020-08-30T00:00:00"/>
    <x v="10"/>
    <x v="367"/>
    <n v="4040.8"/>
    <x v="0"/>
    <d v="2020-06-23T00:00:00"/>
    <m/>
    <n v="30"/>
    <x v="1"/>
    <x v="1"/>
    <d v="2020-10-29T00:00:00"/>
  </r>
  <r>
    <d v="2020-07-16T00:00:00"/>
    <x v="19"/>
    <x v="368"/>
    <n v="8090"/>
    <x v="0"/>
    <d v="2020-06-26T00:00:00"/>
    <m/>
    <n v="16"/>
    <x v="0"/>
    <x v="1"/>
    <d v="2020-09-14T00:00:00"/>
  </r>
  <r>
    <d v="2020-07-22T00:00:00"/>
    <x v="19"/>
    <x v="369"/>
    <n v="8100"/>
    <x v="0"/>
    <d v="2020-06-26T00:00:00"/>
    <m/>
    <n v="22"/>
    <x v="0"/>
    <x v="1"/>
    <d v="2020-09-20T00:00:00"/>
  </r>
  <r>
    <d v="2020-07-30T00:00:00"/>
    <x v="19"/>
    <x v="370"/>
    <n v="8200"/>
    <x v="0"/>
    <d v="2020-06-26T00:00:00"/>
    <m/>
    <n v="30"/>
    <x v="0"/>
    <x v="1"/>
    <d v="2020-09-28T00:00:00"/>
  </r>
  <r>
    <d v="2020-08-08T00:00:00"/>
    <x v="19"/>
    <x v="371"/>
    <n v="8300"/>
    <x v="0"/>
    <d v="2020-06-26T00:00:00"/>
    <m/>
    <n v="8"/>
    <x v="1"/>
    <x v="1"/>
    <d v="2020-10-07T00:00:00"/>
  </r>
  <r>
    <d v="2020-08-08T00:00:00"/>
    <x v="50"/>
    <x v="372"/>
    <n v="9006"/>
    <x v="0"/>
    <d v="2020-06-26T00:00:00"/>
    <m/>
    <n v="8"/>
    <x v="1"/>
    <x v="1"/>
    <d v="2020-10-07T00:00:00"/>
  </r>
  <r>
    <d v="2020-08-16T00:00:00"/>
    <x v="50"/>
    <x v="373"/>
    <n v="9100"/>
    <x v="0"/>
    <d v="2020-06-26T00:00:00"/>
    <m/>
    <n v="16"/>
    <x v="1"/>
    <x v="1"/>
    <d v="2020-10-15T00:00:00"/>
  </r>
  <r>
    <d v="2020-08-22T00:00:00"/>
    <x v="50"/>
    <x v="374"/>
    <n v="9204"/>
    <x v="0"/>
    <d v="2020-06-26T00:00:00"/>
    <m/>
    <n v="22"/>
    <x v="1"/>
    <x v="1"/>
    <d v="2020-10-21T00:00:00"/>
  </r>
  <r>
    <d v="2020-09-08T00:00:00"/>
    <x v="50"/>
    <x v="375"/>
    <n v="9240"/>
    <x v="0"/>
    <d v="2020-06-26T00:00:00"/>
    <m/>
    <n v="8"/>
    <x v="2"/>
    <x v="1"/>
    <d v="2020-11-07T00:00:00"/>
  </r>
  <r>
    <d v="2020-08-30T00:00:00"/>
    <x v="50"/>
    <x v="376"/>
    <n v="9060"/>
    <x v="0"/>
    <d v="2020-06-26T00:00:00"/>
    <m/>
    <n v="30"/>
    <x v="1"/>
    <x v="1"/>
    <d v="2020-10-29T00:00:00"/>
  </r>
  <r>
    <d v="2020-09-16T00:00:00"/>
    <x v="50"/>
    <x v="377"/>
    <n v="9390"/>
    <x v="0"/>
    <d v="2020-06-26T00:00:00"/>
    <m/>
    <n v="16"/>
    <x v="2"/>
    <x v="1"/>
    <d v="2020-11-15T00:00:00"/>
  </r>
  <r>
    <d v="2020-09-20T00:00:00"/>
    <x v="51"/>
    <x v="378"/>
    <n v="25000"/>
    <x v="0"/>
    <d v="2020-07-20T00:00:00"/>
    <m/>
    <n v="20"/>
    <x v="2"/>
    <x v="1"/>
    <d v="2020-11-19T00:00:00"/>
  </r>
  <r>
    <d v="2020-09-30T00:00:00"/>
    <x v="51"/>
    <x v="379"/>
    <n v="26000"/>
    <x v="0"/>
    <d v="2020-07-20T00:00:00"/>
    <m/>
    <n v="30"/>
    <x v="2"/>
    <x v="1"/>
    <d v="2020-11-29T00:00:00"/>
  </r>
  <r>
    <d v="2020-10-08T00:00:00"/>
    <x v="51"/>
    <x v="380"/>
    <n v="27061"/>
    <x v="0"/>
    <d v="2020-07-20T00:00:00"/>
    <m/>
    <n v="8"/>
    <x v="3"/>
    <x v="1"/>
    <d v="2020-12-07T00:00:00"/>
  </r>
  <r>
    <d v="2020-10-16T00:00:00"/>
    <x v="51"/>
    <x v="381"/>
    <n v="27800"/>
    <x v="3"/>
    <d v="2020-07-20T00:00:00"/>
    <m/>
    <n v="16"/>
    <x v="3"/>
    <x v="1"/>
    <d v="2020-12-15T00:00:00"/>
  </r>
  <r>
    <d v="2020-10-22T00:00:00"/>
    <x v="51"/>
    <x v="382"/>
    <n v="28000"/>
    <x v="3"/>
    <d v="2020-07-20T00:00:00"/>
    <m/>
    <n v="22"/>
    <x v="3"/>
    <x v="1"/>
    <d v="2020-12-21T00:00:00"/>
  </r>
  <r>
    <d v="2020-10-30T00:00:00"/>
    <x v="51"/>
    <x v="383"/>
    <n v="29000"/>
    <x v="3"/>
    <d v="2020-07-20T00:00:00"/>
    <m/>
    <n v="30"/>
    <x v="3"/>
    <x v="1"/>
    <d v="2020-12-29T00:00:00"/>
  </r>
  <r>
    <d v="2020-10-08T00:00:00"/>
    <x v="20"/>
    <x v="384"/>
    <n v="6706"/>
    <x v="0"/>
    <d v="2020-08-06T00:00:00"/>
    <m/>
    <n v="8"/>
    <x v="3"/>
    <x v="1"/>
    <d v="2020-12-07T00:00:00"/>
  </r>
  <r>
    <d v="2020-10-16T00:00:00"/>
    <x v="20"/>
    <x v="385"/>
    <n v="6800"/>
    <x v="3"/>
    <d v="2020-08-06T00:00:00"/>
    <m/>
    <n v="16"/>
    <x v="3"/>
    <x v="1"/>
    <d v="2020-12-15T00:00:00"/>
  </r>
  <r>
    <d v="2020-10-22T00:00:00"/>
    <x v="20"/>
    <x v="386"/>
    <n v="6850"/>
    <x v="3"/>
    <d v="2020-08-06T00:00:00"/>
    <m/>
    <n v="22"/>
    <x v="3"/>
    <x v="1"/>
    <d v="2020-12-21T00:00:00"/>
  </r>
  <r>
    <d v="2020-10-30T00:00:00"/>
    <x v="20"/>
    <x v="387"/>
    <n v="6890"/>
    <x v="3"/>
    <d v="2020-08-06T00:00:00"/>
    <m/>
    <n v="30"/>
    <x v="3"/>
    <x v="1"/>
    <d v="2020-12-29T00:00:00"/>
  </r>
  <r>
    <d v="2020-11-08T00:00:00"/>
    <x v="20"/>
    <x v="388"/>
    <n v="7300"/>
    <x v="3"/>
    <d v="2020-08-06T00:00:00"/>
    <m/>
    <n v="8"/>
    <x v="4"/>
    <x v="1"/>
    <d v="2021-01-07T00:00:00"/>
  </r>
  <r>
    <d v="2020-11-16T00:00:00"/>
    <x v="20"/>
    <x v="389"/>
    <n v="7340.9"/>
    <x v="3"/>
    <d v="2020-08-06T00:00:00"/>
    <m/>
    <n v="16"/>
    <x v="4"/>
    <x v="1"/>
    <d v="2021-01-15T00:00:00"/>
  </r>
  <r>
    <d v="2020-10-16T00:00:00"/>
    <x v="28"/>
    <x v="390"/>
    <n v="11000"/>
    <x v="4"/>
    <d v="2020-08-10T00:00:00"/>
    <m/>
    <n v="16"/>
    <x v="3"/>
    <x v="1"/>
    <d v="2020-12-15T00:00:00"/>
  </r>
  <r>
    <d v="2020-10-22T00:00:00"/>
    <x v="28"/>
    <x v="391"/>
    <n v="12500"/>
    <x v="4"/>
    <d v="2020-08-10T00:00:00"/>
    <m/>
    <n v="22"/>
    <x v="3"/>
    <x v="1"/>
    <d v="2020-12-21T00:00:00"/>
  </r>
  <r>
    <d v="2020-10-30T00:00:00"/>
    <x v="28"/>
    <x v="392"/>
    <n v="12370"/>
    <x v="4"/>
    <d v="2020-08-10T00:00:00"/>
    <m/>
    <n v="30"/>
    <x v="3"/>
    <x v="1"/>
    <d v="2020-12-29T00:00:00"/>
  </r>
  <r>
    <d v="2020-11-08T00:00:00"/>
    <x v="28"/>
    <x v="393"/>
    <n v="13000"/>
    <x v="3"/>
    <d v="2020-08-10T00:00:00"/>
    <m/>
    <n v="8"/>
    <x v="4"/>
    <x v="1"/>
    <d v="2021-01-07T00:00:00"/>
  </r>
  <r>
    <d v="2020-11-16T00:00:00"/>
    <x v="28"/>
    <x v="394"/>
    <n v="11500"/>
    <x v="3"/>
    <d v="2020-08-10T00:00:00"/>
    <m/>
    <n v="16"/>
    <x v="4"/>
    <x v="1"/>
    <d v="2021-01-15T00:00:00"/>
  </r>
  <r>
    <d v="2020-09-16T00:00:00"/>
    <x v="19"/>
    <x v="395"/>
    <n v="8800"/>
    <x v="0"/>
    <d v="2020-08-11T00:00:00"/>
    <m/>
    <n v="16"/>
    <x v="2"/>
    <x v="1"/>
    <d v="2020-11-15T00:00:00"/>
  </r>
  <r>
    <d v="2020-09-22T00:00:00"/>
    <x v="19"/>
    <x v="396"/>
    <n v="8900"/>
    <x v="0"/>
    <d v="2020-08-11T00:00:00"/>
    <m/>
    <n v="22"/>
    <x v="2"/>
    <x v="1"/>
    <d v="2020-11-21T00:00:00"/>
  </r>
  <r>
    <d v="2020-09-30T00:00:00"/>
    <x v="19"/>
    <x v="397"/>
    <n v="9070"/>
    <x v="0"/>
    <d v="2020-08-11T00:00:00"/>
    <m/>
    <n v="30"/>
    <x v="2"/>
    <x v="1"/>
    <d v="2020-11-29T00:00:00"/>
  </r>
  <r>
    <d v="2020-10-08T00:00:00"/>
    <x v="19"/>
    <x v="398"/>
    <n v="9000"/>
    <x v="0"/>
    <d v="2020-08-11T00:00:00"/>
    <m/>
    <n v="8"/>
    <x v="3"/>
    <x v="1"/>
    <d v="2020-12-07T00:00:00"/>
  </r>
  <r>
    <d v="2020-10-16T00:00:00"/>
    <x v="19"/>
    <x v="399"/>
    <n v="9100"/>
    <x v="3"/>
    <d v="2020-08-11T00:00:00"/>
    <m/>
    <n v="16"/>
    <x v="3"/>
    <x v="1"/>
    <d v="2020-12-15T00:00:00"/>
  </r>
  <r>
    <d v="2020-11-16T00:00:00"/>
    <x v="51"/>
    <x v="400"/>
    <n v="7762"/>
    <x v="3"/>
    <d v="2020-08-27T00:00:00"/>
    <m/>
    <n v="16"/>
    <x v="4"/>
    <x v="1"/>
    <d v="2021-01-15T00:00:00"/>
  </r>
  <r>
    <d v="2020-11-20T00:00:00"/>
    <x v="51"/>
    <x v="401"/>
    <n v="7800"/>
    <x v="3"/>
    <d v="2020-08-27T00:00:00"/>
    <m/>
    <n v="20"/>
    <x v="4"/>
    <x v="1"/>
    <d v="2021-01-19T00:00:00"/>
  </r>
  <r>
    <d v="2020-11-30T00:00:00"/>
    <x v="51"/>
    <x v="402"/>
    <n v="7850"/>
    <x v="3"/>
    <d v="2020-08-27T00:00:00"/>
    <m/>
    <n v="30"/>
    <x v="4"/>
    <x v="1"/>
    <d v="2021-01-29T00:00:00"/>
  </r>
  <r>
    <d v="2020-12-08T00:00:00"/>
    <x v="51"/>
    <x v="403"/>
    <n v="7900"/>
    <x v="3"/>
    <d v="2020-08-27T00:00:00"/>
    <m/>
    <n v="8"/>
    <x v="5"/>
    <x v="1"/>
    <d v="2021-02-06T00:00:00"/>
  </r>
  <r>
    <d v="2020-09-25T00:00:00"/>
    <x v="1"/>
    <x v="404"/>
    <n v="13500"/>
    <x v="0"/>
    <d v="2020-09-04T00:00:00"/>
    <m/>
    <n v="25"/>
    <x v="2"/>
    <x v="1"/>
    <d v="2020-11-24T00:00:00"/>
  </r>
  <r>
    <d v="2020-10-08T00:00:00"/>
    <x v="1"/>
    <x v="405"/>
    <n v="10000"/>
    <x v="0"/>
    <d v="2020-09-04T00:00:00"/>
    <m/>
    <n v="8"/>
    <x v="3"/>
    <x v="1"/>
    <d v="2020-12-07T00:00:00"/>
  </r>
  <r>
    <d v="2020-10-30T00:00:00"/>
    <x v="47"/>
    <x v="406"/>
    <n v="3600"/>
    <x v="3"/>
    <d v="2020-09-07T00:00:00"/>
    <m/>
    <n v="30"/>
    <x v="3"/>
    <x v="1"/>
    <d v="2020-12-29T00:00:00"/>
  </r>
  <r>
    <d v="2020-11-07T00:00:00"/>
    <x v="47"/>
    <x v="407"/>
    <n v="3675"/>
    <x v="3"/>
    <d v="2020-09-07T00:00:00"/>
    <m/>
    <n v="7"/>
    <x v="4"/>
    <x v="1"/>
    <d v="2021-01-06T00:00:00"/>
  </r>
  <r>
    <d v="2020-11-30T00:00:00"/>
    <x v="51"/>
    <x v="408"/>
    <n v="4009"/>
    <x v="3"/>
    <d v="2020-09-25T00:00:00"/>
    <m/>
    <n v="30"/>
    <x v="4"/>
    <x v="1"/>
    <d v="2021-01-29T00:00:00"/>
  </r>
  <r>
    <d v="2020-12-08T00:00:00"/>
    <x v="51"/>
    <x v="409"/>
    <n v="4010"/>
    <x v="3"/>
    <d v="2020-09-25T00:00:00"/>
    <m/>
    <n v="8"/>
    <x v="5"/>
    <x v="1"/>
    <d v="2021-02-06T00:00:00"/>
  </r>
  <r>
    <d v="2020-12-16T00:00:00"/>
    <x v="51"/>
    <x v="410"/>
    <n v="4020"/>
    <x v="3"/>
    <d v="2020-09-25T00:00:00"/>
    <m/>
    <n v="16"/>
    <x v="5"/>
    <x v="1"/>
    <d v="2021-02-14T00:00:00"/>
  </r>
  <r>
    <d v="2020-10-30T00:00:00"/>
    <x v="19"/>
    <x v="411"/>
    <n v="6852"/>
    <x v="3"/>
    <d v="2020-09-28T00:00:00"/>
    <m/>
    <n v="30"/>
    <x v="3"/>
    <x v="1"/>
    <d v="2020-12-29T00:00:00"/>
  </r>
  <r>
    <d v="2020-12-16T00:00:00"/>
    <x v="52"/>
    <x v="162"/>
    <n v="1048.56"/>
    <x v="3"/>
    <d v="2020-10-12T00:00:00"/>
    <m/>
    <n v="16"/>
    <x v="5"/>
    <x v="1"/>
    <d v="2021-02-14T00:00:00"/>
  </r>
  <r>
    <d v="2021-01-16T00:00:00"/>
    <x v="52"/>
    <x v="163"/>
    <n v="1068.6300000000001"/>
    <x v="3"/>
    <d v="2020-10-12T00:00:00"/>
    <m/>
    <n v="16"/>
    <x v="6"/>
    <x v="3"/>
    <d v="2021-03-17T00:00:00"/>
  </r>
  <r>
    <d v="2021-02-16T00:00:00"/>
    <x v="52"/>
    <x v="164"/>
    <n v="1088.7"/>
    <x v="3"/>
    <d v="2020-10-12T00:00:00"/>
    <m/>
    <n v="16"/>
    <x v="8"/>
    <x v="3"/>
    <d v="2021-04-17T00:00:00"/>
  </r>
  <r>
    <d v="2021-03-16T00:00:00"/>
    <x v="52"/>
    <x v="165"/>
    <n v="1108.77"/>
    <x v="3"/>
    <d v="2020-10-12T00:00:00"/>
    <m/>
    <n v="16"/>
    <x v="7"/>
    <x v="3"/>
    <d v="2021-05-15T00:00:00"/>
  </r>
  <r>
    <d v="2021-04-16T00:00:00"/>
    <x v="52"/>
    <x v="166"/>
    <n v="1128.8499999999999"/>
    <x v="3"/>
    <d v="2020-10-12T00:00:00"/>
    <m/>
    <n v="16"/>
    <x v="9"/>
    <x v="3"/>
    <d v="2021-06-15T00:00:00"/>
  </r>
  <r>
    <d v="2021-05-16T00:00:00"/>
    <x v="52"/>
    <x v="185"/>
    <n v="1148.93"/>
    <x v="3"/>
    <d v="2020-10-12T00:00:00"/>
    <m/>
    <n v="16"/>
    <x v="10"/>
    <x v="3"/>
    <d v="2021-07-15T00:00:00"/>
  </r>
  <r>
    <d v="2021-06-16T00:00:00"/>
    <x v="52"/>
    <x v="186"/>
    <n v="1169"/>
    <x v="3"/>
    <d v="2020-10-12T00:00:00"/>
    <m/>
    <n v="16"/>
    <x v="12"/>
    <x v="3"/>
    <d v="2021-08-15T00:00:00"/>
  </r>
  <r>
    <d v="2021-07-16T00:00:00"/>
    <x v="52"/>
    <x v="184"/>
    <n v="1189.07"/>
    <x v="3"/>
    <d v="2020-10-12T00:00:00"/>
    <m/>
    <n v="16"/>
    <x v="0"/>
    <x v="3"/>
    <d v="2021-09-14T00:00:00"/>
  </r>
  <r>
    <d v="2021-08-16T00:00:00"/>
    <x v="52"/>
    <x v="312"/>
    <n v="1209.1500000000001"/>
    <x v="3"/>
    <d v="2020-10-12T00:00:00"/>
    <m/>
    <n v="16"/>
    <x v="1"/>
    <x v="3"/>
    <d v="2021-10-15T00:00:00"/>
  </r>
  <r>
    <d v="2021-09-16T00:00:00"/>
    <x v="52"/>
    <x v="313"/>
    <n v="1229.22"/>
    <x v="3"/>
    <d v="2020-10-12T00:00:00"/>
    <m/>
    <n v="16"/>
    <x v="2"/>
    <x v="3"/>
    <d v="2021-11-15T00:00:00"/>
  </r>
  <r>
    <d v="2021-10-16T00:00:00"/>
    <x v="52"/>
    <x v="314"/>
    <n v="1249.3"/>
    <x v="3"/>
    <d v="2020-10-12T00:00:00"/>
    <m/>
    <n v="16"/>
    <x v="3"/>
    <x v="3"/>
    <d v="2021-12-15T00:00:00"/>
  </r>
  <r>
    <d v="2021-11-16T00:00:00"/>
    <x v="52"/>
    <x v="315"/>
    <n v="1269.3699999999999"/>
    <x v="3"/>
    <d v="2020-10-12T00:00:00"/>
    <m/>
    <n v="16"/>
    <x v="4"/>
    <x v="3"/>
    <d v="2022-01-15T00:00:00"/>
  </r>
  <r>
    <d v="2021-12-16T00:00:00"/>
    <x v="52"/>
    <x v="316"/>
    <n v="1289.45"/>
    <x v="3"/>
    <d v="2020-10-12T00:00:00"/>
    <m/>
    <n v="16"/>
    <x v="5"/>
    <x v="3"/>
    <d v="2022-02-14T00:00:00"/>
  </r>
  <r>
    <d v="2022-01-16T00:00:00"/>
    <x v="52"/>
    <x v="317"/>
    <n v="1309.52"/>
    <x v="3"/>
    <d v="2020-10-12T00:00:00"/>
    <m/>
    <n v="16"/>
    <x v="6"/>
    <x v="4"/>
    <d v="2022-03-17T00:00:00"/>
  </r>
  <r>
    <d v="2022-02-16T00:00:00"/>
    <x v="52"/>
    <x v="318"/>
    <n v="1329.59"/>
    <x v="3"/>
    <d v="2020-10-12T00:00:00"/>
    <m/>
    <n v="16"/>
    <x v="8"/>
    <x v="4"/>
    <d v="2022-04-17T00:00:00"/>
  </r>
  <r>
    <d v="2022-03-16T00:00:00"/>
    <x v="52"/>
    <x v="319"/>
    <n v="1349.66"/>
    <x v="3"/>
    <d v="2020-10-12T00:00:00"/>
    <m/>
    <n v="16"/>
    <x v="7"/>
    <x v="4"/>
    <d v="2022-05-15T00:00:00"/>
  </r>
  <r>
    <d v="2022-04-16T00:00:00"/>
    <x v="52"/>
    <x v="320"/>
    <n v="1369.75"/>
    <x v="3"/>
    <d v="2020-10-12T00:00:00"/>
    <m/>
    <n v="16"/>
    <x v="9"/>
    <x v="4"/>
    <d v="2022-06-15T00:00:00"/>
  </r>
  <r>
    <d v="2022-05-16T00:00:00"/>
    <x v="52"/>
    <x v="321"/>
    <n v="1389.82"/>
    <x v="3"/>
    <d v="2020-10-12T00:00:00"/>
    <m/>
    <n v="16"/>
    <x v="10"/>
    <x v="4"/>
    <d v="2022-07-15T00:00:00"/>
  </r>
  <r>
    <d v="2022-06-16T00:00:00"/>
    <x v="52"/>
    <x v="412"/>
    <n v="1409.89"/>
    <x v="3"/>
    <d v="2020-10-12T00:00:00"/>
    <m/>
    <n v="16"/>
    <x v="12"/>
    <x v="4"/>
    <d v="2022-08-15T00:00:00"/>
  </r>
  <r>
    <d v="2022-07-16T00:00:00"/>
    <x v="52"/>
    <x v="413"/>
    <n v="1429.96"/>
    <x v="3"/>
    <d v="2020-10-12T00:00:00"/>
    <m/>
    <n v="16"/>
    <x v="0"/>
    <x v="4"/>
    <d v="2022-09-14T00:00:00"/>
  </r>
  <r>
    <d v="2022-08-16T00:00:00"/>
    <x v="52"/>
    <x v="414"/>
    <n v="1450.04"/>
    <x v="3"/>
    <d v="2020-10-12T00:00:00"/>
    <m/>
    <n v="16"/>
    <x v="1"/>
    <x v="4"/>
    <d v="2022-10-15T00:00:00"/>
  </r>
  <r>
    <d v="2022-09-16T00:00:00"/>
    <x v="52"/>
    <x v="415"/>
    <n v="1470.12"/>
    <x v="3"/>
    <d v="2020-10-12T00:00:00"/>
    <m/>
    <n v="16"/>
    <x v="2"/>
    <x v="4"/>
    <d v="2022-11-15T00:00:00"/>
  </r>
  <r>
    <d v="2022-10-16T00:00:00"/>
    <x v="52"/>
    <x v="416"/>
    <n v="1490.19"/>
    <x v="3"/>
    <d v="2020-10-12T00:00:00"/>
    <m/>
    <n v="16"/>
    <x v="3"/>
    <x v="4"/>
    <d v="2022-12-15T00:00:00"/>
  </r>
  <r>
    <d v="2022-11-16T00:00:00"/>
    <x v="52"/>
    <x v="417"/>
    <n v="1510.26"/>
    <x v="3"/>
    <d v="2020-10-12T00:00:00"/>
    <m/>
    <n v="16"/>
    <x v="4"/>
    <x v="4"/>
    <d v="2023-01-15T00:00:00"/>
  </r>
  <r>
    <d v="2022-12-16T00:00:00"/>
    <x v="52"/>
    <x v="418"/>
    <n v="1530.34"/>
    <x v="3"/>
    <d v="2020-10-12T00:00:00"/>
    <m/>
    <n v="16"/>
    <x v="5"/>
    <x v="4"/>
    <d v="2023-02-14T00:00:00"/>
  </r>
  <r>
    <d v="2023-01-16T00:00:00"/>
    <x v="52"/>
    <x v="419"/>
    <n v="1550.41"/>
    <x v="3"/>
    <d v="2020-10-12T00:00:00"/>
    <m/>
    <n v="16"/>
    <x v="6"/>
    <x v="5"/>
    <d v="2023-03-17T00:00:00"/>
  </r>
  <r>
    <d v="2023-02-16T00:00:00"/>
    <x v="52"/>
    <x v="420"/>
    <n v="1570.48"/>
    <x v="3"/>
    <d v="2020-10-12T00:00:00"/>
    <m/>
    <n v="16"/>
    <x v="8"/>
    <x v="5"/>
    <d v="2023-04-17T00:00:00"/>
  </r>
  <r>
    <d v="2023-03-16T00:00:00"/>
    <x v="52"/>
    <x v="421"/>
    <n v="1590.57"/>
    <x v="3"/>
    <d v="2020-10-12T00:00:00"/>
    <m/>
    <n v="16"/>
    <x v="7"/>
    <x v="5"/>
    <d v="2023-05-15T00:00:00"/>
  </r>
  <r>
    <d v="2023-04-16T00:00:00"/>
    <x v="52"/>
    <x v="422"/>
    <n v="1610.64"/>
    <x v="3"/>
    <d v="2020-10-12T00:00:00"/>
    <m/>
    <n v="16"/>
    <x v="9"/>
    <x v="5"/>
    <d v="2023-06-15T00:00:00"/>
  </r>
  <r>
    <d v="2023-05-16T00:00:00"/>
    <x v="52"/>
    <x v="423"/>
    <n v="1630.71"/>
    <x v="3"/>
    <d v="2020-10-12T00:00:00"/>
    <m/>
    <n v="16"/>
    <x v="10"/>
    <x v="5"/>
    <d v="2023-07-15T00:00:00"/>
  </r>
  <r>
    <d v="2023-06-16T00:00:00"/>
    <x v="52"/>
    <x v="424"/>
    <n v="1650.78"/>
    <x v="3"/>
    <d v="2020-10-12T00:00:00"/>
    <m/>
    <n v="16"/>
    <x v="12"/>
    <x v="5"/>
    <d v="2023-08-15T00:00:00"/>
  </r>
  <r>
    <d v="2023-07-16T00:00:00"/>
    <x v="52"/>
    <x v="425"/>
    <n v="1670.86"/>
    <x v="3"/>
    <d v="2020-10-12T00:00:00"/>
    <m/>
    <n v="16"/>
    <x v="0"/>
    <x v="5"/>
    <d v="2023-09-14T00:00:00"/>
  </r>
  <r>
    <d v="2023-08-16T00:00:00"/>
    <x v="52"/>
    <x v="426"/>
    <n v="1690.94"/>
    <x v="3"/>
    <d v="2020-10-12T00:00:00"/>
    <m/>
    <n v="16"/>
    <x v="1"/>
    <x v="5"/>
    <d v="2023-10-15T00:00:00"/>
  </r>
  <r>
    <d v="2023-09-16T00:00:00"/>
    <x v="52"/>
    <x v="427"/>
    <n v="1711.01"/>
    <x v="3"/>
    <d v="2020-10-12T00:00:00"/>
    <m/>
    <n v="16"/>
    <x v="2"/>
    <x v="5"/>
    <d v="2023-11-15T00:00:00"/>
  </r>
  <r>
    <d v="2023-10-16T00:00:00"/>
    <x v="52"/>
    <x v="428"/>
    <n v="1731.08"/>
    <x v="3"/>
    <d v="2020-10-12T00:00:00"/>
    <m/>
    <n v="16"/>
    <x v="3"/>
    <x v="5"/>
    <d v="2023-12-15T00:00:00"/>
  </r>
  <r>
    <d v="2023-11-16T00:00:00"/>
    <x v="52"/>
    <x v="429"/>
    <n v="1751.16"/>
    <x v="3"/>
    <d v="2020-10-12T00:00:00"/>
    <m/>
    <n v="16"/>
    <x v="4"/>
    <x v="5"/>
    <d v="2024-01-15T00:00:00"/>
  </r>
  <r>
    <d v="2023-12-16T00:00:00"/>
    <x v="52"/>
    <x v="430"/>
    <n v="1771.23"/>
    <x v="3"/>
    <d v="2020-10-12T00:00:00"/>
    <m/>
    <n v="16"/>
    <x v="5"/>
    <x v="5"/>
    <d v="2024-02-14T00:00:00"/>
  </r>
  <r>
    <d v="2024-01-16T00:00:00"/>
    <x v="52"/>
    <x v="431"/>
    <n v="1791.3"/>
    <x v="3"/>
    <d v="2020-10-12T00:00:00"/>
    <m/>
    <n v="16"/>
    <x v="6"/>
    <x v="6"/>
    <d v="2024-03-16T00:00:00"/>
  </r>
  <r>
    <d v="2024-02-16T00:00:00"/>
    <x v="52"/>
    <x v="432"/>
    <n v="1811.38"/>
    <x v="3"/>
    <d v="2020-10-12T00:00:00"/>
    <m/>
    <n v="16"/>
    <x v="8"/>
    <x v="6"/>
    <d v="2024-04-16T00:00:00"/>
  </r>
  <r>
    <d v="2024-03-16T00:00:00"/>
    <x v="52"/>
    <x v="433"/>
    <n v="1831.46"/>
    <x v="3"/>
    <d v="2020-10-12T00:00:00"/>
    <m/>
    <n v="16"/>
    <x v="7"/>
    <x v="6"/>
    <d v="2024-05-15T00:00:00"/>
  </r>
  <r>
    <d v="2024-04-16T00:00:00"/>
    <x v="52"/>
    <x v="434"/>
    <n v="1851.53"/>
    <x v="3"/>
    <d v="2020-10-12T00:00:00"/>
    <m/>
    <n v="16"/>
    <x v="9"/>
    <x v="6"/>
    <d v="2024-06-15T00:00:00"/>
  </r>
  <r>
    <d v="2024-05-16T00:00:00"/>
    <x v="52"/>
    <x v="435"/>
    <n v="1871.6"/>
    <x v="3"/>
    <d v="2020-10-12T00:00:00"/>
    <m/>
    <n v="16"/>
    <x v="10"/>
    <x v="6"/>
    <d v="2024-07-15T00:00:00"/>
  </r>
  <r>
    <d v="2024-06-16T00:00:00"/>
    <x v="52"/>
    <x v="436"/>
    <n v="1891.67"/>
    <x v="3"/>
    <d v="2020-10-12T00:00:00"/>
    <m/>
    <n v="16"/>
    <x v="12"/>
    <x v="6"/>
    <d v="2024-08-15T00:00:00"/>
  </r>
  <r>
    <d v="2024-07-16T00:00:00"/>
    <x v="52"/>
    <x v="437"/>
    <n v="1911.76"/>
    <x v="3"/>
    <d v="2020-10-12T00:00:00"/>
    <m/>
    <n v="16"/>
    <x v="0"/>
    <x v="6"/>
    <d v="2024-09-14T00:00:00"/>
  </r>
  <r>
    <d v="2024-08-16T00:00:00"/>
    <x v="52"/>
    <x v="438"/>
    <n v="1931.83"/>
    <x v="3"/>
    <d v="2020-10-12T00:00:00"/>
    <m/>
    <n v="16"/>
    <x v="1"/>
    <x v="6"/>
    <d v="2024-10-15T00:00:00"/>
  </r>
  <r>
    <d v="2024-09-16T00:00:00"/>
    <x v="52"/>
    <x v="439"/>
    <n v="1951.9"/>
    <x v="3"/>
    <d v="2020-10-12T00:00:00"/>
    <m/>
    <n v="16"/>
    <x v="2"/>
    <x v="6"/>
    <d v="2024-11-15T00:00:00"/>
  </r>
  <r>
    <d v="2024-10-16T00:00:00"/>
    <x v="52"/>
    <x v="440"/>
    <n v="1971.97"/>
    <x v="3"/>
    <d v="2020-10-12T00:00:00"/>
    <m/>
    <n v="16"/>
    <x v="3"/>
    <x v="6"/>
    <d v="2024-12-15T00:00:00"/>
  </r>
  <r>
    <d v="2024-11-16T00:00:00"/>
    <x v="52"/>
    <x v="441"/>
    <n v="1992.05"/>
    <x v="3"/>
    <d v="2020-10-12T00:00:00"/>
    <m/>
    <n v="16"/>
    <x v="4"/>
    <x v="6"/>
    <d v="2025-01-15T00:00:00"/>
  </r>
  <r>
    <d v="2024-12-16T00:00:00"/>
    <x v="52"/>
    <x v="442"/>
    <n v="2012.12"/>
    <x v="3"/>
    <d v="2020-10-12T00:00:00"/>
    <m/>
    <n v="16"/>
    <x v="5"/>
    <x v="6"/>
    <d v="2025-02-14T00:00:00"/>
  </r>
  <r>
    <d v="2025-01-16T00:00:00"/>
    <x v="52"/>
    <x v="443"/>
    <n v="2032.2"/>
    <x v="3"/>
    <d v="2020-10-12T00:00:00"/>
    <m/>
    <n v="16"/>
    <x v="6"/>
    <x v="7"/>
    <d v="2025-03-17T00:00:00"/>
  </r>
  <r>
    <d v="2025-02-16T00:00:00"/>
    <x v="52"/>
    <x v="444"/>
    <n v="2052.2800000000002"/>
    <x v="3"/>
    <d v="2020-10-12T00:00:00"/>
    <m/>
    <n v="16"/>
    <x v="8"/>
    <x v="7"/>
    <d v="2025-04-17T00:00:00"/>
  </r>
  <r>
    <d v="2025-03-16T00:00:00"/>
    <x v="52"/>
    <x v="445"/>
    <n v="2072.35"/>
    <x v="3"/>
    <d v="2020-10-12T00:00:00"/>
    <m/>
    <n v="16"/>
    <x v="7"/>
    <x v="7"/>
    <d v="2025-05-15T00:00:00"/>
  </r>
  <r>
    <d v="2025-04-16T00:00:00"/>
    <x v="52"/>
    <x v="446"/>
    <n v="2092.42"/>
    <x v="3"/>
    <d v="2020-10-12T00:00:00"/>
    <m/>
    <n v="16"/>
    <x v="9"/>
    <x v="7"/>
    <d v="2025-06-15T00:00:00"/>
  </r>
  <r>
    <d v="2025-05-16T00:00:00"/>
    <x v="52"/>
    <x v="447"/>
    <n v="2112.4899999999998"/>
    <x v="3"/>
    <d v="2020-10-12T00:00:00"/>
    <m/>
    <n v="16"/>
    <x v="10"/>
    <x v="7"/>
    <d v="2025-07-15T00:00:00"/>
  </r>
  <r>
    <d v="2025-06-16T00:00:00"/>
    <x v="52"/>
    <x v="448"/>
    <n v="2132.5700000000002"/>
    <x v="3"/>
    <d v="2020-10-12T00:00:00"/>
    <m/>
    <n v="16"/>
    <x v="12"/>
    <x v="7"/>
    <d v="2025-08-15T00:00:00"/>
  </r>
  <r>
    <d v="2025-07-16T00:00:00"/>
    <x v="52"/>
    <x v="449"/>
    <n v="2152.65"/>
    <x v="3"/>
    <d v="2020-10-12T00:00:00"/>
    <m/>
    <n v="16"/>
    <x v="0"/>
    <x v="7"/>
    <d v="2025-09-14T00:00:00"/>
  </r>
  <r>
    <d v="2025-08-16T00:00:00"/>
    <x v="52"/>
    <x v="450"/>
    <n v="2172.7199999999998"/>
    <x v="3"/>
    <d v="2020-10-12T00:00:00"/>
    <m/>
    <n v="16"/>
    <x v="1"/>
    <x v="7"/>
    <d v="2025-10-15T00:00:00"/>
  </r>
  <r>
    <d v="2025-09-16T00:00:00"/>
    <x v="52"/>
    <x v="451"/>
    <n v="2192.79"/>
    <x v="3"/>
    <d v="2020-10-12T00:00:00"/>
    <m/>
    <n v="16"/>
    <x v="2"/>
    <x v="7"/>
    <d v="2025-11-15T00:00:00"/>
  </r>
  <r>
    <d v="2025-10-16T00:00:00"/>
    <x v="52"/>
    <x v="452"/>
    <n v="2212.87"/>
    <x v="3"/>
    <d v="2020-10-12T00:00:00"/>
    <m/>
    <n v="16"/>
    <x v="3"/>
    <x v="7"/>
    <d v="2025-12-15T00:00:00"/>
  </r>
  <r>
    <d v="2025-11-16T00:00:00"/>
    <x v="52"/>
    <x v="453"/>
    <n v="2232.94"/>
    <x v="3"/>
    <d v="2020-10-12T00:00:00"/>
    <m/>
    <n v="16"/>
    <x v="4"/>
    <x v="7"/>
    <d v="2026-01-15T00:00:00"/>
  </r>
  <r>
    <d v="2025-12-16T00:00:00"/>
    <x v="52"/>
    <x v="454"/>
    <n v="2253.02"/>
    <x v="3"/>
    <d v="2020-10-12T00:00:00"/>
    <m/>
    <n v="16"/>
    <x v="5"/>
    <x v="7"/>
    <d v="2026-02-14T00:00:00"/>
  </r>
  <r>
    <d v="2026-01-16T00:00:00"/>
    <x v="52"/>
    <x v="455"/>
    <n v="2273.09"/>
    <x v="3"/>
    <d v="2020-10-12T00:00:00"/>
    <m/>
    <n v="16"/>
    <x v="6"/>
    <x v="8"/>
    <d v="2026-03-17T00:00:00"/>
  </r>
  <r>
    <d v="2026-02-16T00:00:00"/>
    <x v="52"/>
    <x v="456"/>
    <n v="2293.17"/>
    <x v="3"/>
    <d v="2020-10-12T00:00:00"/>
    <m/>
    <n v="16"/>
    <x v="8"/>
    <x v="8"/>
    <d v="2026-04-17T00:00:00"/>
  </r>
  <r>
    <d v="2026-03-16T00:00:00"/>
    <x v="52"/>
    <x v="457"/>
    <n v="2313.2399999999998"/>
    <x v="3"/>
    <d v="2020-10-12T00:00:00"/>
    <m/>
    <n v="16"/>
    <x v="7"/>
    <x v="8"/>
    <d v="2026-05-15T00:00:00"/>
  </r>
  <r>
    <d v="2026-04-16T00:00:00"/>
    <x v="52"/>
    <x v="458"/>
    <n v="2333.31"/>
    <x v="3"/>
    <d v="2020-10-12T00:00:00"/>
    <m/>
    <n v="16"/>
    <x v="9"/>
    <x v="8"/>
    <d v="2026-06-15T00:00:00"/>
  </r>
  <r>
    <d v="2026-05-16T00:00:00"/>
    <x v="52"/>
    <x v="459"/>
    <n v="2353.38"/>
    <x v="3"/>
    <d v="2020-10-12T00:00:00"/>
    <m/>
    <n v="16"/>
    <x v="10"/>
    <x v="8"/>
    <d v="2026-07-15T00:00:00"/>
  </r>
  <r>
    <d v="2026-06-16T00:00:00"/>
    <x v="52"/>
    <x v="460"/>
    <n v="2373.4699999999998"/>
    <x v="3"/>
    <d v="2020-10-12T00:00:00"/>
    <m/>
    <n v="16"/>
    <x v="12"/>
    <x v="8"/>
    <d v="2026-08-15T00:00:00"/>
  </r>
  <r>
    <d v="2026-07-16T00:00:00"/>
    <x v="52"/>
    <x v="461"/>
    <n v="2393.54"/>
    <x v="3"/>
    <d v="2020-10-12T00:00:00"/>
    <m/>
    <n v="16"/>
    <x v="0"/>
    <x v="8"/>
    <d v="2026-09-14T00:00:00"/>
  </r>
  <r>
    <d v="2026-08-16T00:00:00"/>
    <x v="52"/>
    <x v="462"/>
    <n v="2413.61"/>
    <x v="3"/>
    <d v="2020-10-12T00:00:00"/>
    <m/>
    <n v="16"/>
    <x v="1"/>
    <x v="8"/>
    <d v="2026-10-15T00:00:00"/>
  </r>
  <r>
    <d v="2026-09-16T00:00:00"/>
    <x v="52"/>
    <x v="463"/>
    <n v="2433.6799999999998"/>
    <x v="3"/>
    <d v="2020-10-12T00:00:00"/>
    <m/>
    <n v="16"/>
    <x v="2"/>
    <x v="8"/>
    <d v="2026-11-15T00:00:00"/>
  </r>
  <r>
    <d v="2026-10-16T00:00:00"/>
    <x v="52"/>
    <x v="464"/>
    <n v="2453.7600000000002"/>
    <x v="3"/>
    <d v="2020-10-12T00:00:00"/>
    <m/>
    <n v="16"/>
    <x v="3"/>
    <x v="8"/>
    <d v="2026-12-15T00:00:00"/>
  </r>
  <r>
    <d v="2026-11-16T00:00:00"/>
    <x v="52"/>
    <x v="465"/>
    <n v="2473.5100000000002"/>
    <x v="3"/>
    <d v="2020-10-12T00:00:00"/>
    <m/>
    <n v="16"/>
    <x v="4"/>
    <x v="8"/>
    <d v="2027-01-15T00:00:00"/>
  </r>
  <r>
    <d v="2020-12-16T00:00:00"/>
    <x v="53"/>
    <x v="162"/>
    <n v="1062.42"/>
    <x v="3"/>
    <d v="2020-10-12T00:00:00"/>
    <m/>
    <n v="16"/>
    <x v="5"/>
    <x v="1"/>
    <d v="2021-02-14T00:00:00"/>
  </r>
  <r>
    <d v="2021-01-16T00:00:00"/>
    <x v="53"/>
    <x v="163"/>
    <n v="1082.76"/>
    <x v="3"/>
    <d v="2020-10-12T00:00:00"/>
    <m/>
    <n v="16"/>
    <x v="6"/>
    <x v="3"/>
    <d v="2021-03-17T00:00:00"/>
  </r>
  <r>
    <d v="2021-02-16T00:00:00"/>
    <x v="53"/>
    <x v="164"/>
    <n v="1103.0999999999999"/>
    <x v="3"/>
    <d v="2020-10-12T00:00:00"/>
    <m/>
    <n v="16"/>
    <x v="8"/>
    <x v="3"/>
    <d v="2021-04-17T00:00:00"/>
  </r>
  <r>
    <d v="2021-03-16T00:00:00"/>
    <x v="53"/>
    <x v="165"/>
    <n v="1123.43"/>
    <x v="3"/>
    <d v="2020-10-12T00:00:00"/>
    <m/>
    <n v="16"/>
    <x v="7"/>
    <x v="3"/>
    <d v="2021-05-15T00:00:00"/>
  </r>
  <r>
    <d v="2021-04-16T00:00:00"/>
    <x v="53"/>
    <x v="166"/>
    <n v="1143.77"/>
    <x v="3"/>
    <d v="2020-10-12T00:00:00"/>
    <m/>
    <n v="16"/>
    <x v="9"/>
    <x v="3"/>
    <d v="2021-06-15T00:00:00"/>
  </r>
  <r>
    <d v="2021-05-16T00:00:00"/>
    <x v="53"/>
    <x v="185"/>
    <n v="1164.1099999999999"/>
    <x v="3"/>
    <d v="2020-10-12T00:00:00"/>
    <m/>
    <n v="16"/>
    <x v="10"/>
    <x v="3"/>
    <d v="2021-07-15T00:00:00"/>
  </r>
  <r>
    <d v="2021-06-16T00:00:00"/>
    <x v="53"/>
    <x v="186"/>
    <n v="1184.45"/>
    <x v="3"/>
    <d v="2020-10-12T00:00:00"/>
    <m/>
    <n v="16"/>
    <x v="12"/>
    <x v="3"/>
    <d v="2021-08-15T00:00:00"/>
  </r>
  <r>
    <d v="2021-07-16T00:00:00"/>
    <x v="53"/>
    <x v="184"/>
    <n v="1204.79"/>
    <x v="3"/>
    <d v="2020-10-12T00:00:00"/>
    <m/>
    <n v="16"/>
    <x v="0"/>
    <x v="3"/>
    <d v="2021-09-14T00:00:00"/>
  </r>
  <r>
    <d v="2021-08-16T00:00:00"/>
    <x v="53"/>
    <x v="312"/>
    <n v="1225.1300000000001"/>
    <x v="3"/>
    <d v="2020-10-12T00:00:00"/>
    <m/>
    <n v="16"/>
    <x v="1"/>
    <x v="3"/>
    <d v="2021-10-15T00:00:00"/>
  </r>
  <r>
    <d v="2021-09-16T00:00:00"/>
    <x v="53"/>
    <x v="313"/>
    <n v="1245.47"/>
    <x v="3"/>
    <d v="2020-10-12T00:00:00"/>
    <m/>
    <n v="16"/>
    <x v="2"/>
    <x v="3"/>
    <d v="2021-11-15T00:00:00"/>
  </r>
  <r>
    <d v="2021-10-16T00:00:00"/>
    <x v="53"/>
    <x v="314"/>
    <n v="1265.81"/>
    <x v="3"/>
    <d v="2020-10-12T00:00:00"/>
    <m/>
    <n v="16"/>
    <x v="3"/>
    <x v="3"/>
    <d v="2021-12-15T00:00:00"/>
  </r>
  <r>
    <d v="2021-11-16T00:00:00"/>
    <x v="53"/>
    <x v="315"/>
    <n v="1286.1500000000001"/>
    <x v="3"/>
    <d v="2020-10-12T00:00:00"/>
    <m/>
    <n v="16"/>
    <x v="4"/>
    <x v="3"/>
    <d v="2022-01-15T00:00:00"/>
  </r>
  <r>
    <d v="2021-12-16T00:00:00"/>
    <x v="53"/>
    <x v="316"/>
    <n v="1306.49"/>
    <x v="3"/>
    <d v="2020-10-12T00:00:00"/>
    <m/>
    <n v="16"/>
    <x v="5"/>
    <x v="3"/>
    <d v="2022-02-14T00:00:00"/>
  </r>
  <r>
    <d v="2022-01-16T00:00:00"/>
    <x v="53"/>
    <x v="317"/>
    <n v="1326.83"/>
    <x v="3"/>
    <d v="2020-10-12T00:00:00"/>
    <m/>
    <n v="16"/>
    <x v="6"/>
    <x v="4"/>
    <d v="2022-03-17T00:00:00"/>
  </r>
  <r>
    <d v="2022-02-16T00:00:00"/>
    <x v="53"/>
    <x v="318"/>
    <n v="1347.17"/>
    <x v="3"/>
    <d v="2020-10-12T00:00:00"/>
    <m/>
    <n v="16"/>
    <x v="8"/>
    <x v="4"/>
    <d v="2022-04-17T00:00:00"/>
  </r>
  <r>
    <d v="2022-03-16T00:00:00"/>
    <x v="53"/>
    <x v="319"/>
    <n v="1367.51"/>
    <x v="3"/>
    <d v="2020-10-12T00:00:00"/>
    <m/>
    <n v="16"/>
    <x v="7"/>
    <x v="4"/>
    <d v="2022-05-15T00:00:00"/>
  </r>
  <r>
    <d v="2022-04-16T00:00:00"/>
    <x v="53"/>
    <x v="320"/>
    <n v="1387.85"/>
    <x v="3"/>
    <d v="2020-10-12T00:00:00"/>
    <m/>
    <n v="16"/>
    <x v="9"/>
    <x v="4"/>
    <d v="2022-06-15T00:00:00"/>
  </r>
  <r>
    <d v="2022-05-16T00:00:00"/>
    <x v="53"/>
    <x v="321"/>
    <n v="1408.19"/>
    <x v="3"/>
    <d v="2020-10-12T00:00:00"/>
    <m/>
    <n v="16"/>
    <x v="10"/>
    <x v="4"/>
    <d v="2022-07-15T00:00:00"/>
  </r>
  <r>
    <d v="2022-06-16T00:00:00"/>
    <x v="53"/>
    <x v="412"/>
    <n v="1428.53"/>
    <x v="3"/>
    <d v="2020-10-12T00:00:00"/>
    <m/>
    <n v="16"/>
    <x v="12"/>
    <x v="4"/>
    <d v="2022-08-15T00:00:00"/>
  </r>
  <r>
    <d v="2022-07-16T00:00:00"/>
    <x v="53"/>
    <x v="413"/>
    <n v="1448.87"/>
    <x v="3"/>
    <d v="2020-10-12T00:00:00"/>
    <m/>
    <n v="16"/>
    <x v="0"/>
    <x v="4"/>
    <d v="2022-09-14T00:00:00"/>
  </r>
  <r>
    <d v="2022-08-16T00:00:00"/>
    <x v="53"/>
    <x v="414"/>
    <n v="1469.21"/>
    <x v="3"/>
    <d v="2020-10-12T00:00:00"/>
    <m/>
    <n v="16"/>
    <x v="1"/>
    <x v="4"/>
    <d v="2022-10-15T00:00:00"/>
  </r>
  <r>
    <d v="2022-09-16T00:00:00"/>
    <x v="53"/>
    <x v="415"/>
    <n v="1489.55"/>
    <x v="3"/>
    <d v="2020-10-12T00:00:00"/>
    <m/>
    <n v="16"/>
    <x v="2"/>
    <x v="4"/>
    <d v="2022-11-15T00:00:00"/>
  </r>
  <r>
    <d v="2022-10-16T00:00:00"/>
    <x v="53"/>
    <x v="416"/>
    <n v="1509.89"/>
    <x v="3"/>
    <d v="2020-10-12T00:00:00"/>
    <m/>
    <n v="16"/>
    <x v="3"/>
    <x v="4"/>
    <d v="2022-12-15T00:00:00"/>
  </r>
  <r>
    <d v="2022-11-16T00:00:00"/>
    <x v="53"/>
    <x v="417"/>
    <n v="1530.23"/>
    <x v="3"/>
    <d v="2020-10-12T00:00:00"/>
    <m/>
    <n v="16"/>
    <x v="4"/>
    <x v="4"/>
    <d v="2023-01-15T00:00:00"/>
  </r>
  <r>
    <d v="2022-12-16T00:00:00"/>
    <x v="53"/>
    <x v="418"/>
    <n v="1550.57"/>
    <x v="3"/>
    <d v="2020-10-12T00:00:00"/>
    <m/>
    <n v="16"/>
    <x v="5"/>
    <x v="4"/>
    <d v="2023-02-14T00:00:00"/>
  </r>
  <r>
    <d v="2023-01-16T00:00:00"/>
    <x v="53"/>
    <x v="419"/>
    <n v="1570.91"/>
    <x v="3"/>
    <d v="2020-10-12T00:00:00"/>
    <m/>
    <n v="16"/>
    <x v="6"/>
    <x v="5"/>
    <d v="2023-03-17T00:00:00"/>
  </r>
  <r>
    <d v="2023-02-16T00:00:00"/>
    <x v="53"/>
    <x v="420"/>
    <n v="1591.25"/>
    <x v="3"/>
    <d v="2020-10-12T00:00:00"/>
    <m/>
    <n v="16"/>
    <x v="8"/>
    <x v="5"/>
    <d v="2023-04-17T00:00:00"/>
  </r>
  <r>
    <d v="2023-03-16T00:00:00"/>
    <x v="53"/>
    <x v="421"/>
    <n v="1611.59"/>
    <x v="3"/>
    <d v="2020-10-12T00:00:00"/>
    <m/>
    <n v="16"/>
    <x v="7"/>
    <x v="5"/>
    <d v="2023-05-15T00:00:00"/>
  </r>
  <r>
    <d v="2023-04-16T00:00:00"/>
    <x v="53"/>
    <x v="422"/>
    <n v="1631.93"/>
    <x v="3"/>
    <d v="2020-10-12T00:00:00"/>
    <m/>
    <n v="16"/>
    <x v="9"/>
    <x v="5"/>
    <d v="2023-06-15T00:00:00"/>
  </r>
  <r>
    <d v="2023-05-16T00:00:00"/>
    <x v="53"/>
    <x v="423"/>
    <n v="1652.27"/>
    <x v="3"/>
    <d v="2020-10-12T00:00:00"/>
    <m/>
    <n v="16"/>
    <x v="10"/>
    <x v="5"/>
    <d v="2023-07-15T00:00:00"/>
  </r>
  <r>
    <d v="2023-06-16T00:00:00"/>
    <x v="53"/>
    <x v="424"/>
    <n v="1672.61"/>
    <x v="3"/>
    <d v="2020-10-12T00:00:00"/>
    <m/>
    <n v="16"/>
    <x v="12"/>
    <x v="5"/>
    <d v="2023-08-15T00:00:00"/>
  </r>
  <r>
    <d v="2023-07-16T00:00:00"/>
    <x v="53"/>
    <x v="425"/>
    <n v="1692.95"/>
    <x v="3"/>
    <d v="2020-10-12T00:00:00"/>
    <m/>
    <n v="16"/>
    <x v="0"/>
    <x v="5"/>
    <d v="2023-09-14T00:00:00"/>
  </r>
  <r>
    <d v="2023-08-16T00:00:00"/>
    <x v="53"/>
    <x v="426"/>
    <n v="1713.29"/>
    <x v="3"/>
    <d v="2020-10-12T00:00:00"/>
    <m/>
    <n v="16"/>
    <x v="1"/>
    <x v="5"/>
    <d v="2023-10-15T00:00:00"/>
  </r>
  <r>
    <d v="2023-09-16T00:00:00"/>
    <x v="53"/>
    <x v="427"/>
    <n v="1733.63"/>
    <x v="3"/>
    <d v="2020-10-12T00:00:00"/>
    <m/>
    <n v="16"/>
    <x v="2"/>
    <x v="5"/>
    <d v="2023-11-15T00:00:00"/>
  </r>
  <r>
    <d v="2023-10-16T00:00:00"/>
    <x v="53"/>
    <x v="428"/>
    <n v="1753.97"/>
    <x v="3"/>
    <d v="2020-10-12T00:00:00"/>
    <m/>
    <n v="16"/>
    <x v="3"/>
    <x v="5"/>
    <d v="2023-12-15T00:00:00"/>
  </r>
  <r>
    <d v="2023-11-16T00:00:00"/>
    <x v="53"/>
    <x v="429"/>
    <n v="1774.31"/>
    <x v="3"/>
    <d v="2020-10-12T00:00:00"/>
    <m/>
    <n v="16"/>
    <x v="4"/>
    <x v="5"/>
    <d v="2024-01-15T00:00:00"/>
  </r>
  <r>
    <d v="2023-12-16T00:00:00"/>
    <x v="53"/>
    <x v="430"/>
    <n v="1794.65"/>
    <x v="3"/>
    <d v="2020-10-12T00:00:00"/>
    <m/>
    <n v="16"/>
    <x v="5"/>
    <x v="5"/>
    <d v="2024-02-14T00:00:00"/>
  </r>
  <r>
    <d v="2024-01-16T00:00:00"/>
    <x v="53"/>
    <x v="431"/>
    <n v="1814.99"/>
    <x v="3"/>
    <d v="2020-10-12T00:00:00"/>
    <m/>
    <n v="16"/>
    <x v="6"/>
    <x v="6"/>
    <d v="2024-03-16T00:00:00"/>
  </r>
  <r>
    <d v="2024-02-16T00:00:00"/>
    <x v="53"/>
    <x v="432"/>
    <n v="1835.33"/>
    <x v="3"/>
    <d v="2020-10-12T00:00:00"/>
    <m/>
    <n v="16"/>
    <x v="8"/>
    <x v="6"/>
    <d v="2024-04-16T00:00:00"/>
  </r>
  <r>
    <d v="2024-03-16T00:00:00"/>
    <x v="53"/>
    <x v="433"/>
    <n v="1855.67"/>
    <x v="3"/>
    <d v="2020-10-12T00:00:00"/>
    <m/>
    <n v="16"/>
    <x v="7"/>
    <x v="6"/>
    <d v="2024-05-15T00:00:00"/>
  </r>
  <r>
    <d v="2024-04-16T00:00:00"/>
    <x v="53"/>
    <x v="434"/>
    <n v="1876.01"/>
    <x v="3"/>
    <d v="2020-10-12T00:00:00"/>
    <m/>
    <n v="16"/>
    <x v="9"/>
    <x v="6"/>
    <d v="2024-06-15T00:00:00"/>
  </r>
  <r>
    <d v="2024-05-16T00:00:00"/>
    <x v="53"/>
    <x v="435"/>
    <n v="1896.35"/>
    <x v="3"/>
    <d v="2020-10-12T00:00:00"/>
    <m/>
    <n v="16"/>
    <x v="10"/>
    <x v="6"/>
    <d v="2024-07-15T00:00:00"/>
  </r>
  <r>
    <d v="2024-06-16T00:00:00"/>
    <x v="53"/>
    <x v="436"/>
    <n v="1916.69"/>
    <x v="3"/>
    <d v="2020-10-12T00:00:00"/>
    <m/>
    <n v="16"/>
    <x v="12"/>
    <x v="6"/>
    <d v="2024-08-15T00:00:00"/>
  </r>
  <r>
    <d v="2024-07-16T00:00:00"/>
    <x v="53"/>
    <x v="437"/>
    <n v="1937.03"/>
    <x v="3"/>
    <d v="2020-10-12T00:00:00"/>
    <m/>
    <n v="16"/>
    <x v="0"/>
    <x v="6"/>
    <d v="2024-09-14T00:00:00"/>
  </r>
  <r>
    <d v="2024-08-16T00:00:00"/>
    <x v="53"/>
    <x v="438"/>
    <n v="1957.37"/>
    <x v="3"/>
    <d v="2020-10-12T00:00:00"/>
    <m/>
    <n v="16"/>
    <x v="1"/>
    <x v="6"/>
    <d v="2024-10-15T00:00:00"/>
  </r>
  <r>
    <d v="2024-09-16T00:00:00"/>
    <x v="53"/>
    <x v="439"/>
    <n v="1977.45"/>
    <x v="3"/>
    <d v="2020-10-12T00:00:00"/>
    <m/>
    <n v="16"/>
    <x v="2"/>
    <x v="6"/>
    <d v="2024-11-15T00:00:00"/>
  </r>
  <r>
    <d v="2020-12-16T00:00:00"/>
    <x v="54"/>
    <x v="162"/>
    <n v="1081.4100000000001"/>
    <x v="3"/>
    <d v="2020-10-12T00:00:00"/>
    <m/>
    <n v="16"/>
    <x v="5"/>
    <x v="1"/>
    <d v="2021-02-14T00:00:00"/>
  </r>
  <r>
    <d v="2021-01-16T00:00:00"/>
    <x v="54"/>
    <x v="163"/>
    <n v="1102.0999999999999"/>
    <x v="3"/>
    <d v="2020-10-12T00:00:00"/>
    <m/>
    <n v="16"/>
    <x v="6"/>
    <x v="3"/>
    <d v="2021-03-17T00:00:00"/>
  </r>
  <r>
    <d v="2021-02-16T00:00:00"/>
    <x v="54"/>
    <x v="164"/>
    <n v="1122.81"/>
    <x v="3"/>
    <d v="2020-10-12T00:00:00"/>
    <m/>
    <n v="16"/>
    <x v="8"/>
    <x v="3"/>
    <d v="2021-04-17T00:00:00"/>
  </r>
  <r>
    <d v="2021-03-16T00:00:00"/>
    <x v="54"/>
    <x v="165"/>
    <n v="1143.52"/>
    <x v="3"/>
    <d v="2020-10-12T00:00:00"/>
    <m/>
    <n v="16"/>
    <x v="7"/>
    <x v="3"/>
    <d v="2021-05-15T00:00:00"/>
  </r>
  <r>
    <d v="2021-04-16T00:00:00"/>
    <x v="54"/>
    <x v="166"/>
    <n v="1164.22"/>
    <x v="3"/>
    <d v="2020-10-12T00:00:00"/>
    <m/>
    <n v="16"/>
    <x v="9"/>
    <x v="3"/>
    <d v="2021-06-15T00:00:00"/>
  </r>
  <r>
    <d v="2021-05-16T00:00:00"/>
    <x v="54"/>
    <x v="185"/>
    <n v="1184.92"/>
    <x v="3"/>
    <d v="2020-10-12T00:00:00"/>
    <m/>
    <n v="16"/>
    <x v="10"/>
    <x v="3"/>
    <d v="2021-07-15T00:00:00"/>
  </r>
  <r>
    <d v="2021-06-16T00:00:00"/>
    <x v="54"/>
    <x v="186"/>
    <n v="1205.6300000000001"/>
    <x v="3"/>
    <d v="2020-10-12T00:00:00"/>
    <m/>
    <n v="16"/>
    <x v="12"/>
    <x v="3"/>
    <d v="2021-08-15T00:00:00"/>
  </r>
  <r>
    <d v="2021-07-16T00:00:00"/>
    <x v="54"/>
    <x v="184"/>
    <n v="1226.33"/>
    <x v="3"/>
    <d v="2020-10-12T00:00:00"/>
    <m/>
    <n v="16"/>
    <x v="0"/>
    <x v="3"/>
    <d v="2021-09-14T00:00:00"/>
  </r>
  <r>
    <d v="2021-08-16T00:00:00"/>
    <x v="54"/>
    <x v="312"/>
    <n v="1247.03"/>
    <x v="3"/>
    <d v="2020-10-12T00:00:00"/>
    <m/>
    <n v="16"/>
    <x v="1"/>
    <x v="3"/>
    <d v="2021-10-15T00:00:00"/>
  </r>
  <r>
    <d v="2021-09-16T00:00:00"/>
    <x v="54"/>
    <x v="313"/>
    <n v="1267.74"/>
    <x v="3"/>
    <d v="2020-10-12T00:00:00"/>
    <m/>
    <n v="16"/>
    <x v="2"/>
    <x v="3"/>
    <d v="2021-11-15T00:00:00"/>
  </r>
  <r>
    <d v="2021-10-16T00:00:00"/>
    <x v="54"/>
    <x v="314"/>
    <n v="1288.44"/>
    <x v="3"/>
    <d v="2020-10-12T00:00:00"/>
    <m/>
    <n v="16"/>
    <x v="3"/>
    <x v="3"/>
    <d v="2021-12-15T00:00:00"/>
  </r>
  <r>
    <d v="2021-11-16T00:00:00"/>
    <x v="54"/>
    <x v="315"/>
    <n v="1309.1400000000001"/>
    <x v="3"/>
    <d v="2020-10-12T00:00:00"/>
    <m/>
    <n v="16"/>
    <x v="4"/>
    <x v="3"/>
    <d v="2022-01-15T00:00:00"/>
  </r>
  <r>
    <d v="2021-12-16T00:00:00"/>
    <x v="54"/>
    <x v="316"/>
    <n v="1329.85"/>
    <x v="3"/>
    <d v="2020-10-12T00:00:00"/>
    <m/>
    <n v="16"/>
    <x v="5"/>
    <x v="3"/>
    <d v="2022-02-14T00:00:00"/>
  </r>
  <r>
    <d v="2022-01-16T00:00:00"/>
    <x v="54"/>
    <x v="317"/>
    <n v="1350.55"/>
    <x v="3"/>
    <d v="2020-10-12T00:00:00"/>
    <m/>
    <n v="16"/>
    <x v="6"/>
    <x v="4"/>
    <d v="2022-03-17T00:00:00"/>
  </r>
  <r>
    <d v="2022-02-16T00:00:00"/>
    <x v="54"/>
    <x v="318"/>
    <n v="1371.26"/>
    <x v="3"/>
    <d v="2020-10-12T00:00:00"/>
    <m/>
    <n v="16"/>
    <x v="8"/>
    <x v="4"/>
    <d v="2022-04-17T00:00:00"/>
  </r>
  <r>
    <d v="2022-03-16T00:00:00"/>
    <x v="54"/>
    <x v="319"/>
    <n v="1391.96"/>
    <x v="3"/>
    <d v="2020-10-12T00:00:00"/>
    <m/>
    <n v="16"/>
    <x v="7"/>
    <x v="4"/>
    <d v="2022-05-15T00:00:00"/>
  </r>
  <r>
    <d v="2022-04-16T00:00:00"/>
    <x v="54"/>
    <x v="320"/>
    <n v="1412.66"/>
    <x v="3"/>
    <d v="2020-10-12T00:00:00"/>
    <m/>
    <n v="16"/>
    <x v="9"/>
    <x v="4"/>
    <d v="2022-06-15T00:00:00"/>
  </r>
  <r>
    <d v="2022-05-16T00:00:00"/>
    <x v="54"/>
    <x v="321"/>
    <n v="1433.37"/>
    <x v="3"/>
    <d v="2020-10-12T00:00:00"/>
    <m/>
    <n v="16"/>
    <x v="10"/>
    <x v="4"/>
    <d v="2022-07-15T00:00:00"/>
  </r>
  <r>
    <d v="2022-06-16T00:00:00"/>
    <x v="54"/>
    <x v="412"/>
    <n v="1454.07"/>
    <x v="3"/>
    <d v="2020-10-12T00:00:00"/>
    <m/>
    <n v="16"/>
    <x v="12"/>
    <x v="4"/>
    <d v="2022-08-15T00:00:00"/>
  </r>
  <r>
    <d v="2022-07-16T00:00:00"/>
    <x v="54"/>
    <x v="413"/>
    <n v="1474.89"/>
    <x v="3"/>
    <d v="2020-10-12T00:00:00"/>
    <m/>
    <n v="16"/>
    <x v="0"/>
    <x v="4"/>
    <d v="2022-09-14T00:00:00"/>
  </r>
  <r>
    <d v="2020-12-16T00:00:00"/>
    <x v="55"/>
    <x v="466"/>
    <n v="7463.03"/>
    <x v="3"/>
    <d v="2020-10-07T00:00:00"/>
    <m/>
    <n v="16"/>
    <x v="5"/>
    <x v="1"/>
    <d v="2021-02-14T00:00:00"/>
  </r>
  <r>
    <d v="2020-11-22T00:00:00"/>
    <x v="51"/>
    <x v="467"/>
    <n v="7720"/>
    <x v="3"/>
    <d v="2020-10-07T00:00:00"/>
    <m/>
    <n v="22"/>
    <x v="4"/>
    <x v="1"/>
    <d v="2021-01-21T00:00:00"/>
  </r>
  <r>
    <d v="2020-11-30T00:00:00"/>
    <x v="51"/>
    <x v="468"/>
    <n v="8720"/>
    <x v="3"/>
    <d v="2020-10-07T00:00:00"/>
    <m/>
    <n v="30"/>
    <x v="4"/>
    <x v="1"/>
    <d v="2021-01-29T00:00:00"/>
  </r>
  <r>
    <d v="2020-12-08T00:00:00"/>
    <x v="51"/>
    <x v="469"/>
    <n v="9720"/>
    <x v="3"/>
    <d v="2020-10-07T00:00:00"/>
    <m/>
    <n v="8"/>
    <x v="5"/>
    <x v="1"/>
    <d v="2021-02-06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  <r>
    <m/>
    <x v="32"/>
    <x v="470"/>
    <m/>
    <x v="5"/>
    <m/>
    <m/>
    <n v="0"/>
    <x v="6"/>
    <x v="9"/>
    <d v="1900-02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8">
  <r>
    <d v="2019-07-18T00:00:00"/>
    <s v="Eco Uniformes"/>
    <s v="Clinica Colon"/>
    <d v="2019-08-12T00:00:00"/>
    <s v="Macro"/>
    <n v="96991980"/>
    <s v="Colon S.A"/>
    <n v="17550.830000000002"/>
    <x v="0"/>
    <s v="30-54577813-7"/>
    <n v="62"/>
    <s v="A"/>
    <m/>
    <m/>
    <x v="0"/>
    <x v="0"/>
    <x v="0"/>
    <x v="0"/>
  </r>
  <r>
    <d v="2019-07-18T00:00:00"/>
    <s v="Eco Uniformes"/>
    <s v="Clinica Colon"/>
    <d v="2019-08-09T00:00:00"/>
    <s v="Macro"/>
    <n v="96991979"/>
    <s v="Colon S.A"/>
    <n v="17500"/>
    <x v="0"/>
    <s v="30-54577813-7"/>
    <n v="63"/>
    <s v="A"/>
    <m/>
    <m/>
    <x v="0"/>
    <x v="0"/>
    <x v="0"/>
    <x v="1"/>
  </r>
  <r>
    <d v="2019-07-19T00:00:00"/>
    <s v="signori luis"/>
    <m/>
    <d v="2019-10-30T00:00:00"/>
    <s v="credicoop"/>
    <n v="49776016"/>
    <s v="signori analuz"/>
    <n v="10000"/>
    <x v="0"/>
    <s v="27-24924330-8"/>
    <n v="64"/>
    <s v="A"/>
    <m/>
    <m/>
    <x v="0"/>
    <x v="1"/>
    <x v="0"/>
    <x v="2"/>
  </r>
  <r>
    <d v="2019-07-19T00:00:00"/>
    <s v="signori luis"/>
    <s v="-"/>
    <d v="2019-10-31T00:00:00"/>
    <s v="credicoop"/>
    <n v="49776017"/>
    <s v="signori analuz"/>
    <n v="10000"/>
    <x v="1"/>
    <s v="27-24924330-8"/>
    <n v="65"/>
    <s v="A"/>
    <d v="2019-07-25T00:00:00"/>
    <s v="Mandi"/>
    <x v="1"/>
    <x v="1"/>
    <x v="0"/>
    <x v="3"/>
  </r>
  <r>
    <d v="2019-07-19T00:00:00"/>
    <s v="signori luis"/>
    <s v="-"/>
    <d v="2019-11-28T00:00:00"/>
    <s v="credicoop"/>
    <n v="49776018"/>
    <s v="signori analuz"/>
    <n v="10000"/>
    <x v="0"/>
    <s v="27-24924330-8"/>
    <n v="66"/>
    <s v="A"/>
    <m/>
    <m/>
    <x v="1"/>
    <x v="2"/>
    <x v="0"/>
    <x v="4"/>
  </r>
  <r>
    <d v="2019-07-19T00:00:00"/>
    <s v="signori luis"/>
    <s v="-"/>
    <d v="2019-11-29T00:00:00"/>
    <s v="credicoop"/>
    <n v="49776019"/>
    <s v="signori analuz"/>
    <n v="10000"/>
    <x v="1"/>
    <s v="27-24924330-8"/>
    <n v="67"/>
    <s v="A"/>
    <d v="2019-07-25T00:00:00"/>
    <s v="Mandi"/>
    <x v="1"/>
    <x v="2"/>
    <x v="0"/>
    <x v="5"/>
  </r>
  <r>
    <d v="2019-07-19T00:00:00"/>
    <s v="signori luis"/>
    <s v="-"/>
    <d v="2019-11-30T00:00:00"/>
    <s v="credicoop"/>
    <n v="49776020"/>
    <s v="signori analuz"/>
    <n v="10000"/>
    <x v="0"/>
    <s v="27-24924330-8"/>
    <n v="68"/>
    <s v="A"/>
    <m/>
    <m/>
    <x v="1"/>
    <x v="2"/>
    <x v="0"/>
    <x v="2"/>
  </r>
  <r>
    <d v="2019-07-19T00:00:00"/>
    <s v="signori luis"/>
    <s v="-"/>
    <d v="2019-11-28T00:00:00"/>
    <s v="credicoop"/>
    <n v="49776021"/>
    <s v="signori analuz"/>
    <n v="10000"/>
    <x v="0"/>
    <s v="27-24924330-8"/>
    <n v="69"/>
    <s v="A"/>
    <m/>
    <m/>
    <x v="1"/>
    <x v="2"/>
    <x v="0"/>
    <x v="4"/>
  </r>
  <r>
    <d v="2019-07-19T00:00:00"/>
    <s v="signori luis"/>
    <s v="-"/>
    <d v="2019-12-29T00:00:00"/>
    <s v="credicoop"/>
    <n v="49776022"/>
    <s v="signori analuz"/>
    <n v="10000"/>
    <x v="1"/>
    <s v="27-24924330-8"/>
    <n v="70"/>
    <s v="A"/>
    <d v="2019-07-25T00:00:00"/>
    <s v="Mandi"/>
    <x v="1"/>
    <x v="3"/>
    <x v="0"/>
    <x v="5"/>
  </r>
  <r>
    <d v="2019-07-19T00:00:00"/>
    <s v="signori luis"/>
    <s v="-"/>
    <d v="2019-12-30T00:00:00"/>
    <s v="credicoop"/>
    <n v="49776023"/>
    <s v="signori analuz"/>
    <n v="10000"/>
    <x v="1"/>
    <s v="27-24924330-8"/>
    <n v="71"/>
    <s v="A"/>
    <m/>
    <m/>
    <x v="1"/>
    <x v="3"/>
    <x v="0"/>
    <x v="2"/>
  </r>
  <r>
    <d v="2019-07-19T00:00:00"/>
    <s v="signori luis"/>
    <s v="-"/>
    <d v="2019-12-31T00:00:00"/>
    <s v="credicoop"/>
    <n v="49776024"/>
    <s v="signori analuz"/>
    <n v="7895"/>
    <x v="0"/>
    <s v="27-24924330-8"/>
    <n v="72"/>
    <s v="A"/>
    <m/>
    <m/>
    <x v="1"/>
    <x v="3"/>
    <x v="0"/>
    <x v="3"/>
  </r>
  <r>
    <d v="2019-07-29T00:00:00"/>
    <s v="Signiori Luis Alberto"/>
    <s v="-"/>
    <d v="2019-10-30T00:00:00"/>
    <s v="credicoop"/>
    <n v="20622413"/>
    <s v="Signiori Luis Alberto"/>
    <n v="8500"/>
    <x v="0"/>
    <s v="20-05510696-8"/>
    <n v="73"/>
    <s v="A"/>
    <m/>
    <m/>
    <x v="1"/>
    <x v="1"/>
    <x v="0"/>
    <x v="2"/>
  </r>
  <r>
    <d v="2019-07-29T00:00:00"/>
    <s v="Signiori Luis Alberto"/>
    <s v="-"/>
    <d v="2019-10-31T00:00:00"/>
    <s v="credicoop"/>
    <n v="20622414"/>
    <s v="Signiori Luis Alberto"/>
    <n v="8500"/>
    <x v="0"/>
    <s v="20-05510696-8"/>
    <n v="74"/>
    <s v="A"/>
    <m/>
    <m/>
    <x v="1"/>
    <x v="1"/>
    <x v="0"/>
    <x v="3"/>
  </r>
  <r>
    <d v="2019-07-29T00:00:00"/>
    <s v="Signiori Luis Alberto"/>
    <s v="-"/>
    <d v="2019-11-29T00:00:00"/>
    <s v="credicoop"/>
    <n v="20622415"/>
    <s v="Signiori Luis Alberto"/>
    <n v="8500"/>
    <x v="1"/>
    <s v="20-05510696-8"/>
    <n v="75"/>
    <s v="A"/>
    <d v="2019-08-12T00:00:00"/>
    <s v="Speranza"/>
    <x v="1"/>
    <x v="2"/>
    <x v="0"/>
    <x v="5"/>
  </r>
  <r>
    <d v="2019-07-29T00:00:00"/>
    <s v="Signiori Luis Alberto"/>
    <s v="-"/>
    <d v="2019-11-30T00:00:00"/>
    <s v="credicoop"/>
    <n v="20622416"/>
    <s v="Signiori Luis Alberto"/>
    <n v="8500"/>
    <x v="0"/>
    <s v="20-05510696-8"/>
    <n v="76"/>
    <s v="A"/>
    <m/>
    <m/>
    <x v="1"/>
    <x v="2"/>
    <x v="0"/>
    <x v="2"/>
  </r>
  <r>
    <d v="2019-07-29T00:00:00"/>
    <s v="Signiori Luis Alberto"/>
    <s v="-"/>
    <d v="2019-12-24T00:00:00"/>
    <s v="credicoop"/>
    <n v="20622417"/>
    <s v="Signiori Luis Alberto"/>
    <n v="8500"/>
    <x v="1"/>
    <s v="20-05510696-8"/>
    <n v="77"/>
    <s v="A"/>
    <d v="2019-08-12T00:00:00"/>
    <s v="Endosado"/>
    <x v="1"/>
    <x v="3"/>
    <x v="0"/>
    <x v="6"/>
  </r>
  <r>
    <d v="2019-07-29T00:00:00"/>
    <s v="Signiori Luis Alberto"/>
    <s v="-"/>
    <d v="2019-12-30T00:00:00"/>
    <s v="credicoop"/>
    <n v="20622418"/>
    <s v="Signiori Luis Alberto"/>
    <n v="8500"/>
    <x v="1"/>
    <s v="20-05510696-8"/>
    <n v="78"/>
    <s v="A"/>
    <d v="2019-08-12T00:00:00"/>
    <s v="Speranza"/>
    <x v="1"/>
    <x v="3"/>
    <x v="0"/>
    <x v="2"/>
  </r>
  <r>
    <d v="2019-07-29T00:00:00"/>
    <s v="Signiori Luis Alberto"/>
    <s v="-"/>
    <d v="2019-12-31T00:00:00"/>
    <s v="credicoop"/>
    <n v="20622419"/>
    <s v="Signiori Luis Alberto"/>
    <n v="9814"/>
    <x v="0"/>
    <s v="20-05510696-8"/>
    <n v="79"/>
    <s v="A"/>
    <m/>
    <m/>
    <x v="1"/>
    <x v="3"/>
    <x v="0"/>
    <x v="3"/>
  </r>
  <r>
    <d v="2019-07-29T00:00:00"/>
    <s v="Eco Uniformes"/>
    <s v="-"/>
    <d v="2019-07-31T00:00:00"/>
    <s v="Supervielle"/>
    <n v="91138017"/>
    <s v="Colon S.A"/>
    <n v="20000"/>
    <x v="0"/>
    <s v="30-2124450-7"/>
    <n v="80"/>
    <s v="A"/>
    <m/>
    <m/>
    <x v="1"/>
    <x v="4"/>
    <x v="0"/>
    <x v="3"/>
  </r>
  <r>
    <d v="2019-07-29T00:00:00"/>
    <s v="Matices"/>
    <s v="-"/>
    <d v="2019-07-31T00:00:00"/>
    <s v="Santander Rio"/>
    <n v="2100"/>
    <s v="Godoy Luis Antonio"/>
    <n v="8000"/>
    <x v="0"/>
    <s v="20-17006624-4"/>
    <n v="81"/>
    <s v="B"/>
    <m/>
    <m/>
    <x v="1"/>
    <x v="4"/>
    <x v="0"/>
    <x v="3"/>
  </r>
  <r>
    <d v="2019-09-23T00:00:00"/>
    <s v="Eco Uniformes"/>
    <s v="-"/>
    <d v="2019-09-13T00:00:00"/>
    <s v="Provincia"/>
    <n v="69553502"/>
    <s v="Organiz medica Atlan S.A."/>
    <n v="7919.93"/>
    <x v="0"/>
    <s v="30-54606896-6"/>
    <n v="82"/>
    <s v="-"/>
    <d v="2019-09-23T00:00:00"/>
    <m/>
    <x v="1"/>
    <x v="5"/>
    <x v="0"/>
    <x v="7"/>
  </r>
  <r>
    <d v="2019-09-23T00:00:00"/>
    <s v="Riabias"/>
    <s v="-"/>
    <d v="2019-09-29T00:00:00"/>
    <s v="Nacion"/>
    <n v="83"/>
    <s v="Leza Leandro Ezequiel"/>
    <n v="2180"/>
    <x v="0"/>
    <s v="20-33324350-5"/>
    <n v="83"/>
    <s v="-"/>
    <d v="2019-09-30T00:00:00"/>
    <m/>
    <x v="1"/>
    <x v="5"/>
    <x v="0"/>
    <x v="5"/>
  </r>
  <r>
    <d v="2019-09-23T00:00:00"/>
    <s v="Club de diseño SRL"/>
    <s v="-"/>
    <d v="2019-11-13T00:00:00"/>
    <s v="BBVA"/>
    <n v="509226"/>
    <s v="Club de diseño SRL"/>
    <n v="30000"/>
    <x v="0"/>
    <s v="30-71015338-4"/>
    <n v="84"/>
    <s v="-"/>
    <m/>
    <m/>
    <x v="1"/>
    <x v="2"/>
    <x v="0"/>
    <x v="7"/>
  </r>
  <r>
    <d v="2019-09-23T00:00:00"/>
    <s v="Club de diseño SRL"/>
    <s v="-"/>
    <d v="2019-12-26T00:00:00"/>
    <s v="BBVA"/>
    <n v="509227"/>
    <s v="Club de diseño SRL"/>
    <n v="30000"/>
    <x v="0"/>
    <s v="30-71015338-4"/>
    <n v="85"/>
    <s v="-"/>
    <m/>
    <m/>
    <x v="1"/>
    <x v="3"/>
    <x v="0"/>
    <x v="8"/>
  </r>
  <r>
    <d v="2019-09-23T00:00:00"/>
    <s v="Petrich"/>
    <s v="-"/>
    <d v="2019-09-18T00:00:00"/>
    <s v="La Pampa"/>
    <n v="32777643"/>
    <s v="Pellegrino Ana Maria"/>
    <n v="2743"/>
    <x v="0"/>
    <s v="27-05462541-9"/>
    <n v="86"/>
    <s v="-"/>
    <m/>
    <m/>
    <x v="1"/>
    <x v="5"/>
    <x v="0"/>
    <x v="9"/>
  </r>
  <r>
    <d v="2019-09-23T00:00:00"/>
    <s v="Signiori Luis Alberto"/>
    <s v="-"/>
    <d v="2019-12-31T00:00:00"/>
    <s v="credicoop"/>
    <n v="20655891"/>
    <s v="Signiori Luis Alberto"/>
    <n v="7088"/>
    <x v="1"/>
    <s v="20-05510696-8"/>
    <n v="87"/>
    <s v="A"/>
    <d v="2020-01-03T00:00:00"/>
    <s v="Vorrazo"/>
    <x v="1"/>
    <x v="3"/>
    <x v="0"/>
    <x v="3"/>
  </r>
  <r>
    <d v="2019-09-23T00:00:00"/>
    <s v="Signiori Luis Alberto"/>
    <s v="-"/>
    <d v="2019-12-31T00:00:00"/>
    <s v="credicoop"/>
    <n v="20655890"/>
    <s v="Signiori Luis Alberto"/>
    <n v="6700"/>
    <x v="0"/>
    <s v="20-05510696-8"/>
    <n v="88"/>
    <s v="A"/>
    <m/>
    <m/>
    <x v="1"/>
    <x v="3"/>
    <x v="0"/>
    <x v="3"/>
  </r>
  <r>
    <d v="2019-09-23T00:00:00"/>
    <s v="Signiori Luis Alberto"/>
    <s v="-"/>
    <d v="2019-12-31T00:00:00"/>
    <s v="credicoop"/>
    <n v="20655889"/>
    <s v="Signiori Luis Alberto"/>
    <n v="6700"/>
    <x v="1"/>
    <s v="20-05510696-8"/>
    <n v="89"/>
    <s v="A"/>
    <m/>
    <s v="Rontaltex"/>
    <x v="1"/>
    <x v="3"/>
    <x v="0"/>
    <x v="3"/>
  </r>
  <r>
    <d v="2019-09-23T00:00:00"/>
    <s v="Signiori Luis Alberto"/>
    <s v="-"/>
    <d v="2019-12-31T00:00:00"/>
    <s v="credicoop"/>
    <n v="20655888"/>
    <s v="Signiori Luis Alberto"/>
    <n v="6700"/>
    <x v="1"/>
    <s v="20-05510696-8"/>
    <n v="90"/>
    <s v="A"/>
    <d v="2020-01-03T00:00:00"/>
    <s v="Vorrazo"/>
    <x v="1"/>
    <x v="3"/>
    <x v="0"/>
    <x v="3"/>
  </r>
  <r>
    <d v="2019-09-23T00:00:00"/>
    <s v="Garcia Sanjurj Martin Nataniel"/>
    <s v="-"/>
    <d v="2019-11-25T00:00:00"/>
    <s v="Provincia"/>
    <n v="65709560"/>
    <s v="Garcia Sanjurj Martin Nataniel"/>
    <n v="5000"/>
    <x v="0"/>
    <s v="23-34230004-9"/>
    <n v="91"/>
    <s v="-"/>
    <m/>
    <m/>
    <x v="1"/>
    <x v="2"/>
    <x v="0"/>
    <x v="10"/>
  </r>
  <r>
    <d v="2019-09-23T00:00:00"/>
    <s v="Garcia Sanjurj Maria Juliana"/>
    <s v="-"/>
    <d v="2019-11-11T00:00:00"/>
    <s v="Provincia"/>
    <n v="52679652"/>
    <s v="Garcia Sanjurj Maria Juliana"/>
    <n v="15000"/>
    <x v="0"/>
    <s v="27-39588490-0"/>
    <n v="92"/>
    <s v="-"/>
    <m/>
    <m/>
    <x v="1"/>
    <x v="2"/>
    <x v="0"/>
    <x v="11"/>
  </r>
  <r>
    <d v="2019-09-23T00:00:00"/>
    <s v="Garcia Sanjurj Martin Nataniel"/>
    <s v="-"/>
    <d v="2019-11-29T00:00:00"/>
    <s v="Provincia"/>
    <n v="65709561"/>
    <s v="Garcia Sanjurj Martin Nataniel"/>
    <n v="6000"/>
    <x v="0"/>
    <s v="23-34230004-9"/>
    <n v="93"/>
    <s v="-"/>
    <m/>
    <m/>
    <x v="1"/>
    <x v="2"/>
    <x v="0"/>
    <x v="5"/>
  </r>
  <r>
    <d v="2019-09-23T00:00:00"/>
    <s v="Garcia Sanjurj Martin Nataniel"/>
    <s v="-"/>
    <d v="2019-11-30T00:00:00"/>
    <s v="Provincia"/>
    <n v="65709562"/>
    <s v="Garcia Sanjurj Martin Nataniel"/>
    <n v="6900"/>
    <x v="0"/>
    <s v="23-34230004-9"/>
    <n v="94"/>
    <s v="-"/>
    <m/>
    <m/>
    <x v="1"/>
    <x v="2"/>
    <x v="0"/>
    <x v="2"/>
  </r>
  <r>
    <d v="2019-09-23T00:00:00"/>
    <s v="Taraburelli Estela del Carmen"/>
    <s v="-"/>
    <d v="2019-10-12T00:00:00"/>
    <s v="Nacion"/>
    <n v="893698"/>
    <s v="Taraburelli Estela del Carmen"/>
    <n v="8376.7000000000007"/>
    <x v="0"/>
    <s v="27-17421745-4"/>
    <n v="95"/>
    <s v="-"/>
    <m/>
    <m/>
    <x v="1"/>
    <x v="1"/>
    <x v="0"/>
    <x v="0"/>
  </r>
  <r>
    <d v="2019-09-23T00:00:00"/>
    <s v="Petrich"/>
    <s v="-"/>
    <d v="2019-10-18T00:00:00"/>
    <s v="Nacion"/>
    <n v="70205"/>
    <s v="Polirubro Amigo S.A."/>
    <n v="4580"/>
    <x v="0"/>
    <s v="30-66665029-4"/>
    <n v="96"/>
    <s v="-"/>
    <m/>
    <m/>
    <x v="1"/>
    <x v="1"/>
    <x v="0"/>
    <x v="9"/>
  </r>
  <r>
    <d v="2019-09-23T00:00:00"/>
    <s v="Signiori Luis Alberto"/>
    <s v="-"/>
    <d v="2019-12-31T00:00:00"/>
    <s v="credicoop"/>
    <n v="20655893"/>
    <s v="Signiori Luis Alberto"/>
    <n v="5000"/>
    <x v="1"/>
    <s v="20-05510696-8"/>
    <n v="97"/>
    <s v="A"/>
    <d v="2020-01-03T00:00:00"/>
    <s v="Vorrazo"/>
    <x v="1"/>
    <x v="3"/>
    <x v="0"/>
    <x v="3"/>
  </r>
  <r>
    <d v="2019-09-23T00:00:00"/>
    <s v="Signiori Luis Alberto"/>
    <s v="-"/>
    <d v="2019-12-31T00:00:00"/>
    <s v="credicoop"/>
    <n v="20655892"/>
    <s v="Signiori Luis Alberto"/>
    <n v="5000"/>
    <x v="0"/>
    <s v="20-05510696-8"/>
    <n v="98"/>
    <s v="A"/>
    <m/>
    <m/>
    <x v="1"/>
    <x v="3"/>
    <x v="0"/>
    <x v="3"/>
  </r>
  <r>
    <d v="2019-09-23T00:00:00"/>
    <s v="Signiori Luis Alberto"/>
    <s v="-"/>
    <d v="2020-01-31T00:00:00"/>
    <s v="credicoop"/>
    <n v="20655894"/>
    <s v="Signiori Luis Alberto"/>
    <n v="8000"/>
    <x v="0"/>
    <s v="20-05510696-8"/>
    <n v="99"/>
    <s v="A"/>
    <d v="2020-01-31T00:00:00"/>
    <m/>
    <x v="1"/>
    <x v="6"/>
    <x v="1"/>
    <x v="3"/>
  </r>
  <r>
    <d v="2019-09-23T00:00:00"/>
    <s v="Signiori Luis Alberto"/>
    <s v="-"/>
    <d v="2020-01-31T00:00:00"/>
    <s v="credicoop"/>
    <n v="20655895"/>
    <s v="Signiori Luis Alberto"/>
    <n v="8000"/>
    <x v="0"/>
    <s v="20-05510696-8"/>
    <n v="100"/>
    <s v="A"/>
    <m/>
    <m/>
    <x v="1"/>
    <x v="6"/>
    <x v="1"/>
    <x v="3"/>
  </r>
  <r>
    <d v="2019-09-23T00:00:00"/>
    <s v="Signiori Luis Alberto"/>
    <s v="-"/>
    <d v="2020-01-31T00:00:00"/>
    <s v="credicoop"/>
    <n v="20655896"/>
    <s v="Signiori Luis Alberto"/>
    <n v="8000"/>
    <x v="1"/>
    <s v="20-05510696-8"/>
    <n v="101"/>
    <s v="A"/>
    <d v="2019-12-16T00:00:00"/>
    <s v="Transporte Orca"/>
    <x v="1"/>
    <x v="6"/>
    <x v="1"/>
    <x v="3"/>
  </r>
  <r>
    <d v="2019-09-23T00:00:00"/>
    <s v="Signiori Luis Alberto"/>
    <s v="-"/>
    <d v="2020-01-31T00:00:00"/>
    <s v="credicoop"/>
    <n v="20655897"/>
    <s v="Signiori Luis Alberto"/>
    <n v="6436"/>
    <x v="1"/>
    <s v="20-05510696-8"/>
    <n v="102"/>
    <s v="A"/>
    <d v="2020-01-06T00:00:00"/>
    <s v="Rontaltex"/>
    <x v="1"/>
    <x v="6"/>
    <x v="1"/>
    <x v="3"/>
  </r>
  <r>
    <d v="2019-10-04T00:00:00"/>
    <s v="Signiori Luis Alberto"/>
    <s v="-"/>
    <d v="2019-12-31T00:00:00"/>
    <s v="credicoop"/>
    <n v="21651029"/>
    <s v="Signiori Luis Alberto"/>
    <n v="5000"/>
    <x v="0"/>
    <s v="20-05510696-8"/>
    <n v="103"/>
    <s v="A"/>
    <m/>
    <m/>
    <x v="1"/>
    <x v="3"/>
    <x v="0"/>
    <x v="3"/>
  </r>
  <r>
    <d v="2019-10-04T00:00:00"/>
    <s v="Signiori Luis Alberto"/>
    <s v="-"/>
    <d v="2019-12-31T00:00:00"/>
    <s v="credicoop"/>
    <n v="21651030"/>
    <s v="Signiori Luis Alberto"/>
    <n v="5000"/>
    <x v="1"/>
    <s v="20-05510696-8"/>
    <n v="104"/>
    <s v="A"/>
    <d v="2019-12-05T00:00:00"/>
    <s v="Roxi"/>
    <x v="1"/>
    <x v="3"/>
    <x v="0"/>
    <x v="3"/>
  </r>
  <r>
    <d v="2019-10-04T00:00:00"/>
    <s v="Manzo"/>
    <s v="-"/>
    <d v="2019-11-07T00:00:00"/>
    <s v="Provincia"/>
    <n v="72748760"/>
    <s v="Cassibba Julio Alberto"/>
    <n v="3820"/>
    <x v="0"/>
    <s v="20-05305088-4"/>
    <n v="105"/>
    <m/>
    <d v="2019-11-07T00:00:00"/>
    <m/>
    <x v="1"/>
    <x v="2"/>
    <x v="0"/>
    <x v="12"/>
  </r>
  <r>
    <d v="2019-10-04T00:00:00"/>
    <s v="Manzo"/>
    <s v="-"/>
    <d v="2019-10-23T00:00:00"/>
    <s v="Provincia"/>
    <n v="72748759"/>
    <s v="Cassibba Julio Alberto"/>
    <n v="3700"/>
    <x v="0"/>
    <s v="20-05305088-4"/>
    <n v="106"/>
    <m/>
    <d v="2019-10-23T00:00:00"/>
    <m/>
    <x v="1"/>
    <x v="1"/>
    <x v="0"/>
    <x v="13"/>
  </r>
  <r>
    <d v="2019-10-04T00:00:00"/>
    <s v="Dodero"/>
    <s v="-"/>
    <d v="2019-12-09T00:00:00"/>
    <s v="Santander Rio"/>
    <n v="51100129"/>
    <s v="Solchaga Vanesa Cinthia"/>
    <n v="7000"/>
    <x v="0"/>
    <s v="27-26145120-6"/>
    <n v="107"/>
    <m/>
    <m/>
    <m/>
    <x v="1"/>
    <x v="3"/>
    <x v="0"/>
    <x v="1"/>
  </r>
  <r>
    <d v="2019-10-04T00:00:00"/>
    <s v="Bazan Sandra Maria"/>
    <s v="-"/>
    <d v="2019-10-24T00:00:00"/>
    <s v="Provincia"/>
    <n v="70921744"/>
    <s v="Bazan Sandra Maria"/>
    <n v="3730"/>
    <x v="0"/>
    <s v="27-16584512-4"/>
    <n v="108"/>
    <m/>
    <d v="2019-10-25T00:00:00"/>
    <m/>
    <x v="1"/>
    <x v="1"/>
    <x v="0"/>
    <x v="6"/>
  </r>
  <r>
    <d v="2019-10-04T00:00:00"/>
    <s v="Bazan Sandra Maria"/>
    <s v="-"/>
    <d v="2019-11-15T00:00:00"/>
    <s v="Provincia"/>
    <n v="70921745"/>
    <s v="Bazan, Sandra Maria"/>
    <n v="3730"/>
    <x v="0"/>
    <s v="27-16584512-4"/>
    <n v="109"/>
    <m/>
    <m/>
    <m/>
    <x v="1"/>
    <x v="2"/>
    <x v="0"/>
    <x v="14"/>
  </r>
  <r>
    <d v="2019-10-04T00:00:00"/>
    <s v="Boero Camila Alejandra"/>
    <s v="-"/>
    <d v="2019-12-21T00:00:00"/>
    <s v="credicoop"/>
    <n v="49893499"/>
    <s v="Boero Camila Alejandra"/>
    <n v="20000"/>
    <x v="0"/>
    <s v="27-39261112-1"/>
    <n v="110"/>
    <m/>
    <m/>
    <m/>
    <x v="1"/>
    <x v="3"/>
    <x v="0"/>
    <x v="15"/>
  </r>
  <r>
    <d v="2019-10-04T00:00:00"/>
    <s v="Boero Camila Alejandra"/>
    <s v="-"/>
    <d v="2019-12-21T00:00:00"/>
    <s v="credicoop"/>
    <n v="49893500"/>
    <s v="Boero Camila Alejandra"/>
    <n v="20000"/>
    <x v="0"/>
    <s v="27-39261112-1"/>
    <n v="111"/>
    <m/>
    <m/>
    <m/>
    <x v="1"/>
    <x v="3"/>
    <x v="0"/>
    <x v="15"/>
  </r>
  <r>
    <d v="2019-10-04T00:00:00"/>
    <s v="Garcia Sanjurj Martin Nataniel"/>
    <s v="-"/>
    <d v="2019-11-30T00:00:00"/>
    <s v="Provincia"/>
    <n v="65709605"/>
    <s v="Garcia Sanjurj Martin Nataniel"/>
    <n v="11000"/>
    <x v="1"/>
    <s v="23-34230004-9"/>
    <n v="112"/>
    <m/>
    <m/>
    <s v="Rontaltex"/>
    <x v="1"/>
    <x v="2"/>
    <x v="0"/>
    <x v="2"/>
  </r>
  <r>
    <d v="2019-10-04T00:00:00"/>
    <s v="Zoughout Diana"/>
    <s v="-"/>
    <d v="2019-12-07T00:00:00"/>
    <s v="Provincia"/>
    <n v="65653388"/>
    <s v="Zoughout Diana"/>
    <n v="9000"/>
    <x v="2"/>
    <s v="27-11958010-8"/>
    <n v="113"/>
    <m/>
    <d v="2019-12-06T00:00:00"/>
    <m/>
    <x v="2"/>
    <x v="3"/>
    <x v="0"/>
    <x v="12"/>
  </r>
  <r>
    <d v="2019-10-04T00:00:00"/>
    <s v="Signiori Luis Alberto"/>
    <s v="-"/>
    <d v="2020-02-28T00:00:00"/>
    <s v="credicoop"/>
    <n v="21651037"/>
    <s v="Signiori Luis Alberto"/>
    <n v="5762"/>
    <x v="1"/>
    <s v="20-05510696-8"/>
    <n v="114"/>
    <m/>
    <d v="2019-12-16T00:00:00"/>
    <s v="Transporte Orca"/>
    <x v="1"/>
    <x v="7"/>
    <x v="1"/>
    <x v="4"/>
  </r>
  <r>
    <d v="2019-10-04T00:00:00"/>
    <s v="Signiori Luis Alberto"/>
    <s v="-"/>
    <d v="2020-02-28T00:00:00"/>
    <s v="credicoop"/>
    <n v="21651036"/>
    <s v="Signiori Luis Alberto"/>
    <n v="5000"/>
    <x v="1"/>
    <s v="20-05510696-8"/>
    <n v="115"/>
    <m/>
    <d v="2020-01-06T00:00:00"/>
    <s v="Rontaltex"/>
    <x v="1"/>
    <x v="7"/>
    <x v="1"/>
    <x v="4"/>
  </r>
  <r>
    <d v="2019-10-04T00:00:00"/>
    <s v="Signiori Luis Alberto"/>
    <s v="-"/>
    <d v="2020-02-28T00:00:00"/>
    <s v="credicoop"/>
    <n v="21651035"/>
    <s v="Signiori Luis Alberto"/>
    <n v="5000"/>
    <x v="0"/>
    <s v="20-05510696-8"/>
    <n v="116"/>
    <m/>
    <m/>
    <m/>
    <x v="1"/>
    <x v="7"/>
    <x v="1"/>
    <x v="4"/>
  </r>
  <r>
    <d v="2019-10-04T00:00:00"/>
    <s v="Signiori Luis Alberto"/>
    <s v="-"/>
    <d v="2020-01-31T00:00:00"/>
    <s v="credicoop"/>
    <n v="21651033"/>
    <s v="Signiori Luis Alberto"/>
    <n v="8000"/>
    <x v="0"/>
    <s v="20-05510696-8"/>
    <n v="117"/>
    <m/>
    <m/>
    <m/>
    <x v="1"/>
    <x v="6"/>
    <x v="1"/>
    <x v="3"/>
  </r>
  <r>
    <d v="2019-10-04T00:00:00"/>
    <s v="Signiori Luis Alberto"/>
    <s v="-"/>
    <d v="2020-01-31T00:00:00"/>
    <s v="credicoop"/>
    <n v="21651032"/>
    <s v="Signiori Luis Alberto"/>
    <n v="8000"/>
    <x v="0"/>
    <s v="20-05510696-8"/>
    <n v="118"/>
    <m/>
    <m/>
    <m/>
    <x v="1"/>
    <x v="6"/>
    <x v="1"/>
    <x v="3"/>
  </r>
  <r>
    <d v="2019-10-04T00:00:00"/>
    <s v="Signiori Luis Alberto"/>
    <s v="-"/>
    <d v="2020-01-31T00:00:00"/>
    <s v="credicoop"/>
    <n v="21651031"/>
    <s v="Signiori Luis Alberto"/>
    <n v="5000"/>
    <x v="0"/>
    <s v="20-05510696-8"/>
    <n v="119"/>
    <m/>
    <m/>
    <m/>
    <x v="1"/>
    <x v="6"/>
    <x v="1"/>
    <x v="3"/>
  </r>
  <r>
    <d v="2019-10-09T00:00:00"/>
    <s v="Pampa  Y Novillo S.A "/>
    <s v="-"/>
    <d v="2019-12-14T00:00:00"/>
    <s v="Provincia"/>
    <n v="72659126"/>
    <s v="Pampa y Novillo S.A"/>
    <n v="26712.83"/>
    <x v="3"/>
    <s v="33-1464790-9"/>
    <n v="120"/>
    <m/>
    <d v="2019-10-15T00:00:00"/>
    <m/>
    <x v="1"/>
    <x v="3"/>
    <x v="0"/>
    <x v="16"/>
  </r>
  <r>
    <d v="2019-10-16T00:00:00"/>
    <s v="Juan Manuel  Gallego"/>
    <s v="-"/>
    <d v="2019-11-30T00:00:00"/>
    <s v="Macro"/>
    <n v="99298615"/>
    <s v="Los Pepes SRL"/>
    <n v="25000"/>
    <x v="3"/>
    <s v="33-71508741-9"/>
    <n v="121"/>
    <m/>
    <d v="2019-11-08T00:00:00"/>
    <m/>
    <x v="1"/>
    <x v="2"/>
    <x v="0"/>
    <x v="2"/>
  </r>
  <r>
    <d v="2019-10-16T00:00:00"/>
    <s v="Juan Manuel  Gallego"/>
    <s v="-"/>
    <d v="2019-12-15T00:00:00"/>
    <s v="Macro"/>
    <n v="99298614"/>
    <s v="Los Pepes SRL"/>
    <n v="20000"/>
    <x v="0"/>
    <s v="33-71508741-9"/>
    <n v="122"/>
    <m/>
    <m/>
    <m/>
    <x v="1"/>
    <x v="3"/>
    <x v="0"/>
    <x v="14"/>
  </r>
  <r>
    <d v="2019-10-23T00:00:00"/>
    <s v="Eco Uniformes"/>
    <s v="-"/>
    <d v="2019-11-18T00:00:00"/>
    <s v="Santander Rio"/>
    <n v="22169"/>
    <s v="Eco Uniformes"/>
    <n v="36817.360000000001"/>
    <x v="0"/>
    <m/>
    <n v="123"/>
    <m/>
    <m/>
    <m/>
    <x v="1"/>
    <x v="2"/>
    <x v="0"/>
    <x v="9"/>
  </r>
  <r>
    <d v="2019-10-23T00:00:00"/>
    <s v="Element"/>
    <s v="-"/>
    <d v="2020-01-10T00:00:00"/>
    <s v="BBVA"/>
    <n v="509228"/>
    <s v="Club de diseño SRL"/>
    <n v="29200"/>
    <x v="0"/>
    <s v="30-71015338-4"/>
    <n v="124"/>
    <m/>
    <m/>
    <m/>
    <x v="1"/>
    <x v="6"/>
    <x v="1"/>
    <x v="17"/>
  </r>
  <r>
    <d v="2019-10-24T00:00:00"/>
    <s v="Dominguez Marcelo Alberto"/>
    <s v="-"/>
    <d v="2019-11-26T00:00:00"/>
    <s v="Galicia"/>
    <n v="60881418"/>
    <s v="Dominguez Marcelo Alberto"/>
    <n v="13680"/>
    <x v="0"/>
    <s v="20-10590043-1"/>
    <n v="125"/>
    <m/>
    <m/>
    <m/>
    <x v="1"/>
    <x v="2"/>
    <x v="0"/>
    <x v="8"/>
  </r>
  <r>
    <d v="2019-10-24T00:00:00"/>
    <s v="Tovillas Carlos Enrique"/>
    <s v="-"/>
    <d v="2019-12-20T00:00:00"/>
    <s v="credicoop"/>
    <n v="49706831"/>
    <s v="Tovillas Carlos Enrique"/>
    <n v="2000"/>
    <x v="0"/>
    <s v="20-04970412-8"/>
    <n v="126"/>
    <m/>
    <m/>
    <m/>
    <x v="1"/>
    <x v="3"/>
    <x v="0"/>
    <x v="18"/>
  </r>
  <r>
    <d v="2019-10-24T00:00:00"/>
    <s v="Tovillas Carlos Enrique"/>
    <s v="-"/>
    <d v="2019-12-31T00:00:00"/>
    <s v="credicoop"/>
    <n v="49706832"/>
    <s v="Tovillas Carlos Enrique"/>
    <n v="2000"/>
    <x v="0"/>
    <s v="20-04970412-8"/>
    <n v="127"/>
    <m/>
    <m/>
    <m/>
    <x v="1"/>
    <x v="3"/>
    <x v="0"/>
    <x v="3"/>
  </r>
  <r>
    <d v="2019-10-24T00:00:00"/>
    <s v="Tovillas Carlos Enrique"/>
    <s v="-"/>
    <d v="2020-01-11T00:00:00"/>
    <s v="credicoop"/>
    <n v="49706833"/>
    <s v="Tovillas Carlos Enrique"/>
    <n v="2000"/>
    <x v="0"/>
    <s v="20-04970412-8"/>
    <n v="128"/>
    <m/>
    <m/>
    <m/>
    <x v="1"/>
    <x v="6"/>
    <x v="1"/>
    <x v="11"/>
  </r>
  <r>
    <d v="2019-10-24T00:00:00"/>
    <s v="Tovillas Carlos Enrique"/>
    <s v="-"/>
    <d v="2020-02-13T00:00:00"/>
    <s v="credicoop"/>
    <n v="49706834"/>
    <s v="Tovillas Carlos Enrique"/>
    <n v="2000"/>
    <x v="0"/>
    <s v="20-04970412-8"/>
    <n v="129"/>
    <m/>
    <d v="2020-02-14T00:00:00"/>
    <m/>
    <x v="1"/>
    <x v="7"/>
    <x v="1"/>
    <x v="7"/>
  </r>
  <r>
    <d v="2019-10-24T00:00:00"/>
    <s v="Tovillas Carlos Enrique"/>
    <s v="-"/>
    <d v="2020-02-20T00:00:00"/>
    <s v="credicoop"/>
    <n v="49706835"/>
    <s v="Tovillas Carlos Enrique"/>
    <n v="2000"/>
    <x v="0"/>
    <s v="20-04970412-8"/>
    <n v="130"/>
    <m/>
    <d v="2020-02-20T00:00:00"/>
    <m/>
    <x v="1"/>
    <x v="7"/>
    <x v="1"/>
    <x v="18"/>
  </r>
  <r>
    <d v="2019-10-24T00:00:00"/>
    <s v="Tovillas Carlos Enrique"/>
    <s v="-"/>
    <d v="2020-02-28T00:00:00"/>
    <s v="credicoop"/>
    <n v="49706836"/>
    <s v="Tovillas Carlos Enrique"/>
    <n v="2000"/>
    <x v="0"/>
    <s v="20-04970412-8"/>
    <n v="131"/>
    <m/>
    <m/>
    <m/>
    <x v="1"/>
    <x v="7"/>
    <x v="1"/>
    <x v="4"/>
  </r>
  <r>
    <d v="2019-10-24T00:00:00"/>
    <s v="Tovillas Carlos Enrique"/>
    <s v="-"/>
    <d v="2020-03-09T00:00:00"/>
    <s v="credicoop"/>
    <n v="49706837"/>
    <s v="Tovillas Carlos Enrique"/>
    <n v="2000"/>
    <x v="1"/>
    <s v="20-04970412-8"/>
    <n v="132"/>
    <m/>
    <d v="2020-02-08T00:00:00"/>
    <s v="Oam"/>
    <x v="1"/>
    <x v="8"/>
    <x v="1"/>
    <x v="1"/>
  </r>
  <r>
    <d v="2019-10-24T00:00:00"/>
    <s v="Tovillas Carlos Enrique"/>
    <s v="-"/>
    <d v="2020-03-21T00:00:00"/>
    <s v="credicoop"/>
    <n v="49706838"/>
    <s v="Tovillas Carlos Enrique"/>
    <n v="2000"/>
    <x v="0"/>
    <s v="20-04970412-8"/>
    <n v="133"/>
    <m/>
    <d v="2020-04-02T00:00:00"/>
    <m/>
    <x v="1"/>
    <x v="8"/>
    <x v="1"/>
    <x v="15"/>
  </r>
  <r>
    <d v="2019-10-24T00:00:00"/>
    <s v="Tovillas Carlos Enrique"/>
    <s v="-"/>
    <d v="2020-03-30T00:00:00"/>
    <s v="credicoop"/>
    <n v="49706839"/>
    <s v="Tovillas Carlos Enrique"/>
    <n v="2876"/>
    <x v="0"/>
    <s v="20-04970412-8"/>
    <n v="134"/>
    <m/>
    <d v="2020-04-02T00:00:00"/>
    <m/>
    <x v="1"/>
    <x v="8"/>
    <x v="1"/>
    <x v="2"/>
  </r>
  <r>
    <d v="2019-10-24T00:00:00"/>
    <s v="Cassibba"/>
    <s v="-"/>
    <d v="2019-11-09T00:00:00"/>
    <s v="Nacion"/>
    <n v="1768"/>
    <s v="Cassibba Julio Alberto"/>
    <n v="4000"/>
    <x v="3"/>
    <s v="20-05305088-4"/>
    <n v="135"/>
    <m/>
    <d v="2019-11-08T00:00:00"/>
    <m/>
    <x v="1"/>
    <x v="2"/>
    <x v="0"/>
    <x v="1"/>
  </r>
  <r>
    <d v="2019-10-24T00:00:00"/>
    <s v="Cassibba"/>
    <s v="-"/>
    <d v="2019-11-21T00:00:00"/>
    <s v="Nacion"/>
    <n v="1769"/>
    <s v="Cassibba Julio Alberto"/>
    <n v="4000"/>
    <x v="0"/>
    <s v="20-05305088-4"/>
    <n v="136"/>
    <m/>
    <m/>
    <m/>
    <x v="1"/>
    <x v="2"/>
    <x v="0"/>
    <x v="15"/>
  </r>
  <r>
    <d v="2019-10-24T00:00:00"/>
    <s v="Cassibba"/>
    <s v="-"/>
    <d v="2019-12-10T00:00:00"/>
    <s v="Provincia"/>
    <n v="72748831"/>
    <s v="Cassibba Julio Alberto"/>
    <n v="4850"/>
    <x v="1"/>
    <s v="20-05305088-4"/>
    <n v="137"/>
    <m/>
    <d v="2019-12-09T00:00:00"/>
    <s v="David Hilado"/>
    <x v="1"/>
    <x v="3"/>
    <x v="0"/>
    <x v="17"/>
  </r>
  <r>
    <d v="2019-10-24T00:00:00"/>
    <s v="Cassibba"/>
    <s v="-"/>
    <d v="2019-11-15T00:00:00"/>
    <s v="Provincia"/>
    <n v="72748830"/>
    <s v="Cassibba Julio Alberto"/>
    <n v="4800"/>
    <x v="0"/>
    <s v="20-05305088-4"/>
    <n v="138"/>
    <m/>
    <m/>
    <m/>
    <x v="1"/>
    <x v="2"/>
    <x v="0"/>
    <x v="14"/>
  </r>
  <r>
    <d v="2019-10-30T00:00:00"/>
    <s v="Sanjurjo Garcia Maria Juliana"/>
    <s v="-"/>
    <d v="2020-01-30T00:00:00"/>
    <s v="Provincia"/>
    <n v="52679616"/>
    <s v="Sanjurjo Garcia Maria Juliana"/>
    <n v="10000"/>
    <x v="0"/>
    <s v="27-39588490-0"/>
    <n v="139"/>
    <s v="I"/>
    <m/>
    <m/>
    <x v="1"/>
    <x v="6"/>
    <x v="1"/>
    <x v="2"/>
  </r>
  <r>
    <d v="2019-10-30T00:00:00"/>
    <s v="Sanjurjo Garcia Maria Juliana"/>
    <s v="-"/>
    <d v="2020-01-22T00:00:00"/>
    <s v="Provincia"/>
    <n v="52679615"/>
    <s v="Sanjurjo Garcia Maria Juliana"/>
    <n v="10000"/>
    <x v="0"/>
    <s v="27-39588490-0"/>
    <n v="140"/>
    <s v="I"/>
    <m/>
    <m/>
    <x v="1"/>
    <x v="6"/>
    <x v="1"/>
    <x v="19"/>
  </r>
  <r>
    <d v="2019-10-30T00:00:00"/>
    <s v="Sanjurjo Garcia Martin Nataniel"/>
    <s v="-"/>
    <d v="2020-01-07T00:00:00"/>
    <s v="Provinicia"/>
    <n v="65709573"/>
    <s v="Sanjurjo Garcia Martin Nataniel"/>
    <n v="11000"/>
    <x v="3"/>
    <s v="23-34230004-9"/>
    <n v="141"/>
    <s v="I"/>
    <d v="2019-11-19T00:00:00"/>
    <m/>
    <x v="1"/>
    <x v="6"/>
    <x v="1"/>
    <x v="12"/>
  </r>
  <r>
    <d v="2019-10-30T00:00:00"/>
    <s v="Sanjurjo Garcia Martin Nataniel"/>
    <s v="-"/>
    <d v="2019-12-21T00:00:00"/>
    <s v="Provincia"/>
    <n v="65709572"/>
    <s v="Sanjurjo Garcia Martin Nataniel"/>
    <n v="12000"/>
    <x v="1"/>
    <s v="23-34230004-9"/>
    <n v="142"/>
    <s v="I"/>
    <d v="2019-11-12T00:00:00"/>
    <s v="Oam"/>
    <x v="1"/>
    <x v="3"/>
    <x v="0"/>
    <x v="15"/>
  </r>
  <r>
    <d v="2019-10-30T00:00:00"/>
    <s v="Sanjurjo Garcia Maria Juliana"/>
    <s v="-"/>
    <d v="2019-12-11T00:00:00"/>
    <s v="Provincia"/>
    <n v="52679613"/>
    <s v="Sanjurjo Garcia Maria Juliana"/>
    <n v="11000"/>
    <x v="1"/>
    <s v="27-39588490-0"/>
    <n v="143"/>
    <s v="I"/>
    <d v="2019-12-09T00:00:00"/>
    <s v="David Hilado"/>
    <x v="1"/>
    <x v="3"/>
    <x v="0"/>
    <x v="11"/>
  </r>
  <r>
    <d v="2019-10-30T00:00:00"/>
    <s v="Sanjurjo Garcia Martin Nataniel"/>
    <s v="-"/>
    <d v="2019-11-30T00:00:00"/>
    <s v="Provincia"/>
    <n v="65709571"/>
    <s v="Sanjurjo Garcia Martin Nataniel"/>
    <n v="6000"/>
    <x v="0"/>
    <s v="23-34230004-9"/>
    <n v="144"/>
    <s v="I"/>
    <m/>
    <m/>
    <x v="1"/>
    <x v="2"/>
    <x v="0"/>
    <x v="2"/>
  </r>
  <r>
    <d v="2019-10-30T00:00:00"/>
    <s v="Sanjurjo Garcia Maria Juliana"/>
    <s v="-"/>
    <d v="2019-11-22T00:00:00"/>
    <s v="Povincia"/>
    <n v="52679614"/>
    <s v="Sanjurjo Garcia Maria Juliana"/>
    <n v="5000"/>
    <x v="0"/>
    <s v="27-39588490-0"/>
    <n v="145"/>
    <s v="I"/>
    <m/>
    <m/>
    <x v="1"/>
    <x v="2"/>
    <x v="0"/>
    <x v="19"/>
  </r>
  <r>
    <d v="2019-10-30T00:00:00"/>
    <s v="Riabis"/>
    <s v="-"/>
    <d v="2019-12-08T00:00:00"/>
    <s v="Provincia"/>
    <n v="71064504"/>
    <s v="Anton Victor Jose"/>
    <n v="4000"/>
    <x v="4"/>
    <s v="20-24168928-0"/>
    <n v="146"/>
    <m/>
    <d v="2019-12-09T00:00:00"/>
    <s v="David Hilado"/>
    <x v="1"/>
    <x v="3"/>
    <x v="0"/>
    <x v="20"/>
  </r>
  <r>
    <d v="2019-10-30T00:00:00"/>
    <s v="Riabis"/>
    <s v="-"/>
    <d v="2019-11-30T00:00:00"/>
    <s v="Provincia"/>
    <n v="70690012"/>
    <s v="Pallotti Juan Carlos"/>
    <n v="13068"/>
    <x v="0"/>
    <s v="20-08527402-4"/>
    <n v="147"/>
    <m/>
    <m/>
    <m/>
    <x v="1"/>
    <x v="2"/>
    <x v="0"/>
    <x v="2"/>
  </r>
  <r>
    <d v="2019-10-30T00:00:00"/>
    <s v="Riabis"/>
    <s v="-"/>
    <d v="2019-11-15T00:00:00"/>
    <s v="Provincia"/>
    <n v="42839341"/>
    <s v="Marchioni Arnaldo Ernesto"/>
    <n v="5000"/>
    <x v="0"/>
    <s v="20-13891782-8"/>
    <n v="148"/>
    <m/>
    <m/>
    <m/>
    <x v="1"/>
    <x v="2"/>
    <x v="0"/>
    <x v="14"/>
  </r>
  <r>
    <d v="2019-10-30T00:00:00"/>
    <s v="Riabis"/>
    <s v="-"/>
    <d v="2019-10-31T00:00:00"/>
    <s v="Provincia"/>
    <n v="70406"/>
    <s v="Polirubro Amigo S.A."/>
    <n v="3158"/>
    <x v="0"/>
    <s v="30-66665029-4"/>
    <n v="149"/>
    <m/>
    <m/>
    <m/>
    <x v="1"/>
    <x v="1"/>
    <x v="0"/>
    <x v="3"/>
  </r>
  <r>
    <d v="2019-11-01T00:00:00"/>
    <s v="convers petrich"/>
    <s v="-"/>
    <d v="2019-12-25T00:00:00"/>
    <s v="Provincia"/>
    <n v="71776702"/>
    <s v="Covers Hector Ernesto"/>
    <n v="9051"/>
    <x v="1"/>
    <s v="20-10596812-5"/>
    <n v="150"/>
    <s v="A_x000a_"/>
    <d v="2019-11-12T00:00:00"/>
    <s v="Oam"/>
    <x v="1"/>
    <x v="3"/>
    <x v="0"/>
    <x v="10"/>
  </r>
  <r>
    <d v="2019-11-05T00:00:00"/>
    <s v="Petrich"/>
    <s v="-"/>
    <d v="2020-02-28T00:00:00"/>
    <s v="Provincia"/>
    <n v="71776704"/>
    <s v="Covers Hector Ernesto"/>
    <n v="9051"/>
    <x v="5"/>
    <s v="20-10596812-5"/>
    <n v="151"/>
    <s v="A_x000a_"/>
    <m/>
    <m/>
    <x v="3"/>
    <x v="7"/>
    <x v="1"/>
    <x v="4"/>
  </r>
  <r>
    <d v="2019-11-06T00:00:00"/>
    <s v="bouzik Carlos"/>
    <s v="-"/>
    <d v="2020-01-10T00:00:00"/>
    <s v="Santander Rio"/>
    <n v="15200167"/>
    <s v="longhio, maria EUGENIA"/>
    <n v="15000"/>
    <x v="3"/>
    <s v="27-13552791-8_x000a_"/>
    <n v="152"/>
    <s v="c"/>
    <d v="2019-11-07T00:00:00"/>
    <m/>
    <x v="1"/>
    <x v="6"/>
    <x v="1"/>
    <x v="17"/>
  </r>
  <r>
    <d v="2019-11-06T00:00:00"/>
    <s v="bouzik gust"/>
    <s v="-"/>
    <d v="2020-01-10T00:00:00"/>
    <s v="Provincia"/>
    <n v="63134157"/>
    <s v="gustavo bouzik"/>
    <n v="20000"/>
    <x v="3"/>
    <s v="20-37011941-5"/>
    <n v="153"/>
    <s v="I"/>
    <d v="2019-11-07T00:00:00"/>
    <m/>
    <x v="1"/>
    <x v="6"/>
    <x v="1"/>
    <x v="17"/>
  </r>
  <r>
    <d v="2019-11-06T00:00:00"/>
    <s v="Bouzik, Carlos"/>
    <s v="-"/>
    <d v="2020-01-15T00:00:00"/>
    <s v="BPBA"/>
    <n v="73554810"/>
    <s v="Di toro maria alejandra"/>
    <n v="10000"/>
    <x v="3"/>
    <s v="27-21096179-3"/>
    <n v="154"/>
    <s v="c"/>
    <d v="2019-11-07T00:00:00"/>
    <m/>
    <x v="1"/>
    <x v="6"/>
    <x v="1"/>
    <x v="14"/>
  </r>
  <r>
    <d v="2019-11-13T00:00:00"/>
    <s v="Boero Camila Alejandra"/>
    <s v="-"/>
    <d v="2020-04-17T00:00:00"/>
    <s v="credicoop"/>
    <n v="21851920"/>
    <s v="Boero Camila Alejandra"/>
    <n v="25000"/>
    <x v="4"/>
    <s v="27-39261112-1"/>
    <n v="155"/>
    <m/>
    <m/>
    <s v="CAMBIADO"/>
    <x v="1"/>
    <x v="9"/>
    <x v="1"/>
    <x v="21"/>
  </r>
  <r>
    <d v="2019-11-13T00:00:00"/>
    <s v="Boero Camila Alejandra"/>
    <s v="-"/>
    <d v="2020-04-30T00:00:00"/>
    <s v="credicoop"/>
    <n v="21851922"/>
    <s v="Boero Camila Alejandra"/>
    <n v="15000"/>
    <x v="3"/>
    <s v="27-39261112-1"/>
    <n v="156"/>
    <m/>
    <d v="2020-03-18T00:00:00"/>
    <m/>
    <x v="1"/>
    <x v="9"/>
    <x v="1"/>
    <x v="2"/>
  </r>
  <r>
    <d v="2019-11-13T00:00:00"/>
    <s v="Boero Camila Alejandra"/>
    <s v="-"/>
    <d v="2020-03-31T00:00:00"/>
    <s v="credicoop"/>
    <n v="21851918"/>
    <s v="Boero Camila Alejandra"/>
    <n v="15000"/>
    <x v="4"/>
    <s v="27-39261112-1"/>
    <n v="157"/>
    <m/>
    <d v="2020-04-02T00:00:00"/>
    <s v="CAMBIADO"/>
    <x v="1"/>
    <x v="8"/>
    <x v="1"/>
    <x v="3"/>
  </r>
  <r>
    <d v="2019-11-13T00:00:00"/>
    <s v="Boero Camila Alejandra"/>
    <s v="-"/>
    <d v="2020-03-20T00:00:00"/>
    <s v="credicoop"/>
    <n v="21851916"/>
    <s v="Boero Camila Alejandra"/>
    <n v="15000"/>
    <x v="4"/>
    <s v="27-39261112-1"/>
    <n v="158"/>
    <m/>
    <m/>
    <s v="CAMBIADO"/>
    <x v="1"/>
    <x v="8"/>
    <x v="1"/>
    <x v="18"/>
  </r>
  <r>
    <d v="2019-11-13T00:00:00"/>
    <s v="Boero Camila Alejandra"/>
    <s v="-"/>
    <d v="2020-02-29T00:00:00"/>
    <s v="credicoop"/>
    <n v="21851914"/>
    <s v="Boero Camila Alejandra"/>
    <n v="15000"/>
    <x v="5"/>
    <s v="27-39261112-1"/>
    <n v="159"/>
    <m/>
    <m/>
    <m/>
    <x v="4"/>
    <x v="7"/>
    <x v="1"/>
    <x v="5"/>
  </r>
  <r>
    <d v="2019-11-14T00:00:00"/>
    <s v="Bouzyk Gustavo"/>
    <s v="-"/>
    <d v="2020-01-12T00:00:00"/>
    <s v="Provincia"/>
    <n v="63134158"/>
    <s v="Bouzyk Gustavo"/>
    <n v="25000"/>
    <x v="3"/>
    <s v="20-37011941-5"/>
    <n v="160"/>
    <m/>
    <d v="2019-11-19T00:00:00"/>
    <m/>
    <x v="1"/>
    <x v="6"/>
    <x v="1"/>
    <x v="0"/>
  </r>
  <r>
    <d v="2019-11-19T00:00:00"/>
    <s v="petrich todino"/>
    <m/>
    <d v="2019-11-22T00:00:00"/>
    <s v="BPBA"/>
    <n v="73731506"/>
    <s v="construir america sa"/>
    <n v="2500"/>
    <x v="0"/>
    <s v="30-711473873-5"/>
    <n v="161"/>
    <s v="c"/>
    <m/>
    <m/>
    <x v="1"/>
    <x v="2"/>
    <x v="0"/>
    <x v="19"/>
  </r>
  <r>
    <d v="2019-11-19T00:00:00"/>
    <s v="PETRICH GARCIA"/>
    <m/>
    <d v="2020-02-05T00:00:00"/>
    <s v="FRANCES"/>
    <n v="472674"/>
    <s v="GARCIA JAVIER"/>
    <n v="18850"/>
    <x v="0"/>
    <n v="20228458105"/>
    <n v="162"/>
    <m/>
    <d v="2020-02-06T00:00:00"/>
    <s v="Frances"/>
    <x v="1"/>
    <x v="7"/>
    <x v="1"/>
    <x v="22"/>
  </r>
  <r>
    <d v="2019-11-19T00:00:00"/>
    <s v="PETRICH TODINO"/>
    <m/>
    <d v="2019-10-28T00:00:00"/>
    <s v="BPBA"/>
    <n v="72052684"/>
    <s v="EREARNAU"/>
    <n v="1669"/>
    <x v="0"/>
    <s v="30-71159621-2"/>
    <n v="163"/>
    <s v="c"/>
    <m/>
    <m/>
    <x v="1"/>
    <x v="1"/>
    <x v="0"/>
    <x v="4"/>
  </r>
  <r>
    <d v="2019-11-19T00:00:00"/>
    <s v="PETRICH GARCIA"/>
    <m/>
    <d v="2020-01-23T00:00:00"/>
    <s v="FRANCES"/>
    <n v="472673"/>
    <s v="GARCIA JAVIER"/>
    <n v="16000"/>
    <x v="0"/>
    <s v="20-22845810-5"/>
    <n v="164"/>
    <s v="c"/>
    <m/>
    <m/>
    <x v="1"/>
    <x v="6"/>
    <x v="1"/>
    <x v="13"/>
  </r>
  <r>
    <d v="2019-11-19T00:00:00"/>
    <s v="PETRICH MASSON"/>
    <m/>
    <d v="2019-11-15T00:00:00"/>
    <s v="La Pampa"/>
    <n v="32766869"/>
    <s v="MASSON DANIEL"/>
    <n v="7068"/>
    <x v="3"/>
    <s v="3068117450-4"/>
    <n v="165"/>
    <s v="c"/>
    <d v="2019-11-19T00:00:00"/>
    <m/>
    <x v="1"/>
    <x v="2"/>
    <x v="0"/>
    <x v="14"/>
  </r>
  <r>
    <d v="2019-11-20T00:00:00"/>
    <s v="Muro Cristrina Raquel"/>
    <s v="-"/>
    <d v="2020-01-31T00:00:00"/>
    <s v="BBVA"/>
    <n v="176380"/>
    <s v="Muro Cristina Raquel"/>
    <n v="12500"/>
    <x v="3"/>
    <s v="27-13787839-4"/>
    <n v="166"/>
    <m/>
    <d v="2019-12-10T00:00:00"/>
    <m/>
    <x v="1"/>
    <x v="6"/>
    <x v="1"/>
    <x v="3"/>
  </r>
  <r>
    <d v="2019-11-20T00:00:00"/>
    <s v="Pedroche Osvaldo Jose"/>
    <s v="-"/>
    <d v="2020-01-26T00:00:00"/>
    <s v="Nacion"/>
    <n v="42773"/>
    <s v="Pedroche Osvaldo Jose"/>
    <n v="10000"/>
    <x v="3"/>
    <s v="20-11662886-5"/>
    <n v="167"/>
    <m/>
    <d v="2019-12-10T00:00:00"/>
    <m/>
    <x v="1"/>
    <x v="6"/>
    <x v="1"/>
    <x v="8"/>
  </r>
  <r>
    <d v="2019-11-20T00:00:00"/>
    <s v="Pedroche Osvaldo Jose"/>
    <s v="-"/>
    <d v="2020-01-12T00:00:00"/>
    <s v="Nacion"/>
    <n v="42774"/>
    <s v="Pedroche Osvaldo Jose"/>
    <n v="10000"/>
    <x v="0"/>
    <s v="20-11662886-5"/>
    <n v="168"/>
    <m/>
    <m/>
    <m/>
    <x v="1"/>
    <x v="6"/>
    <x v="1"/>
    <x v="0"/>
  </r>
  <r>
    <d v="2019-11-21T00:00:00"/>
    <s v="paracas nicolas"/>
    <m/>
    <d v="2019-12-15T00:00:00"/>
    <s v="Galicia"/>
    <n v="53429217"/>
    <s v="toraglio,mercedes"/>
    <n v="11111"/>
    <x v="0"/>
    <s v="27-30687024-1"/>
    <n v="169"/>
    <s v="c"/>
    <m/>
    <m/>
    <x v="1"/>
    <x v="3"/>
    <x v="0"/>
    <x v="14"/>
  </r>
  <r>
    <d v="2019-11-21T00:00:00"/>
    <s v="jose manuel gallego"/>
    <m/>
    <d v="2020-01-28T00:00:00"/>
    <s v="Macro"/>
    <n v="99298625"/>
    <s v="lospepes srl"/>
    <n v="12000"/>
    <x v="3"/>
    <n v="33715087419"/>
    <n v="170"/>
    <s v="c"/>
    <d v="2019-12-10T00:00:00"/>
    <m/>
    <x v="1"/>
    <x v="6"/>
    <x v="1"/>
    <x v="4"/>
  </r>
  <r>
    <d v="2019-11-22T00:00:00"/>
    <s v="gayone"/>
    <m/>
    <d v="2019-12-20T00:00:00"/>
    <s v="Santander Rio"/>
    <n v="14852"/>
    <s v="salud industritral"/>
    <n v="16092"/>
    <x v="0"/>
    <n v="33708599219"/>
    <n v="171"/>
    <m/>
    <m/>
    <m/>
    <x v="1"/>
    <x v="3"/>
    <x v="0"/>
    <x v="18"/>
  </r>
  <r>
    <d v="2019-11-22T00:00:00"/>
    <s v="Signiori Luis Alberto"/>
    <m/>
    <d v="2020-01-31T00:00:00"/>
    <s v="credicoop"/>
    <n v="22233233"/>
    <s v="signori luis"/>
    <n v="5000"/>
    <x v="0"/>
    <n v="20055106968"/>
    <n v="172"/>
    <s v="A"/>
    <m/>
    <m/>
    <x v="1"/>
    <x v="6"/>
    <x v="1"/>
    <x v="3"/>
  </r>
  <r>
    <d v="2019-11-22T00:00:00"/>
    <s v="Signiori Luis Alberto"/>
    <m/>
    <d v="2020-01-31T00:00:00"/>
    <s v="credicoop"/>
    <n v="22233234"/>
    <s v="signori luis"/>
    <n v="5000"/>
    <x v="1"/>
    <n v="20055106968"/>
    <n v="173"/>
    <m/>
    <d v="2020-01-06T00:00:00"/>
    <s v="Rontaltex"/>
    <x v="1"/>
    <x v="6"/>
    <x v="1"/>
    <x v="3"/>
  </r>
  <r>
    <d v="2019-11-27T00:00:00"/>
    <s v="Signiori Luis Alberto"/>
    <s v="-"/>
    <d v="2020-01-31T00:00:00"/>
    <s v="credicoop"/>
    <n v="22233235"/>
    <s v="Signiori Luis Alberto"/>
    <n v="5000"/>
    <x v="0"/>
    <s v="20-05510696-8"/>
    <n v="174"/>
    <m/>
    <m/>
    <m/>
    <x v="1"/>
    <x v="6"/>
    <x v="1"/>
    <x v="3"/>
  </r>
  <r>
    <d v="2019-11-27T00:00:00"/>
    <s v="Signiori Luis Alberto"/>
    <s v="-"/>
    <d v="2020-01-31T00:00:00"/>
    <s v="credicoop"/>
    <n v="22233236"/>
    <s v="Signiori Luis Alberto"/>
    <n v="5000"/>
    <x v="0"/>
    <s v="20-05510696-8"/>
    <n v="175"/>
    <m/>
    <m/>
    <m/>
    <x v="1"/>
    <x v="6"/>
    <x v="1"/>
    <x v="3"/>
  </r>
  <r>
    <d v="2019-11-27T00:00:00"/>
    <s v="Signiori Luis Alberto"/>
    <s v="-"/>
    <d v="2020-02-28T00:00:00"/>
    <s v="credicoop"/>
    <n v="22233237"/>
    <s v="Signiori Luis Alberto"/>
    <n v="5000"/>
    <x v="1"/>
    <s v="20-05510696-8"/>
    <n v="176"/>
    <m/>
    <d v="2020-01-06T00:00:00"/>
    <s v="Rontaltex"/>
    <x v="1"/>
    <x v="7"/>
    <x v="1"/>
    <x v="4"/>
  </r>
  <r>
    <d v="2019-11-27T00:00:00"/>
    <s v="Signiori Luis Alberto"/>
    <s v="-"/>
    <d v="2020-02-28T00:00:00"/>
    <s v="credicoop"/>
    <n v="22233238"/>
    <s v="Signiori Luis Alberto"/>
    <n v="5000"/>
    <x v="1"/>
    <s v="20-05510696-8"/>
    <n v="177"/>
    <m/>
    <m/>
    <m/>
    <x v="1"/>
    <x v="7"/>
    <x v="1"/>
    <x v="4"/>
  </r>
  <r>
    <d v="2019-11-27T00:00:00"/>
    <s v="Signiori Luis Alberto"/>
    <s v="-"/>
    <d v="2020-02-28T00:00:00"/>
    <s v="credicoop"/>
    <n v="22233239"/>
    <s v="Signiori Luis Alberto"/>
    <n v="5000"/>
    <x v="0"/>
    <s v="20-05510696-8"/>
    <n v="178"/>
    <m/>
    <m/>
    <m/>
    <x v="1"/>
    <x v="7"/>
    <x v="1"/>
    <x v="4"/>
  </r>
  <r>
    <d v="2019-11-27T00:00:00"/>
    <s v="Signiori Luis Alberto"/>
    <s v="-"/>
    <d v="2020-02-28T00:00:00"/>
    <s v="credicoop"/>
    <n v="22233240"/>
    <s v="Signiori Luis Alberto"/>
    <n v="5000"/>
    <x v="0"/>
    <s v="20-05510696-8"/>
    <n v="179"/>
    <m/>
    <m/>
    <m/>
    <x v="1"/>
    <x v="7"/>
    <x v="1"/>
    <x v="4"/>
  </r>
  <r>
    <d v="2019-11-27T00:00:00"/>
    <s v="Signiori Luis Alberto"/>
    <s v="-"/>
    <d v="2020-03-31T00:00:00"/>
    <s v="credicoop"/>
    <n v="22233241"/>
    <s v="Signiori Luis Alberto"/>
    <n v="7000"/>
    <x v="0"/>
    <s v="20-05510696-8"/>
    <n v="180"/>
    <m/>
    <d v="2020-04-02T00:00:00"/>
    <m/>
    <x v="1"/>
    <x v="8"/>
    <x v="1"/>
    <x v="3"/>
  </r>
  <r>
    <d v="2019-11-27T00:00:00"/>
    <s v="Signiori Luis Alberto"/>
    <s v="-"/>
    <d v="2020-03-31T00:00:00"/>
    <s v="credicoop"/>
    <n v="22233243"/>
    <s v="Signiori Luis Alberto"/>
    <n v="7000"/>
    <x v="4"/>
    <s v="20-05510696-8"/>
    <n v="181"/>
    <m/>
    <m/>
    <m/>
    <x v="1"/>
    <x v="8"/>
    <x v="1"/>
    <x v="3"/>
  </r>
  <r>
    <d v="2019-11-27T00:00:00"/>
    <s v="Signiori Luis Alberto"/>
    <s v="-"/>
    <d v="2020-03-31T00:00:00"/>
    <s v="credicoop"/>
    <n v="22233244"/>
    <s v="Signiori Luis Alberto"/>
    <n v="7000"/>
    <x v="1"/>
    <s v="20-05510696-8"/>
    <n v="182"/>
    <m/>
    <m/>
    <m/>
    <x v="1"/>
    <x v="8"/>
    <x v="1"/>
    <x v="3"/>
  </r>
  <r>
    <d v="2019-11-27T00:00:00"/>
    <s v="Signiori Luis Alberto"/>
    <s v="-"/>
    <d v="2020-03-31T00:00:00"/>
    <s v="credicoop"/>
    <n v="22233245"/>
    <s v="Signiori Luis Alberto"/>
    <n v="10313"/>
    <x v="4"/>
    <s v="20-05510696-8"/>
    <n v="183"/>
    <m/>
    <d v="2020-04-02T00:00:00"/>
    <m/>
    <x v="1"/>
    <x v="8"/>
    <x v="1"/>
    <x v="3"/>
  </r>
  <r>
    <d v="2019-11-27T00:00:00"/>
    <s v="Ganderatz S.A."/>
    <s v="-"/>
    <d v="2020-01-31T00:00:00"/>
    <s v="BBVA"/>
    <n v="847610"/>
    <s v="Ganderatz S.A."/>
    <n v="30000"/>
    <x v="3"/>
    <s v="33-70946211-9"/>
    <n v="184"/>
    <m/>
    <d v="2019-12-10T00:00:00"/>
    <m/>
    <x v="1"/>
    <x v="6"/>
    <x v="1"/>
    <x v="3"/>
  </r>
  <r>
    <d v="2019-11-27T00:00:00"/>
    <s v="Ganderatz S.A."/>
    <s v="-"/>
    <d v="2020-02-29T00:00:00"/>
    <s v="BBVA"/>
    <n v="847611"/>
    <s v="Ganderatz S.A."/>
    <n v="36747"/>
    <x v="0"/>
    <s v="33-70946211-9"/>
    <n v="185"/>
    <m/>
    <d v="2020-03-02T00:00:00"/>
    <s v="Frances"/>
    <x v="1"/>
    <x v="7"/>
    <x v="1"/>
    <x v="5"/>
  </r>
  <r>
    <d v="2019-11-27T00:00:00"/>
    <s v="Manzo"/>
    <s v="-"/>
    <d v="2020-01-29T00:00:00"/>
    <s v="Provincia"/>
    <n v="74208214"/>
    <s v="Cassibba Julio Alberto"/>
    <n v="4560"/>
    <x v="0"/>
    <s v="20-05305088-4"/>
    <n v="186"/>
    <m/>
    <d v="2020-01-30T00:00:00"/>
    <m/>
    <x v="1"/>
    <x v="6"/>
    <x v="1"/>
    <x v="5"/>
  </r>
  <r>
    <d v="2019-11-27T00:00:00"/>
    <s v="Manzo"/>
    <s v="-"/>
    <d v="2019-11-13T00:00:00"/>
    <s v="Provincia"/>
    <n v="71896760"/>
    <s v="Municipalidad de Ayacucho"/>
    <n v="2000"/>
    <x v="0"/>
    <s v="33-99900568-9"/>
    <n v="187"/>
    <m/>
    <m/>
    <m/>
    <x v="1"/>
    <x v="2"/>
    <x v="0"/>
    <x v="7"/>
  </r>
  <r>
    <d v="2019-11-27T00:00:00"/>
    <s v="Manzo"/>
    <s v="-"/>
    <d v="2019-12-24T00:00:00"/>
    <s v="Provincia"/>
    <n v="74208213"/>
    <s v="Cassibba Julio Alberto"/>
    <n v="4600"/>
    <x v="0"/>
    <s v="20-05305088-4"/>
    <n v="188"/>
    <m/>
    <d v="2020-01-02T00:00:00"/>
    <m/>
    <x v="1"/>
    <x v="3"/>
    <x v="0"/>
    <x v="6"/>
  </r>
  <r>
    <d v="2019-11-28T00:00:00"/>
    <s v="Poli Martinez"/>
    <m/>
    <d v="2020-01-26T00:00:00"/>
    <s v="Santander Rio"/>
    <n v="394000189"/>
    <s v="Martin Jorge Carlos"/>
    <n v="34000"/>
    <x v="0"/>
    <n v="20073673683"/>
    <n v="189"/>
    <s v="c"/>
    <m/>
    <m/>
    <x v="1"/>
    <x v="6"/>
    <x v="1"/>
    <x v="8"/>
  </r>
  <r>
    <d v="2019-11-28T00:00:00"/>
    <s v="Poli Martinez"/>
    <m/>
    <d v="2020-02-16T00:00:00"/>
    <s v="Santander Rio"/>
    <n v="39400190"/>
    <s v="Martin Jorge Carlos"/>
    <n v="34000"/>
    <x v="3"/>
    <s v="20-07367368-3"/>
    <n v="190"/>
    <s v="c"/>
    <m/>
    <m/>
    <x v="1"/>
    <x v="7"/>
    <x v="1"/>
    <x v="23"/>
  </r>
  <r>
    <d v="2019-11-29T00:00:00"/>
    <s v="Riabis _x000a_"/>
    <m/>
    <d v="2019-12-13T00:00:00"/>
    <s v="credicoop"/>
    <n v="22375806"/>
    <s v="Ermantraut nestor_x000a_"/>
    <n v="4000"/>
    <x v="0"/>
    <s v="20-18461228-4"/>
    <n v="191"/>
    <s v="c"/>
    <m/>
    <m/>
    <x v="1"/>
    <x v="3"/>
    <x v="0"/>
    <x v="7"/>
  </r>
  <r>
    <d v="2019-11-29T00:00:00"/>
    <s v="Riabis _x000a_"/>
    <m/>
    <d v="2019-12-16T00:00:00"/>
    <s v="Macro"/>
    <n v="99915790"/>
    <s v="catalano nicolas"/>
    <n v="5000"/>
    <x v="0"/>
    <s v="20-31215781-1"/>
    <n v="192"/>
    <s v="c"/>
    <m/>
    <m/>
    <x v="1"/>
    <x v="3"/>
    <x v="0"/>
    <x v="23"/>
  </r>
  <r>
    <d v="2019-11-29T00:00:00"/>
    <s v="Riabis"/>
    <m/>
    <d v="2019-12-17T00:00:00"/>
    <s v="Nacion"/>
    <n v="904208"/>
    <s v="Pato emiliano Andres"/>
    <n v="4000"/>
    <x v="0"/>
    <s v="20-13454226-9"/>
    <n v="193"/>
    <m/>
    <m/>
    <m/>
    <x v="1"/>
    <x v="3"/>
    <x v="0"/>
    <x v="21"/>
  </r>
  <r>
    <d v="2019-11-29T00:00:00"/>
    <s v="Riabis"/>
    <m/>
    <d v="2019-12-26T00:00:00"/>
    <s v="Nacion"/>
    <n v="43404"/>
    <s v="Anhorn juan ricardo"/>
    <n v="4500"/>
    <x v="0"/>
    <s v="20-07695582-5"/>
    <n v="194"/>
    <s v="c"/>
    <d v="2019-12-27T00:00:00"/>
    <m/>
    <x v="1"/>
    <x v="3"/>
    <x v="0"/>
    <x v="8"/>
  </r>
  <r>
    <d v="2019-11-29T00:00:00"/>
    <s v="Riabis"/>
    <m/>
    <d v="2019-12-30T00:00:00"/>
    <s v="BPBA"/>
    <n v="71064505"/>
    <s v="Victor Jose Antonio"/>
    <n v="5730"/>
    <x v="4"/>
    <s v="20-24168928-0"/>
    <n v="195"/>
    <m/>
    <d v="2020-01-09T00:00:00"/>
    <m/>
    <x v="1"/>
    <x v="3"/>
    <x v="0"/>
    <x v="2"/>
  </r>
  <r>
    <d v="2019-12-04T00:00:00"/>
    <s v="Bousyk Algodon"/>
    <s v="-"/>
    <d v="2019-12-15T00:00:00"/>
    <s v="Provincia"/>
    <n v="69038363"/>
    <s v="Mosca Alicia Bella"/>
    <n v="13300"/>
    <x v="1"/>
    <s v="27-16535624-7"/>
    <n v="196"/>
    <m/>
    <d v="2019-12-09T00:00:00"/>
    <s v="David Hilado"/>
    <x v="5"/>
    <x v="3"/>
    <x v="0"/>
    <x v="14"/>
  </r>
  <r>
    <d v="2019-12-04T00:00:00"/>
    <s v="Martines Carlos"/>
    <s v="-"/>
    <d v="2019-12-21T00:00:00"/>
    <s v="Nacion"/>
    <n v="1548305"/>
    <s v="Muro Cristina Raquel"/>
    <n v="6543"/>
    <x v="0"/>
    <s v="27-13787839-4"/>
    <n v="197"/>
    <m/>
    <d v="2019-12-27T00:00:00"/>
    <m/>
    <x v="1"/>
    <x v="3"/>
    <x v="0"/>
    <x v="15"/>
  </r>
  <r>
    <d v="2019-12-04T00:00:00"/>
    <s v="Petrich"/>
    <s v="-"/>
    <d v="2020-02-20T00:00:00"/>
    <s v="Provincia"/>
    <n v="70102336"/>
    <s v="Allegretti Gustavo Carlos"/>
    <n v="4080"/>
    <x v="0"/>
    <s v="20-13770402-2"/>
    <n v="198"/>
    <m/>
    <d v="2020-02-20T00:00:00"/>
    <m/>
    <x v="1"/>
    <x v="7"/>
    <x v="1"/>
    <x v="18"/>
  </r>
  <r>
    <d v="2019-12-04T00:00:00"/>
    <s v="Petrich"/>
    <s v="-"/>
    <d v="2020-01-20T00:00:00"/>
    <s v="Provincia"/>
    <n v="70102335"/>
    <s v="Allegretti Gustavo Carlos"/>
    <n v="4080"/>
    <x v="0"/>
    <s v="20-13770402-2_x000a_"/>
    <n v="199"/>
    <m/>
    <m/>
    <m/>
    <x v="1"/>
    <x v="6"/>
    <x v="1"/>
    <x v="18"/>
  </r>
  <r>
    <d v="2019-12-04T00:00:00"/>
    <s v="Petrich"/>
    <s v="-"/>
    <d v="2019-12-20T00:00:00"/>
    <s v="Provincia"/>
    <n v="70102334"/>
    <s v="Allegretti Gustavo Carlos"/>
    <n v="4080"/>
    <x v="0"/>
    <s v="20-13770402-2_x000a_"/>
    <n v="200"/>
    <m/>
    <m/>
    <m/>
    <x v="1"/>
    <x v="3"/>
    <x v="0"/>
    <x v="18"/>
  </r>
  <r>
    <d v="2019-12-04T00:00:00"/>
    <s v="Petrich"/>
    <s v="-"/>
    <d v="2020-01-15T00:00:00"/>
    <s v="Provincia"/>
    <n v="70921768"/>
    <s v="Bazan Sandra Maria"/>
    <n v="4130"/>
    <x v="0"/>
    <s v="27-116584512-4"/>
    <n v="201"/>
    <m/>
    <m/>
    <m/>
    <x v="1"/>
    <x v="6"/>
    <x v="1"/>
    <x v="14"/>
  </r>
  <r>
    <d v="2019-12-04T00:00:00"/>
    <s v="Petrich"/>
    <s v="-"/>
    <d v="2019-12-30T00:00:00"/>
    <s v="Provincia"/>
    <n v="70921767"/>
    <s v="Bazan Sandra Maria"/>
    <n v="4130"/>
    <x v="0"/>
    <s v="27-116584512-4"/>
    <n v="202"/>
    <m/>
    <d v="2020-01-02T00:00:00"/>
    <m/>
    <x v="1"/>
    <x v="3"/>
    <x v="0"/>
    <x v="2"/>
  </r>
  <r>
    <d v="2019-12-04T00:00:00"/>
    <s v="Manzo"/>
    <s v="-"/>
    <d v="2020-01-08T00:00:00"/>
    <s v="Provincia"/>
    <n v="71415723"/>
    <s v="Bovati Mario Sergio"/>
    <n v="20000"/>
    <x v="3"/>
    <s v="20-14748704-6"/>
    <n v="203"/>
    <m/>
    <d v="2019-12-16T00:00:00"/>
    <m/>
    <x v="1"/>
    <x v="6"/>
    <x v="1"/>
    <x v="20"/>
  </r>
  <r>
    <d v="2019-12-04T00:00:00"/>
    <s v="Manzo"/>
    <s v="-"/>
    <d v="2020-01-01T00:00:00"/>
    <s v="Provincia"/>
    <n v="71415724"/>
    <s v="Bovati Mario Sergio"/>
    <n v="25000"/>
    <x v="3"/>
    <s v="20-14748704-6"/>
    <n v="204"/>
    <m/>
    <d v="2019-12-16T00:00:00"/>
    <m/>
    <x v="1"/>
    <x v="6"/>
    <x v="1"/>
    <x v="24"/>
  </r>
  <r>
    <d v="2019-12-04T00:00:00"/>
    <s v="Viga"/>
    <s v="-"/>
    <d v="2019-12-20T00:00:00"/>
    <s v="Nacion"/>
    <n v="6840394"/>
    <s v="Camusso Flavio Andres"/>
    <n v="7840"/>
    <x v="3"/>
    <s v="20-20622578-6"/>
    <n v="205"/>
    <m/>
    <d v="2019-12-10T00:00:00"/>
    <m/>
    <x v="1"/>
    <x v="3"/>
    <x v="0"/>
    <x v="18"/>
  </r>
  <r>
    <d v="2019-12-04T00:00:00"/>
    <s v="Viga"/>
    <s v="-"/>
    <d v="2019-12-20T00:00:00"/>
    <s v="Nacion"/>
    <n v="272896"/>
    <s v="Nuñez Licia Virginia Del_x000a_"/>
    <n v="7514.1"/>
    <x v="3"/>
    <s v="27-11685339-1"/>
    <n v="206"/>
    <m/>
    <d v="2019-12-05T00:00:00"/>
    <m/>
    <x v="1"/>
    <x v="3"/>
    <x v="0"/>
    <x v="18"/>
  </r>
  <r>
    <d v="2019-12-04T00:00:00"/>
    <s v="Viga"/>
    <s v="-"/>
    <d v="2019-12-24T00:00:00"/>
    <s v="Macro"/>
    <n v="99723151"/>
    <s v="Rangone Marina Soledad"/>
    <n v="15000"/>
    <x v="0"/>
    <s v="27-25644111-5"/>
    <n v="207"/>
    <m/>
    <d v="2019-12-27T00:00:00"/>
    <m/>
    <x v="1"/>
    <x v="3"/>
    <x v="0"/>
    <x v="6"/>
  </r>
  <r>
    <d v="2019-12-04T00:00:00"/>
    <s v="Viga"/>
    <s v="-"/>
    <d v="2019-12-30T00:00:00"/>
    <s v="Galicia"/>
    <n v="52913391"/>
    <s v="Anguino Ivan Cristian Roque"/>
    <n v="30000"/>
    <x v="0"/>
    <s v="24-26182518-6"/>
    <n v="208"/>
    <m/>
    <m/>
    <m/>
    <x v="1"/>
    <x v="3"/>
    <x v="0"/>
    <x v="2"/>
  </r>
  <r>
    <d v="2019-12-04T00:00:00"/>
    <s v="Viga"/>
    <s v="-"/>
    <d v="2019-12-30T00:00:00"/>
    <s v="ICBC"/>
    <n v="96562056"/>
    <s v="Carelli Leticia"/>
    <n v="5000"/>
    <x v="3"/>
    <s v="27-22704255-4"/>
    <n v="209"/>
    <m/>
    <d v="2020-01-03T00:00:00"/>
    <m/>
    <x v="1"/>
    <x v="3"/>
    <x v="0"/>
    <x v="2"/>
  </r>
  <r>
    <d v="2019-12-04T00:00:00"/>
    <s v="Viga"/>
    <s v="-"/>
    <d v="2019-12-30T00:00:00"/>
    <s v="Nacion"/>
    <n v="73"/>
    <s v="Rubin Valeria"/>
    <n v="12700"/>
    <x v="3"/>
    <s v="27-27433026-6"/>
    <n v="210"/>
    <m/>
    <d v="2020-01-02T00:00:00"/>
    <m/>
    <x v="1"/>
    <x v="3"/>
    <x v="0"/>
    <x v="2"/>
  </r>
  <r>
    <d v="2019-12-04T00:00:00"/>
    <s v="Viga"/>
    <s v="-"/>
    <d v="2019-12-31T00:00:00"/>
    <s v="Santander Rio"/>
    <n v="18600133"/>
    <s v="Pereyra Mario Alejandro"/>
    <n v="30000"/>
    <x v="0"/>
    <s v="20-20825482-1"/>
    <n v="211"/>
    <m/>
    <m/>
    <m/>
    <x v="1"/>
    <x v="3"/>
    <x v="0"/>
    <x v="3"/>
  </r>
  <r>
    <d v="2019-12-04T00:00:00"/>
    <s v="Viga"/>
    <s v="-"/>
    <d v="2020-01-10T00:00:00"/>
    <s v="Macro"/>
    <n v="10622349"/>
    <s v="Ratti Maria Laura _x000a_"/>
    <n v="9154"/>
    <x v="0"/>
    <s v="27-11061794-7"/>
    <n v="212"/>
    <m/>
    <d v="2020-01-10T00:00:00"/>
    <m/>
    <x v="1"/>
    <x v="6"/>
    <x v="1"/>
    <x v="17"/>
  </r>
  <r>
    <d v="2019-12-04T00:00:00"/>
    <s v="Viga"/>
    <s v="-"/>
    <d v="2020-01-11T00:00:00"/>
    <s v="Patagonia"/>
    <n v="20252366"/>
    <s v="Bonanza S.H."/>
    <n v="19000"/>
    <x v="0"/>
    <s v="30-71462813-1"/>
    <n v="213"/>
    <m/>
    <d v="2020-01-13T00:00:00"/>
    <m/>
    <x v="1"/>
    <x v="6"/>
    <x v="1"/>
    <x v="11"/>
  </r>
  <r>
    <d v="2019-12-04T00:00:00"/>
    <s v="Viga"/>
    <s v="-"/>
    <d v="2020-01-11T00:00:00"/>
    <s v="Superville"/>
    <n v="91164038"/>
    <s v="Gonzalez Analia Gabriela"/>
    <n v="15000"/>
    <x v="0"/>
    <s v="27-22911289-4"/>
    <n v="214"/>
    <m/>
    <d v="2020-01-13T00:00:00"/>
    <m/>
    <x v="1"/>
    <x v="6"/>
    <x v="1"/>
    <x v="11"/>
  </r>
  <r>
    <d v="2019-12-04T00:00:00"/>
    <s v="Viga"/>
    <s v="-"/>
    <d v="2020-01-12T00:00:00"/>
    <s v="credicoop"/>
    <n v="21293594"/>
    <s v="Yordan Mariano Nicolas"/>
    <n v="11581.99"/>
    <x v="0"/>
    <s v="20-27444807-6"/>
    <n v="215"/>
    <m/>
    <d v="2020-01-13T00:00:00"/>
    <m/>
    <x v="1"/>
    <x v="6"/>
    <x v="1"/>
    <x v="0"/>
  </r>
  <r>
    <d v="2019-12-04T00:00:00"/>
    <s v="Viga"/>
    <s v="-"/>
    <d v="2020-01-12T00:00:00"/>
    <s v="Santander Rio"/>
    <n v="70400182"/>
    <s v="Joris Paulina Beatriz"/>
    <n v="11000"/>
    <x v="0"/>
    <s v="27-28661925-3"/>
    <n v="216"/>
    <m/>
    <d v="2020-01-13T00:00:00"/>
    <m/>
    <x v="1"/>
    <x v="6"/>
    <x v="1"/>
    <x v="0"/>
  </r>
  <r>
    <d v="2019-12-04T00:00:00"/>
    <s v="Viga"/>
    <s v="-"/>
    <d v="2020-01-12T00:00:00"/>
    <s v="Superville"/>
    <n v="91511200"/>
    <s v="Margot S.R.L"/>
    <n v="15000"/>
    <x v="5"/>
    <s v="30-71458446-0"/>
    <n v="217"/>
    <m/>
    <m/>
    <m/>
    <x v="6"/>
    <x v="6"/>
    <x v="1"/>
    <x v="0"/>
  </r>
  <r>
    <d v="2019-12-04T00:00:00"/>
    <s v="Viga"/>
    <s v="-"/>
    <d v="2020-01-12T00:00:00"/>
    <s v="Superville"/>
    <n v="89679473"/>
    <s v="Fernandez Victor Andres"/>
    <n v="14965"/>
    <x v="0"/>
    <s v="20-16499348-6"/>
    <n v="218"/>
    <m/>
    <d v="2020-01-13T00:00:00"/>
    <m/>
    <x v="1"/>
    <x v="6"/>
    <x v="1"/>
    <x v="0"/>
  </r>
  <r>
    <d v="2019-12-04T00:00:00"/>
    <s v="Viga"/>
    <s v="-"/>
    <d v="2020-01-14T00:00:00"/>
    <s v="Macro"/>
    <n v="99133838"/>
    <s v="Berardo Carolina Soledad_x000a_"/>
    <n v="10000"/>
    <x v="0"/>
    <s v="27-31404261-7"/>
    <n v="219"/>
    <m/>
    <m/>
    <m/>
    <x v="1"/>
    <x v="6"/>
    <x v="1"/>
    <x v="16"/>
  </r>
  <r>
    <d v="2019-12-04T00:00:00"/>
    <s v="Viga"/>
    <s v="-"/>
    <d v="2020-01-14T00:00:00"/>
    <s v="Nuevo Banco Del Chaco"/>
    <n v="7448422"/>
    <s v="Bertolucci Rene Federico"/>
    <n v="17738"/>
    <x v="0"/>
    <s v="20-30791872-3"/>
    <n v="220"/>
    <m/>
    <m/>
    <m/>
    <x v="1"/>
    <x v="6"/>
    <x v="1"/>
    <x v="16"/>
  </r>
  <r>
    <d v="2019-12-04T00:00:00"/>
    <s v="Viga"/>
    <s v="-"/>
    <d v="2020-01-15T00:00:00"/>
    <s v="Galicia"/>
    <n v="52913392"/>
    <s v="Anguino Ivan Cristian Roque"/>
    <n v="30000"/>
    <x v="0"/>
    <s v="24-26182518-6"/>
    <n v="221"/>
    <m/>
    <m/>
    <m/>
    <x v="1"/>
    <x v="6"/>
    <x v="1"/>
    <x v="14"/>
  </r>
  <r>
    <d v="2019-12-04T00:00:00"/>
    <s v="Viga"/>
    <s v="-"/>
    <d v="2020-01-15T00:00:00"/>
    <s v="Nacion"/>
    <n v="6840382"/>
    <s v="Camusso Flavio Andres"/>
    <n v="7290"/>
    <x v="0"/>
    <s v="20-20622578-6"/>
    <n v="222"/>
    <m/>
    <m/>
    <m/>
    <x v="1"/>
    <x v="6"/>
    <x v="1"/>
    <x v="14"/>
  </r>
  <r>
    <d v="2019-12-04T00:00:00"/>
    <s v="Viga"/>
    <s v="-"/>
    <d v="2020-01-15T00:00:00"/>
    <s v="Macro"/>
    <n v="10484498"/>
    <s v="Villegas Gustavo Mauricio"/>
    <n v="20000"/>
    <x v="0"/>
    <s v="20-17180994-1"/>
    <n v="223"/>
    <m/>
    <m/>
    <m/>
    <x v="1"/>
    <x v="6"/>
    <x v="1"/>
    <x v="14"/>
  </r>
  <r>
    <d v="2019-12-04T00:00:00"/>
    <s v="Viga"/>
    <s v="-"/>
    <d v="2020-01-15T00:00:00"/>
    <s v="Santander Rio"/>
    <n v="216"/>
    <s v="Caffarena Julieta Erika"/>
    <n v="4346"/>
    <x v="0"/>
    <s v="27-22062662-3"/>
    <n v="224"/>
    <m/>
    <m/>
    <m/>
    <x v="1"/>
    <x v="6"/>
    <x v="1"/>
    <x v="14"/>
  </r>
  <r>
    <d v="2019-12-04T00:00:00"/>
    <s v="Viga"/>
    <s v="-"/>
    <d v="2020-01-15T00:00:00"/>
    <s v="Nacion"/>
    <n v="74"/>
    <s v="Rubin Valeria"/>
    <n v="12700"/>
    <x v="0"/>
    <s v="27-27433026-6"/>
    <n v="225"/>
    <m/>
    <m/>
    <m/>
    <x v="1"/>
    <x v="6"/>
    <x v="1"/>
    <x v="14"/>
  </r>
  <r>
    <d v="2019-12-04T00:00:00"/>
    <s v="Viga"/>
    <s v="-"/>
    <d v="2020-01-16T00:00:00"/>
    <s v="FRANCES"/>
    <n v="572054"/>
    <s v="Qualitie Servicios"/>
    <n v="25000"/>
    <x v="4"/>
    <s v="30-71635884-0"/>
    <n v="226"/>
    <m/>
    <d v="2020-01-16T00:00:00"/>
    <m/>
    <x v="1"/>
    <x v="6"/>
    <x v="1"/>
    <x v="23"/>
  </r>
  <r>
    <d v="2019-12-04T00:00:00"/>
    <s v="Viga"/>
    <s v="-"/>
    <d v="2020-01-16T00:00:00"/>
    <s v="credicoop"/>
    <n v="20545538"/>
    <s v="Paduan Estela Maris"/>
    <n v="17146"/>
    <x v="0"/>
    <s v="27-13367846-3"/>
    <n v="227"/>
    <m/>
    <m/>
    <m/>
    <x v="1"/>
    <x v="6"/>
    <x v="1"/>
    <x v="23"/>
  </r>
  <r>
    <d v="2019-12-04T00:00:00"/>
    <s v="Viga"/>
    <s v="-"/>
    <d v="2020-01-16T00:00:00"/>
    <s v="credicoop"/>
    <n v="21924954"/>
    <s v="Castellano Julieta Sabina"/>
    <n v="10000"/>
    <x v="0"/>
    <s v="27-31215595-3"/>
    <n v="228"/>
    <m/>
    <m/>
    <m/>
    <x v="1"/>
    <x v="6"/>
    <x v="1"/>
    <x v="23"/>
  </r>
  <r>
    <d v="2019-12-04T00:00:00"/>
    <s v="Viga"/>
    <s v="-"/>
    <d v="2020-01-18T00:00:00"/>
    <s v="Superville"/>
    <n v="91596282"/>
    <s v="Olguin Daniel y Sosa Ya"/>
    <n v="16114"/>
    <x v="4"/>
    <s v="30-71468585-2"/>
    <n v="229"/>
    <m/>
    <m/>
    <m/>
    <x v="1"/>
    <x v="6"/>
    <x v="1"/>
    <x v="9"/>
  </r>
  <r>
    <d v="2019-12-04T00:00:00"/>
    <s v="Viga"/>
    <s v="-"/>
    <d v="2020-01-18T00:00:00"/>
    <s v="La Pampa"/>
    <n v="33173211"/>
    <s v="Tizon Maria Cecilia"/>
    <n v="3750"/>
    <x v="0"/>
    <s v="27-30730726-5"/>
    <n v="230"/>
    <m/>
    <m/>
    <m/>
    <x v="1"/>
    <x v="6"/>
    <x v="1"/>
    <x v="9"/>
  </r>
  <r>
    <d v="2019-12-04T00:00:00"/>
    <s v="Viga"/>
    <s v="-"/>
    <d v="2020-01-18T00:00:00"/>
    <s v="Chubut"/>
    <n v="17354376"/>
    <s v="Vargas Lilian"/>
    <n v="10000"/>
    <x v="0"/>
    <s v="27-14266621-4"/>
    <n v="231"/>
    <m/>
    <m/>
    <m/>
    <x v="1"/>
    <x v="6"/>
    <x v="1"/>
    <x v="9"/>
  </r>
  <r>
    <d v="2019-12-04T00:00:00"/>
    <s v="Viga"/>
    <s v="-"/>
    <d v="2020-01-18T00:00:00"/>
    <s v="Santander Rio"/>
    <n v="7040183"/>
    <s v="Paulina Beatriz"/>
    <n v="11000"/>
    <x v="0"/>
    <s v="27-28661925-3"/>
    <n v="232"/>
    <m/>
    <m/>
    <m/>
    <x v="1"/>
    <x v="6"/>
    <x v="1"/>
    <x v="9"/>
  </r>
  <r>
    <d v="2019-12-04T00:00:00"/>
    <s v="Viga"/>
    <s v="-"/>
    <d v="2020-01-19T00:00:00"/>
    <s v="Patagonia"/>
    <n v="20252360"/>
    <s v="Bonanza S.H."/>
    <n v="25000"/>
    <x v="3"/>
    <s v="30-71462813-1"/>
    <n v="233"/>
    <m/>
    <d v="2019-12-05T00:00:00"/>
    <m/>
    <x v="1"/>
    <x v="6"/>
    <x v="1"/>
    <x v="25"/>
  </r>
  <r>
    <d v="2019-12-04T00:00:00"/>
    <s v="Viga"/>
    <s v="-"/>
    <d v="2020-01-20T00:00:00"/>
    <s v="Nacion"/>
    <n v="729"/>
    <s v="Valdivia Leal Eliana Cristina"/>
    <n v="10000"/>
    <x v="0"/>
    <s v="27-92353970-6"/>
    <n v="234"/>
    <m/>
    <m/>
    <m/>
    <x v="1"/>
    <x v="6"/>
    <x v="1"/>
    <x v="18"/>
  </r>
  <r>
    <d v="2019-12-04T00:00:00"/>
    <s v="Viga"/>
    <s v="-"/>
    <d v="2020-01-20T00:00:00"/>
    <s v="Superville"/>
    <n v="91371245"/>
    <s v="Sanchez Maria Del Rosaio"/>
    <n v="15000"/>
    <x v="3"/>
    <s v="27-27759636-4"/>
    <n v="235"/>
    <m/>
    <d v="2019-12-26T00:00:00"/>
    <m/>
    <x v="1"/>
    <x v="6"/>
    <x v="1"/>
    <x v="18"/>
  </r>
  <r>
    <d v="2019-12-04T00:00:00"/>
    <s v="Viga"/>
    <s v="-"/>
    <d v="2020-01-20T00:00:00"/>
    <s v="Superville"/>
    <n v="91623846"/>
    <s v="Sanchez Maria Del Rosaio"/>
    <n v="17000"/>
    <x v="3"/>
    <s v="27-27759636-4"/>
    <n v="236"/>
    <m/>
    <d v="2020-01-07T00:00:00"/>
    <m/>
    <x v="1"/>
    <x v="6"/>
    <x v="1"/>
    <x v="18"/>
  </r>
  <r>
    <d v="2019-12-04T00:00:00"/>
    <s v="Viga"/>
    <s v="-"/>
    <d v="2020-01-20T00:00:00"/>
    <s v="BPN"/>
    <n v="82276753"/>
    <s v="Recarte Vilma Liliana"/>
    <n v="15000"/>
    <x v="0"/>
    <s v="27-17006462-9"/>
    <n v="237"/>
    <m/>
    <m/>
    <m/>
    <x v="1"/>
    <x v="6"/>
    <x v="1"/>
    <x v="18"/>
  </r>
  <r>
    <d v="2019-12-04T00:00:00"/>
    <s v="Viga"/>
    <s v="-"/>
    <d v="2020-01-20T00:00:00"/>
    <s v="Nacion"/>
    <n v="272897"/>
    <s v="Nuñez Licia Virginia Del_x000a_"/>
    <n v="10694"/>
    <x v="0"/>
    <s v="27-11685339-1"/>
    <n v="238"/>
    <m/>
    <m/>
    <m/>
    <x v="1"/>
    <x v="6"/>
    <x v="1"/>
    <x v="18"/>
  </r>
  <r>
    <d v="2019-12-04T00:00:00"/>
    <s v="Viga"/>
    <s v="-"/>
    <d v="2020-01-31T00:00:00"/>
    <s v="Chubut"/>
    <n v="17354377"/>
    <s v="Vargas Lilian"/>
    <n v="10000"/>
    <x v="0"/>
    <s v="27-14266621-4"/>
    <n v="239"/>
    <m/>
    <d v="2020-01-31T00:00:00"/>
    <m/>
    <x v="1"/>
    <x v="6"/>
    <x v="1"/>
    <x v="3"/>
  </r>
  <r>
    <d v="2019-12-05T00:00:00"/>
    <s v="Manzo"/>
    <s v="-"/>
    <d v="2020-01-23T00:00:00"/>
    <s v="Nacion_x000a_"/>
    <n v="1840"/>
    <s v="Cassibba Julio Alberto"/>
    <n v="5920"/>
    <x v="0"/>
    <s v="20-05305088-4"/>
    <n v="240"/>
    <m/>
    <d v="2020-01-24T00:00:00"/>
    <s v="Frances"/>
    <x v="1"/>
    <x v="6"/>
    <x v="1"/>
    <x v="13"/>
  </r>
  <r>
    <d v="2019-12-09T00:00:00"/>
    <s v="Manzo"/>
    <s v="-"/>
    <d v="2020-01-12T00:00:00"/>
    <s v="Provincia"/>
    <n v="1415726"/>
    <s v="Bovati Mario Sergio"/>
    <n v="20000"/>
    <x v="0"/>
    <s v="20-14748704-6"/>
    <n v="241"/>
    <m/>
    <d v="2020-01-13T00:00:00"/>
    <m/>
    <x v="1"/>
    <x v="6"/>
    <x v="1"/>
    <x v="0"/>
  </r>
  <r>
    <d v="2019-12-12T00:00:00"/>
    <s v="Class"/>
    <s v="-"/>
    <d v="2019-12-27T00:00:00"/>
    <s v="Macro"/>
    <n v="99822685"/>
    <s v="La Valle Antonio Alberto"/>
    <n v="2340"/>
    <x v="0"/>
    <s v="20-08479043-6"/>
    <n v="242"/>
    <m/>
    <d v="2019-12-27T00:00:00"/>
    <m/>
    <x v="1"/>
    <x v="3"/>
    <x v="0"/>
    <x v="26"/>
  </r>
  <r>
    <d v="2019-12-12T00:00:00"/>
    <s v="Bouzyk"/>
    <s v="-"/>
    <d v="2020-01-29T00:00:00"/>
    <s v="Provincia"/>
    <n v="52679655"/>
    <s v="Sanjurjo Garcia Maria Juliana_x000a_"/>
    <n v="10000"/>
    <x v="3"/>
    <s v="27-39588490-0"/>
    <n v="243"/>
    <m/>
    <d v="2020-01-07T00:00:00"/>
    <m/>
    <x v="1"/>
    <x v="6"/>
    <x v="1"/>
    <x v="5"/>
  </r>
  <r>
    <d v="2019-12-13T00:00:00"/>
    <s v="Riabis"/>
    <s v="-"/>
    <d v="2019-11-30T00:00:00"/>
    <s v="La Pampa"/>
    <n v="61081076"/>
    <s v="Tajan Javier"/>
    <n v="5000"/>
    <x v="3"/>
    <s v="20-13393212-8"/>
    <n v="244"/>
    <m/>
    <d v="2019-12-16T00:00:00"/>
    <m/>
    <x v="1"/>
    <x v="2"/>
    <x v="0"/>
    <x v="2"/>
  </r>
  <r>
    <d v="2019-12-13T00:00:00"/>
    <s v="Riabis"/>
    <s v="-"/>
    <d v="2019-12-19T00:00:00"/>
    <s v="Nacion"/>
    <n v="43403"/>
    <s v="Anhorn juan ricardo"/>
    <n v="4500"/>
    <x v="0"/>
    <s v="20-07695582-5"/>
    <n v="245"/>
    <m/>
    <d v="2019-12-27T00:00:00"/>
    <m/>
    <x v="1"/>
    <x v="3"/>
    <x v="0"/>
    <x v="25"/>
  </r>
  <r>
    <d v="2019-12-13T00:00:00"/>
    <s v="Riabis"/>
    <s v="-"/>
    <d v="2019-12-27T00:00:00"/>
    <s v="Nacion"/>
    <n v="904209"/>
    <s v="Pato Emilio Andres"/>
    <n v="4000"/>
    <x v="0"/>
    <s v="20-13454226-9"/>
    <n v="246"/>
    <m/>
    <d v="2019-12-27T00:00:00"/>
    <m/>
    <x v="1"/>
    <x v="3"/>
    <x v="0"/>
    <x v="26"/>
  </r>
  <r>
    <d v="2019-12-13T00:00:00"/>
    <s v="Riabis"/>
    <s v="-"/>
    <d v="2019-12-31T00:00:00"/>
    <s v="La Pampa"/>
    <n v="61081078"/>
    <s v="Tajan Javier"/>
    <n v="5000"/>
    <x v="3"/>
    <s v="20-13393212-8"/>
    <n v="247"/>
    <m/>
    <d v="2020-01-03T00:00:00"/>
    <m/>
    <x v="1"/>
    <x v="3"/>
    <x v="0"/>
    <x v="3"/>
  </r>
  <r>
    <d v="2019-12-13T00:00:00"/>
    <s v="Riabis"/>
    <s v="-"/>
    <d v="2019-12-31T00:00:00"/>
    <s v="Provincia"/>
    <n v="71785071"/>
    <s v="Mazzucco Diego Luis"/>
    <n v="5517.6"/>
    <x v="0"/>
    <s v="20-08525441-4"/>
    <n v="248"/>
    <m/>
    <d v="2020-01-09T00:00:00"/>
    <m/>
    <x v="1"/>
    <x v="3"/>
    <x v="0"/>
    <x v="3"/>
  </r>
  <r>
    <d v="2019-12-13T00:00:00"/>
    <s v="Riabis"/>
    <s v="-"/>
    <d v="2020-01-06T00:00:00"/>
    <s v="Comafi"/>
    <n v="23304799"/>
    <s v="Mateus Horacio Manuel"/>
    <n v="5300"/>
    <x v="3"/>
    <s v="20-20048225-6"/>
    <n v="249"/>
    <m/>
    <d v="2020-01-03T00:00:00"/>
    <m/>
    <x v="1"/>
    <x v="6"/>
    <x v="1"/>
    <x v="27"/>
  </r>
  <r>
    <d v="2019-12-13T00:00:00"/>
    <s v="Riabis"/>
    <s v="-"/>
    <d v="2020-01-08T00:00:00"/>
    <s v="Nacion"/>
    <n v="904172"/>
    <s v="Pato Emilio Andres"/>
    <n v="5730"/>
    <x v="3"/>
    <s v="20-13454226-9"/>
    <n v="250"/>
    <m/>
    <d v="2020-01-03T00:00:00"/>
    <m/>
    <x v="1"/>
    <x v="6"/>
    <x v="1"/>
    <x v="20"/>
  </r>
  <r>
    <d v="2019-12-13T00:00:00"/>
    <s v="Riabis"/>
    <s v="-"/>
    <d v="2020-01-10T00:00:00"/>
    <s v="Galicia"/>
    <n v="4376668"/>
    <s v="Dop Nestor Hugo"/>
    <n v="3000"/>
    <x v="1"/>
    <s v="20-12940526-1"/>
    <n v="251"/>
    <m/>
    <d v="2020-01-08T00:00:00"/>
    <s v="Oam"/>
    <x v="1"/>
    <x v="6"/>
    <x v="1"/>
    <x v="17"/>
  </r>
  <r>
    <d v="2019-12-13T00:00:00"/>
    <s v="Riabis"/>
    <s v="-"/>
    <d v="2020-01-13T00:00:00"/>
    <s v="Comafi"/>
    <n v="25304800"/>
    <s v="Mateus Horacio Manuel"/>
    <n v="5300"/>
    <x v="0"/>
    <s v="20-20048225-6"/>
    <n v="252"/>
    <m/>
    <d v="2020-01-13T00:00:00"/>
    <m/>
    <x v="1"/>
    <x v="6"/>
    <x v="1"/>
    <x v="7"/>
  </r>
  <r>
    <d v="2019-12-13T00:00:00"/>
    <s v="Riabis"/>
    <s v="-"/>
    <d v="2020-01-15T00:00:00"/>
    <s v="La Pampa"/>
    <n v="61081079"/>
    <s v="Tajan Javier"/>
    <n v="5000"/>
    <x v="0"/>
    <s v="20-13393212-8"/>
    <n v="253"/>
    <m/>
    <m/>
    <m/>
    <x v="1"/>
    <x v="6"/>
    <x v="1"/>
    <x v="14"/>
  </r>
  <r>
    <d v="2019-12-13T00:00:00"/>
    <s v="Riabis"/>
    <s v="-"/>
    <d v="2020-01-18T00:00:00"/>
    <s v="Provincia"/>
    <n v="71785072"/>
    <s v="Mazzucco Diego Luis"/>
    <n v="5517.6"/>
    <x v="0"/>
    <s v="20-08525441-4"/>
    <n v="254"/>
    <m/>
    <m/>
    <m/>
    <x v="1"/>
    <x v="6"/>
    <x v="1"/>
    <x v="9"/>
  </r>
  <r>
    <d v="2019-12-13T00:00:00"/>
    <s v="Riabis"/>
    <s v="-"/>
    <d v="2020-01-30T00:00:00"/>
    <s v="Patagonia"/>
    <n v="19733139"/>
    <s v="Signorelli Miguel Angel"/>
    <n v="18393.3"/>
    <x v="3"/>
    <s v="20-11616693-4"/>
    <n v="255"/>
    <m/>
    <d v="2020-01-07T00:00:00"/>
    <m/>
    <x v="1"/>
    <x v="6"/>
    <x v="1"/>
    <x v="2"/>
  </r>
  <r>
    <d v="2019-12-13T00:00:00"/>
    <s v="Riabis"/>
    <s v="-"/>
    <d v="2020-02-10T00:00:00"/>
    <s v="Galicia"/>
    <n v="4376669"/>
    <s v="Dop Nestor Hugo"/>
    <n v="3400"/>
    <x v="1"/>
    <s v="20-12940526-1"/>
    <n v="256"/>
    <m/>
    <d v="2020-01-16T00:00:00"/>
    <s v="Transporte Orca"/>
    <x v="1"/>
    <x v="7"/>
    <x v="1"/>
    <x v="17"/>
  </r>
  <r>
    <d v="2019-12-13T00:00:00"/>
    <s v="Riabis"/>
    <s v="-"/>
    <d v="2020-02-10T00:00:00"/>
    <s v="Nacion"/>
    <n v="904211"/>
    <s v="Pato Emilio Andres"/>
    <n v="5000"/>
    <x v="1"/>
    <s v="20-134554226-9"/>
    <n v="257"/>
    <m/>
    <d v="2020-02-10T00:00:00"/>
    <s v="Oam"/>
    <x v="1"/>
    <x v="7"/>
    <x v="1"/>
    <x v="17"/>
  </r>
  <r>
    <d v="2019-12-16T00:00:00"/>
    <s v="Boero Camila Alejandra"/>
    <s v="-"/>
    <d v="2020-02-29T00:00:00"/>
    <s v="credicoop"/>
    <n v="21851927"/>
    <s v="Boero Camila Alejandra"/>
    <n v="15000"/>
    <x v="3"/>
    <s v="27-39261112-1"/>
    <n v="258"/>
    <m/>
    <m/>
    <m/>
    <x v="1"/>
    <x v="7"/>
    <x v="1"/>
    <x v="5"/>
  </r>
  <r>
    <d v="2019-12-17T00:00:00"/>
    <s v="Ecco_x000a_"/>
    <s v="-"/>
    <d v="2019-12-10T00:00:00"/>
    <s v="Superville"/>
    <n v="91714375"/>
    <s v="Org. Medica Atlantica"/>
    <n v="30478.93"/>
    <x v="0"/>
    <s v="30-54606896-6"/>
    <n v="259"/>
    <m/>
    <d v="2019-12-19T00:00:00"/>
    <m/>
    <x v="1"/>
    <x v="3"/>
    <x v="0"/>
    <x v="17"/>
  </r>
  <r>
    <d v="2019-12-17T00:00:00"/>
    <s v="Ana Bonifacio"/>
    <s v="-"/>
    <d v="2019-12-12T00:00:00"/>
    <s v="Provincia"/>
    <n v="72135017"/>
    <s v="Tejiendo Arte SA"/>
    <n v="1650"/>
    <x v="0"/>
    <s v="30-70993802-5"/>
    <n v="260"/>
    <m/>
    <m/>
    <m/>
    <x v="1"/>
    <x v="3"/>
    <x v="0"/>
    <x v="0"/>
  </r>
  <r>
    <d v="2019-12-23T00:00:00"/>
    <s v="Gustavo Mennilli"/>
    <s v="-"/>
    <d v="2020-01-20T00:00:00"/>
    <s v="Nacion"/>
    <n v="103481"/>
    <s v="Luis Gomez y Cia Sacifi"/>
    <n v="7600"/>
    <x v="0"/>
    <s v="30-53774772-9"/>
    <n v="261"/>
    <m/>
    <m/>
    <m/>
    <x v="1"/>
    <x v="6"/>
    <x v="1"/>
    <x v="18"/>
  </r>
  <r>
    <d v="2019-12-23T00:00:00"/>
    <s v="Gustavo Mennilli"/>
    <s v="-"/>
    <d v="2020-02-17T00:00:00"/>
    <s v="La Pampa_x000a_"/>
    <n v="61160954"/>
    <s v="Serodino Nicolas Daniel"/>
    <n v="14900.37"/>
    <x v="0"/>
    <s v="20-31272365-5"/>
    <n v="262"/>
    <m/>
    <m/>
    <m/>
    <x v="1"/>
    <x v="7"/>
    <x v="1"/>
    <x v="21"/>
  </r>
  <r>
    <d v="2019-12-23T00:00:00"/>
    <s v="Gustavo Mennilli"/>
    <s v="-"/>
    <d v="2020-01-24T00:00:00"/>
    <s v="Provincia"/>
    <n v="74667186"/>
    <s v="Bertoldi Aldo Jose"/>
    <n v="9000"/>
    <x v="3"/>
    <s v="20-05368930-3_x000a_"/>
    <n v="263"/>
    <m/>
    <d v="2020-01-07T00:00:00"/>
    <m/>
    <x v="1"/>
    <x v="6"/>
    <x v="1"/>
    <x v="6"/>
  </r>
  <r>
    <d v="2019-12-23T00:00:00"/>
    <s v="Gustavo Mennilli"/>
    <s v="-"/>
    <d v="2020-01-17T00:00:00"/>
    <s v="Provincia"/>
    <n v="74667185"/>
    <s v="Bertoldi Aldo Jose"/>
    <n v="9000"/>
    <x v="0"/>
    <s v="20-05368930-3_x000a_"/>
    <n v="264"/>
    <m/>
    <m/>
    <m/>
    <x v="1"/>
    <x v="6"/>
    <x v="1"/>
    <x v="21"/>
  </r>
  <r>
    <d v="2019-12-23T00:00:00"/>
    <s v="Gustavo Mennilli"/>
    <s v="-"/>
    <d v="2020-01-30T00:00:00"/>
    <s v="Provincia"/>
    <n v="71479698"/>
    <s v="Pala Ana Maria_x000a_"/>
    <n v="3000"/>
    <x v="0"/>
    <s v="27-11049664-3"/>
    <n v="265"/>
    <m/>
    <d v="2020-01-30T00:00:00"/>
    <m/>
    <x v="1"/>
    <x v="6"/>
    <x v="1"/>
    <x v="2"/>
  </r>
  <r>
    <d v="2019-12-23T00:00:00"/>
    <s v="Gustavo Mennilli"/>
    <s v="-"/>
    <d v="2020-02-08T00:00:00"/>
    <s v="Nacion"/>
    <n v="42775"/>
    <s v="Pedroche Osvaldo Jose"/>
    <n v="10000"/>
    <x v="0"/>
    <s v="20-11662886-5"/>
    <n v="266"/>
    <m/>
    <m/>
    <m/>
    <x v="1"/>
    <x v="7"/>
    <x v="1"/>
    <x v="20"/>
  </r>
  <r>
    <d v="2019-12-23T00:00:00"/>
    <s v="Gustavo Mennilli"/>
    <s v="-"/>
    <d v="2020-02-15T00:00:00"/>
    <s v="Provincia"/>
    <n v="73858494"/>
    <s v="Tajan Javier"/>
    <n v="7000"/>
    <x v="0"/>
    <s v="20-13393212-8"/>
    <n v="267"/>
    <m/>
    <m/>
    <m/>
    <x v="1"/>
    <x v="7"/>
    <x v="1"/>
    <x v="14"/>
  </r>
  <r>
    <d v="2019-12-23T00:00:00"/>
    <s v="Gustavo Mennilli"/>
    <s v="-"/>
    <d v="2020-02-20T00:00:00"/>
    <s v="Macro"/>
    <n v="96319158"/>
    <s v="Landi Leonardo Gaston"/>
    <n v="25000"/>
    <x v="3"/>
    <s v="20-26465251-1"/>
    <n v="268"/>
    <m/>
    <m/>
    <m/>
    <x v="1"/>
    <x v="7"/>
    <x v="1"/>
    <x v="18"/>
  </r>
  <r>
    <d v="2019-12-23T00:00:00"/>
    <s v="Gustavo Mennilli"/>
    <s v="-"/>
    <d v="2020-01-25T00:00:00"/>
    <s v="Provincia"/>
    <n v="71479697"/>
    <s v="Pala Ana Maria_x000a_"/>
    <n v="3500"/>
    <x v="0"/>
    <s v="27-11049664-3"/>
    <n v="269"/>
    <m/>
    <d v="2020-01-27T00:00:00"/>
    <m/>
    <x v="1"/>
    <x v="6"/>
    <x v="1"/>
    <x v="10"/>
  </r>
  <r>
    <d v="2019-12-27T00:00:00"/>
    <s v="Vorrazo_x000a_"/>
    <s v="-"/>
    <d v="2020-02-13T00:00:00"/>
    <s v="BBVA"/>
    <n v="518387"/>
    <s v="Club del diseño SR_x000a_"/>
    <n v="36440"/>
    <x v="0"/>
    <s v="30-71015338-4"/>
    <n v="270"/>
    <m/>
    <d v="2020-02-14T00:00:00"/>
    <m/>
    <x v="1"/>
    <x v="7"/>
    <x v="1"/>
    <x v="7"/>
  </r>
  <r>
    <d v="2019-12-27T00:00:00"/>
    <s v="Vorrazo_x000a_"/>
    <s v="-"/>
    <d v="2020-01-31T00:00:00"/>
    <s v="Galicia"/>
    <n v="61403454"/>
    <s v="Serra Roberto Alejandro"/>
    <n v="8500"/>
    <x v="3"/>
    <s v="20-32830531-4"/>
    <n v="271"/>
    <m/>
    <d v="2020-01-07T00:00:00"/>
    <m/>
    <x v="1"/>
    <x v="6"/>
    <x v="1"/>
    <x v="3"/>
  </r>
  <r>
    <d v="2019-12-27T00:00:00"/>
    <s v="Vorrazo_x000a_"/>
    <s v="-"/>
    <d v="2020-01-08T00:00:00"/>
    <s v="BBVA"/>
    <n v="518385"/>
    <s v="Club del diseño SR_x000a_"/>
    <n v="30000"/>
    <x v="0"/>
    <s v="30-71015338-4"/>
    <n v="272"/>
    <m/>
    <d v="2020-01-08T00:00:00"/>
    <m/>
    <x v="1"/>
    <x v="6"/>
    <x v="1"/>
    <x v="20"/>
  </r>
  <r>
    <d v="2019-12-27T00:00:00"/>
    <s v="Vorrazo_x000a_"/>
    <s v="-"/>
    <d v="2020-01-17T00:00:00"/>
    <s v="Galicia"/>
    <n v="61403452"/>
    <s v="Serra Roberto Alejandro"/>
    <n v="9660"/>
    <x v="0"/>
    <s v="20-32830531-4"/>
    <n v="273"/>
    <m/>
    <d v="2020-01-17T00:00:00"/>
    <m/>
    <x v="1"/>
    <x v="6"/>
    <x v="1"/>
    <x v="21"/>
  </r>
  <r>
    <d v="2019-12-27T00:00:00"/>
    <s v="Vorrazo_x000a_"/>
    <s v="-"/>
    <d v="2020-01-24T00:00:00"/>
    <s v="Galicia"/>
    <n v="61403453"/>
    <s v="Serra Roberto Alejandro"/>
    <n v="8500"/>
    <x v="0"/>
    <s v="20-32830531-4_x000a_"/>
    <n v="274"/>
    <m/>
    <d v="2020-01-24T00:00:00"/>
    <s v="Prov"/>
    <x v="1"/>
    <x v="6"/>
    <x v="1"/>
    <x v="6"/>
  </r>
  <r>
    <d v="2019-12-27T00:00:00"/>
    <s v="Riabis"/>
    <s v="-"/>
    <d v="2019-12-31T00:00:00"/>
    <s v="credicoop"/>
    <n v="49110445"/>
    <s v="Fernandez Mauricio Daniel"/>
    <n v="10481.5"/>
    <x v="3"/>
    <s v="20-26658770-9"/>
    <n v="275"/>
    <m/>
    <d v="2020-01-02T00:00:00"/>
    <m/>
    <x v="1"/>
    <x v="3"/>
    <x v="0"/>
    <x v="3"/>
  </r>
  <r>
    <d v="2019-12-27T00:00:00"/>
    <s v="Riabis"/>
    <s v="-"/>
    <d v="2020-01-14T00:00:00"/>
    <s v="Nacion"/>
    <n v="205351"/>
    <s v="Lazaro Maria Bernarda"/>
    <n v="3450"/>
    <x v="0"/>
    <s v="27-32131612-9"/>
    <n v="276"/>
    <m/>
    <d v="2020-01-14T00:00:00"/>
    <s v="_x000a_"/>
    <x v="1"/>
    <x v="6"/>
    <x v="1"/>
    <x v="16"/>
  </r>
  <r>
    <d v="2019-12-27T00:00:00"/>
    <s v="Riabis"/>
    <s v="-"/>
    <d v="2020-01-20T00:00:00"/>
    <s v="Comafi"/>
    <n v="26604801"/>
    <s v="Mateus Horacio Manuel"/>
    <n v="5300"/>
    <x v="0"/>
    <s v="20-20048225-6"/>
    <n v="277"/>
    <m/>
    <m/>
    <m/>
    <x v="1"/>
    <x v="6"/>
    <x v="1"/>
    <x v="18"/>
  </r>
  <r>
    <d v="2019-12-27T00:00:00"/>
    <s v="Riabis"/>
    <s v="-"/>
    <d v="2020-01-23T00:00:00"/>
    <s v="Nacion"/>
    <n v="205352"/>
    <s v="Lazaro Maria Bernarda"/>
    <n v="3550"/>
    <x v="0"/>
    <s v="27-32131612-9"/>
    <n v="278"/>
    <m/>
    <d v="2020-01-24T00:00:00"/>
    <s v="Frances"/>
    <x v="1"/>
    <x v="6"/>
    <x v="1"/>
    <x v="13"/>
  </r>
  <r>
    <d v="2019-12-27T00:00:00"/>
    <s v="Riabis"/>
    <s v="-"/>
    <d v="2020-01-27T00:00:00"/>
    <s v="Comafi"/>
    <n v="28804802"/>
    <s v="Mateus Horacio Manuel"/>
    <n v="5300"/>
    <x v="0"/>
    <s v="20-20048225-6"/>
    <n v="279"/>
    <m/>
    <d v="2020-01-28T00:00:00"/>
    <s v="Prov"/>
    <x v="1"/>
    <x v="6"/>
    <x v="1"/>
    <x v="26"/>
  </r>
  <r>
    <d v="2019-12-27T00:00:00"/>
    <s v="Riabis"/>
    <s v="-"/>
    <d v="2020-01-28T00:00:00"/>
    <s v="Nacion"/>
    <n v="205353"/>
    <s v="Lazaro Maria Bernarda"/>
    <n v="3550"/>
    <x v="0"/>
    <s v="27-32131612-9"/>
    <n v="280"/>
    <m/>
    <m/>
    <m/>
    <x v="1"/>
    <x v="6"/>
    <x v="1"/>
    <x v="4"/>
  </r>
  <r>
    <d v="2019-12-27T00:00:00"/>
    <s v="Riabis"/>
    <s v="-"/>
    <d v="2020-02-04T00:00:00"/>
    <s v="Nacion"/>
    <n v="205354"/>
    <s v="Lazaro Maria Bernarda"/>
    <n v="3550"/>
    <x v="0"/>
    <s v="27-32131612-9"/>
    <n v="281"/>
    <m/>
    <d v="2020-02-04T00:00:00"/>
    <m/>
    <x v="1"/>
    <x v="7"/>
    <x v="1"/>
    <x v="28"/>
  </r>
  <r>
    <d v="2019-12-27T00:00:00"/>
    <s v="Riabis"/>
    <s v="-"/>
    <d v="2020-02-08T00:00:00"/>
    <s v="Provincia"/>
    <n v="71785098"/>
    <s v="Mazzucco Diego Luis"/>
    <n v="2520"/>
    <x v="0"/>
    <s v="20-08525441-4"/>
    <n v="282"/>
    <m/>
    <d v="2020-02-14T00:00:00"/>
    <s v="Provincia"/>
    <x v="1"/>
    <x v="7"/>
    <x v="1"/>
    <x v="20"/>
  </r>
  <r>
    <d v="2019-12-27T00:00:00"/>
    <s v="Riabis"/>
    <s v="-"/>
    <d v="2020-02-14T00:00:00"/>
    <s v="BBVA"/>
    <n v="476085"/>
    <s v="Garcia Javier"/>
    <n v="10000"/>
    <x v="0"/>
    <s v="20-22845810-5"/>
    <n v="283"/>
    <m/>
    <d v="2020-02-14T00:00:00"/>
    <m/>
    <x v="1"/>
    <x v="7"/>
    <x v="1"/>
    <x v="16"/>
  </r>
  <r>
    <d v="2019-12-30T00:00:00"/>
    <s v="Convers Hector Ernesto"/>
    <s v="-"/>
    <d v="2020-02-28T00:00:00"/>
    <s v="Provincia"/>
    <n v="71776714"/>
    <s v="Convers Hector Ernesto"/>
    <n v="9051"/>
    <x v="0"/>
    <s v="20-10596812-5"/>
    <n v="284"/>
    <m/>
    <d v="2020-03-03T00:00:00"/>
    <m/>
    <x v="1"/>
    <x v="7"/>
    <x v="1"/>
    <x v="4"/>
  </r>
  <r>
    <d v="2020-01-02T00:00:00"/>
    <s v="Vorrazo_x000a_"/>
    <s v="-"/>
    <d v="2020-01-17T00:00:00"/>
    <s v="BBVA"/>
    <n v="518386"/>
    <s v="Club del diseño SR_x000a_"/>
    <n v="20000"/>
    <x v="1"/>
    <s v="30-71015338-4"/>
    <n v="285"/>
    <m/>
    <d v="2020-01-02T00:00:00"/>
    <s v="Vorrazo"/>
    <x v="1"/>
    <x v="6"/>
    <x v="1"/>
    <x v="21"/>
  </r>
  <r>
    <d v="2020-01-13T00:00:00"/>
    <s v="Ecco_x000a_"/>
    <s v="-"/>
    <d v="2020-01-20T00:00:00"/>
    <s v="Formosa"/>
    <n v="9390617"/>
    <s v="Alarcon Pedro Victor"/>
    <n v="11216"/>
    <x v="0"/>
    <s v="20-16845452-0"/>
    <n v="286"/>
    <m/>
    <m/>
    <m/>
    <x v="1"/>
    <x v="6"/>
    <x v="1"/>
    <x v="18"/>
  </r>
  <r>
    <d v="2020-01-20T00:00:00"/>
    <s v="Bouzik"/>
    <s v="-"/>
    <d v="2020-03-31T00:00:00"/>
    <s v="credicoop"/>
    <n v="21851936"/>
    <s v="Boero Camila Alejandra"/>
    <n v="25000"/>
    <x v="4"/>
    <s v="27-39261112-1"/>
    <n v="287"/>
    <m/>
    <d v="2020-02-18T00:00:00"/>
    <s v="17/4 RECHAZADO"/>
    <x v="1"/>
    <x v="8"/>
    <x v="1"/>
    <x v="3"/>
  </r>
  <r>
    <d v="2020-01-20T00:00:00"/>
    <s v="Bouzik"/>
    <s v="-"/>
    <d v="2020-04-30T00:00:00"/>
    <s v="credicoop"/>
    <n v="21851937"/>
    <s v="Boero Camila Alejandra"/>
    <n v="45000"/>
    <x v="3"/>
    <s v="27-39261112-1"/>
    <n v="288"/>
    <m/>
    <d v="2020-02-07T00:00:00"/>
    <m/>
    <x v="1"/>
    <x v="9"/>
    <x v="1"/>
    <x v="2"/>
  </r>
  <r>
    <d v="2020-01-20T00:00:00"/>
    <s v="Signiori Luis Alberto"/>
    <s v="-"/>
    <d v="2020-03-31T00:00:00"/>
    <s v="credicoop"/>
    <n v="22233251"/>
    <s v="Signiori Luis Alberto"/>
    <n v="5000"/>
    <x v="1"/>
    <s v="20-05510696-8"/>
    <n v="289"/>
    <m/>
    <d v="2020-02-27T00:00:00"/>
    <s v="Vercier"/>
    <x v="1"/>
    <x v="8"/>
    <x v="1"/>
    <x v="3"/>
  </r>
  <r>
    <d v="2020-01-20T00:00:00"/>
    <s v="Signiori Luis Alberto"/>
    <s v="-"/>
    <d v="2020-03-31T00:00:00"/>
    <s v="credicoop"/>
    <n v="22233252"/>
    <s v="Signiori Luis Alberto"/>
    <n v="5000"/>
    <x v="1"/>
    <s v="20-05510696-8"/>
    <n v="290"/>
    <m/>
    <d v="2020-01-24T00:00:00"/>
    <s v="Veccio"/>
    <x v="1"/>
    <x v="8"/>
    <x v="1"/>
    <x v="3"/>
  </r>
  <r>
    <d v="2020-01-20T00:00:00"/>
    <s v="Signiori Luis Alberto"/>
    <s v="-"/>
    <d v="2020-04-30T00:00:00"/>
    <s v="credicoop"/>
    <n v="22233253"/>
    <s v="Signiori Luis Alberto"/>
    <n v="5000"/>
    <x v="1"/>
    <s v="20-05510696-8_x000a_"/>
    <n v="291"/>
    <m/>
    <d v="2020-03-03T00:00:00"/>
    <s v="Vecchio"/>
    <x v="1"/>
    <x v="9"/>
    <x v="1"/>
    <x v="2"/>
  </r>
  <r>
    <d v="2020-01-20T00:00:00"/>
    <s v="Signiori Luis Alberto"/>
    <s v="-"/>
    <d v="2020-04-30T00:00:00"/>
    <s v="credicoop"/>
    <n v="22233254"/>
    <s v="Signiori Luis Alberto"/>
    <n v="5000"/>
    <x v="1"/>
    <s v="20-05510696-8"/>
    <n v="292"/>
    <m/>
    <d v="2020-03-02T00:00:00"/>
    <m/>
    <x v="1"/>
    <x v="9"/>
    <x v="1"/>
    <x v="2"/>
  </r>
  <r>
    <d v="2020-01-20T00:00:00"/>
    <s v="Signiori Luis Alberto"/>
    <s v="-"/>
    <d v="2020-04-30T00:00:00"/>
    <s v="credicoop"/>
    <n v="22233256"/>
    <s v="Signiori Luis Alberto"/>
    <n v="5000"/>
    <x v="0"/>
    <s v="20-05510696-8"/>
    <n v="293"/>
    <m/>
    <m/>
    <m/>
    <x v="1"/>
    <x v="9"/>
    <x v="1"/>
    <x v="2"/>
  </r>
  <r>
    <d v="2020-01-20T00:00:00"/>
    <s v="Signiori Luis Alberto"/>
    <s v="-"/>
    <d v="2020-04-30T00:00:00"/>
    <s v="credicoop"/>
    <n v="22233255"/>
    <s v="Signiori Luis Alberto"/>
    <n v="5136"/>
    <x v="1"/>
    <s v="20-05510696-8_x000a_"/>
    <n v="294"/>
    <m/>
    <d v="2020-01-24T00:00:00"/>
    <s v="Veccio"/>
    <x v="1"/>
    <x v="9"/>
    <x v="1"/>
    <x v="2"/>
  </r>
  <r>
    <d v="2020-01-27T00:00:00"/>
    <s v="Dodero"/>
    <s v="-"/>
    <d v="2020-03-13T00:00:00"/>
    <s v="credicoop"/>
    <n v="38918097"/>
    <s v="Corti Gustavo Eduardo"/>
    <n v="5400"/>
    <x v="1"/>
    <s v="20-14375215-2"/>
    <n v="295"/>
    <m/>
    <d v="2020-03-16T00:00:00"/>
    <s v="Lartex"/>
    <x v="1"/>
    <x v="8"/>
    <x v="1"/>
    <x v="7"/>
  </r>
  <r>
    <d v="2020-01-27T00:00:00"/>
    <s v="Natalia Tifosi"/>
    <s v="-"/>
    <d v="2020-03-28T00:00:00"/>
    <s v="Galicia"/>
    <n v="62198441"/>
    <s v="Dominguez Marcelo Alberto"/>
    <n v="11200"/>
    <x v="0"/>
    <s v="20-10590043-1"/>
    <n v="296"/>
    <m/>
    <d v="2020-04-02T00:00:00"/>
    <m/>
    <x v="1"/>
    <x v="8"/>
    <x v="1"/>
    <x v="4"/>
  </r>
  <r>
    <d v="2020-01-28T00:00:00"/>
    <s v="Petrich"/>
    <s v="-"/>
    <d v="2020-01-15T00:00:00"/>
    <s v="Bind"/>
    <n v="15101780"/>
    <s v="Castaño Raul Oscar"/>
    <n v="1500"/>
    <x v="0"/>
    <s v="20-11963544-7"/>
    <n v="297"/>
    <m/>
    <d v="2020-01-28T00:00:00"/>
    <s v="Prov"/>
    <x v="1"/>
    <x v="6"/>
    <x v="1"/>
    <x v="14"/>
  </r>
  <r>
    <d v="2020-01-28T00:00:00"/>
    <s v="Petrich"/>
    <s v="-"/>
    <d v="2020-01-13T00:00:00"/>
    <s v="Comafi"/>
    <n v="27212197"/>
    <s v="Contar S.A._x000a_"/>
    <n v="1938.26"/>
    <x v="0"/>
    <s v="30-61119439-7"/>
    <n v="298"/>
    <m/>
    <d v="2020-01-28T00:00:00"/>
    <s v="BBVA"/>
    <x v="1"/>
    <x v="6"/>
    <x v="1"/>
    <x v="7"/>
  </r>
  <r>
    <d v="2020-02-03T00:00:00"/>
    <s v="Signiori Luis Alberto"/>
    <s v="-"/>
    <d v="2020-01-31T00:00:00"/>
    <s v="credicoop"/>
    <n v="21651034"/>
    <s v="Signiori Luis Alberto"/>
    <n v="8000"/>
    <x v="0"/>
    <s v="20-005510696-8"/>
    <n v="299"/>
    <m/>
    <d v="2020-02-03T00:00:00"/>
    <m/>
    <x v="1"/>
    <x v="6"/>
    <x v="1"/>
    <x v="3"/>
  </r>
  <r>
    <d v="2020-02-06T00:00:00"/>
    <s v="Bouzik"/>
    <s v="-"/>
    <d v="2020-03-27T00:00:00"/>
    <s v="Provincia"/>
    <n v="52679626"/>
    <s v="Sanjurjo Garcia Maria Juliana"/>
    <n v="5000"/>
    <x v="1"/>
    <s v="27-39588490-0"/>
    <n v="300"/>
    <m/>
    <d v="2020-04-02T00:00:00"/>
    <s v="Bouzik"/>
    <x v="1"/>
    <x v="8"/>
    <x v="1"/>
    <x v="26"/>
  </r>
  <r>
    <d v="2020-02-06T00:00:00"/>
    <s v="Bouzik"/>
    <s v="-"/>
    <d v="2020-04-24T00:00:00"/>
    <s v="credicoop"/>
    <n v="21851944"/>
    <s v="Boero Camila Alejandra"/>
    <n v="24000"/>
    <x v="1"/>
    <s v="27-39261112-1"/>
    <n v="301"/>
    <m/>
    <d v="2020-05-04T00:00:00"/>
    <s v="Bousyk x efectivo"/>
    <x v="1"/>
    <x v="9"/>
    <x v="1"/>
    <x v="6"/>
  </r>
  <r>
    <d v="2020-02-06T00:00:00"/>
    <s v="Bouzik"/>
    <s v="-"/>
    <d v="2020-05-18T00:00:00"/>
    <s v="credicoop"/>
    <n v="21851946"/>
    <s v="Boero Camila Alejandra"/>
    <n v="25000"/>
    <x v="3"/>
    <s v="27-39261112-1"/>
    <n v="302"/>
    <m/>
    <d v="2020-03-18T00:00:00"/>
    <m/>
    <x v="1"/>
    <x v="10"/>
    <x v="1"/>
    <x v="9"/>
  </r>
  <r>
    <d v="2020-02-06T00:00:00"/>
    <s v="El Fogon"/>
    <s v="-"/>
    <d v="2020-03-27T00:00:00"/>
    <s v="Galicia"/>
    <n v="48117294"/>
    <s v="El Fogon S.A"/>
    <n v="17176"/>
    <x v="0"/>
    <s v="30-59004480-2_x000a_"/>
    <n v="303"/>
    <m/>
    <d v="2020-04-02T00:00:00"/>
    <m/>
    <x v="1"/>
    <x v="8"/>
    <x v="1"/>
    <x v="26"/>
  </r>
  <r>
    <d v="2020-02-12T00:00:00"/>
    <s v="Ecco_x000a_"/>
    <s v="-"/>
    <d v="2020-02-07T00:00:00"/>
    <s v="Supervielle"/>
    <n v="31642383"/>
    <s v="Red Informatica de Pagos S.A."/>
    <n v="11649.95"/>
    <x v="0"/>
    <s v="30-68134835-9"/>
    <n v="304"/>
    <m/>
    <d v="2020-02-12T00:00:00"/>
    <s v="Provincia"/>
    <x v="1"/>
    <x v="7"/>
    <x v="1"/>
    <x v="12"/>
  </r>
  <r>
    <d v="2020-02-14T00:00:00"/>
    <s v="Riabis"/>
    <s v="-"/>
    <d v="2020-02-15T00:00:00"/>
    <s v="La Pampa"/>
    <n v="61081081"/>
    <s v="Tajan Javier"/>
    <n v="3640"/>
    <x v="0"/>
    <s v="20-13393212-8"/>
    <n v="305"/>
    <m/>
    <m/>
    <m/>
    <x v="1"/>
    <x v="7"/>
    <x v="1"/>
    <x v="14"/>
  </r>
  <r>
    <d v="2020-02-14T00:00:00"/>
    <s v="Riabis"/>
    <s v="-"/>
    <d v="2020-02-21T00:00:00"/>
    <s v="Nacion"/>
    <n v="205356"/>
    <s v="Lazaro Maria Bernarda"/>
    <n v="3550"/>
    <x v="0"/>
    <s v="27-32131612-9"/>
    <n v="306"/>
    <m/>
    <m/>
    <m/>
    <x v="1"/>
    <x v="7"/>
    <x v="1"/>
    <x v="15"/>
  </r>
  <r>
    <d v="2020-02-14T00:00:00"/>
    <s v="Riabis"/>
    <s v="-"/>
    <d v="2020-02-29T00:00:00"/>
    <s v="Macro"/>
    <n v="12275699"/>
    <s v="Catalano Nicolas"/>
    <n v="5200"/>
    <x v="0"/>
    <s v="20-31215781-1"/>
    <n v="307"/>
    <m/>
    <m/>
    <m/>
    <x v="1"/>
    <x v="7"/>
    <x v="1"/>
    <x v="5"/>
  </r>
  <r>
    <d v="2020-02-14T00:00:00"/>
    <s v="Riabis"/>
    <s v="-"/>
    <d v="2020-03-21T00:00:00"/>
    <s v="Macro"/>
    <n v="12275700"/>
    <s v="Catalano Nicolas"/>
    <n v="5200"/>
    <x v="4"/>
    <s v="20-31215781-1"/>
    <n v="308"/>
    <m/>
    <d v="2020-04-02T00:00:00"/>
    <m/>
    <x v="1"/>
    <x v="8"/>
    <x v="1"/>
    <x v="15"/>
  </r>
  <r>
    <d v="2020-02-14T00:00:00"/>
    <s v="Riabis"/>
    <s v="-"/>
    <d v="2020-03-23T00:00:00"/>
    <s v="Provincia"/>
    <n v="46597215"/>
    <s v="Morresi Hugo Nestor_x000a_"/>
    <n v="4904"/>
    <x v="0"/>
    <s v="20-05510446-9"/>
    <n v="309"/>
    <m/>
    <d v="2020-04-08T00:00:00"/>
    <m/>
    <x v="1"/>
    <x v="8"/>
    <x v="1"/>
    <x v="13"/>
  </r>
  <r>
    <d v="2020-02-14T00:00:00"/>
    <s v="Zoughout Diana_x000a_"/>
    <s v="-"/>
    <d v="2020-04-30T00:00:00"/>
    <s v="Provincia"/>
    <n v="72773459"/>
    <s v="Zoughout Diana_x000a_"/>
    <n v="14000"/>
    <x v="4"/>
    <s v="27-11958010-8"/>
    <n v="310"/>
    <m/>
    <d v="2020-05-04T00:00:00"/>
    <s v="Bouzyk"/>
    <x v="1"/>
    <x v="9"/>
    <x v="1"/>
    <x v="2"/>
  </r>
  <r>
    <d v="2020-02-14T00:00:00"/>
    <s v="Zoughout Diana_x000a_"/>
    <s v="-"/>
    <d v="2020-04-22T00:00:00"/>
    <s v="Provincia"/>
    <n v="72773458"/>
    <s v="Zoughout Diana_x000a_"/>
    <n v="13000"/>
    <x v="4"/>
    <s v="27-11958010-8"/>
    <n v="311"/>
    <m/>
    <d v="2020-05-04T00:00:00"/>
    <s v="Bouzyk"/>
    <x v="1"/>
    <x v="9"/>
    <x v="1"/>
    <x v="19"/>
  </r>
  <r>
    <d v="2020-02-14T00:00:00"/>
    <s v="Zoughout Diana_x000a_"/>
    <s v="-"/>
    <d v="2020-04-16T00:00:00"/>
    <s v="Provincia"/>
    <n v="72773457"/>
    <s v="Zoughout Diana_x000a_"/>
    <n v="12000"/>
    <x v="1"/>
    <s v="27-11958010-8"/>
    <n v="312"/>
    <m/>
    <d v="2020-04-22T00:00:00"/>
    <s v="Bouzyk"/>
    <x v="1"/>
    <x v="9"/>
    <x v="1"/>
    <x v="23"/>
  </r>
  <r>
    <d v="2020-02-14T00:00:00"/>
    <s v="Zoughout Diana_x000a_"/>
    <s v="-"/>
    <d v="2020-04-08T00:00:00"/>
    <s v="Provincia"/>
    <n v="72773456"/>
    <s v="Zoughout Diana_x000a_"/>
    <n v="11000"/>
    <x v="4"/>
    <s v="27-11958010-8"/>
    <n v="313"/>
    <m/>
    <d v="2020-04-08T00:00:00"/>
    <s v="Bouzyk"/>
    <x v="1"/>
    <x v="9"/>
    <x v="1"/>
    <x v="20"/>
  </r>
  <r>
    <d v="2020-02-20T00:00:00"/>
    <s v="Petrich_x000a_"/>
    <s v="-"/>
    <d v="2020-04-18T00:00:00"/>
    <s v="Provincia"/>
    <n v="71776750"/>
    <s v="Convers Hector Ernesto_x000a_"/>
    <n v="27598"/>
    <x v="0"/>
    <s v="20-10596812-5"/>
    <n v="314"/>
    <m/>
    <d v="2020-04-22T00:00:00"/>
    <s v="Frances"/>
    <x v="1"/>
    <x v="9"/>
    <x v="1"/>
    <x v="9"/>
  </r>
  <r>
    <d v="2020-02-24T00:00:00"/>
    <s v="Cabello Miguel_x000a_"/>
    <s v="-"/>
    <d v="2020-01-31T00:00:00"/>
    <s v="Patagonia"/>
    <n v="19480673"/>
    <s v="El Carretel SRL"/>
    <n v="20000"/>
    <x v="3"/>
    <s v="30-71548357-9"/>
    <n v="315"/>
    <m/>
    <d v="2020-02-26T00:00:00"/>
    <m/>
    <x v="1"/>
    <x v="6"/>
    <x v="1"/>
    <x v="3"/>
  </r>
  <r>
    <d v="2020-02-24T00:00:00"/>
    <s v="Cabello Miguel_x000a_"/>
    <s v="-"/>
    <d v="2020-01-31T00:00:00"/>
    <s v="Nacion"/>
    <n v="757"/>
    <s v="Valdivia Leal Eliana Cristina"/>
    <n v="12500"/>
    <x v="0"/>
    <s v="27-92353970-6"/>
    <n v="316"/>
    <m/>
    <m/>
    <m/>
    <x v="1"/>
    <x v="6"/>
    <x v="1"/>
    <x v="3"/>
  </r>
  <r>
    <d v="2020-02-24T00:00:00"/>
    <s v="Cabello Miguel_x000a_"/>
    <s v="-"/>
    <d v="2020-01-31T00:00:00"/>
    <s v="Chubut"/>
    <n v="17354388"/>
    <s v="Vargas Lilian"/>
    <n v="10000"/>
    <x v="0"/>
    <s v="27-14266621-4"/>
    <n v="317"/>
    <m/>
    <m/>
    <m/>
    <x v="1"/>
    <x v="6"/>
    <x v="1"/>
    <x v="3"/>
  </r>
  <r>
    <d v="2020-02-24T00:00:00"/>
    <s v="Cabello Miguel_x000a_"/>
    <s v="-"/>
    <d v="2020-01-31T00:00:00"/>
    <s v="Chubut"/>
    <n v="17354386"/>
    <s v="Vargas Lilian"/>
    <n v="10000"/>
    <x v="0"/>
    <s v="27-14266621-4"/>
    <n v="318"/>
    <m/>
    <m/>
    <m/>
    <x v="1"/>
    <x v="6"/>
    <x v="1"/>
    <x v="3"/>
  </r>
  <r>
    <d v="2020-02-24T00:00:00"/>
    <s v="Cabello Miguel_x000a_"/>
    <s v="-"/>
    <d v="2020-01-31T00:00:00"/>
    <s v="Nacion"/>
    <n v="6840418"/>
    <s v="Camusso Flavio Andres"/>
    <n v="15000"/>
    <x v="0"/>
    <s v="20-20622578-6"/>
    <n v="319"/>
    <m/>
    <m/>
    <m/>
    <x v="1"/>
    <x v="6"/>
    <x v="1"/>
    <x v="3"/>
  </r>
  <r>
    <d v="2020-02-24T00:00:00"/>
    <s v="Cabello Miguel_x000a_"/>
    <s v="-"/>
    <d v="2020-01-31T00:00:00"/>
    <s v="Superville"/>
    <n v="91623853"/>
    <s v="Sanchez Maria Del Rosaio"/>
    <n v="10000"/>
    <x v="0"/>
    <s v="27-27759636-4"/>
    <n v="320"/>
    <m/>
    <m/>
    <m/>
    <x v="1"/>
    <x v="6"/>
    <x v="1"/>
    <x v="3"/>
  </r>
  <r>
    <d v="2020-02-24T00:00:00"/>
    <s v="Cabello Miguel_x000a_"/>
    <s v="-"/>
    <d v="2020-01-31T00:00:00"/>
    <s v="La Pampa"/>
    <n v="61266764"/>
    <s v="Mendez Cintia Ivana Y Villega"/>
    <n v="25500"/>
    <x v="0"/>
    <s v="30-70908751-3_x000a_"/>
    <n v="321"/>
    <m/>
    <m/>
    <m/>
    <x v="1"/>
    <x v="6"/>
    <x v="1"/>
    <x v="3"/>
  </r>
  <r>
    <d v="2020-02-24T00:00:00"/>
    <s v="Cabello Miguel_x000a_"/>
    <s v="-"/>
    <d v="2020-02-01T00:00:00"/>
    <s v="Nacion"/>
    <n v="260099"/>
    <s v="Quintar Lilian Evelin"/>
    <n v="7000"/>
    <x v="0"/>
    <s v="27-27224230-0"/>
    <n v="322"/>
    <m/>
    <m/>
    <m/>
    <x v="1"/>
    <x v="7"/>
    <x v="1"/>
    <x v="24"/>
  </r>
  <r>
    <d v="2020-02-24T00:00:00"/>
    <s v="Cabello Miguel_x000a_"/>
    <s v="-"/>
    <d v="2020-02-01T00:00:00"/>
    <s v="Macro"/>
    <n v="13255010"/>
    <s v="Ambrosi Mariel Noelia"/>
    <n v="9330"/>
    <x v="0"/>
    <s v="27-33311326-6"/>
    <n v="323"/>
    <m/>
    <m/>
    <m/>
    <x v="1"/>
    <x v="7"/>
    <x v="1"/>
    <x v="24"/>
  </r>
  <r>
    <d v="2020-02-24T00:00:00"/>
    <s v="Cabello Miguel_x000a_"/>
    <s v="-"/>
    <d v="2020-02-02T00:00:00"/>
    <s v="Macro"/>
    <n v="95981233"/>
    <s v="Laclau Aldo Emilio"/>
    <n v="7816"/>
    <x v="0"/>
    <s v="20-06141757-6"/>
    <n v="324"/>
    <m/>
    <m/>
    <m/>
    <x v="1"/>
    <x v="7"/>
    <x v="1"/>
    <x v="29"/>
  </r>
  <r>
    <d v="2020-02-24T00:00:00"/>
    <s v="Cabello Miguel_x000a_"/>
    <s v="-"/>
    <d v="2020-02-06T00:00:00"/>
    <s v="Santander Rio"/>
    <n v="15300977"/>
    <s v="Prienza Irene Carola Edit"/>
    <n v="5000"/>
    <x v="0"/>
    <s v="27-25639646-2"/>
    <n v="325"/>
    <m/>
    <m/>
    <m/>
    <x v="1"/>
    <x v="7"/>
    <x v="1"/>
    <x v="27"/>
  </r>
  <r>
    <d v="2020-02-24T00:00:00"/>
    <s v="Cabello Miguel_x000a_"/>
    <s v="-"/>
    <d v="2020-02-07T00:00:00"/>
    <s v="Nacion"/>
    <n v="233934"/>
    <s v="Bono Rosa Beatriz"/>
    <n v="6000"/>
    <x v="0"/>
    <s v="27-05487277-7"/>
    <n v="326"/>
    <m/>
    <d v="2020-02-27T00:00:00"/>
    <m/>
    <x v="1"/>
    <x v="7"/>
    <x v="1"/>
    <x v="12"/>
  </r>
  <r>
    <d v="2020-02-24T00:00:00"/>
    <s v="Cabello Miguel_x000a_"/>
    <s v="-"/>
    <d v="2020-02-08T00:00:00"/>
    <s v="ICBC"/>
    <n v="96612132"/>
    <s v="Ramiro Pezoa"/>
    <n v="7000"/>
    <x v="0"/>
    <s v="20-37822707-1"/>
    <n v="327"/>
    <m/>
    <m/>
    <m/>
    <x v="1"/>
    <x v="7"/>
    <x v="1"/>
    <x v="20"/>
  </r>
  <r>
    <d v="2020-02-24T00:00:00"/>
    <s v="Cabello Miguel_x000a_"/>
    <s v="-"/>
    <d v="2020-02-08T00:00:00"/>
    <s v="La Pampa"/>
    <n v="33173217"/>
    <s v="Tizon Maria Cecilia"/>
    <n v="5000"/>
    <x v="0"/>
    <s v="27-30730726-5"/>
    <n v="328"/>
    <m/>
    <m/>
    <m/>
    <x v="1"/>
    <x v="7"/>
    <x v="1"/>
    <x v="20"/>
  </r>
  <r>
    <d v="2020-02-24T00:00:00"/>
    <s v="Cabello Miguel_x000a_"/>
    <s v="-"/>
    <d v="2020-02-08T00:00:00"/>
    <s v="Nacion_x000a_"/>
    <n v="1682568"/>
    <s v="Trabalon Angela Maria Susana"/>
    <n v="10594"/>
    <x v="0"/>
    <s v="27-12331288-6"/>
    <n v="329"/>
    <m/>
    <m/>
    <m/>
    <x v="1"/>
    <x v="7"/>
    <x v="1"/>
    <x v="20"/>
  </r>
  <r>
    <d v="2020-02-24T00:00:00"/>
    <s v="Cabello Miguel_x000a_"/>
    <s v="-"/>
    <d v="2020-02-08T00:00:00"/>
    <s v="Macro"/>
    <n v="13255011"/>
    <s v="Ambrosi Mariel Noelia"/>
    <n v="9330"/>
    <x v="0"/>
    <s v="27-33311326-6"/>
    <n v="330"/>
    <m/>
    <m/>
    <m/>
    <x v="1"/>
    <x v="7"/>
    <x v="1"/>
    <x v="20"/>
  </r>
  <r>
    <d v="2020-02-24T00:00:00"/>
    <s v="Cabello Miguel_x000a_"/>
    <s v="-"/>
    <d v="2020-02-08T00:00:00"/>
    <s v="credicoop"/>
    <n v="20982616"/>
    <s v="Meneguzzi Luciana Andrea"/>
    <n v="11360"/>
    <x v="0"/>
    <s v="27-28958123-0"/>
    <n v="331"/>
    <m/>
    <m/>
    <m/>
    <x v="1"/>
    <x v="7"/>
    <x v="1"/>
    <x v="20"/>
  </r>
  <r>
    <d v="2020-02-24T00:00:00"/>
    <s v="Cabello Miguel_x000a_"/>
    <s v="-"/>
    <d v="2020-02-08T00:00:00"/>
    <s v="Bancor_x000a_"/>
    <n v="24843469"/>
    <s v="Gonzalez Claudia Beatriz"/>
    <n v="3410"/>
    <x v="0"/>
    <s v="27-16468338-4"/>
    <n v="332"/>
    <m/>
    <m/>
    <m/>
    <x v="1"/>
    <x v="7"/>
    <x v="1"/>
    <x v="20"/>
  </r>
  <r>
    <d v="2020-02-24T00:00:00"/>
    <s v="Cabello Miguel_x000a_"/>
    <s v="-"/>
    <d v="2020-02-08T00:00:00"/>
    <s v="Galicia"/>
    <n v="54320316"/>
    <s v="Intercity Comunicaciones SA"/>
    <n v="20550.2"/>
    <x v="0"/>
    <s v="30-70959404-0"/>
    <n v="333"/>
    <m/>
    <m/>
    <m/>
    <x v="1"/>
    <x v="7"/>
    <x v="1"/>
    <x v="20"/>
  </r>
  <r>
    <d v="2020-02-24T00:00:00"/>
    <s v="Cabello Miguel_x000a_"/>
    <s v="-"/>
    <d v="2020-02-09T00:00:00"/>
    <s v="Nacion"/>
    <n v="1512899"/>
    <s v="Perez Jose Juan Ramon"/>
    <n v="15000"/>
    <x v="0"/>
    <s v="20-08569605-0"/>
    <n v="334"/>
    <m/>
    <d v="2020-02-27T00:00:00"/>
    <m/>
    <x v="1"/>
    <x v="7"/>
    <x v="1"/>
    <x v="1"/>
  </r>
  <r>
    <d v="2020-02-24T00:00:00"/>
    <s v="Cabello Miguel_x000a_"/>
    <s v="-"/>
    <d v="2020-02-10T00:00:00"/>
    <s v="Nacion"/>
    <n v="472950"/>
    <s v="Cancellieri Alma Telinda"/>
    <n v="25000"/>
    <x v="0"/>
    <s v="27-93616283-0"/>
    <n v="335"/>
    <m/>
    <m/>
    <m/>
    <x v="1"/>
    <x v="7"/>
    <x v="1"/>
    <x v="17"/>
  </r>
  <r>
    <d v="2020-02-24T00:00:00"/>
    <s v="Cabello Miguel_x000a_"/>
    <s v="-"/>
    <d v="2020-02-10T00:00:00"/>
    <s v="ICBC"/>
    <n v="96612133"/>
    <s v="Ramiro Pezoa"/>
    <n v="7000"/>
    <x v="0"/>
    <s v="20-37822707-1"/>
    <n v="336"/>
    <m/>
    <m/>
    <m/>
    <x v="1"/>
    <x v="7"/>
    <x v="1"/>
    <x v="17"/>
  </r>
  <r>
    <d v="2020-02-24T00:00:00"/>
    <s v="Cabello Miguel_x000a_"/>
    <s v="-"/>
    <d v="2020-02-10T00:00:00"/>
    <s v="Nacion"/>
    <n v="1773347"/>
    <s v="Caimo Luis Ruben"/>
    <n v="7163"/>
    <x v="0"/>
    <s v="20-10053856-4"/>
    <n v="337"/>
    <m/>
    <d v="2020-02-28T00:00:00"/>
    <m/>
    <x v="1"/>
    <x v="7"/>
    <x v="1"/>
    <x v="17"/>
  </r>
  <r>
    <d v="2020-02-24T00:00:00"/>
    <s v="Cabello Miguel_x000a_"/>
    <s v="-"/>
    <d v="2020-02-10T00:00:00"/>
    <s v="Provincia"/>
    <n v="73142709"/>
    <s v="Jorge Esteban Arduzzo"/>
    <n v="3056"/>
    <x v="0"/>
    <s v="23-10440807-9"/>
    <n v="338"/>
    <m/>
    <d v="2020-02-26T00:00:00"/>
    <m/>
    <x v="1"/>
    <x v="7"/>
    <x v="1"/>
    <x v="17"/>
  </r>
  <r>
    <d v="2020-02-24T00:00:00"/>
    <s v="Cabello Miguel_x000a_"/>
    <s v="-"/>
    <d v="2020-02-10T00:00:00"/>
    <s v="Superville"/>
    <n v="91623855"/>
    <s v="Sanchez Maria Del Rosario"/>
    <n v="15445"/>
    <x v="0"/>
    <s v="27-27759636-4"/>
    <n v="339"/>
    <m/>
    <d v="2020-02-28T00:00:00"/>
    <m/>
    <x v="1"/>
    <x v="7"/>
    <x v="1"/>
    <x v="17"/>
  </r>
  <r>
    <d v="2020-02-24T00:00:00"/>
    <s v="Cabello Miguel_x000a_"/>
    <s v="-"/>
    <d v="2020-02-10T00:00:00"/>
    <s v="Superville"/>
    <n v="91648089"/>
    <s v="Fernandez Victor Andres"/>
    <n v="18051.5"/>
    <x v="0"/>
    <s v="20-16499348-6"/>
    <n v="340"/>
    <m/>
    <d v="2020-02-28T00:00:00"/>
    <m/>
    <x v="1"/>
    <x v="7"/>
    <x v="1"/>
    <x v="17"/>
  </r>
  <r>
    <d v="2020-02-24T00:00:00"/>
    <s v="Cabello Miguel_x000a_"/>
    <s v="-"/>
    <d v="2020-02-10T00:00:00"/>
    <s v="Macro"/>
    <n v="11824684"/>
    <s v="Bosio Mariela Alejandra"/>
    <n v="4723"/>
    <x v="1"/>
    <s v="27-27871338-0"/>
    <n v="341"/>
    <m/>
    <d v="2020-02-28T00:00:00"/>
    <s v="Gama"/>
    <x v="1"/>
    <x v="7"/>
    <x v="1"/>
    <x v="17"/>
  </r>
  <r>
    <d v="2020-02-24T00:00:00"/>
    <s v="Cabello Miguel_x000a_"/>
    <s v="-"/>
    <d v="2020-02-10T00:00:00"/>
    <s v="Nacion"/>
    <n v="260100"/>
    <s v="Quintar Lilian Evelin"/>
    <n v="8000"/>
    <x v="1"/>
    <s v="27-27224230-0"/>
    <n v="342"/>
    <m/>
    <d v="2020-02-28T00:00:00"/>
    <s v="Gama"/>
    <x v="1"/>
    <x v="7"/>
    <x v="1"/>
    <x v="17"/>
  </r>
  <r>
    <d v="2020-02-24T00:00:00"/>
    <s v="Cabello Miguel_x000a_"/>
    <s v="-"/>
    <d v="2020-02-10T00:00:00"/>
    <s v="Macro"/>
    <n v="99133855"/>
    <s v="Berardo Carolina Soledad_x000a_"/>
    <n v="6000"/>
    <x v="1"/>
    <s v="27-31404261-7"/>
    <n v="343"/>
    <m/>
    <d v="2020-02-28T00:00:00"/>
    <s v="Gama"/>
    <x v="1"/>
    <x v="7"/>
    <x v="1"/>
    <x v="17"/>
  </r>
  <r>
    <d v="2020-02-24T00:00:00"/>
    <s v="Cabello Miguel_x000a_"/>
    <s v="-"/>
    <d v="2020-02-10T00:00:00"/>
    <s v="Provincia"/>
    <n v="73864642"/>
    <s v="Rolando Raul Pavoni"/>
    <n v="7140"/>
    <x v="0"/>
    <s v="20-10755858-7"/>
    <n v="344"/>
    <m/>
    <m/>
    <m/>
    <x v="1"/>
    <x v="7"/>
    <x v="1"/>
    <x v="17"/>
  </r>
  <r>
    <d v="2020-02-24T00:00:00"/>
    <s v="Cabello Miguel_x000a_"/>
    <s v="-"/>
    <d v="2020-02-10T00:00:00"/>
    <s v="Macro"/>
    <n v="10622371"/>
    <s v="Ratti Maria Laura _x000a_"/>
    <n v="9985"/>
    <x v="0"/>
    <s v="27-11061794-7"/>
    <n v="345"/>
    <m/>
    <d v="2020-02-27T00:00:00"/>
    <m/>
    <x v="1"/>
    <x v="7"/>
    <x v="1"/>
    <x v="17"/>
  </r>
  <r>
    <d v="2020-02-24T00:00:00"/>
    <s v="Cabello Miguel_x000a_"/>
    <s v="-"/>
    <d v="2020-02-11T00:00:00"/>
    <s v="ICBC"/>
    <n v="96880536"/>
    <s v="Ramiro Pezoa"/>
    <n v="7000"/>
    <x v="1"/>
    <s v="20-3822707-1"/>
    <n v="346"/>
    <m/>
    <d v="2020-02-28T00:00:00"/>
    <s v="Gama"/>
    <x v="1"/>
    <x v="7"/>
    <x v="1"/>
    <x v="11"/>
  </r>
  <r>
    <d v="2020-02-24T00:00:00"/>
    <s v="Cabello Miguel_x000a_"/>
    <s v="-"/>
    <d v="2020-02-11T00:00:00"/>
    <s v="Santander Rio"/>
    <n v="15300978"/>
    <s v="Prienza Irene Carola Edit"/>
    <n v="5000"/>
    <x v="0"/>
    <s v="27-25639646-2"/>
    <n v="347"/>
    <m/>
    <m/>
    <m/>
    <x v="1"/>
    <x v="7"/>
    <x v="1"/>
    <x v="11"/>
  </r>
  <r>
    <d v="2020-02-24T00:00:00"/>
    <s v="Cabello Miguel_x000a_"/>
    <s v="-"/>
    <d v="2020-02-12T00:00:00"/>
    <s v="ICBC"/>
    <n v="96612134"/>
    <s v="Ramiro Pezoa"/>
    <n v="7000"/>
    <x v="1"/>
    <s v="20-37822707-1"/>
    <n v="348"/>
    <m/>
    <d v="2020-02-28T00:00:00"/>
    <s v="Gama"/>
    <x v="1"/>
    <x v="7"/>
    <x v="1"/>
    <x v="0"/>
  </r>
  <r>
    <d v="2020-02-24T00:00:00"/>
    <s v="Cabello Miguel_x000a_"/>
    <s v="-"/>
    <d v="2020-02-12T00:00:00"/>
    <s v="Superville"/>
    <n v="89679874"/>
    <s v="Fernandez Victor Andres"/>
    <n v="14965"/>
    <x v="0"/>
    <s v="20-16499348-6"/>
    <n v="349"/>
    <m/>
    <d v="2020-02-28T00:00:00"/>
    <m/>
    <x v="1"/>
    <x v="7"/>
    <x v="1"/>
    <x v="0"/>
  </r>
  <r>
    <d v="2020-02-24T00:00:00"/>
    <s v="Cabello Miguel_x000a_"/>
    <s v="-"/>
    <d v="2020-02-12T00:00:00"/>
    <s v="credicoop"/>
    <n v="22434721"/>
    <s v="Yordan Mariano Nicolas"/>
    <n v="8279.99"/>
    <x v="0"/>
    <s v="20-27444807-6"/>
    <n v="350"/>
    <m/>
    <d v="2020-02-27T00:00:00"/>
    <m/>
    <x v="1"/>
    <x v="7"/>
    <x v="1"/>
    <x v="0"/>
  </r>
  <r>
    <d v="2020-02-24T00:00:00"/>
    <s v="Cabello Miguel_x000a_"/>
    <s v="-"/>
    <d v="2020-02-12T00:00:00"/>
    <s v="La Pampa"/>
    <n v="33173225"/>
    <s v="Tizon Maria Cecilia"/>
    <n v="3000"/>
    <x v="0"/>
    <s v="27-30730726-5"/>
    <n v="351"/>
    <m/>
    <d v="2020-02-28T00:00:00"/>
    <m/>
    <x v="1"/>
    <x v="7"/>
    <x v="1"/>
    <x v="0"/>
  </r>
  <r>
    <d v="2020-02-24T00:00:00"/>
    <s v="Cabello Miguel_x000a_"/>
    <s v="-"/>
    <d v="2020-02-12T00:00:00"/>
    <s v="credicoop"/>
    <n v="22685459"/>
    <s v="Sanabria y Angelicola Soc Cap"/>
    <n v="13000"/>
    <x v="0"/>
    <s v="30-63687334-5_x000a_"/>
    <n v="352"/>
    <m/>
    <m/>
    <m/>
    <x v="1"/>
    <x v="7"/>
    <x v="1"/>
    <x v="0"/>
  </r>
  <r>
    <d v="2020-02-24T00:00:00"/>
    <s v="Cabello Miguel_x000a_"/>
    <s v="-"/>
    <d v="2020-02-14T00:00:00"/>
    <s v="Macro"/>
    <n v="99133841"/>
    <s v="Berardo Carolina Soledad_x000a_"/>
    <n v="10000"/>
    <x v="0"/>
    <s v="27-31404261-7"/>
    <n v="353"/>
    <m/>
    <m/>
    <m/>
    <x v="1"/>
    <x v="7"/>
    <x v="1"/>
    <x v="16"/>
  </r>
  <r>
    <d v="2020-02-24T00:00:00"/>
    <s v="Cabello Miguel_x000a_"/>
    <s v="-"/>
    <d v="2020-02-14T00:00:00"/>
    <s v="Santander Rio"/>
    <n v="15300979"/>
    <s v="Prienza Irene Carola Edit"/>
    <n v="5000"/>
    <x v="0"/>
    <s v="27-25639646-2"/>
    <n v="354"/>
    <m/>
    <m/>
    <m/>
    <x v="1"/>
    <x v="7"/>
    <x v="1"/>
    <x v="16"/>
  </r>
  <r>
    <d v="2020-02-24T00:00:00"/>
    <s v="Cabello Miguel_x000a_"/>
    <s v="-"/>
    <d v="2020-02-15T00:00:00"/>
    <s v="Nacion"/>
    <n v="731"/>
    <s v="Valdivia Leal Eliana Cristina"/>
    <n v="9794"/>
    <x v="0"/>
    <s v="27-92353970-6"/>
    <n v="355"/>
    <m/>
    <d v="2020-03-11T00:00:00"/>
    <m/>
    <x v="1"/>
    <x v="7"/>
    <x v="1"/>
    <x v="14"/>
  </r>
  <r>
    <d v="2020-02-24T00:00:00"/>
    <s v="Cabello Miguel_x000a_"/>
    <s v="-"/>
    <d v="2020-02-15T00:00:00"/>
    <s v="credicoop"/>
    <n v="20715073"/>
    <s v="Anton Veronica Patricia"/>
    <n v="10000"/>
    <x v="1"/>
    <s v="27-27977138-4"/>
    <n v="356"/>
    <m/>
    <d v="2020-03-06T00:00:00"/>
    <s v="Lartex SRL"/>
    <x v="1"/>
    <x v="7"/>
    <x v="1"/>
    <x v="14"/>
  </r>
  <r>
    <d v="2020-02-24T00:00:00"/>
    <s v="Cabello Miguel_x000a_"/>
    <s v="-"/>
    <d v="2020-02-15T00:00:00"/>
    <s v="La Pampa"/>
    <n v="33173218"/>
    <s v="Tizon Maria Cecilia"/>
    <n v="5000"/>
    <x v="1"/>
    <s v="27-30730726-5"/>
    <n v="357"/>
    <m/>
    <d v="2020-03-06T00:00:00"/>
    <s v="Lartex SRL"/>
    <x v="1"/>
    <x v="7"/>
    <x v="1"/>
    <x v="14"/>
  </r>
  <r>
    <d v="2020-02-24T00:00:00"/>
    <s v="Cabello Miguel_x000a_"/>
    <s v="-"/>
    <d v="2020-02-15T00:00:00"/>
    <s v="Macro"/>
    <n v="13255012"/>
    <s v="Ambrosi Mariel Noelia"/>
    <n v="9330"/>
    <x v="1"/>
    <s v="27-33311326-6"/>
    <n v="358"/>
    <m/>
    <d v="2020-03-06T00:00:00"/>
    <s v="Lartex SRL"/>
    <x v="1"/>
    <x v="7"/>
    <x v="1"/>
    <x v="14"/>
  </r>
  <r>
    <d v="2020-02-24T00:00:00"/>
    <s v="Cabello Miguel_x000a_"/>
    <s v="-"/>
    <d v="2020-02-15T00:00:00"/>
    <s v="Bancor_x000a_"/>
    <n v="24843470"/>
    <s v="Gonzalez Claudia Beatriz_x000a_"/>
    <n v="3410"/>
    <x v="1"/>
    <s v="27-16468338-4"/>
    <n v="359"/>
    <m/>
    <d v="2020-03-06T00:00:00"/>
    <s v="Lartex SRL"/>
    <x v="1"/>
    <x v="7"/>
    <x v="1"/>
    <x v="14"/>
  </r>
  <r>
    <d v="2020-02-24T00:00:00"/>
    <s v="Cabello Miguel_x000a_"/>
    <s v="-"/>
    <d v="2020-02-15T00:00:00"/>
    <s v="Nacion"/>
    <n v="274748"/>
    <s v="Cambria Nestor Antonio"/>
    <n v="5000"/>
    <x v="0"/>
    <s v="20-13643864-7"/>
    <n v="360"/>
    <m/>
    <d v="2020-02-27T00:00:00"/>
    <m/>
    <x v="1"/>
    <x v="7"/>
    <x v="1"/>
    <x v="14"/>
  </r>
  <r>
    <d v="2020-02-24T00:00:00"/>
    <s v="Cabello Miguel_x000a_"/>
    <s v="-"/>
    <d v="2020-02-15T00:00:00"/>
    <s v="Chubut"/>
    <n v="17462202"/>
    <s v="Fernandez Fanny Lilian"/>
    <n v="7000"/>
    <x v="1"/>
    <s v="27-21388764-0"/>
    <n v="361"/>
    <m/>
    <d v="2020-03-06T00:00:00"/>
    <s v="Lartex SRL"/>
    <x v="1"/>
    <x v="7"/>
    <x v="1"/>
    <x v="14"/>
  </r>
  <r>
    <d v="2020-02-24T00:00:00"/>
    <s v="Cabello Miguel_x000a_"/>
    <s v="-"/>
    <d v="2020-02-15T00:00:00"/>
    <s v="Macro"/>
    <n v="11400905"/>
    <s v="Scorza Oscar Arturo_x000a_"/>
    <n v="12000"/>
    <x v="1"/>
    <s v="20-17685218-7_x000a_"/>
    <n v="362"/>
    <m/>
    <d v="2020-03-06T00:00:00"/>
    <s v="Lartex SRL"/>
    <x v="1"/>
    <x v="7"/>
    <x v="1"/>
    <x v="14"/>
  </r>
  <r>
    <d v="2020-02-24T00:00:00"/>
    <s v="Cabello Miguel_x000a_"/>
    <s v="-"/>
    <d v="2020-02-16T00:00:00"/>
    <s v="credicoop"/>
    <n v="22270938"/>
    <s v="Iglesias Adriana Patricia"/>
    <n v="5000"/>
    <x v="0"/>
    <s v="27-13830165-1"/>
    <n v="363"/>
    <m/>
    <m/>
    <m/>
    <x v="1"/>
    <x v="7"/>
    <x v="1"/>
    <x v="23"/>
  </r>
  <r>
    <d v="2020-02-24T00:00:00"/>
    <s v="Cabello Miguel_x000a_"/>
    <s v="-"/>
    <d v="2020-02-17T00:00:00"/>
    <s v="ICBC"/>
    <n v="96880537"/>
    <s v="Ramiro Pezoa"/>
    <n v="7000"/>
    <x v="0"/>
    <s v="20-37822707-1"/>
    <n v="364"/>
    <m/>
    <d v="2020-03-11T00:00:00"/>
    <m/>
    <x v="1"/>
    <x v="7"/>
    <x v="1"/>
    <x v="21"/>
  </r>
  <r>
    <d v="2020-02-24T00:00:00"/>
    <s v="Cabello Miguel_x000a_"/>
    <s v="-"/>
    <d v="2020-02-17T00:00:00"/>
    <s v="Nacion"/>
    <n v="354131"/>
    <s v="Gomez Nilda De Lorenzo"/>
    <n v="6594"/>
    <x v="0"/>
    <s v="27-04606155-7"/>
    <n v="365"/>
    <m/>
    <m/>
    <m/>
    <x v="1"/>
    <x v="7"/>
    <x v="1"/>
    <x v="21"/>
  </r>
  <r>
    <d v="2020-02-24T00:00:00"/>
    <s v="Cabello Miguel_x000a_"/>
    <s v="-"/>
    <d v="2020-02-18T00:00:00"/>
    <s v="Santander Rio"/>
    <n v="15300980"/>
    <s v="Prienza Irene Carola Edit"/>
    <n v="5000"/>
    <x v="0"/>
    <s v="27-25639646-2"/>
    <n v="366"/>
    <m/>
    <m/>
    <m/>
    <x v="1"/>
    <x v="7"/>
    <x v="1"/>
    <x v="9"/>
  </r>
  <r>
    <d v="2020-02-24T00:00:00"/>
    <s v="Cabello Miguel_x000a_"/>
    <s v="-"/>
    <d v="2020-02-18T00:00:00"/>
    <s v="Macro"/>
    <n v="14800672"/>
    <s v="Ambrosi Mariel Noelia"/>
    <n v="7017.4"/>
    <x v="0"/>
    <s v="27-33311326-6"/>
    <n v="367"/>
    <m/>
    <d v="2020-03-11T00:00:00"/>
    <m/>
    <x v="1"/>
    <x v="7"/>
    <x v="1"/>
    <x v="9"/>
  </r>
  <r>
    <d v="2020-02-24T00:00:00"/>
    <s v="Cabello Miguel_x000a_"/>
    <s v="-"/>
    <d v="2020-02-20T00:00:00"/>
    <s v="Provincia"/>
    <n v="72597378"/>
    <s v="Serra Jose Bernardo_x000a_"/>
    <n v="4100"/>
    <x v="0"/>
    <s v="20-10475901-8"/>
    <n v="368"/>
    <m/>
    <m/>
    <m/>
    <x v="1"/>
    <x v="7"/>
    <x v="1"/>
    <x v="18"/>
  </r>
  <r>
    <d v="2020-03-02T00:00:00"/>
    <s v="Petrich"/>
    <s v="-"/>
    <d v="2020-03-18T00:00:00"/>
    <s v="Macro"/>
    <n v="14973536"/>
    <s v="Somatiti S.A."/>
    <n v="13000"/>
    <x v="0"/>
    <s v="30-71616914-2"/>
    <n v="369"/>
    <m/>
    <d v="2020-03-18T00:00:00"/>
    <m/>
    <x v="1"/>
    <x v="8"/>
    <x v="1"/>
    <x v="9"/>
  </r>
  <r>
    <d v="2020-03-03T00:00:00"/>
    <s v="Matocha"/>
    <s v="-"/>
    <d v="2020-03-11T00:00:00"/>
    <s v="Provincia"/>
    <n v="76090312"/>
    <s v="Reynosa Jorge Andres"/>
    <n v="15340.5"/>
    <x v="1"/>
    <s v="20-25076223-3"/>
    <n v="370"/>
    <m/>
    <d v="2020-03-16T00:00:00"/>
    <s v="Lartex"/>
    <x v="1"/>
    <x v="8"/>
    <x v="1"/>
    <x v="11"/>
  </r>
  <r>
    <d v="2020-03-04T00:00:00"/>
    <s v="Riabis"/>
    <s v="-"/>
    <d v="2020-03-12T00:00:00"/>
    <s v="Provincia"/>
    <n v="70405597"/>
    <s v="Sanchez Fernando Gabriel"/>
    <n v="18160"/>
    <x v="1"/>
    <s v="20-25973603-0"/>
    <n v="371"/>
    <m/>
    <d v="2020-03-16T00:00:00"/>
    <s v="Lartex"/>
    <x v="1"/>
    <x v="8"/>
    <x v="1"/>
    <x v="0"/>
  </r>
  <r>
    <d v="2020-03-04T00:00:00"/>
    <s v="Riabis"/>
    <s v="-"/>
    <d v="2020-03-30T00:00:00"/>
    <s v="Galicia"/>
    <n v="4482428"/>
    <s v="Tenaglia Maria Graciela"/>
    <n v="3500"/>
    <x v="0"/>
    <s v="27-13769994-5"/>
    <n v="372"/>
    <m/>
    <d v="2020-04-02T00:00:00"/>
    <m/>
    <x v="1"/>
    <x v="8"/>
    <x v="1"/>
    <x v="2"/>
  </r>
  <r>
    <d v="2020-03-04T00:00:00"/>
    <s v="Riabis"/>
    <s v="-"/>
    <d v="2020-04-30T00:00:00"/>
    <s v="Galicia"/>
    <n v="4482429"/>
    <s v="Tenaglia Maria Graciela"/>
    <n v="3800"/>
    <x v="0"/>
    <s v="27-13769994-5"/>
    <n v="373"/>
    <m/>
    <m/>
    <m/>
    <x v="1"/>
    <x v="9"/>
    <x v="1"/>
    <x v="2"/>
  </r>
  <r>
    <d v="2020-03-12T00:00:00"/>
    <s v="Manzo"/>
    <s v="-"/>
    <d v="2020-04-06T00:00:00"/>
    <s v="Nacion"/>
    <n v="1926"/>
    <s v="Cassibba Julio Alberto"/>
    <n v="5000"/>
    <x v="0"/>
    <s v="20-05305088-4"/>
    <n v="374"/>
    <m/>
    <d v="2020-04-08T00:00:00"/>
    <m/>
    <x v="1"/>
    <x v="9"/>
    <x v="1"/>
    <x v="27"/>
  </r>
  <r>
    <d v="2020-03-12T00:00:00"/>
    <s v="Manzo"/>
    <s v="-"/>
    <d v="2020-04-22T00:00:00"/>
    <s v="Nacion"/>
    <n v="1927"/>
    <s v="Cassibba Julio Alberto"/>
    <n v="4900"/>
    <x v="0"/>
    <s v="20-05305088-4"/>
    <n v="375"/>
    <m/>
    <m/>
    <m/>
    <x v="1"/>
    <x v="9"/>
    <x v="1"/>
    <x v="19"/>
  </r>
  <r>
    <d v="2020-03-17T00:00:00"/>
    <s v="Manzo"/>
    <s v="-"/>
    <d v="2020-04-02T00:00:00"/>
    <s v="Patagonia"/>
    <n v="21395529"/>
    <s v="Mena Andres Esteban"/>
    <n v="15493.33"/>
    <x v="0"/>
    <s v="20-2536889-6"/>
    <n v="376"/>
    <m/>
    <d v="2020-04-02T00:00:00"/>
    <m/>
    <x v="1"/>
    <x v="9"/>
    <x v="1"/>
    <x v="29"/>
  </r>
  <r>
    <d v="2020-03-19T00:00:00"/>
    <s v="Bouzyk"/>
    <s v="-"/>
    <d v="2020-06-30T00:00:00"/>
    <s v="credicoop"/>
    <n v="40888116"/>
    <s v="Boero Camila Alejandra"/>
    <n v="30000"/>
    <x v="3"/>
    <s v="27-39261112-1"/>
    <n v="377"/>
    <m/>
    <d v="2020-04-13T00:00:00"/>
    <m/>
    <x v="1"/>
    <x v="11"/>
    <x v="1"/>
    <x v="2"/>
  </r>
  <r>
    <d v="2020-03-19T00:00:00"/>
    <s v="Bouzyk"/>
    <s v="-"/>
    <d v="2020-06-30T00:00:00"/>
    <s v="credicoop"/>
    <n v="40888117"/>
    <s v="Boero Camila Alejandra"/>
    <n v="30000"/>
    <x v="3"/>
    <s v="27-39261112-1"/>
    <n v="378"/>
    <m/>
    <d v="2020-04-13T00:00:00"/>
    <m/>
    <x v="1"/>
    <x v="11"/>
    <x v="1"/>
    <x v="2"/>
  </r>
  <r>
    <d v="2020-04-20T00:00:00"/>
    <s v="Bouzyk"/>
    <s v="-"/>
    <d v="2020-06-22T00:00:00"/>
    <s v="credicoop"/>
    <n v="40888114"/>
    <s v="Boero Camila Alejandra"/>
    <n v="30000"/>
    <x v="3"/>
    <s v="27-39261112-1"/>
    <n v="379"/>
    <m/>
    <d v="2020-04-16T00:00:00"/>
    <m/>
    <x v="1"/>
    <x v="11"/>
    <x v="1"/>
    <x v="19"/>
  </r>
  <r>
    <d v="2020-04-20T00:00:00"/>
    <s v="Bouzyk"/>
    <s v="-"/>
    <d v="2020-07-02T00:00:00"/>
    <s v="credicoop"/>
    <n v="40888115"/>
    <s v="Boero Camila Alejandra"/>
    <n v="30000"/>
    <x v="3"/>
    <s v="27-39261112-1"/>
    <n v="380"/>
    <m/>
    <d v="2020-04-16T00:00:00"/>
    <m/>
    <x v="1"/>
    <x v="4"/>
    <x v="1"/>
    <x v="29"/>
  </r>
  <r>
    <d v="2020-04-22T00:00:00"/>
    <s v="Bouzyk"/>
    <s v="-"/>
    <d v="2020-05-20T00:00:00"/>
    <s v="Provincia"/>
    <n v="72773491"/>
    <s v="Zoughout Diana"/>
    <n v="10000"/>
    <x v="3"/>
    <s v="27-11958010-8"/>
    <n v="381"/>
    <m/>
    <d v="2020-04-22T00:00:00"/>
    <m/>
    <x v="1"/>
    <x v="10"/>
    <x v="1"/>
    <x v="18"/>
  </r>
  <r>
    <d v="2020-04-22T00:00:00"/>
    <s v="Bouzyk"/>
    <s v="-"/>
    <d v="2020-05-22T00:00:00"/>
    <s v="Provincia"/>
    <n v="72773492"/>
    <s v="Zoughout Diana"/>
    <n v="10000"/>
    <x v="3"/>
    <s v="27-11958010-8"/>
    <n v="382"/>
    <m/>
    <d v="2020-04-22T00:00:00"/>
    <m/>
    <x v="1"/>
    <x v="10"/>
    <x v="1"/>
    <x v="19"/>
  </r>
  <r>
    <d v="2020-04-30T00:00:00"/>
    <s v="Martinez"/>
    <s v="-"/>
    <d v="2020-05-28T00:00:00"/>
    <s v="Santander Rio"/>
    <n v="45900714"/>
    <s v="Dopchiz*iair"/>
    <n v="25000"/>
    <x v="3"/>
    <s v="20-19078281-7"/>
    <n v="383"/>
    <m/>
    <m/>
    <m/>
    <x v="1"/>
    <x v="10"/>
    <x v="1"/>
    <x v="4"/>
  </r>
  <r>
    <d v="2020-05-08T00:00:00"/>
    <s v="Bouzyk"/>
    <s v="-"/>
    <d v="2020-08-22T00:00:00"/>
    <s v="credicoop"/>
    <n v="40888125"/>
    <s v="Boero Camila Alejandra"/>
    <n v="40000"/>
    <x v="3"/>
    <s v="27-39261112-1"/>
    <n v="384"/>
    <m/>
    <m/>
    <m/>
    <x v="1"/>
    <x v="0"/>
    <x v="1"/>
    <x v="19"/>
  </r>
  <r>
    <d v="2020-05-08T00:00:00"/>
    <s v="Bouzyk"/>
    <s v="-"/>
    <d v="2020-08-31T00:00:00"/>
    <s v="credicoop"/>
    <n v="40888126"/>
    <s v="Boero Camila Alejandra"/>
    <n v="30000"/>
    <x v="3"/>
    <s v="27-39261112-1"/>
    <n v="385"/>
    <m/>
    <m/>
    <m/>
    <x v="1"/>
    <x v="0"/>
    <x v="1"/>
    <x v="3"/>
  </r>
  <r>
    <d v="2020-05-08T00:00:00"/>
    <s v="Bouzyk"/>
    <s v="-"/>
    <d v="2020-08-31T00:00:00"/>
    <s v="credicoop"/>
    <n v="40888127"/>
    <s v="Boero Camila Alejandra"/>
    <n v="30000"/>
    <x v="3"/>
    <s v="27-39261112-1"/>
    <n v="386"/>
    <m/>
    <d v="2020-05-07T00:00:00"/>
    <m/>
    <x v="1"/>
    <x v="0"/>
    <x v="1"/>
    <x v="3"/>
  </r>
  <r>
    <d v="2020-05-08T00:00:00"/>
    <s v="Bouzyk"/>
    <s v="-"/>
    <d v="2020-08-31T00:00:00"/>
    <s v="credicoop"/>
    <n v="40888128"/>
    <s v="Boero Camila Alejandra"/>
    <n v="30000"/>
    <x v="3"/>
    <s v="27-39261112-1"/>
    <n v="387"/>
    <m/>
    <d v="2020-05-12T00:00:00"/>
    <m/>
    <x v="1"/>
    <x v="0"/>
    <x v="1"/>
    <x v="3"/>
  </r>
  <r>
    <d v="2020-05-12T00:00:00"/>
    <s v="Riabis"/>
    <s v="-"/>
    <d v="2020-05-07T00:00:00"/>
    <s v="Nacion"/>
    <n v="43540"/>
    <s v="Anhorn Juan Ricardo"/>
    <n v="5000"/>
    <x v="0"/>
    <s v="20-07695582-5"/>
    <n v="388"/>
    <m/>
    <m/>
    <m/>
    <x v="1"/>
    <x v="10"/>
    <x v="1"/>
    <x v="12"/>
  </r>
  <r>
    <d v="2020-05-12T00:00:00"/>
    <s v="Riabis"/>
    <s v="-"/>
    <d v="2020-05-16T00:00:00"/>
    <s v="Provincia"/>
    <n v="73188554"/>
    <s v="Petz Marcela de los Angeles"/>
    <n v="12550"/>
    <x v="0"/>
    <s v="27-21760514-3"/>
    <n v="389"/>
    <m/>
    <m/>
    <m/>
    <x v="1"/>
    <x v="10"/>
    <x v="1"/>
    <x v="23"/>
  </r>
  <r>
    <d v="2020-05-30T00:00:00"/>
    <s v="Eco Uniformes"/>
    <s v="-"/>
    <d v="2020-07-10T00:00:00"/>
    <s v="Macro"/>
    <n v="11082887"/>
    <s v="Colon S.A"/>
    <n v="14880.25"/>
    <x v="3"/>
    <s v="30-54577813-7"/>
    <n v="390"/>
    <m/>
    <m/>
    <m/>
    <x v="1"/>
    <x v="4"/>
    <x v="1"/>
    <x v="17"/>
  </r>
  <r>
    <d v="2020-05-30T00:00:00"/>
    <s v="Petrich"/>
    <s v="-"/>
    <d v="2020-05-29T00:00:00"/>
    <s v="Provincia"/>
    <n v="76240787"/>
    <s v="Avelino Garcia Sociedad Anonim"/>
    <n v="9000"/>
    <x v="0"/>
    <s v="30-70984048-3"/>
    <n v="391"/>
    <m/>
    <m/>
    <m/>
    <x v="1"/>
    <x v="10"/>
    <x v="1"/>
    <x v="5"/>
  </r>
  <r>
    <d v="2020-05-30T00:00:00"/>
    <s v="Petrich"/>
    <s v="-"/>
    <d v="2020-06-05T00:00:00"/>
    <s v="Provincia"/>
    <n v="76240788"/>
    <s v="Avelino Garcia Sociedad Anonim"/>
    <n v="8908"/>
    <x v="5"/>
    <s v="30-70984048-3"/>
    <n v="392"/>
    <m/>
    <d v="2020-06-11T00:00:00"/>
    <m/>
    <x v="7"/>
    <x v="11"/>
    <x v="1"/>
    <x v="22"/>
  </r>
  <r>
    <d v="2020-05-30T00:00:00"/>
    <s v="Petrich"/>
    <s v="-"/>
    <d v="2020-06-26T00:00:00"/>
    <s v="Provincia"/>
    <n v="76240791"/>
    <s v="Avelino Garcia Sociedad Anonim"/>
    <n v="8816.81"/>
    <x v="0"/>
    <s v="30-70984048-3"/>
    <n v="393"/>
    <m/>
    <m/>
    <m/>
    <x v="1"/>
    <x v="11"/>
    <x v="1"/>
    <x v="8"/>
  </r>
  <r>
    <d v="2020-05-30T00:00:00"/>
    <s v="Vorrazo"/>
    <s v="-"/>
    <d v="2020-08-31T00:00:00"/>
    <s v="credicoop"/>
    <n v="41029755"/>
    <s v="signori Ana Luz"/>
    <n v="5000"/>
    <x v="1"/>
    <s v="27-24924330-8"/>
    <n v="394"/>
    <m/>
    <m/>
    <m/>
    <x v="1"/>
    <x v="0"/>
    <x v="1"/>
    <x v="3"/>
  </r>
  <r>
    <d v="2020-05-30T00:00:00"/>
    <s v="Vorrazo"/>
    <s v="-"/>
    <d v="2020-09-30T00:00:00"/>
    <s v="credicoop"/>
    <n v="41029756"/>
    <s v="signori Ana Luz"/>
    <n v="5000"/>
    <x v="3"/>
    <s v="27-24924330-8"/>
    <n v="395"/>
    <m/>
    <d v="2020-06-30T00:00:00"/>
    <s v="Veccio"/>
    <x v="1"/>
    <x v="5"/>
    <x v="1"/>
    <x v="2"/>
  </r>
  <r>
    <d v="2020-05-30T00:00:00"/>
    <s v="Vorrazo"/>
    <s v="-"/>
    <d v="2020-09-30T00:00:00"/>
    <s v="credicoop"/>
    <n v="41029757"/>
    <s v="signori Ana Luz"/>
    <n v="5000"/>
    <x v="1"/>
    <s v="27-24924330-8"/>
    <n v="396"/>
    <m/>
    <m/>
    <m/>
    <x v="1"/>
    <x v="5"/>
    <x v="1"/>
    <x v="2"/>
  </r>
  <r>
    <d v="2020-05-30T00:00:00"/>
    <s v="Vorrazo"/>
    <s v="-"/>
    <d v="2020-09-30T00:00:00"/>
    <s v="credicoop"/>
    <n v="41029758"/>
    <s v="signori Ana Luz"/>
    <n v="3000"/>
    <x v="1"/>
    <s v="27-24924330-8"/>
    <n v="397"/>
    <m/>
    <m/>
    <m/>
    <x v="1"/>
    <x v="5"/>
    <x v="1"/>
    <x v="2"/>
  </r>
  <r>
    <d v="2020-05-30T00:00:00"/>
    <s v="Vorrazo"/>
    <s v="-"/>
    <d v="2020-10-31T00:00:00"/>
    <s v="credicoop"/>
    <n v="41029759"/>
    <s v="signori Ana Luz"/>
    <n v="5000"/>
    <x v="1"/>
    <s v="27-24924330-8"/>
    <n v="398"/>
    <m/>
    <d v="2020-09-28T00:00:00"/>
    <s v="Temco"/>
    <x v="1"/>
    <x v="1"/>
    <x v="1"/>
    <x v="3"/>
  </r>
  <r>
    <d v="2020-05-30T00:00:00"/>
    <s v="Vorrazo"/>
    <s v="-"/>
    <d v="2020-10-31T00:00:00"/>
    <s v="credicoop"/>
    <n v="41029760"/>
    <s v="signori Ana Luz"/>
    <n v="5000"/>
    <x v="1"/>
    <s v="27-24924330-8"/>
    <n v="399"/>
    <m/>
    <m/>
    <m/>
    <x v="1"/>
    <x v="1"/>
    <x v="1"/>
    <x v="3"/>
  </r>
  <r>
    <d v="2020-05-30T00:00:00"/>
    <s v="Vorrazo"/>
    <s v="-"/>
    <d v="2020-10-31T00:00:00"/>
    <s v="credicoop"/>
    <n v="41029761"/>
    <s v="signori Ana Luz"/>
    <n v="3000"/>
    <x v="1"/>
    <s v="27-24924330-8"/>
    <n v="400"/>
    <m/>
    <m/>
    <m/>
    <x v="1"/>
    <x v="1"/>
    <x v="1"/>
    <x v="3"/>
  </r>
  <r>
    <d v="2020-05-30T00:00:00"/>
    <s v="Vorrazo"/>
    <s v="-"/>
    <d v="2020-10-31T00:00:00"/>
    <s v="credicoop"/>
    <n v="41029762"/>
    <s v="signori Ana Luz"/>
    <n v="3313"/>
    <x v="1"/>
    <s v="27-24924330-8"/>
    <n v="401"/>
    <m/>
    <d v="2020-09-28T00:00:00"/>
    <s v="Veccio"/>
    <x v="1"/>
    <x v="1"/>
    <x v="1"/>
    <x v="3"/>
  </r>
  <r>
    <d v="2020-06-01T00:00:00"/>
    <s v="Petrich"/>
    <s v="-"/>
    <d v="2020-07-15T00:00:00"/>
    <s v="Provincia"/>
    <n v="75350320"/>
    <s v="Bazan Sandra Maria"/>
    <n v="6000"/>
    <x v="3"/>
    <s v="27-16584512-4"/>
    <n v="402"/>
    <m/>
    <m/>
    <m/>
    <x v="1"/>
    <x v="4"/>
    <x v="1"/>
    <x v="14"/>
  </r>
  <r>
    <d v="2020-06-01T00:00:00"/>
    <s v="Petrich"/>
    <s v="-"/>
    <d v="2020-07-31T00:00:00"/>
    <s v="Provincia"/>
    <n v="75350321"/>
    <s v="Bazan Sandra Maria"/>
    <n v="6000"/>
    <x v="3"/>
    <s v="27-16584512-4"/>
    <n v="403"/>
    <m/>
    <m/>
    <m/>
    <x v="1"/>
    <x v="4"/>
    <x v="1"/>
    <x v="3"/>
  </r>
  <r>
    <d v="2020-06-01T00:00:00"/>
    <s v="Petrich"/>
    <s v="-"/>
    <d v="2020-08-20T00:00:00"/>
    <s v="Provincia"/>
    <n v="75350323"/>
    <s v="Bazan Sandra Maria"/>
    <n v="6000"/>
    <x v="3"/>
    <s v="27-16584512-4"/>
    <n v="404"/>
    <m/>
    <m/>
    <m/>
    <x v="1"/>
    <x v="0"/>
    <x v="1"/>
    <x v="18"/>
  </r>
  <r>
    <d v="2020-06-01T00:00:00"/>
    <s v="Petrich"/>
    <s v="-"/>
    <d v="2020-08-30T00:00:00"/>
    <s v="Provincia"/>
    <n v="75350324"/>
    <s v="Bazan Sandra Maria"/>
    <n v="6000"/>
    <x v="3"/>
    <s v="27-16584512-4"/>
    <n v="405"/>
    <m/>
    <d v="2020-06-30T00:00:00"/>
    <s v="Veccio"/>
    <x v="1"/>
    <x v="0"/>
    <x v="1"/>
    <x v="2"/>
  </r>
  <r>
    <d v="2020-06-04T00:00:00"/>
    <s v="Manzo"/>
    <s v="-"/>
    <d v="2020-06-10T00:00:00"/>
    <s v="Provincia"/>
    <n v="79928885"/>
    <s v="Cassibba Julio Alberto"/>
    <n v="10000"/>
    <x v="0"/>
    <s v="20-05305088-4"/>
    <n v="406"/>
    <m/>
    <m/>
    <m/>
    <x v="1"/>
    <x v="11"/>
    <x v="1"/>
    <x v="17"/>
  </r>
  <r>
    <d v="2020-06-04T00:00:00"/>
    <s v="Manzo"/>
    <s v="-"/>
    <d v="2020-06-24T00:00:00"/>
    <s v="Provincia"/>
    <n v="79928889"/>
    <s v="Cassibba Julio Alberto"/>
    <n v="5000"/>
    <x v="0"/>
    <s v="20-05305088-4"/>
    <n v="407"/>
    <m/>
    <s v="No se"/>
    <m/>
    <x v="1"/>
    <x v="11"/>
    <x v="1"/>
    <x v="6"/>
  </r>
  <r>
    <d v="2020-06-04T00:00:00"/>
    <s v="Manzo"/>
    <s v="-"/>
    <d v="2020-07-13T00:00:00"/>
    <s v="Provincia"/>
    <n v="79928887"/>
    <s v="Cassibba Julio Alberto"/>
    <n v="9350"/>
    <x v="0"/>
    <s v="20-05305088-4"/>
    <n v="408"/>
    <m/>
    <d v="2020-07-15T00:00:00"/>
    <m/>
    <x v="1"/>
    <x v="4"/>
    <x v="1"/>
    <x v="7"/>
  </r>
  <r>
    <d v="2020-06-08T00:00:00"/>
    <s v="Borra"/>
    <s v="-"/>
    <d v="2020-06-25T00:00:00"/>
    <s v="Nacion"/>
    <n v="259"/>
    <s v="Kees Marina Soledad"/>
    <n v="24000"/>
    <x v="0"/>
    <s v="23-29859387-4"/>
    <n v="409"/>
    <m/>
    <d v="2020-06-25T00:00:00"/>
    <m/>
    <x v="1"/>
    <x v="11"/>
    <x v="1"/>
    <x v="10"/>
  </r>
  <r>
    <d v="2020-06-08T00:00:00"/>
    <s v="Borra"/>
    <s v="-"/>
    <d v="2020-07-17T00:00:00"/>
    <s v="Nacion"/>
    <n v="260"/>
    <s v="Kees Marina Soledad"/>
    <n v="23353.8"/>
    <x v="3"/>
    <s v="23-29859387-4"/>
    <n v="410"/>
    <m/>
    <d v="2020-06-09T00:00:00"/>
    <m/>
    <x v="1"/>
    <x v="4"/>
    <x v="1"/>
    <x v="21"/>
  </r>
  <r>
    <d v="2020-06-11T00:00:00"/>
    <s v="Eco Uniformes"/>
    <s v="-"/>
    <d v="2020-07-30T00:00:00"/>
    <s v="Patagonia"/>
    <n v="22079279"/>
    <s v="Fotos Nino Srl"/>
    <n v="23901.599999999999"/>
    <x v="3"/>
    <s v="30-68140575-1"/>
    <n v="411"/>
    <m/>
    <d v="2020-06-23T00:00:00"/>
    <m/>
    <x v="1"/>
    <x v="4"/>
    <x v="1"/>
    <x v="2"/>
  </r>
  <r>
    <d v="2020-06-11T00:00:00"/>
    <s v="Vorrazo"/>
    <s v="-"/>
    <d v="2020-08-01T00:00:00"/>
    <s v="Macro"/>
    <n v="11752539"/>
    <s v="Sosa Fernando Alberto"/>
    <n v="20000"/>
    <x v="1"/>
    <s v="20-23479311-0"/>
    <n v="412"/>
    <m/>
    <d v="2020-08-12T00:00:00"/>
    <s v="Techista"/>
    <x v="1"/>
    <x v="0"/>
    <x v="1"/>
    <x v="24"/>
  </r>
  <r>
    <d v="2020-06-11T00:00:00"/>
    <s v="Vorrazo"/>
    <s v="-"/>
    <d v="2020-08-15T00:00:00"/>
    <s v="Macro"/>
    <n v="11752540"/>
    <s v="Sosa Fernando Alberto"/>
    <n v="20000"/>
    <x v="1"/>
    <s v="20-23479311-0"/>
    <n v="413"/>
    <m/>
    <m/>
    <m/>
    <x v="1"/>
    <x v="0"/>
    <x v="1"/>
    <x v="14"/>
  </r>
  <r>
    <d v="2020-06-22T00:00:00"/>
    <s v="Riabis"/>
    <s v="-"/>
    <d v="2020-07-15T00:00:00"/>
    <s v="Macro"/>
    <n v="15002938"/>
    <s v="catalano nicolas"/>
    <n v="5200"/>
    <x v="0"/>
    <s v="20-31215781-1"/>
    <n v="414"/>
    <m/>
    <d v="2020-07-15T00:00:00"/>
    <m/>
    <x v="1"/>
    <x v="4"/>
    <x v="1"/>
    <x v="14"/>
  </r>
  <r>
    <d v="2020-06-22T00:00:00"/>
    <s v="Riabis"/>
    <s v="-"/>
    <d v="2020-06-29T00:00:00"/>
    <s v="Macro"/>
    <n v="15002936"/>
    <s v="catalano nicolas"/>
    <n v="6000"/>
    <x v="0"/>
    <s v="20-31215781-1"/>
    <n v="415"/>
    <m/>
    <d v="2020-07-15T00:00:00"/>
    <m/>
    <x v="1"/>
    <x v="11"/>
    <x v="1"/>
    <x v="5"/>
  </r>
  <r>
    <d v="2020-06-22T00:00:00"/>
    <s v="Riabis"/>
    <s v="-"/>
    <d v="2020-07-15T00:00:00"/>
    <s v="Bind"/>
    <n v="15065334"/>
    <s v="Broto Monica Graciela"/>
    <n v="14130"/>
    <x v="0"/>
    <s v="27-17211496-8"/>
    <n v="416"/>
    <m/>
    <d v="2020-07-15T00:00:00"/>
    <m/>
    <x v="1"/>
    <x v="4"/>
    <x v="1"/>
    <x v="14"/>
  </r>
  <r>
    <d v="2020-06-25T00:00:00"/>
    <s v="Manzo"/>
    <s v="-"/>
    <d v="2020-08-06T00:00:00"/>
    <s v="Provincia"/>
    <n v="79928929"/>
    <s v="Cassibba Julio Alberto"/>
    <n v="12000"/>
    <x v="1"/>
    <s v="20-05305088-4"/>
    <n v="417"/>
    <m/>
    <d v="2020-08-05T00:00:00"/>
    <s v="Techista"/>
    <x v="1"/>
    <x v="0"/>
    <x v="1"/>
    <x v="27"/>
  </r>
  <r>
    <d v="2020-06-29T00:00:00"/>
    <s v="Rita Ferrando"/>
    <s v="-"/>
    <d v="2020-07-31T00:00:00"/>
    <s v="Provincia"/>
    <n v="77904946"/>
    <s v="Tovar Luis Maria"/>
    <n v="7930"/>
    <x v="1"/>
    <s v="20-12663675-0"/>
    <n v="418"/>
    <m/>
    <d v="2020-08-18T00:00:00"/>
    <s v="Lipovetzky"/>
    <x v="1"/>
    <x v="4"/>
    <x v="1"/>
    <x v="3"/>
  </r>
  <r>
    <d v="2020-06-29T00:00:00"/>
    <s v="Rita Ferrando"/>
    <s v="-"/>
    <d v="2020-08-15T00:00:00"/>
    <s v="Provincia"/>
    <n v="77904947"/>
    <s v="Tovar Luis Maria"/>
    <n v="7930"/>
    <x v="3"/>
    <s v="20-12663675-0"/>
    <n v="419"/>
    <m/>
    <d v="2020-07-15T00:00:00"/>
    <s v="Veira"/>
    <x v="1"/>
    <x v="0"/>
    <x v="1"/>
    <x v="14"/>
  </r>
  <r>
    <d v="2020-07-08T00:00:00"/>
    <s v="Eco Uniformes"/>
    <s v="-"/>
    <d v="2020-06-15T00:00:00"/>
    <s v="Santander Rio"/>
    <n v="12100667"/>
    <s v="Mendizabal Antonela"/>
    <n v="30000"/>
    <x v="0"/>
    <s v="27-33646782-4"/>
    <n v="420"/>
    <m/>
    <m/>
    <m/>
    <x v="1"/>
    <x v="11"/>
    <x v="1"/>
    <x v="14"/>
  </r>
  <r>
    <d v="2020-07-08T00:00:00"/>
    <s v="Bouzyk"/>
    <s v="-"/>
    <d v="2020-10-31T00:00:00"/>
    <s v="credicoop"/>
    <n v="40888146"/>
    <s v="Boero Camila Alejandra"/>
    <n v="50000"/>
    <x v="1"/>
    <s v="27-39261112-1"/>
    <n v="421"/>
    <m/>
    <d v="2020-09-28T00:00:00"/>
    <s v="Otranto"/>
    <x v="1"/>
    <x v="1"/>
    <x v="1"/>
    <x v="3"/>
  </r>
  <r>
    <d v="2020-07-11T00:00:00"/>
    <s v="Vorrazo"/>
    <s v="-"/>
    <d v="2020-07-31T00:00:00"/>
    <s v="BBVA"/>
    <n v="537137"/>
    <s v="Club de diseño SRL"/>
    <n v="20000"/>
    <x v="1"/>
    <s v="30-71015338-4"/>
    <n v="422"/>
    <m/>
    <m/>
    <s v="Mandy"/>
    <x v="1"/>
    <x v="4"/>
    <x v="1"/>
    <x v="3"/>
  </r>
  <r>
    <d v="2020-07-11T00:00:00"/>
    <s v="Vorrazo"/>
    <s v="-"/>
    <d v="2020-08-31T00:00:00"/>
    <s v="BBVA"/>
    <n v="537138"/>
    <s v="Club de diseño SRL"/>
    <n v="31570"/>
    <x v="1"/>
    <s v="30-71015338-4"/>
    <n v="423"/>
    <m/>
    <d v="2020-08-28T00:00:00"/>
    <s v="Lartex"/>
    <x v="1"/>
    <x v="0"/>
    <x v="1"/>
    <x v="3"/>
  </r>
  <r>
    <d v="2020-07-13T00:00:00"/>
    <s v="Borra"/>
    <s v="-"/>
    <d v="2020-07-28T00:00:00"/>
    <s v="Patagonia"/>
    <n v="20360353"/>
    <s v="Mendoza Juan Pablo"/>
    <n v="20000"/>
    <x v="0"/>
    <s v="20-26057362-5"/>
    <n v="424"/>
    <m/>
    <m/>
    <m/>
    <x v="1"/>
    <x v="4"/>
    <x v="1"/>
    <x v="4"/>
  </r>
  <r>
    <d v="2020-07-17T00:00:00"/>
    <s v="signori luis"/>
    <s v="-"/>
    <d v="2020-08-15T00:00:00"/>
    <s v="Galicia"/>
    <n v="54925049"/>
    <s v="Guillermo Pons y Ricardo Pons Sociedad D"/>
    <n v="4900"/>
    <x v="1"/>
    <s v="33-66414782-9"/>
    <n v="425"/>
    <m/>
    <d v="2020-08-25T00:00:00"/>
    <s v="Lartex"/>
    <x v="1"/>
    <x v="0"/>
    <x v="1"/>
    <x v="14"/>
  </r>
  <r>
    <d v="2020-07-17T00:00:00"/>
    <s v="Petrich"/>
    <s v="-"/>
    <d v="2020-08-29T00:00:00"/>
    <s v="Nacion"/>
    <n v="71239"/>
    <s v="Polirubro Amigo S.A."/>
    <n v="11000"/>
    <x v="1"/>
    <s v="30-66665029-4"/>
    <n v="426"/>
    <m/>
    <d v="2020-06-20T00:00:00"/>
    <s v="Rontaltex"/>
    <x v="1"/>
    <x v="0"/>
    <x v="1"/>
    <x v="5"/>
  </r>
  <r>
    <d v="2020-07-17T00:00:00"/>
    <s v="Petrich"/>
    <s v="-"/>
    <d v="2020-09-05T00:00:00"/>
    <s v="Nacion"/>
    <n v="71240"/>
    <s v="Polirubro Amigo S.A."/>
    <n v="11000"/>
    <x v="1"/>
    <s v="30-66665029-4"/>
    <n v="427"/>
    <m/>
    <d v="2020-08-06T00:00:00"/>
    <s v="Speranza"/>
    <x v="1"/>
    <x v="5"/>
    <x v="1"/>
    <x v="22"/>
  </r>
  <r>
    <d v="2020-07-17T00:00:00"/>
    <s v="Petrich"/>
    <s v="-"/>
    <d v="2020-09-26T00:00:00"/>
    <s v="Nacion"/>
    <n v="71242"/>
    <s v="Polirubro Amigo S.A."/>
    <n v="11000"/>
    <x v="1"/>
    <s v="30-66665029-4"/>
    <n v="428"/>
    <m/>
    <d v="2020-08-06T00:00:00"/>
    <s v="Speranza"/>
    <x v="1"/>
    <x v="5"/>
    <x v="1"/>
    <x v="8"/>
  </r>
  <r>
    <d v="2020-07-17T00:00:00"/>
    <s v="Petrich"/>
    <s v="-"/>
    <d v="2020-10-15T00:00:00"/>
    <s v="Provincia"/>
    <n v="63771000"/>
    <s v="Martin Fernando Roberto"/>
    <n v="8000"/>
    <x v="1"/>
    <s v="20-17995601-3"/>
    <n v="429"/>
    <m/>
    <d v="2020-08-12T00:00:00"/>
    <s v="Vecchio"/>
    <x v="1"/>
    <x v="1"/>
    <x v="1"/>
    <x v="14"/>
  </r>
  <r>
    <d v="2020-07-20T00:00:00"/>
    <s v="Riabis"/>
    <s v="-"/>
    <d v="2020-07-20T00:00:00"/>
    <s v="Provincia"/>
    <n v="78914258"/>
    <s v="Mazzucco Diego Luis"/>
    <n v="8237.5"/>
    <x v="0"/>
    <s v="20-08525441-4"/>
    <n v="430"/>
    <m/>
    <d v="2020-07-27T00:00:00"/>
    <m/>
    <x v="1"/>
    <x v="4"/>
    <x v="1"/>
    <x v="18"/>
  </r>
  <r>
    <d v="2020-07-20T00:00:00"/>
    <s v="Riabis"/>
    <s v="-"/>
    <d v="2020-07-29T00:00:00"/>
    <s v="Provincia"/>
    <n v="78914259"/>
    <s v="Mazzucco Diego Luis"/>
    <n v="8237.5"/>
    <x v="0"/>
    <s v="20-08525441-4"/>
    <n v="431"/>
    <m/>
    <m/>
    <m/>
    <x v="1"/>
    <x v="4"/>
    <x v="1"/>
    <x v="5"/>
  </r>
  <r>
    <d v="2020-07-20T00:00:00"/>
    <s v="Riabis"/>
    <s v="-"/>
    <d v="2020-07-31T00:00:00"/>
    <s v="Bind"/>
    <n v="15065335"/>
    <s v="Broto Monica Graciela"/>
    <n v="13000"/>
    <x v="1"/>
    <s v="27-17211496-8"/>
    <n v="432"/>
    <m/>
    <d v="2020-08-18T00:00:00"/>
    <s v="Lipovetzky"/>
    <x v="1"/>
    <x v="4"/>
    <x v="1"/>
    <x v="3"/>
  </r>
  <r>
    <d v="2020-07-22T00:00:00"/>
    <s v="Eco Uniformes"/>
    <s v="-"/>
    <d v="2020-09-12T00:00:00"/>
    <s v="Santander Rio"/>
    <n v="14081"/>
    <s v="RE Gestion en salud MDP SRL"/>
    <n v="20684.77"/>
    <x v="1"/>
    <s v="30-71463883-8"/>
    <n v="433"/>
    <m/>
    <d v="2020-09-07T00:00:00"/>
    <s v="Otranto"/>
    <x v="1"/>
    <x v="5"/>
    <x v="1"/>
    <x v="0"/>
  </r>
  <r>
    <d v="2020-07-22T00:00:00"/>
    <s v="Eco Uniformes"/>
    <s v="-"/>
    <d v="2020-09-26T00:00:00"/>
    <s v="Santander Rio"/>
    <n v="14082"/>
    <s v="RE Gestion en salud MDP SRL"/>
    <n v="20684.77"/>
    <x v="1"/>
    <s v="30-71463883-8"/>
    <n v="434"/>
    <m/>
    <d v="2020-09-30T00:00:00"/>
    <s v="Veira"/>
    <x v="1"/>
    <x v="5"/>
    <x v="1"/>
    <x v="8"/>
  </r>
  <r>
    <d v="2020-07-24T00:00:00"/>
    <s v="Rita Ferrando"/>
    <s v="-"/>
    <d v="2020-08-30T00:00:00"/>
    <s v="Provincia"/>
    <n v="80484331"/>
    <s v="Tovar Luis Maria"/>
    <n v="12185"/>
    <x v="0"/>
    <s v="20-12663675-0"/>
    <n v="435"/>
    <m/>
    <d v="2020-09-08T00:00:00"/>
    <m/>
    <x v="1"/>
    <x v="0"/>
    <x v="1"/>
    <x v="2"/>
  </r>
  <r>
    <d v="2020-07-30T00:00:00"/>
    <s v="Cabello Miguel"/>
    <s v="-"/>
    <d v="2020-08-29T00:00:00"/>
    <s v="Santander Rio"/>
    <n v="12020"/>
    <s v="Paula SRL"/>
    <n v="100000"/>
    <x v="0"/>
    <s v="30-70891062-3"/>
    <n v="436"/>
    <m/>
    <d v="2020-08-31T00:00:00"/>
    <m/>
    <x v="1"/>
    <x v="0"/>
    <x v="1"/>
    <x v="5"/>
  </r>
  <r>
    <d v="2020-07-30T00:00:00"/>
    <s v="Cabello Miguel"/>
    <s v="-"/>
    <d v="2020-08-15T00:00:00"/>
    <s v="BBVA"/>
    <n v="509066"/>
    <s v="Lizarraga Marcelo Sebastian"/>
    <n v="37305.11"/>
    <x v="1"/>
    <s v="20-33681152-0"/>
    <n v="437"/>
    <m/>
    <d v="2020-08-06T00:00:00"/>
    <s v="Speranza"/>
    <x v="1"/>
    <x v="0"/>
    <x v="1"/>
    <x v="14"/>
  </r>
  <r>
    <d v="2020-07-30T00:00:00"/>
    <s v="Cabello Miguel"/>
    <s v="-"/>
    <d v="2020-08-10T00:00:00"/>
    <s v="Coinag"/>
    <n v="857049"/>
    <s v="Mutual de Soc del Arias foot"/>
    <n v="100000"/>
    <x v="0"/>
    <s v="30-61991064-4"/>
    <n v="438"/>
    <m/>
    <m/>
    <m/>
    <x v="1"/>
    <x v="0"/>
    <x v="1"/>
    <x v="17"/>
  </r>
  <r>
    <d v="2020-07-30T00:00:00"/>
    <s v="Cabello Miguel"/>
    <s v="-"/>
    <d v="2020-08-08T00:00:00"/>
    <s v="Nacion"/>
    <n v="4695812"/>
    <s v="Bertola Jose Luis"/>
    <n v="34200"/>
    <x v="1"/>
    <s v="23-20135927-9"/>
    <n v="439"/>
    <m/>
    <d v="2020-08-18T00:00:00"/>
    <s v="Lipovetzky"/>
    <x v="1"/>
    <x v="0"/>
    <x v="1"/>
    <x v="20"/>
  </r>
  <r>
    <d v="2020-07-30T00:00:00"/>
    <s v="Cabello Miguel"/>
    <s v="-"/>
    <d v="2020-08-02T00:00:00"/>
    <s v="Bancor"/>
    <n v="27376426"/>
    <s v="Bertero Paola del Valle"/>
    <n v="50000"/>
    <x v="1"/>
    <s v="27-31335256-6"/>
    <n v="440"/>
    <m/>
    <d v="2020-08-18T00:00:00"/>
    <s v="Lipovetzky"/>
    <x v="1"/>
    <x v="0"/>
    <x v="1"/>
    <x v="29"/>
  </r>
  <r>
    <d v="2020-07-30T00:00:00"/>
    <s v="Cabello Miguel"/>
    <s v="-"/>
    <d v="2020-07-31T00:00:00"/>
    <s v="credicoop"/>
    <n v="49536850"/>
    <s v="Grimal Susana Beatriz"/>
    <n v="23174"/>
    <x v="1"/>
    <s v="27-13672652-3"/>
    <n v="441"/>
    <m/>
    <m/>
    <s v="Techista Daniel Barrionuevo"/>
    <x v="1"/>
    <x v="4"/>
    <x v="1"/>
    <x v="3"/>
  </r>
  <r>
    <d v="2020-07-30T00:00:00"/>
    <s v="Cabello Miguel"/>
    <s v="-"/>
    <d v="2020-07-30T00:00:00"/>
    <s v="Nacion"/>
    <n v="820"/>
    <s v="Valdivia Leal Eliana Cristina"/>
    <n v="20000"/>
    <x v="0"/>
    <s v="27-92353970-6"/>
    <n v="442"/>
    <m/>
    <d v="2020-08-05T00:00:00"/>
    <m/>
    <x v="1"/>
    <x v="4"/>
    <x v="1"/>
    <x v="2"/>
  </r>
  <r>
    <d v="2020-07-30T00:00:00"/>
    <s v="Cabello Miguel"/>
    <s v="-"/>
    <d v="2020-07-25T00:00:00"/>
    <s v="credicoop"/>
    <n v="41644164"/>
    <s v="Iglesias Adriana Patricia"/>
    <n v="20000"/>
    <x v="0"/>
    <s v="27-13830165-1"/>
    <n v="443"/>
    <m/>
    <d v="2020-08-05T00:00:00"/>
    <m/>
    <x v="1"/>
    <x v="4"/>
    <x v="1"/>
    <x v="10"/>
  </r>
  <r>
    <d v="2020-07-30T00:00:00"/>
    <s v="Cabello Miguel"/>
    <s v="-"/>
    <d v="2020-07-24T00:00:00"/>
    <s v="Santander Rio"/>
    <n v="70400220"/>
    <s v="Joris Paulina Beatriz"/>
    <n v="37665"/>
    <x v="0"/>
    <s v="27-28661925-3"/>
    <n v="444"/>
    <m/>
    <d v="2020-08-06T00:00:00"/>
    <m/>
    <x v="1"/>
    <x v="4"/>
    <x v="1"/>
    <x v="6"/>
  </r>
  <r>
    <d v="2020-07-30T00:00:00"/>
    <s v="Cabello Miguel"/>
    <s v="-"/>
    <d v="2020-07-20T00:00:00"/>
    <s v="Santa Fe"/>
    <n v="83255337"/>
    <s v="Bargas Lorena Guadalupe"/>
    <n v="13728"/>
    <x v="1"/>
    <s v="27-29566646-9"/>
    <n v="445"/>
    <m/>
    <d v="2020-08-06T00:00:00"/>
    <s v="Speranza"/>
    <x v="1"/>
    <x v="4"/>
    <x v="1"/>
    <x v="18"/>
  </r>
  <r>
    <d v="2020-07-30T00:00:00"/>
    <s v="Cabello Miguel"/>
    <s v="-"/>
    <d v="2020-07-20T00:00:00"/>
    <s v="Supervielle"/>
    <n v="91648097"/>
    <s v="Fernandez Victor Andres"/>
    <n v="27935"/>
    <x v="1"/>
    <s v="20-16499348-6"/>
    <n v="446"/>
    <m/>
    <d v="2020-08-06T00:00:00"/>
    <s v="Speranza"/>
    <x v="1"/>
    <x v="4"/>
    <x v="1"/>
    <x v="18"/>
  </r>
  <r>
    <d v="2020-07-30T00:00:00"/>
    <s v="Cabello Miguel"/>
    <s v="-"/>
    <d v="2020-07-19T00:00:00"/>
    <s v="Nacion"/>
    <n v="473113"/>
    <s v="Cancellieri Alma Telinda"/>
    <n v="32100"/>
    <x v="0"/>
    <s v="27-93616283-0"/>
    <n v="447"/>
    <m/>
    <m/>
    <m/>
    <x v="1"/>
    <x v="4"/>
    <x v="1"/>
    <x v="25"/>
  </r>
  <r>
    <d v="2020-07-30T00:00:00"/>
    <s v="Cabello Miguel"/>
    <s v="-"/>
    <d v="2020-07-16T00:00:00"/>
    <s v="Santa Fe"/>
    <n v="82948697"/>
    <s v="Comercial Las Toscas Sociedad"/>
    <n v="28100"/>
    <x v="0"/>
    <s v="30-71203380-7"/>
    <n v="448"/>
    <m/>
    <m/>
    <m/>
    <x v="1"/>
    <x v="4"/>
    <x v="1"/>
    <x v="23"/>
  </r>
  <r>
    <d v="2020-07-30T00:00:00"/>
    <s v="Cabello Miguel"/>
    <s v="-"/>
    <d v="2020-07-16T00:00:00"/>
    <s v="Santander Rio"/>
    <n v="479"/>
    <s v="Peralta Gladys Noemi"/>
    <n v="30000"/>
    <x v="0"/>
    <s v="27-26586636-6"/>
    <n v="449"/>
    <m/>
    <m/>
    <m/>
    <x v="1"/>
    <x v="4"/>
    <x v="1"/>
    <x v="23"/>
  </r>
  <r>
    <d v="2020-07-30T00:00:00"/>
    <s v="Cabello Miguel"/>
    <s v="-"/>
    <d v="2020-07-16T00:00:00"/>
    <s v="La Pampa"/>
    <n v="61672983"/>
    <s v="Sejas Vanesa Carolina"/>
    <n v="17657"/>
    <x v="0"/>
    <s v="27-27879568-9"/>
    <n v="450"/>
    <m/>
    <m/>
    <m/>
    <x v="1"/>
    <x v="4"/>
    <x v="1"/>
    <x v="23"/>
  </r>
  <r>
    <d v="2020-07-30T00:00:00"/>
    <s v="Cabello Miguel"/>
    <s v="-"/>
    <d v="2020-07-16T00:00:00"/>
    <s v="Santander Rio"/>
    <n v="43600808"/>
    <s v="Torresi Sandra Veronica"/>
    <n v="20000"/>
    <x v="0"/>
    <s v="27-23466133-2"/>
    <n v="451"/>
    <m/>
    <m/>
    <m/>
    <x v="1"/>
    <x v="4"/>
    <x v="1"/>
    <x v="23"/>
  </r>
  <r>
    <d v="2020-07-30T00:00:00"/>
    <s v="Cabello Miguel"/>
    <s v="-"/>
    <d v="2020-07-13T00:00:00"/>
    <s v="Galicia"/>
    <n v="4129942"/>
    <s v="Escobar Sandra Julieta"/>
    <n v="18000"/>
    <x v="0"/>
    <s v="27-24747863-4"/>
    <n v="452"/>
    <m/>
    <m/>
    <m/>
    <x v="1"/>
    <x v="4"/>
    <x v="1"/>
    <x v="7"/>
  </r>
  <r>
    <d v="2020-07-30T00:00:00"/>
    <s v="Cabello Miguel"/>
    <s v="-"/>
    <d v="2020-07-11T00:00:00"/>
    <s v="Nacion"/>
    <n v="4695811"/>
    <s v="Bertola Jose Luis"/>
    <n v="34422"/>
    <x v="0"/>
    <s v="23-20135927-9"/>
    <n v="453"/>
    <m/>
    <m/>
    <m/>
    <x v="1"/>
    <x v="4"/>
    <x v="1"/>
    <x v="11"/>
  </r>
  <r>
    <d v="2020-07-30T00:00:00"/>
    <s v="Cabello Miguel"/>
    <s v="-"/>
    <d v="2020-07-11T00:00:00"/>
    <s v="Macro"/>
    <n v="16180933"/>
    <s v="Duelli Raul Alberto"/>
    <n v="13095"/>
    <x v="0"/>
    <s v="20-13036878-7"/>
    <n v="454"/>
    <m/>
    <m/>
    <m/>
    <x v="1"/>
    <x v="4"/>
    <x v="1"/>
    <x v="11"/>
  </r>
  <r>
    <d v="2020-07-30T00:00:00"/>
    <s v="Cabello Miguel"/>
    <s v="-"/>
    <d v="2020-06-30T00:00:00"/>
    <s v="Nacion"/>
    <n v="45569"/>
    <s v="Giulianelli Omar Isaac Ramon"/>
    <n v="10646.5"/>
    <x v="0"/>
    <s v="20-16180842-4"/>
    <n v="455"/>
    <m/>
    <m/>
    <m/>
    <x v="1"/>
    <x v="11"/>
    <x v="1"/>
    <x v="2"/>
  </r>
  <r>
    <d v="2020-07-30T00:00:00"/>
    <s v="Cabello Miguel"/>
    <s v="-"/>
    <d v="2020-06-30T00:00:00"/>
    <s v="credicoop"/>
    <n v="41715956"/>
    <s v="Paduan Estela Maris"/>
    <n v="12000"/>
    <x v="0"/>
    <s v="27-13367846-3"/>
    <n v="456"/>
    <m/>
    <m/>
    <m/>
    <x v="1"/>
    <x v="11"/>
    <x v="1"/>
    <x v="2"/>
  </r>
  <r>
    <d v="2020-07-30T00:00:00"/>
    <s v="Cabello Miguel"/>
    <s v="-"/>
    <d v="2020-06-30T00:00:00"/>
    <s v="Nacion"/>
    <n v="866"/>
    <s v="Valdivia Leal Eliana Cristina"/>
    <n v="15000"/>
    <x v="0"/>
    <s v="27-92353970-6"/>
    <n v="457"/>
    <m/>
    <m/>
    <m/>
    <x v="1"/>
    <x v="11"/>
    <x v="1"/>
    <x v="2"/>
  </r>
  <r>
    <d v="2020-07-30T00:00:00"/>
    <s v="Cabello Miguel"/>
    <s v="-"/>
    <d v="2020-06-30T00:00:00"/>
    <s v="Santander Rio"/>
    <n v="8600072"/>
    <s v="Cuello Matias Ramon"/>
    <n v="19000"/>
    <x v="0"/>
    <s v="20-27361033-3"/>
    <n v="458"/>
    <m/>
    <m/>
    <m/>
    <x v="1"/>
    <x v="11"/>
    <x v="1"/>
    <x v="2"/>
  </r>
  <r>
    <d v="2020-08-01T00:00:00"/>
    <s v="Bouzyk"/>
    <s v="-"/>
    <d v="2020-10-31T00:00:00"/>
    <s v="credicoop"/>
    <n v="40888145"/>
    <s v="Boero Camila Alejandra"/>
    <n v="40000"/>
    <x v="0"/>
    <s v="27-39261112-1"/>
    <n v="459"/>
    <m/>
    <d v="2020-11-19T00:00:00"/>
    <m/>
    <x v="1"/>
    <x v="1"/>
    <x v="1"/>
    <x v="3"/>
  </r>
  <r>
    <d v="2020-08-01T00:00:00"/>
    <s v="Bouzyk"/>
    <s v="-"/>
    <d v="2020-10-31T00:00:00"/>
    <s v="credicoop"/>
    <n v="40888147"/>
    <s v="Boero Camila Alejandra"/>
    <n v="40000"/>
    <x v="1"/>
    <s v="27-39261112-1"/>
    <n v="460"/>
    <m/>
    <s v=","/>
    <s v="Melisa y Martin"/>
    <x v="1"/>
    <x v="1"/>
    <x v="1"/>
    <x v="3"/>
  </r>
  <r>
    <d v="2020-08-04T00:00:00"/>
    <s v="Manzo"/>
    <s v="-"/>
    <d v="2020-08-20T00:00:00"/>
    <s v="Provincia"/>
    <n v="80897218"/>
    <s v="Cassibba Julio Alberto"/>
    <n v="4000"/>
    <x v="1"/>
    <s v="20-05305088-4"/>
    <n v="461"/>
    <m/>
    <d v="2020-09-02T00:00:00"/>
    <s v="OAM"/>
    <x v="1"/>
    <x v="0"/>
    <x v="1"/>
    <x v="18"/>
  </r>
  <r>
    <d v="2020-08-14T00:00:00"/>
    <s v="Martinez"/>
    <s v="-"/>
    <d v="2020-09-05T00:00:00"/>
    <s v="Patagonia"/>
    <n v="22180672"/>
    <s v="INPA SAS"/>
    <n v="23300"/>
    <x v="0"/>
    <s v="30-71615088-3"/>
    <n v="462"/>
    <m/>
    <d v="2020-09-08T00:00:00"/>
    <m/>
    <x v="1"/>
    <x v="5"/>
    <x v="1"/>
    <x v="22"/>
  </r>
  <r>
    <d v="2020-08-18T00:00:00"/>
    <s v="Rita Ferrando"/>
    <s v="-"/>
    <d v="2020-09-23T00:00:00"/>
    <s v="Provincia"/>
    <n v="80484352"/>
    <s v="Tovar Luis Maria"/>
    <n v="12805"/>
    <x v="1"/>
    <s v="20-12663675-0"/>
    <n v="463"/>
    <m/>
    <d v="2020-09-07T00:00:00"/>
    <s v="Otranto"/>
    <x v="1"/>
    <x v="5"/>
    <x v="1"/>
    <x v="13"/>
  </r>
  <r>
    <d v="2020-08-14T00:00:00"/>
    <s v="signori luis"/>
    <s v="-"/>
    <d v="2020-08-25T00:00:00"/>
    <s v="Nacion"/>
    <n v="3591839"/>
    <s v="Signori Luis Alberto"/>
    <n v="6500"/>
    <x v="1"/>
    <s v="20-05510696-8"/>
    <n v="464"/>
    <m/>
    <d v="2020-08-22T00:00:00"/>
    <s v="Veccio"/>
    <x v="1"/>
    <x v="0"/>
    <x v="1"/>
    <x v="10"/>
  </r>
  <r>
    <d v="2020-08-22T00:00:00"/>
    <s v="Eco Uniformes"/>
    <s v="-"/>
    <d v="2020-08-20T00:00:00"/>
    <s v="Macro"/>
    <n v="17919860"/>
    <s v="Colon S.A"/>
    <n v="7623"/>
    <x v="1"/>
    <s v="30-54577813-7"/>
    <n v="465"/>
    <m/>
    <d v="2020-08-25T00:00:00"/>
    <s v="Lartex"/>
    <x v="1"/>
    <x v="0"/>
    <x v="1"/>
    <x v="18"/>
  </r>
  <r>
    <d v="2020-08-22T00:00:00"/>
    <s v="Jerez"/>
    <s v="-"/>
    <d v="2020-09-30T00:00:00"/>
    <s v="Santander Rio"/>
    <n v="45000099"/>
    <s v="Turnaturi Marcela Alejandra"/>
    <n v="12310"/>
    <x v="1"/>
    <s v="27-18378863-4"/>
    <n v="466"/>
    <m/>
    <d v="2020-09-07T00:00:00"/>
    <s v="Otranto"/>
    <x v="1"/>
    <x v="5"/>
    <x v="1"/>
    <x v="2"/>
  </r>
  <r>
    <d v="2020-08-22T00:00:00"/>
    <s v="Jerez"/>
    <s v="-"/>
    <d v="2020-10-31T00:00:00"/>
    <s v="ICBC"/>
    <n v="81413707"/>
    <s v="Jerez Marcelo Fabian"/>
    <n v="10000"/>
    <x v="1"/>
    <s v="20-17178735-2"/>
    <n v="467"/>
    <m/>
    <d v="2020-09-22T00:00:00"/>
    <s v="Consorcio gerardo"/>
    <x v="1"/>
    <x v="1"/>
    <x v="1"/>
    <x v="3"/>
  </r>
  <r>
    <d v="2020-08-22T00:00:00"/>
    <s v="Jerez"/>
    <s v="-"/>
    <d v="2020-11-30T00:00:00"/>
    <s v="ICBC"/>
    <n v="81413708"/>
    <s v="Jerez Marcelo Fabian"/>
    <n v="12000"/>
    <x v="1"/>
    <s v="20-17178735-2"/>
    <n v="468"/>
    <m/>
    <d v="2020-08-27T00:00:00"/>
    <s v="Mandy"/>
    <x v="1"/>
    <x v="2"/>
    <x v="1"/>
    <x v="2"/>
  </r>
  <r>
    <d v="2020-08-22T00:00:00"/>
    <s v="Jerez"/>
    <s v="-"/>
    <d v="2020-12-31T00:00:00"/>
    <s v="ICBC"/>
    <n v="81413709"/>
    <s v="Jerez Marcelo Fabian"/>
    <n v="12000"/>
    <x v="1"/>
    <s v="20-17178735-2"/>
    <n v="469"/>
    <m/>
    <d v="2020-10-07T00:00:00"/>
    <s v="Victor Colaccio"/>
    <x v="1"/>
    <x v="3"/>
    <x v="1"/>
    <x v="3"/>
  </r>
  <r>
    <d v="2020-08-27T00:00:00"/>
    <s v="Riabis"/>
    <s v="-"/>
    <d v="2020-08-20T00:00:00"/>
    <s v="Provincia"/>
    <n v="78737687"/>
    <s v="Municipalidad de Loberia"/>
    <n v="2000"/>
    <x v="1"/>
    <s v="30-99902281-9"/>
    <n v="470"/>
    <m/>
    <d v="2020-09-02T00:00:00"/>
    <s v="OAM"/>
    <x v="1"/>
    <x v="0"/>
    <x v="1"/>
    <x v="18"/>
  </r>
  <r>
    <d v="2020-08-27T00:00:00"/>
    <s v="Riabis"/>
    <s v="-"/>
    <d v="2020-09-29T00:00:00"/>
    <s v="Santander Rio"/>
    <n v="45000029"/>
    <s v="Romero Cintia Anabel"/>
    <n v="6054"/>
    <x v="1"/>
    <s v="27-22173452-7"/>
    <n v="471"/>
    <m/>
    <d v="2020-09-07T00:00:00"/>
    <s v="Otranto"/>
    <x v="1"/>
    <x v="5"/>
    <x v="1"/>
    <x v="5"/>
  </r>
  <r>
    <d v="2020-08-28T00:00:00"/>
    <s v="Patricia Ramos"/>
    <s v="-"/>
    <d v="2020-08-28T00:00:00"/>
    <s v="Provincia"/>
    <n v="76685428"/>
    <s v="Ramos Patricia Cecilia"/>
    <n v="14825"/>
    <x v="0"/>
    <s v="23-14393221-4"/>
    <n v="472"/>
    <m/>
    <d v="2020-09-08T00:00:00"/>
    <m/>
    <x v="1"/>
    <x v="0"/>
    <x v="1"/>
    <x v="4"/>
  </r>
  <r>
    <d v="2020-08-28T00:00:00"/>
    <s v="Vorrazo"/>
    <s v="-"/>
    <d v="2020-10-24T00:00:00"/>
    <s v="BBVA"/>
    <n v="537144"/>
    <s v="Club de diseño S R"/>
    <n v="30000"/>
    <x v="1"/>
    <s v="30-71015338-4"/>
    <n v="473"/>
    <m/>
    <d v="2020-09-07T00:00:00"/>
    <s v="Otranto"/>
    <x v="1"/>
    <x v="1"/>
    <x v="1"/>
    <x v="6"/>
  </r>
  <r>
    <d v="2020-08-28T00:00:00"/>
    <s v="Vorrazo"/>
    <s v="-"/>
    <d v="2020-11-10T00:00:00"/>
    <s v="BBVA"/>
    <n v="537145"/>
    <s v="Club de diseño S R"/>
    <n v="20384"/>
    <x v="1"/>
    <s v="30-71015338-4"/>
    <n v="474"/>
    <m/>
    <d v="2020-10-07T00:00:00"/>
    <s v="Victor Colaccio"/>
    <x v="1"/>
    <x v="2"/>
    <x v="1"/>
    <x v="17"/>
  </r>
  <r>
    <d v="2020-09-01T00:00:00"/>
    <s v="Vorrazo"/>
    <s v="-"/>
    <d v="2020-10-24T00:00:00"/>
    <s v="Santander Rio"/>
    <n v="39400086"/>
    <s v="Garcia Cortiñas Juan Ignacio"/>
    <n v="10000"/>
    <x v="0"/>
    <s v="20-29510356-7"/>
    <n v="475"/>
    <m/>
    <m/>
    <m/>
    <x v="8"/>
    <x v="1"/>
    <x v="1"/>
    <x v="6"/>
  </r>
  <r>
    <d v="2020-09-01T00:00:00"/>
    <s v="Vorrazo"/>
    <s v="-"/>
    <d v="2020-09-26T00:00:00"/>
    <s v="Santander Rio"/>
    <n v="39400085"/>
    <s v="Garcia Cortiñas Juan Ignacio"/>
    <n v="10000"/>
    <x v="1"/>
    <s v="20-29510356-7"/>
    <n v="476"/>
    <m/>
    <m/>
    <m/>
    <x v="1"/>
    <x v="5"/>
    <x v="1"/>
    <x v="8"/>
  </r>
  <r>
    <d v="2020-09-18T00:00:00"/>
    <s v="Petrich"/>
    <s v="-"/>
    <d v="2020-10-10T00:00:00"/>
    <s v="Macro"/>
    <n v="16087599"/>
    <s v="Urbaneja Cesar Rene"/>
    <n v="19728"/>
    <x v="0"/>
    <s v="20-05057960-4"/>
    <n v="477"/>
    <m/>
    <m/>
    <m/>
    <x v="1"/>
    <x v="1"/>
    <x v="1"/>
    <x v="17"/>
  </r>
  <r>
    <d v="2020-09-18T00:00:00"/>
    <s v="Petrich"/>
    <s v="-"/>
    <d v="2020-10-17T00:00:00"/>
    <s v="Macro"/>
    <n v="18676113"/>
    <s v="Los Vascos SRL"/>
    <n v="20000"/>
    <x v="1"/>
    <s v="30-52975244-6"/>
    <n v="478"/>
    <m/>
    <d v="2020-09-28T00:00:00"/>
    <s v="Otranto"/>
    <x v="1"/>
    <x v="1"/>
    <x v="1"/>
    <x v="21"/>
  </r>
  <r>
    <d v="2020-09-18T00:00:00"/>
    <s v="Petrich"/>
    <s v="-"/>
    <d v="2020-11-10T00:00:00"/>
    <s v="Nacion"/>
    <n v="71359"/>
    <s v="Polirubro Amigo S.A."/>
    <n v="11689.07"/>
    <x v="1"/>
    <s v="30-66665029-4"/>
    <n v="479"/>
    <m/>
    <d v="2020-12-10T00:00:00"/>
    <s v="Bouzyk"/>
    <x v="1"/>
    <x v="2"/>
    <x v="1"/>
    <x v="17"/>
  </r>
  <r>
    <d v="2020-09-21T00:00:00"/>
    <s v="Martinez"/>
    <s v="-"/>
    <d v="2020-09-30T00:00:00"/>
    <s v="Provincia"/>
    <n v="80012402"/>
    <s v="Eden Betina Alejandra"/>
    <n v="7132"/>
    <x v="4"/>
    <s v="27-24988465-6"/>
    <n v="480"/>
    <m/>
    <d v="2020-09-30T00:00:00"/>
    <m/>
    <x v="1"/>
    <x v="5"/>
    <x v="1"/>
    <x v="2"/>
  </r>
  <r>
    <d v="2020-09-21T00:00:00"/>
    <s v="Martinez"/>
    <s v="-"/>
    <d v="2020-10-15T00:00:00"/>
    <s v="Provincia"/>
    <n v="80315384"/>
    <s v="Tajan Javier"/>
    <n v="2000"/>
    <x v="1"/>
    <s v="20-13393212-8"/>
    <n v="481"/>
    <m/>
    <d v="2020-09-28T00:00:00"/>
    <s v="Veccio"/>
    <x v="1"/>
    <x v="1"/>
    <x v="1"/>
    <x v="14"/>
  </r>
  <r>
    <d v="2020-09-29T00:00:00"/>
    <s v="Petrich"/>
    <s v="-"/>
    <d v="2020-09-28T00:00:00"/>
    <s v="Provincia"/>
    <n v="79909353"/>
    <s v="Avelino Garcia Sociedad Anonim"/>
    <n v="4000"/>
    <x v="0"/>
    <s v="30-70984048-3"/>
    <n v="482"/>
    <m/>
    <d v="2020-09-30T00:00:00"/>
    <m/>
    <x v="1"/>
    <x v="5"/>
    <x v="1"/>
    <x v="4"/>
  </r>
  <r>
    <d v="2020-09-29T00:00:00"/>
    <s v="Petrich"/>
    <s v="-"/>
    <d v="2020-10-05T00:00:00"/>
    <s v="Provincia"/>
    <n v="79909354"/>
    <s v="Avelino Garcia Sociedad Anonim"/>
    <n v="5000"/>
    <x v="1"/>
    <s v="30-70984048-3"/>
    <n v="483"/>
    <m/>
    <d v="2020-10-14T00:00:00"/>
    <s v="Onena"/>
    <x v="1"/>
    <x v="1"/>
    <x v="1"/>
    <x v="22"/>
  </r>
  <r>
    <d v="2020-09-29T00:00:00"/>
    <s v="Petrich"/>
    <s v="-"/>
    <d v="2020-10-09T00:00:00"/>
    <s v="Provincia"/>
    <n v="79909355"/>
    <s v="Avelino Garcia Sociedad Anonim"/>
    <n v="5000"/>
    <x v="0"/>
    <s v="30-70984048-3"/>
    <n v="484"/>
    <m/>
    <m/>
    <m/>
    <x v="1"/>
    <x v="1"/>
    <x v="1"/>
    <x v="1"/>
  </r>
  <r>
    <d v="2020-09-29T00:00:00"/>
    <s v="Petrich"/>
    <s v="-"/>
    <d v="2020-10-16T00:00:00"/>
    <s v="Provincia"/>
    <n v="79909356"/>
    <s v="Avelino Garcia Sociedad Anonim"/>
    <n v="12000"/>
    <x v="0"/>
    <s v="30-70984048-3"/>
    <n v="485"/>
    <m/>
    <d v="2020-11-05T00:00:00"/>
    <m/>
    <x v="1"/>
    <x v="1"/>
    <x v="1"/>
    <x v="23"/>
  </r>
  <r>
    <d v="2020-09-30T00:00:00"/>
    <s v="Vorrazo"/>
    <s v="-"/>
    <d v="2020-09-24T00:00:00"/>
    <s v="BBVA"/>
    <n v="537143"/>
    <s v="Club de Diseño S R"/>
    <n v="12596"/>
    <x v="0"/>
    <s v="30-71015338-4"/>
    <n v="486"/>
    <m/>
    <d v="2020-09-30T00:00:00"/>
    <m/>
    <x v="1"/>
    <x v="5"/>
    <x v="1"/>
    <x v="6"/>
  </r>
  <r>
    <d v="2020-09-30T00:00:00"/>
    <s v="Vorrazo"/>
    <s v="-"/>
    <d v="2020-10-16T00:00:00"/>
    <s v="Galicia"/>
    <n v="62198453"/>
    <s v="Dominguez Marcelo Alberto"/>
    <n v="8000"/>
    <x v="1"/>
    <s v="20-10590043-1"/>
    <n v="487"/>
    <m/>
    <d v="2020-11-09T00:00:00"/>
    <s v="Otranto"/>
    <x v="1"/>
    <x v="1"/>
    <x v="1"/>
    <x v="23"/>
  </r>
  <r>
    <d v="2020-09-30T00:00:00"/>
    <s v="Vorrazo"/>
    <s v="-"/>
    <d v="2020-10-26T00:00:00"/>
    <s v="Galicia"/>
    <n v="62198454"/>
    <s v="Dominguez Marcelo Alberto"/>
    <n v="8240"/>
    <x v="1"/>
    <s v="20-10590043-1"/>
    <n v="488"/>
    <m/>
    <d v="2020-11-05T00:00:00"/>
    <s v="Otranto"/>
    <x v="1"/>
    <x v="1"/>
    <x v="1"/>
    <x v="8"/>
  </r>
  <r>
    <d v="2020-10-01T00:00:00"/>
    <s v="Cabello Miguel"/>
    <s v="-"/>
    <d v="2020-08-22T00:00:00"/>
    <s v="La Pampa"/>
    <n v="61363645"/>
    <s v="Tizon Maria Cecilia"/>
    <n v="15000"/>
    <x v="1"/>
    <s v="27-30730726-5"/>
    <n v="489"/>
    <m/>
    <d v="2020-10-01T00:00:00"/>
    <s v="Otranto"/>
    <x v="1"/>
    <x v="0"/>
    <x v="1"/>
    <x v="19"/>
  </r>
  <r>
    <d v="2020-10-01T00:00:00"/>
    <s v="Cabello Miguel"/>
    <s v="-"/>
    <d v="2020-08-22T00:00:00"/>
    <s v="Nacion"/>
    <n v="45577"/>
    <s v="Giulianelli Omar Isaac Ramon"/>
    <n v="15000"/>
    <x v="1"/>
    <s v="20-16180842-4"/>
    <n v="490"/>
    <m/>
    <d v="2020-10-01T00:00:00"/>
    <s v="Otranto"/>
    <x v="1"/>
    <x v="0"/>
    <x v="1"/>
    <x v="19"/>
  </r>
  <r>
    <d v="2020-10-01T00:00:00"/>
    <s v="Cabello Miguel"/>
    <s v="-"/>
    <d v="2020-08-23T00:00:00"/>
    <s v="Santander Rio"/>
    <n v="15301193"/>
    <s v="Prienza Irene Carola Edit"/>
    <n v="5000"/>
    <x v="6"/>
    <s v="27-25639646-2"/>
    <n v="491"/>
    <m/>
    <d v="2020-10-01T00:00:00"/>
    <s v="Otranto"/>
    <x v="1"/>
    <x v="0"/>
    <x v="1"/>
    <x v="13"/>
  </r>
  <r>
    <d v="2020-10-01T00:00:00"/>
    <s v="Cabello Miguel"/>
    <s v="-"/>
    <d v="2020-08-24T00:00:00"/>
    <s v="Santa Fe"/>
    <n v="82977591"/>
    <s v="La zonal S.A."/>
    <n v="12454.62"/>
    <x v="1"/>
    <s v="30-70943803-0"/>
    <n v="492"/>
    <m/>
    <d v="2020-10-01T00:00:00"/>
    <s v="Otranto"/>
    <x v="1"/>
    <x v="0"/>
    <x v="1"/>
    <x v="6"/>
  </r>
  <r>
    <d v="2020-10-01T00:00:00"/>
    <s v="Cabello Miguel"/>
    <s v="-"/>
    <d v="2020-08-25T00:00:00"/>
    <s v="Bancor"/>
    <n v="24559540"/>
    <s v="Minuz Hugo"/>
    <n v="20000"/>
    <x v="1"/>
    <s v="20-06440251-0"/>
    <n v="493"/>
    <m/>
    <d v="2020-10-01T00:00:00"/>
    <s v="Otranto"/>
    <x v="1"/>
    <x v="0"/>
    <x v="1"/>
    <x v="10"/>
  </r>
  <r>
    <d v="2020-10-01T00:00:00"/>
    <s v="Cabello Miguel"/>
    <s v="-"/>
    <d v="2020-08-25T00:00:00"/>
    <s v="Macro"/>
    <n v="17142705"/>
    <s v="Centro Card SA"/>
    <n v="27588.43"/>
    <x v="1"/>
    <s v="30-70838935-4"/>
    <n v="494"/>
    <m/>
    <d v="2020-10-01T00:00:00"/>
    <s v="Otranto"/>
    <x v="1"/>
    <x v="0"/>
    <x v="1"/>
    <x v="10"/>
  </r>
  <r>
    <d v="2020-10-01T00:00:00"/>
    <s v="Cabello Miguel"/>
    <s v="-"/>
    <d v="2020-08-26T00:00:00"/>
    <s v="Santander Rio"/>
    <n v="15301194"/>
    <s v="Prienza Irene Carola Edit"/>
    <n v="5000"/>
    <x v="6"/>
    <s v="27-25639646-2"/>
    <n v="495"/>
    <m/>
    <d v="2020-10-01T00:00:00"/>
    <s v="Otranto"/>
    <x v="1"/>
    <x v="0"/>
    <x v="1"/>
    <x v="8"/>
  </r>
  <r>
    <d v="2020-10-01T00:00:00"/>
    <s v="Cabello Miguel"/>
    <s v="-"/>
    <d v="2020-08-27T00:00:00"/>
    <s v="Nacion"/>
    <n v="473115"/>
    <s v="Cancellieri Alma Telinda"/>
    <n v="30000"/>
    <x v="1"/>
    <s v="27-93616283-0"/>
    <n v="496"/>
    <m/>
    <d v="2020-10-01T00:00:00"/>
    <s v="Otranto"/>
    <x v="1"/>
    <x v="0"/>
    <x v="1"/>
    <x v="26"/>
  </r>
  <r>
    <d v="2020-10-01T00:00:00"/>
    <s v="Cabello Miguel"/>
    <s v="-"/>
    <d v="2020-08-28T00:00:00"/>
    <s v="Nacion"/>
    <n v="157"/>
    <s v="Villanueva Leandro Aaron"/>
    <n v="20000"/>
    <x v="1"/>
    <s v="20-40960729-3"/>
    <n v="497"/>
    <m/>
    <d v="2020-10-01T00:00:00"/>
    <s v="Otranto"/>
    <x v="1"/>
    <x v="0"/>
    <x v="1"/>
    <x v="4"/>
  </r>
  <r>
    <d v="2020-10-01T00:00:00"/>
    <s v="Cabello Miguel"/>
    <s v="-"/>
    <d v="2020-08-29T00:00:00"/>
    <s v="Santander Rio"/>
    <n v="15301195"/>
    <s v="Prienza Irene Carola Edit"/>
    <n v="5000"/>
    <x v="1"/>
    <s v="27-25639646-2"/>
    <n v="498"/>
    <m/>
    <d v="2020-10-01T00:00:00"/>
    <s v="Otranto"/>
    <x v="1"/>
    <x v="0"/>
    <x v="1"/>
    <x v="5"/>
  </r>
  <r>
    <d v="2020-10-01T00:00:00"/>
    <s v="Cabello Miguel"/>
    <s v="-"/>
    <d v="2020-08-30T00:00:00"/>
    <s v="Nacion"/>
    <n v="869"/>
    <s v="Valdivia Leal Eliana Cristina"/>
    <n v="15000"/>
    <x v="1"/>
    <s v="27-92353970-6"/>
    <n v="499"/>
    <m/>
    <d v="2020-10-01T00:00:00"/>
    <s v="Otranto"/>
    <x v="1"/>
    <x v="0"/>
    <x v="1"/>
    <x v="2"/>
  </r>
  <r>
    <d v="2020-10-01T00:00:00"/>
    <s v="Cabello Miguel"/>
    <s v="-"/>
    <d v="2020-08-30T00:00:00"/>
    <s v="Santa Fe"/>
    <n v="832555340"/>
    <s v="Bargas Lorena Guadalupe"/>
    <n v="18000"/>
    <x v="1"/>
    <s v="27-29566646-9"/>
    <n v="500"/>
    <m/>
    <d v="2020-10-01T00:00:00"/>
    <s v="Otranto"/>
    <x v="1"/>
    <x v="0"/>
    <x v="1"/>
    <x v="2"/>
  </r>
  <r>
    <d v="2020-10-01T00:00:00"/>
    <s v="Cabello Miguel"/>
    <s v="-"/>
    <d v="2020-08-30T00:00:00"/>
    <s v="Nacion"/>
    <n v="5910406"/>
    <s v="Fidani Graciela Rosa"/>
    <n v="21711"/>
    <x v="1"/>
    <s v="27-14178381-0"/>
    <n v="501"/>
    <m/>
    <d v="2020-10-01T00:00:00"/>
    <s v="Otranto"/>
    <x v="1"/>
    <x v="0"/>
    <x v="1"/>
    <x v="2"/>
  </r>
  <r>
    <d v="2020-10-01T00:00:00"/>
    <s v="Cabello Miguel"/>
    <s v="-"/>
    <d v="2020-08-30T00:00:00"/>
    <s v="Bancor"/>
    <n v="27680352"/>
    <s v="Campilia Maria Agustina"/>
    <n v="10000"/>
    <x v="1"/>
    <s v="27-33612440-4"/>
    <n v="502"/>
    <m/>
    <d v="2020-10-01T00:00:00"/>
    <s v="Rontaltex"/>
    <x v="1"/>
    <x v="0"/>
    <x v="1"/>
    <x v="2"/>
  </r>
  <r>
    <d v="2020-10-01T00:00:00"/>
    <s v="Cabello Miguel"/>
    <s v="-"/>
    <d v="2020-08-30T00:00:00"/>
    <s v="Santander Rio"/>
    <n v="70400226"/>
    <s v="Joris Paulina Beatriz"/>
    <n v="10000"/>
    <x v="1"/>
    <s v="27-28661925-3"/>
    <n v="503"/>
    <m/>
    <d v="2020-10-01T00:00:00"/>
    <s v="Rontaltex"/>
    <x v="1"/>
    <x v="0"/>
    <x v="1"/>
    <x v="2"/>
  </r>
  <r>
    <d v="2020-10-01T00:00:00"/>
    <s v="Cabello Miguel"/>
    <s v="-"/>
    <d v="2020-08-30T00:00:00"/>
    <s v="Supervielle"/>
    <n v="92316766"/>
    <s v="Nievas Juan Carlos"/>
    <n v="15000"/>
    <x v="1"/>
    <s v="20-17800401-9"/>
    <n v="504"/>
    <m/>
    <d v="2020-10-01T00:00:00"/>
    <s v="Rontaltex"/>
    <x v="1"/>
    <x v="0"/>
    <x v="1"/>
    <x v="2"/>
  </r>
  <r>
    <d v="2020-10-01T00:00:00"/>
    <s v="Cabello Miguel"/>
    <s v="-"/>
    <d v="2020-08-31T00:00:00"/>
    <s v="Santander Rio"/>
    <n v="510"/>
    <s v="Silvestre Luciana Gisela"/>
    <n v="10000"/>
    <x v="1"/>
    <s v="27-27348310-7"/>
    <n v="505"/>
    <m/>
    <d v="2020-10-01T00:00:00"/>
    <s v="Rontaltex"/>
    <x v="1"/>
    <x v="0"/>
    <x v="1"/>
    <x v="3"/>
  </r>
  <r>
    <d v="2020-10-01T00:00:00"/>
    <s v="Cabello Miguel"/>
    <s v="-"/>
    <d v="2020-08-31T00:00:00"/>
    <s v="Santander Rio"/>
    <n v="15301196"/>
    <s v="Prienza Irene Carola Edit"/>
    <n v="5000"/>
    <x v="1"/>
    <s v="27-25639646-2"/>
    <n v="506"/>
    <m/>
    <d v="2020-10-01T00:00:00"/>
    <s v="Rontaltex"/>
    <x v="1"/>
    <x v="0"/>
    <x v="1"/>
    <x v="3"/>
  </r>
  <r>
    <d v="2020-10-01T00:00:00"/>
    <s v="Cabello Miguel"/>
    <s v="-"/>
    <d v="2020-08-31T00:00:00"/>
    <s v="Nacion"/>
    <n v="158"/>
    <s v="Villanueva Leandro Aaron"/>
    <n v="20000"/>
    <x v="1"/>
    <s v="20-40960729-3"/>
    <n v="507"/>
    <m/>
    <d v="2020-10-01T00:00:00"/>
    <s v="Rontaltex"/>
    <x v="1"/>
    <x v="0"/>
    <x v="1"/>
    <x v="3"/>
  </r>
  <r>
    <d v="2020-10-01T00:00:00"/>
    <s v="Cabello Miguel"/>
    <s v="-"/>
    <d v="2020-08-31T00:00:00"/>
    <s v="Macro"/>
    <n v="18465860"/>
    <s v="Ateca Julian"/>
    <n v="8179"/>
    <x v="1"/>
    <s v="20-17152102-6"/>
    <n v="508"/>
    <m/>
    <d v="2020-10-01T00:00:00"/>
    <s v="Victor Colaccio"/>
    <x v="1"/>
    <x v="0"/>
    <x v="1"/>
    <x v="3"/>
  </r>
  <r>
    <d v="2020-10-01T00:00:00"/>
    <s v="Cabello Miguel"/>
    <s v="-"/>
    <d v="2020-09-05T00:00:00"/>
    <s v="Nuevo Banco Del Chaco"/>
    <n v="7703292"/>
    <s v="Bertolucci Rene Federico"/>
    <n v="23241"/>
    <x v="1"/>
    <s v="20-30791872-3"/>
    <n v="509"/>
    <m/>
    <d v="2020-10-01T00:00:00"/>
    <s v="Veira"/>
    <x v="1"/>
    <x v="5"/>
    <x v="1"/>
    <x v="22"/>
  </r>
  <r>
    <d v="2020-10-01T00:00:00"/>
    <s v="Cabello Miguel"/>
    <s v="-"/>
    <d v="2020-09-06T00:00:00"/>
    <s v="Santander Rio"/>
    <n v="239"/>
    <s v="Caffarena Julieta Erika"/>
    <n v="11927"/>
    <x v="1"/>
    <s v="27-22062662-3"/>
    <n v="510"/>
    <m/>
    <d v="2020-10-07T00:00:00"/>
    <s v="Victor Colaccio"/>
    <x v="1"/>
    <x v="5"/>
    <x v="1"/>
    <x v="27"/>
  </r>
  <r>
    <d v="2020-10-01T00:00:00"/>
    <s v="Cabello Miguel"/>
    <s v="-"/>
    <d v="2020-09-06T00:00:00"/>
    <s v="Macro"/>
    <n v="17505358"/>
    <s v="Cancellieri Alma Telinda"/>
    <n v="19170.330000000002"/>
    <x v="0"/>
    <s v="27-93616283-0"/>
    <n v="511"/>
    <m/>
    <d v="2020-10-09T00:00:00"/>
    <m/>
    <x v="1"/>
    <x v="5"/>
    <x v="1"/>
    <x v="27"/>
  </r>
  <r>
    <d v="2020-10-01T00:00:00"/>
    <s v="Cabello Miguel"/>
    <s v="-"/>
    <d v="2020-09-06T00:00:00"/>
    <s v="Bancor"/>
    <n v="27410058"/>
    <s v="Molfeta S.A.S."/>
    <n v="47000"/>
    <x v="4"/>
    <s v="30-71671165-6"/>
    <n v="512"/>
    <m/>
    <d v="2020-10-09T00:00:00"/>
    <m/>
    <x v="1"/>
    <x v="5"/>
    <x v="1"/>
    <x v="27"/>
  </r>
  <r>
    <d v="2020-10-01T00:00:00"/>
    <s v="Cabello Miguel"/>
    <s v="-"/>
    <d v="2020-09-08T00:00:00"/>
    <s v="credicoop"/>
    <n v="40676284"/>
    <s v="Yordan Mariano Nicolas"/>
    <n v="8839.9500000000007"/>
    <x v="0"/>
    <s v="20-27444807-6"/>
    <n v="513"/>
    <m/>
    <d v="2020-10-09T00:00:00"/>
    <m/>
    <x v="1"/>
    <x v="5"/>
    <x v="1"/>
    <x v="20"/>
  </r>
  <r>
    <d v="2020-10-01T00:00:00"/>
    <s v="Cabello Miguel"/>
    <s v="-"/>
    <d v="2020-09-08T00:00:00"/>
    <s v="credicoop"/>
    <n v="40676283"/>
    <s v="Yordan Mariano Nicolas"/>
    <n v="10150.02"/>
    <x v="1"/>
    <s v="20-27444807-6"/>
    <n v="514"/>
    <m/>
    <d v="2020-10-07T00:00:00"/>
    <s v="Victor Colaccio"/>
    <x v="1"/>
    <x v="5"/>
    <x v="1"/>
    <x v="20"/>
  </r>
  <r>
    <d v="2020-10-01T00:00:00"/>
    <s v="Cabello Miguel"/>
    <s v="-"/>
    <d v="2020-09-08T00:00:00"/>
    <s v="credicoop"/>
    <n v="40676282"/>
    <s v="Yordan Mariano Nicolas"/>
    <n v="17073.34"/>
    <x v="0"/>
    <s v="20-27444807-6"/>
    <n v="515"/>
    <m/>
    <d v="2020-10-15T00:00:00"/>
    <m/>
    <x v="1"/>
    <x v="5"/>
    <x v="1"/>
    <x v="20"/>
  </r>
  <r>
    <d v="2020-10-01T00:00:00"/>
    <s v="Cabello Miguel"/>
    <s v="-"/>
    <d v="2020-09-09T00:00:00"/>
    <s v="Santander Rio"/>
    <n v="15301199"/>
    <s v="Prienza Irene Carola Edit"/>
    <n v="5000"/>
    <x v="1"/>
    <s v="27-25639646-2"/>
    <n v="516"/>
    <m/>
    <d v="2020-10-09T00:00:00"/>
    <s v="OAM"/>
    <x v="1"/>
    <x v="5"/>
    <x v="1"/>
    <x v="1"/>
  </r>
  <r>
    <d v="2020-10-01T00:00:00"/>
    <s v="Cabello Miguel"/>
    <s v="-"/>
    <d v="2020-09-10T00:00:00"/>
    <s v="Santander Rio"/>
    <n v="511"/>
    <s v="Silveste Luciana Gisela"/>
    <n v="14000"/>
    <x v="0"/>
    <s v="27-27348310-7"/>
    <n v="517"/>
    <m/>
    <d v="2020-10-15T00:00:00"/>
    <m/>
    <x v="1"/>
    <x v="5"/>
    <x v="1"/>
    <x v="17"/>
  </r>
  <r>
    <d v="2020-10-01T00:00:00"/>
    <s v="Cabello Miguel"/>
    <s v="-"/>
    <d v="2020-09-10T00:00:00"/>
    <s v="Nacion"/>
    <n v="5910405"/>
    <s v="Fidani Graciela Rosa"/>
    <n v="19587"/>
    <x v="0"/>
    <s v="27-14178381-0"/>
    <n v="518"/>
    <m/>
    <d v="2020-10-13T00:00:00"/>
    <m/>
    <x v="1"/>
    <x v="5"/>
    <x v="1"/>
    <x v="17"/>
  </r>
  <r>
    <d v="2020-10-01T00:00:00"/>
    <s v="Cabello Miguel"/>
    <s v="-"/>
    <d v="2020-09-11T00:00:00"/>
    <s v="Galicia"/>
    <n v="82624877"/>
    <s v="Tarjeta Naranja S.A."/>
    <n v="32969.22"/>
    <x v="0"/>
    <s v="30-68537634-9"/>
    <n v="519"/>
    <m/>
    <d v="2020-10-15T00:00:00"/>
    <m/>
    <x v="1"/>
    <x v="5"/>
    <x v="1"/>
    <x v="11"/>
  </r>
  <r>
    <d v="2020-10-01T00:00:00"/>
    <s v="Cabello Miguel"/>
    <s v="-"/>
    <d v="2020-09-11T00:00:00"/>
    <s v="Nacion"/>
    <n v="1679729"/>
    <s v="Pagnucco Carmen Rosa Victoria"/>
    <n v="10126"/>
    <x v="0"/>
    <s v="27-12043442-5"/>
    <n v="520"/>
    <m/>
    <d v="2020-10-15T00:00:00"/>
    <m/>
    <x v="1"/>
    <x v="5"/>
    <x v="1"/>
    <x v="11"/>
  </r>
  <r>
    <d v="2020-10-01T00:00:00"/>
    <s v="Cabello Miguel"/>
    <s v="-"/>
    <d v="2020-09-12T00:00:00"/>
    <s v="Nacion"/>
    <n v="473116"/>
    <s v="Cancellieri Alma Telinda"/>
    <n v="30000"/>
    <x v="0"/>
    <s v="27-93616283-0"/>
    <n v="521"/>
    <m/>
    <d v="2020-10-15T00:00:00"/>
    <m/>
    <x v="1"/>
    <x v="5"/>
    <x v="1"/>
    <x v="0"/>
  </r>
  <r>
    <d v="2020-10-01T00:00:00"/>
    <s v="Cabello Miguel"/>
    <s v="-"/>
    <d v="2020-09-12T00:00:00"/>
    <s v="Nacion"/>
    <n v="4695815"/>
    <s v="Bertola Jose Luis"/>
    <n v="34200"/>
    <x v="1"/>
    <s v="23-20135927-9"/>
    <n v="522"/>
    <m/>
    <d v="2020-10-16T00:00:00"/>
    <s v="Carlos Bouzyk"/>
    <x v="1"/>
    <x v="5"/>
    <x v="1"/>
    <x v="0"/>
  </r>
  <r>
    <d v="2020-10-01T00:00:00"/>
    <s v="Cabello Miguel"/>
    <s v="-"/>
    <d v="2020-09-12T00:00:00"/>
    <s v="Galiacia"/>
    <n v="53495164"/>
    <s v="Piatti Patricia Susana"/>
    <n v="6325"/>
    <x v="1"/>
    <s v="27-20143169-2"/>
    <n v="523"/>
    <m/>
    <d v="2020-10-01T00:00:00"/>
    <s v="Victor Colaccio"/>
    <x v="1"/>
    <x v="5"/>
    <x v="1"/>
    <x v="0"/>
  </r>
  <r>
    <d v="2020-10-01T00:00:00"/>
    <s v="Cabello Miguel"/>
    <s v="-"/>
    <d v="2020-09-15T00:00:00"/>
    <s v="Nacion"/>
    <n v="1705"/>
    <s v="Arnese Luciana Maria De Lujan"/>
    <n v="13290"/>
    <x v="0"/>
    <s v="27-30374825-9"/>
    <n v="524"/>
    <m/>
    <d v="2020-10-22T00:00:00"/>
    <m/>
    <x v="1"/>
    <x v="5"/>
    <x v="1"/>
    <x v="14"/>
  </r>
  <r>
    <d v="2020-10-01T00:00:00"/>
    <s v="Cabello Miguel"/>
    <s v="-"/>
    <d v="2020-09-18T00:00:00"/>
    <s v="Nacion"/>
    <n v="159"/>
    <s v="Villanueva Leandro Aaron"/>
    <n v="20000"/>
    <x v="0"/>
    <s v="20-40960729-3"/>
    <n v="525"/>
    <m/>
    <d v="2020-10-22T00:00:00"/>
    <m/>
    <x v="1"/>
    <x v="5"/>
    <x v="1"/>
    <x v="9"/>
  </r>
  <r>
    <d v="2020-10-01T00:00:00"/>
    <s v="Cabello Miguel"/>
    <s v="-"/>
    <d v="2020-09-28T00:00:00"/>
    <s v="Bancor"/>
    <n v="27420839"/>
    <s v="Alcura S.A."/>
    <n v="42475"/>
    <x v="0"/>
    <s v="30-71534942-2"/>
    <n v="526"/>
    <m/>
    <d v="2020-10-05T00:00:00"/>
    <m/>
    <x v="1"/>
    <x v="5"/>
    <x v="1"/>
    <x v="4"/>
  </r>
  <r>
    <d v="2020-10-01T00:00:00"/>
    <s v="Cabello Miguel"/>
    <s v="-"/>
    <d v="2020-09-30T00:00:00"/>
    <s v="Macro"/>
    <n v="15851931"/>
    <s v="Aguvia SRL"/>
    <n v="12500"/>
    <x v="0"/>
    <s v="30-71498922-3"/>
    <n v="527"/>
    <m/>
    <d v="2020-10-22T00:00:00"/>
    <m/>
    <x v="1"/>
    <x v="5"/>
    <x v="1"/>
    <x v="2"/>
  </r>
  <r>
    <d v="2020-10-01T00:00:00"/>
    <s v="Cabello Miguel"/>
    <s v="-"/>
    <d v="2020-09-30T00:00:00"/>
    <s v="Santa Fe"/>
    <n v="82846190"/>
    <s v="Castellano Julieta Sabina"/>
    <n v="20000"/>
    <x v="4"/>
    <s v="27-31215595-3"/>
    <n v="528"/>
    <m/>
    <d v="2020-10-22T00:00:00"/>
    <m/>
    <x v="1"/>
    <x v="5"/>
    <x v="1"/>
    <x v="2"/>
  </r>
  <r>
    <d v="2020-10-01T00:00:00"/>
    <s v="Cabello Miguel"/>
    <s v="-"/>
    <d v="2020-10-10T00:00:00"/>
    <s v="Bancor"/>
    <n v="26853437"/>
    <s v="Epokas Valentina S.A.S."/>
    <n v="22393"/>
    <x v="0"/>
    <s v="30-71636966-4"/>
    <n v="529"/>
    <m/>
    <m/>
    <m/>
    <x v="1"/>
    <x v="1"/>
    <x v="1"/>
    <x v="17"/>
  </r>
  <r>
    <d v="2020-10-01T00:00:00"/>
    <s v="Cabello Miguel"/>
    <s v="-"/>
    <d v="2020-10-13T00:00:00"/>
    <s v="Santander Rio"/>
    <n v="70400231"/>
    <s v="Joris Paulina Beatriz"/>
    <n v="28000"/>
    <x v="0"/>
    <s v="27-28661925-3"/>
    <n v="530"/>
    <m/>
    <m/>
    <m/>
    <x v="1"/>
    <x v="1"/>
    <x v="1"/>
    <x v="7"/>
  </r>
  <r>
    <d v="2020-10-07T00:00:00"/>
    <s v="Vorrazo"/>
    <s v="-"/>
    <d v="2020-11-06T00:00:00"/>
    <s v="Galicia"/>
    <n v="63212129"/>
    <s v="Serra Roberto Alejandro"/>
    <n v="7330"/>
    <x v="1"/>
    <s v="20-32830531-4"/>
    <n v="531"/>
    <m/>
    <d v="2020-10-14T00:00:00"/>
    <s v="Onena"/>
    <x v="1"/>
    <x v="2"/>
    <x v="1"/>
    <x v="27"/>
  </r>
  <r>
    <d v="2020-10-07T00:00:00"/>
    <s v="Vorrazo"/>
    <s v="-"/>
    <d v="2020-11-13T00:00:00"/>
    <s v="Galicia"/>
    <n v="63212130"/>
    <s v="Serra Roberto Alejandro"/>
    <n v="10000"/>
    <x v="1"/>
    <s v="20-32830531-4"/>
    <n v="532"/>
    <m/>
    <d v="2020-11-18T00:00:00"/>
    <s v="Zalaquett"/>
    <x v="1"/>
    <x v="2"/>
    <x v="1"/>
    <x v="7"/>
  </r>
  <r>
    <d v="2020-10-07T00:00:00"/>
    <s v="Vorrazo"/>
    <s v="-"/>
    <d v="2020-11-20T00:00:00"/>
    <s v="Galicia"/>
    <n v="63434691"/>
    <s v="Serra Roberto Alejandro"/>
    <n v="10000"/>
    <x v="1"/>
    <s v="20-32830531-4"/>
    <n v="533"/>
    <m/>
    <d v="2020-11-09T00:00:00"/>
    <s v="Otranto"/>
    <x v="1"/>
    <x v="2"/>
    <x v="1"/>
    <x v="18"/>
  </r>
  <r>
    <d v="2020-10-07T00:00:00"/>
    <s v="Vorrazo"/>
    <s v="-"/>
    <d v="2020-12-04T00:00:00"/>
    <s v="Galicia"/>
    <n v="63434692"/>
    <s v="Serra Roberto Alejandro"/>
    <n v="10000"/>
    <x v="1"/>
    <s v="20-32830531-4"/>
    <n v="534"/>
    <m/>
    <d v="2020-11-04T00:00:00"/>
    <s v="Melisa y Martin"/>
    <x v="1"/>
    <x v="3"/>
    <x v="1"/>
    <x v="28"/>
  </r>
  <r>
    <d v="2020-10-07T00:00:00"/>
    <s v="Vorrazo"/>
    <s v="-"/>
    <d v="2020-12-11T00:00:00"/>
    <s v="Galicia"/>
    <n v="63434693"/>
    <s v="Serra Roberto Alejandro"/>
    <n v="10000"/>
    <x v="1"/>
    <s v="20-32830531-4"/>
    <n v="535"/>
    <m/>
    <d v="2020-10-07T00:00:00"/>
    <s v="Victor Colaccio"/>
    <x v="1"/>
    <x v="3"/>
    <x v="1"/>
    <x v="11"/>
  </r>
  <r>
    <d v="2020-10-08T00:00:00"/>
    <s v="Joaquin"/>
    <s v="-"/>
    <d v="2020-10-07T00:00:00"/>
    <s v="Galicia"/>
    <n v="61250371"/>
    <s v="Quattro Ingenieria Mar Del Plata S.R.L."/>
    <n v="27000"/>
    <x v="0"/>
    <s v="30-7148766-3"/>
    <n v="536"/>
    <m/>
    <d v="2020-10-13T00:00:00"/>
    <m/>
    <x v="1"/>
    <x v="1"/>
    <x v="1"/>
    <x v="12"/>
  </r>
  <r>
    <d v="2020-10-14T00:00:00"/>
    <s v="Riabis"/>
    <s v="-"/>
    <d v="2020-10-07T00:00:00"/>
    <s v="Provincia"/>
    <n v="78914341"/>
    <s v="Mazzucco Diego Luis"/>
    <n v="5900"/>
    <x v="1"/>
    <s v="20-08525441-4"/>
    <n v="537"/>
    <m/>
    <d v="2020-10-29T00:00:00"/>
    <s v="OAM"/>
    <x v="1"/>
    <x v="1"/>
    <x v="1"/>
    <x v="12"/>
  </r>
  <r>
    <d v="2020-10-14T00:00:00"/>
    <s v="Riabis"/>
    <s v="-"/>
    <d v="2020-11-17T00:00:00"/>
    <s v="Provincia"/>
    <n v="78914344"/>
    <s v="Mazzucco Diego Luis"/>
    <n v="5900"/>
    <x v="0"/>
    <s v="20-08525441-4"/>
    <n v="538"/>
    <m/>
    <d v="2020-11-25T00:00:00"/>
    <m/>
    <x v="1"/>
    <x v="2"/>
    <x v="1"/>
    <x v="21"/>
  </r>
  <r>
    <d v="2020-10-29T00:00:00"/>
    <s v="Manzo"/>
    <s v="-"/>
    <d v="2020-11-11T00:00:00"/>
    <s v="Nacion"/>
    <n v="2062"/>
    <s v="Cassibba Julio Alberto"/>
    <n v="5000"/>
    <x v="1"/>
    <s v="20-05305088-4"/>
    <n v="539"/>
    <m/>
    <d v="2020-12-10T00:00:00"/>
    <s v="Bouzyk"/>
    <x v="1"/>
    <x v="2"/>
    <x v="1"/>
    <x v="11"/>
  </r>
  <r>
    <d v="2020-10-30T00:00:00"/>
    <s v="Dodero"/>
    <s v="-"/>
    <d v="2020-12-11T00:00:00"/>
    <s v="Santander Rio"/>
    <n v="36300372"/>
    <s v="Valerga Gustavo Ariel"/>
    <n v="10000"/>
    <x v="1"/>
    <s v="20-24343800-5"/>
    <n v="540"/>
    <m/>
    <d v="2020-11-04T00:00:00"/>
    <s v="Veira"/>
    <x v="1"/>
    <x v="3"/>
    <x v="1"/>
    <x v="11"/>
  </r>
  <r>
    <d v="2020-11-03T00:00:00"/>
    <s v="Cabello Miguel"/>
    <s v="-"/>
    <d v="2020-09-21T00:00:00"/>
    <s v="credicoop"/>
    <n v="22398399"/>
    <s v="Cortes Walter Hernan"/>
    <n v="29500"/>
    <x v="4"/>
    <s v="23-22307161-9"/>
    <n v="541"/>
    <m/>
    <d v="2020-11-05T00:00:00"/>
    <s v="Rontaltex"/>
    <x v="1"/>
    <x v="5"/>
    <x v="1"/>
    <x v="15"/>
  </r>
  <r>
    <d v="2020-11-03T00:00:00"/>
    <s v="Cabello Miguel"/>
    <s v="-"/>
    <d v="2020-09-28T00:00:00"/>
    <s v="Santander Rio"/>
    <n v="70400230"/>
    <s v="Joris Paulina Beatriz"/>
    <n v="28000"/>
    <x v="0"/>
    <s v="27-28661925-3"/>
    <n v="542"/>
    <m/>
    <d v="2020-11-25T00:00:00"/>
    <m/>
    <x v="9"/>
    <x v="5"/>
    <x v="1"/>
    <x v="4"/>
  </r>
  <r>
    <d v="2020-11-03T00:00:00"/>
    <s v="Cabello Miguel"/>
    <s v="-"/>
    <d v="2020-09-30T00:00:00"/>
    <s v="Nacion"/>
    <n v="873"/>
    <s v="Valdivia Leal Eliana Cristina"/>
    <n v="14775"/>
    <x v="1"/>
    <s v="27-92353970-6"/>
    <n v="543"/>
    <m/>
    <d v="2020-11-04T00:00:00"/>
    <s v="Melisa y Martin"/>
    <x v="1"/>
    <x v="5"/>
    <x v="1"/>
    <x v="2"/>
  </r>
  <r>
    <d v="2020-11-03T00:00:00"/>
    <s v="Cabello Miguel"/>
    <s v="-"/>
    <d v="2020-09-30T00:00:00"/>
    <s v="Macro"/>
    <n v="15851932"/>
    <s v="Aguvia SRL"/>
    <n v="12500"/>
    <x v="1"/>
    <s v="30-71498922-3"/>
    <n v="544"/>
    <m/>
    <d v="2020-11-04T00:00:00"/>
    <s v="Melisa y Martin"/>
    <x v="1"/>
    <x v="5"/>
    <x v="1"/>
    <x v="2"/>
  </r>
  <r>
    <d v="2020-11-03T00:00:00"/>
    <s v="Cabello Miguel"/>
    <s v="-"/>
    <d v="2020-09-30T00:00:00"/>
    <s v="Nacion"/>
    <n v="807781"/>
    <s v="Herrera Ana Claudia"/>
    <n v="20000"/>
    <x v="6"/>
    <s v="27-17483218-3"/>
    <n v="545"/>
    <m/>
    <d v="2020-11-05T00:00:00"/>
    <s v="Otranto"/>
    <x v="1"/>
    <x v="5"/>
    <x v="1"/>
    <x v="2"/>
  </r>
  <r>
    <d v="2020-11-03T00:00:00"/>
    <s v="Cabello Miguel"/>
    <s v="-"/>
    <d v="2020-09-30T00:00:00"/>
    <s v="Nacion"/>
    <n v="160"/>
    <s v="Villanueva Leandro Aaron"/>
    <n v="20000"/>
    <x v="1"/>
    <s v="20-40960729-3"/>
    <n v="546"/>
    <m/>
    <d v="2020-11-05T00:00:00"/>
    <s v="Otranto"/>
    <x v="1"/>
    <x v="5"/>
    <x v="1"/>
    <x v="2"/>
  </r>
  <r>
    <d v="2020-11-03T00:00:00"/>
    <s v="Cabello Miguel"/>
    <s v="-"/>
    <d v="2020-09-30T00:00:00"/>
    <s v="Santander Rio"/>
    <n v="70400229"/>
    <s v="Joris Paulina Beatriz"/>
    <n v="15578"/>
    <x v="1"/>
    <s v="27-28661925-3"/>
    <n v="547"/>
    <m/>
    <d v="2020-11-05T00:00:00"/>
    <s v="Otranto"/>
    <x v="1"/>
    <x v="5"/>
    <x v="1"/>
    <x v="2"/>
  </r>
  <r>
    <d v="2020-11-03T00:00:00"/>
    <s v="Cabello Miguel"/>
    <s v="-"/>
    <d v="2020-09-30T00:00:00"/>
    <s v="Supervielle"/>
    <n v="92288818"/>
    <s v="Godoy Mario Alberto"/>
    <n v="12000"/>
    <x v="1"/>
    <s v="20-14256710-6"/>
    <n v="548"/>
    <m/>
    <d v="2020-11-05T00:00:00"/>
    <s v="Otranto"/>
    <x v="1"/>
    <x v="5"/>
    <x v="1"/>
    <x v="2"/>
  </r>
  <r>
    <d v="2020-11-03T00:00:00"/>
    <s v="Cabello Miguel"/>
    <s v="-"/>
    <d v="2020-10-01T00:00:00"/>
    <s v="Nacion"/>
    <n v="1899"/>
    <s v="Agroservicios Brunetti Hnos. S"/>
    <n v="10000"/>
    <x v="0"/>
    <s v="30-71548113-4"/>
    <n v="549"/>
    <m/>
    <d v="2020-11-05T00:00:00"/>
    <m/>
    <x v="1"/>
    <x v="1"/>
    <x v="1"/>
    <x v="24"/>
  </r>
  <r>
    <d v="2020-11-03T00:00:00"/>
    <s v="Cabello Miguel"/>
    <s v="-"/>
    <d v="2020-10-01T00:00:00"/>
    <s v="Nacion"/>
    <n v="1202979"/>
    <s v="Sanchez Adolfo Adan"/>
    <n v="17700"/>
    <x v="1"/>
    <s v="20-34389597-7"/>
    <n v="550"/>
    <m/>
    <d v="2020-11-05T00:00:00"/>
    <s v="Otranto"/>
    <x v="1"/>
    <x v="1"/>
    <x v="1"/>
    <x v="24"/>
  </r>
  <r>
    <d v="2020-11-03T00:00:00"/>
    <s v="Cabello Miguel"/>
    <s v="-"/>
    <d v="2020-10-02T00:00:00"/>
    <s v="Macro"/>
    <n v="90109446"/>
    <s v="Sabena Graciela Silvana"/>
    <n v="15000"/>
    <x v="0"/>
    <s v="27-13472981-9"/>
    <n v="551"/>
    <m/>
    <d v="2020-11-05T00:00:00"/>
    <m/>
    <x v="1"/>
    <x v="1"/>
    <x v="1"/>
    <x v="29"/>
  </r>
  <r>
    <d v="2020-11-03T00:00:00"/>
    <s v="Cabello Miguel"/>
    <s v="-"/>
    <d v="2020-10-03T00:00:00"/>
    <s v="HSBC"/>
    <n v="65562978"/>
    <s v="Zenon Torino S.A."/>
    <n v="22500"/>
    <x v="0"/>
    <s v="30-70798726-6"/>
    <n v="552"/>
    <m/>
    <d v="2020-11-05T00:00:00"/>
    <m/>
    <x v="1"/>
    <x v="1"/>
    <x v="1"/>
    <x v="30"/>
  </r>
  <r>
    <d v="2020-11-03T00:00:00"/>
    <s v="Cabello Miguel"/>
    <s v="-"/>
    <d v="2020-10-05T00:00:00"/>
    <s v="Nacion"/>
    <n v="153804"/>
    <s v="Siscom S.R.L."/>
    <n v="11311.37"/>
    <x v="1"/>
    <s v="30-64641720-8"/>
    <n v="553"/>
    <m/>
    <d v="2020-11-09T00:00:00"/>
    <s v="Otranto"/>
    <x v="1"/>
    <x v="1"/>
    <x v="1"/>
    <x v="22"/>
  </r>
  <r>
    <d v="2020-11-03T00:00:00"/>
    <s v="Cabello Miguel"/>
    <s v="-"/>
    <d v="2020-10-06T00:00:00"/>
    <s v="Santander Rio"/>
    <n v="240"/>
    <s v="Caffarena Julieta Erika"/>
    <n v="11927"/>
    <x v="1"/>
    <s v="27-22062662-3"/>
    <n v="554"/>
    <m/>
    <d v="2020-11-12T00:00:00"/>
    <s v="Bouzyk"/>
    <x v="1"/>
    <x v="1"/>
    <x v="1"/>
    <x v="27"/>
  </r>
  <r>
    <d v="2020-11-03T00:00:00"/>
    <s v="Cabello Miguel"/>
    <s v="-"/>
    <d v="2020-10-06T00:00:00"/>
    <s v="Macro"/>
    <n v="73994249"/>
    <s v="Jimenez Julia Elena"/>
    <n v="30000"/>
    <x v="1"/>
    <s v="27-23241703-5"/>
    <n v="555"/>
    <m/>
    <d v="2020-11-05T00:00:00"/>
    <s v="Otranto"/>
    <x v="1"/>
    <x v="1"/>
    <x v="1"/>
    <x v="27"/>
  </r>
  <r>
    <d v="2020-11-03T00:00:00"/>
    <s v="Cabello Miguel"/>
    <s v="-"/>
    <d v="2020-10-10T00:00:00"/>
    <s v="La Pampa"/>
    <n v="61544622"/>
    <s v="Sañudo Veronica Gabriela"/>
    <n v="15000"/>
    <x v="1"/>
    <s v="27-24785771-6"/>
    <n v="556"/>
    <m/>
    <d v="2020-11-09T00:00:00"/>
    <s v="Mandy"/>
    <x v="1"/>
    <x v="1"/>
    <x v="1"/>
    <x v="17"/>
  </r>
  <r>
    <d v="2020-11-03T00:00:00"/>
    <s v="Cabello Miguel"/>
    <s v="-"/>
    <d v="2020-10-10T00:00:00"/>
    <s v="Macro"/>
    <n v="16641701"/>
    <s v="Sastre Claudia Rosana Fernanda"/>
    <n v="10000"/>
    <x v="1"/>
    <s v="27-23392440-2"/>
    <n v="557"/>
    <m/>
    <d v="2020-11-17T00:00:00"/>
    <s v="Veccio"/>
    <x v="1"/>
    <x v="1"/>
    <x v="1"/>
    <x v="17"/>
  </r>
  <r>
    <d v="2020-11-03T00:00:00"/>
    <s v="Cabello Miguel"/>
    <s v="-"/>
    <d v="2020-10-10T00:00:00"/>
    <s v="Bancor"/>
    <n v="26762745"/>
    <s v="Saint Genez Maria Milca"/>
    <n v="21000"/>
    <x v="1"/>
    <s v="27-25890941-6"/>
    <n v="558"/>
    <m/>
    <d v="2020-11-05T00:00:00"/>
    <s v="Otranto"/>
    <x v="1"/>
    <x v="1"/>
    <x v="1"/>
    <x v="17"/>
  </r>
  <r>
    <d v="2020-11-03T00:00:00"/>
    <s v="Cabello Miguel"/>
    <s v="-"/>
    <d v="2020-10-10T00:00:00"/>
    <s v="Santander Rio"/>
    <n v="72800040"/>
    <s v="Obregon Maria Del Rosario"/>
    <n v="22388"/>
    <x v="1"/>
    <s v="27-21110142-9"/>
    <n v="559"/>
    <m/>
    <d v="2020-11-09T00:00:00"/>
    <s v="Otranto"/>
    <x v="1"/>
    <x v="1"/>
    <x v="1"/>
    <x v="17"/>
  </r>
  <r>
    <d v="2020-11-03T00:00:00"/>
    <s v="Cabello Miguel"/>
    <s v="-"/>
    <d v="2020-10-10T00:00:00"/>
    <s v="credicoop"/>
    <n v="41644200"/>
    <s v="Iglesias Adriana Patricia"/>
    <n v="20000"/>
    <x v="1"/>
    <s v="27-13830165-1"/>
    <n v="560"/>
    <m/>
    <d v="2020-11-10T00:00:00"/>
    <s v="Temco"/>
    <x v="1"/>
    <x v="1"/>
    <x v="1"/>
    <x v="17"/>
  </r>
  <r>
    <d v="2020-11-03T00:00:00"/>
    <s v="Cabello Miguel"/>
    <s v="-"/>
    <d v="2020-10-12T00:00:00"/>
    <s v="Nuevo Banco Del Chaco"/>
    <n v="7703294"/>
    <s v="Bertolucci Rene Federico"/>
    <n v="20000"/>
    <x v="1"/>
    <s v="20-30791872-3"/>
    <n v="561"/>
    <m/>
    <d v="2020-11-09T00:00:00"/>
    <s v="Otranto"/>
    <x v="1"/>
    <x v="1"/>
    <x v="1"/>
    <x v="0"/>
  </r>
  <r>
    <d v="2020-11-03T00:00:00"/>
    <s v="Cabello Miguel"/>
    <s v="-"/>
    <d v="2020-10-14T00:00:00"/>
    <s v="Santander Rio"/>
    <n v="70400240"/>
    <s v="Joris Paulina Beatriz"/>
    <n v="20000"/>
    <x v="1"/>
    <s v="27-28661925-3"/>
    <n v="562"/>
    <m/>
    <d v="2020-11-09T00:00:00"/>
    <s v="Otanto"/>
    <x v="1"/>
    <x v="1"/>
    <x v="1"/>
    <x v="16"/>
  </r>
  <r>
    <d v="2020-11-03T00:00:00"/>
    <s v="Cabello Miguel"/>
    <s v="-"/>
    <d v="2020-10-15T00:00:00"/>
    <s v="Nacion"/>
    <n v="874"/>
    <s v="Valdivia Leal Eliana Cristina"/>
    <n v="15000"/>
    <x v="1"/>
    <s v="27-92353970-6"/>
    <n v="563"/>
    <m/>
    <d v="2020-11-05T00:00:00"/>
    <s v="Otranto"/>
    <x v="1"/>
    <x v="1"/>
    <x v="1"/>
    <x v="14"/>
  </r>
  <r>
    <d v="2020-11-03T00:00:00"/>
    <s v="Cabello Miguel"/>
    <s v="-"/>
    <d v="2020-10-15T00:00:00"/>
    <s v="Macro"/>
    <n v="19012153"/>
    <s v="Villegas Gustavo Mauricio"/>
    <n v="25000"/>
    <x v="1"/>
    <s v="20-17180994-1"/>
    <n v="564"/>
    <m/>
    <d v="2020-11-05T00:00:00"/>
    <s v="Otranto"/>
    <x v="1"/>
    <x v="1"/>
    <x v="1"/>
    <x v="14"/>
  </r>
  <r>
    <d v="2020-11-03T00:00:00"/>
    <s v="Cabello Miguel"/>
    <s v="-"/>
    <d v="2020-10-15T00:00:00"/>
    <s v="Bancor"/>
    <n v="27686521"/>
    <s v="Comuna de Charbonier"/>
    <n v="25000"/>
    <x v="1"/>
    <s v="30-66854272-3"/>
    <n v="565"/>
    <m/>
    <d v="2020-11-09T00:00:00"/>
    <s v="Mandy"/>
    <x v="1"/>
    <x v="1"/>
    <x v="1"/>
    <x v="14"/>
  </r>
  <r>
    <d v="2020-11-03T00:00:00"/>
    <s v="Cabello Miguel"/>
    <s v="-"/>
    <d v="2020-10-15T00:00:00"/>
    <s v="Supervielle"/>
    <n v="89909962"/>
    <s v="Nuñez Maria Elisa Dominga"/>
    <n v="27081"/>
    <x v="1"/>
    <s v="27-13507273-2"/>
    <n v="566"/>
    <m/>
    <d v="2020-11-09T00:00:00"/>
    <s v="Otranto"/>
    <x v="1"/>
    <x v="1"/>
    <x v="1"/>
    <x v="14"/>
  </r>
  <r>
    <d v="2020-11-03T00:00:00"/>
    <s v="Cabello Miguel"/>
    <s v="-"/>
    <d v="2020-10-16T00:00:00"/>
    <s v="Santa Fe"/>
    <n v="82846191"/>
    <s v="Castellano Julieta Sabina"/>
    <n v="20000"/>
    <x v="6"/>
    <s v="27-31215595-3"/>
    <n v="567"/>
    <m/>
    <d v="2020-11-09T00:00:00"/>
    <s v="Otranto"/>
    <x v="10"/>
    <x v="1"/>
    <x v="1"/>
    <x v="23"/>
  </r>
  <r>
    <d v="2020-11-03T00:00:00"/>
    <s v="Cabello Miguel"/>
    <s v="-"/>
    <d v="2020-10-18T00:00:00"/>
    <s v="Santander Rio"/>
    <n v="70400232"/>
    <s v="Joris Paulina Beatriz"/>
    <n v="28000"/>
    <x v="1"/>
    <s v="27-28661925-3"/>
    <n v="568"/>
    <m/>
    <d v="2020-11-09T00:00:00"/>
    <s v="Otranto"/>
    <x v="1"/>
    <x v="1"/>
    <x v="1"/>
    <x v="9"/>
  </r>
  <r>
    <d v="2020-11-03T00:00:00"/>
    <s v="Cabello Miguel"/>
    <s v="-"/>
    <d v="2020-10-18T00:00:00"/>
    <s v="Macro"/>
    <n v="15637147"/>
    <s v="Oller Nicolas Alberto"/>
    <n v="23367"/>
    <x v="0"/>
    <s v="20-28054893-7"/>
    <n v="569"/>
    <m/>
    <d v="2020-11-12T00:00:00"/>
    <m/>
    <x v="1"/>
    <x v="1"/>
    <x v="1"/>
    <x v="9"/>
  </r>
  <r>
    <d v="2020-11-03T00:00:00"/>
    <s v="Cabello Miguel"/>
    <s v="-"/>
    <d v="2020-10-20T00:00:00"/>
    <s v="Galicia"/>
    <n v="24972498"/>
    <s v="Baldan Eliana Celina"/>
    <n v="24820"/>
    <x v="1"/>
    <s v="27-31399736-2"/>
    <n v="570"/>
    <m/>
    <d v="2020-11-05T00:00:00"/>
    <s v="Otranto"/>
    <x v="1"/>
    <x v="1"/>
    <x v="1"/>
    <x v="18"/>
  </r>
  <r>
    <d v="2020-11-03T00:00:00"/>
    <s v="Cabello Miguel"/>
    <s v="-"/>
    <d v="2020-10-20T00:00:00"/>
    <s v="credicoop"/>
    <n v="40676291"/>
    <s v="Yordan Mariano Nicolas"/>
    <n v="40000"/>
    <x v="0"/>
    <s v="20-27444807-6"/>
    <n v="571"/>
    <m/>
    <d v="2020-11-12T00:00:00"/>
    <m/>
    <x v="1"/>
    <x v="1"/>
    <x v="1"/>
    <x v="18"/>
  </r>
  <r>
    <d v="2020-11-03T00:00:00"/>
    <s v="Cabello Miguel"/>
    <s v="-"/>
    <d v="2020-10-20T00:00:00"/>
    <s v="Nacion"/>
    <n v="136068"/>
    <s v="Dezotti Fabricio Carlos"/>
    <n v="25000"/>
    <x v="1"/>
    <s v="20-21766472-2"/>
    <n v="572"/>
    <m/>
    <d v="2020-11-09T00:00:00"/>
    <s v="Otranto"/>
    <x v="1"/>
    <x v="1"/>
    <x v="1"/>
    <x v="18"/>
  </r>
  <r>
    <d v="2020-11-03T00:00:00"/>
    <s v="Cabello Miguel"/>
    <s v="-"/>
    <d v="2020-10-22T00:00:00"/>
    <s v="Coinag"/>
    <n v="892028"/>
    <s v="Ricardo Elia Mauricio Carlos Elia"/>
    <n v="12000"/>
    <x v="1"/>
    <s v="30-71591658-0"/>
    <n v="573"/>
    <m/>
    <d v="2020-11-04T00:00:00"/>
    <s v="Melisa y Martin"/>
    <x v="1"/>
    <x v="1"/>
    <x v="1"/>
    <x v="19"/>
  </r>
  <r>
    <d v="2020-11-03T00:00:00"/>
    <s v="Cabello Miguel"/>
    <s v="-"/>
    <d v="2020-10-23T00:00:00"/>
    <s v="Santa Fe"/>
    <n v="82846192"/>
    <s v="Castellano Julieta Sabina"/>
    <n v="20000"/>
    <x v="1"/>
    <s v="27-31215595-3"/>
    <n v="574"/>
    <m/>
    <d v="2020-11-09T00:00:00"/>
    <s v="Orca"/>
    <x v="1"/>
    <x v="1"/>
    <x v="1"/>
    <x v="13"/>
  </r>
  <r>
    <d v="2020-11-03T00:00:00"/>
    <s v="Cabello Miguel"/>
    <s v="-"/>
    <d v="2020-10-23T00:00:00"/>
    <s v="Bancor"/>
    <n v="27761055"/>
    <s v="Minuz Hugo"/>
    <n v="25000"/>
    <x v="1"/>
    <s v="20-06440251-0"/>
    <n v="575"/>
    <m/>
    <d v="2020-11-09T00:00:00"/>
    <s v="Otranto"/>
    <x v="1"/>
    <x v="1"/>
    <x v="1"/>
    <x v="13"/>
  </r>
  <r>
    <d v="2020-11-03T00:00:00"/>
    <s v="Cabello Miguel"/>
    <s v="-"/>
    <d v="2020-10-24T00:00:00"/>
    <s v="credicoop"/>
    <n v="42575201"/>
    <s v="Iglesias Adriana Patricia"/>
    <n v="20000"/>
    <x v="0"/>
    <s v="27-13830165-1"/>
    <n v="576"/>
    <m/>
    <d v="2020-11-17T00:00:00"/>
    <m/>
    <x v="1"/>
    <x v="1"/>
    <x v="1"/>
    <x v="6"/>
  </r>
  <r>
    <d v="2020-11-03T00:00:00"/>
    <s v="Cabello Miguel"/>
    <s v="-"/>
    <d v="2020-10-25T00:00:00"/>
    <s v="Patagonia"/>
    <n v="21316546"/>
    <s v="Bonanza S.H."/>
    <n v="30000"/>
    <x v="0"/>
    <s v="30-71462813-1"/>
    <n v="577"/>
    <m/>
    <d v="2020-11-17T00:00:00"/>
    <m/>
    <x v="1"/>
    <x v="1"/>
    <x v="1"/>
    <x v="10"/>
  </r>
  <r>
    <d v="2020-11-03T00:00:00"/>
    <s v="Cabello Miguel"/>
    <s v="-"/>
    <d v="2020-10-31T00:00:00"/>
    <s v="credicoop"/>
    <n v="23205118"/>
    <s v="Laza Walter Jose Luis"/>
    <n v="40000"/>
    <x v="0"/>
    <s v="20-14586077-7"/>
    <n v="578"/>
    <m/>
    <d v="2020-11-19T00:00:00"/>
    <m/>
    <x v="1"/>
    <x v="1"/>
    <x v="1"/>
    <x v="3"/>
  </r>
  <r>
    <d v="2020-11-09T00:00:00"/>
    <s v="Vorrazo"/>
    <s v="-"/>
    <d v="2021-02-10T00:00:00"/>
    <s v="BBVA"/>
    <n v="537179"/>
    <s v="Club de Diseño S R"/>
    <n v="35056"/>
    <x v="0"/>
    <s v="30-71015338-4"/>
    <n v="579"/>
    <m/>
    <d v="2021-02-17T00:00:00"/>
    <m/>
    <x v="1"/>
    <x v="7"/>
    <x v="2"/>
    <x v="17"/>
  </r>
  <r>
    <d v="2020-11-09T00:00:00"/>
    <s v="Vorrazo"/>
    <s v="-"/>
    <d v="2020-12-29T00:00:00"/>
    <s v="Galicia"/>
    <n v="66959340"/>
    <s v="Bridge To Experienc SAS"/>
    <n v="28659"/>
    <x v="1"/>
    <s v="30-71683428-6"/>
    <n v="580"/>
    <m/>
    <d v="2020-11-09T00:00:00"/>
    <s v="Otranto"/>
    <x v="1"/>
    <x v="3"/>
    <x v="1"/>
    <x v="5"/>
  </r>
  <r>
    <d v="2020-11-09T00:00:00"/>
    <s v="Vorrazo"/>
    <s v="-"/>
    <d v="2020-12-13T00:00:00"/>
    <s v="Galicia"/>
    <n v="66959328"/>
    <s v="Bridge To Experienc SAS"/>
    <n v="19130"/>
    <x v="1"/>
    <s v="30-71683428-6"/>
    <n v="581"/>
    <m/>
    <d v="2020-11-09T00:00:00"/>
    <s v="Otranto"/>
    <x v="1"/>
    <x v="3"/>
    <x v="1"/>
    <x v="7"/>
  </r>
  <r>
    <d v="2020-11-09T00:00:00"/>
    <s v="Vorrazo"/>
    <s v="-"/>
    <d v="2020-11-28T00:00:00"/>
    <s v="Galicia"/>
    <n v="66959327"/>
    <s v="Bridge To Experienc SAS"/>
    <n v="20000"/>
    <x v="1"/>
    <s v="30-71683428-6"/>
    <n v="582"/>
    <m/>
    <d v="2020-11-09T00:00:00"/>
    <s v="Otranto"/>
    <x v="1"/>
    <x v="2"/>
    <x v="1"/>
    <x v="4"/>
  </r>
  <r>
    <d v="2020-11-09T00:00:00"/>
    <s v="Vorrazo"/>
    <s v="-"/>
    <d v="2020-10-28T00:00:00"/>
    <s v="Macro"/>
    <n v="15594987"/>
    <s v="Mendoza Mario Emmanuel"/>
    <n v="15600"/>
    <x v="0"/>
    <s v="20-34790746-5"/>
    <n v="583"/>
    <m/>
    <d v="2020-11-17T00:00:00"/>
    <m/>
    <x v="1"/>
    <x v="1"/>
    <x v="1"/>
    <x v="4"/>
  </r>
  <r>
    <d v="2020-11-09T00:00:00"/>
    <s v="Vorrazo"/>
    <s v="-"/>
    <d v="2021-01-31T00:00:00"/>
    <s v="BBVA"/>
    <n v="537178"/>
    <s v="Club de Diseño S R"/>
    <n v="17641.8"/>
    <x v="0"/>
    <s v="30-71015338-4"/>
    <n v="584"/>
    <m/>
    <d v="2021-02-02T00:00:00"/>
    <m/>
    <x v="11"/>
    <x v="6"/>
    <x v="2"/>
    <x v="3"/>
  </r>
  <r>
    <d v="2020-11-09T00:00:00"/>
    <s v="Vorrazo"/>
    <s v="-"/>
    <d v="2021-01-15T00:00:00"/>
    <s v="BBVA"/>
    <n v="537177"/>
    <s v="Club de Diseño S R"/>
    <n v="19602"/>
    <x v="1"/>
    <s v="30-71015338-4"/>
    <n v="585"/>
    <m/>
    <d v="2020-11-09T00:00:00"/>
    <s v="Mandy"/>
    <x v="1"/>
    <x v="6"/>
    <x v="2"/>
    <x v="14"/>
  </r>
  <r>
    <d v="2020-11-09T00:00:00"/>
    <s v="Vorrazo"/>
    <s v="-"/>
    <d v="2021-01-10T00:00:00"/>
    <s v="BBVA"/>
    <n v="537174"/>
    <s v="Club de Diseño S R"/>
    <n v="51909"/>
    <x v="1"/>
    <s v="30-71015338-4"/>
    <n v="586"/>
    <m/>
    <d v="2020-11-09T00:00:00"/>
    <s v="Otranto"/>
    <x v="1"/>
    <x v="6"/>
    <x v="2"/>
    <x v="17"/>
  </r>
  <r>
    <d v="2020-11-09T00:00:00"/>
    <s v="Vorrazo"/>
    <s v="-"/>
    <d v="2020-12-19T00:00:00"/>
    <s v="BBVA"/>
    <n v="537173"/>
    <s v="Club de Diseño S R"/>
    <n v="25482.6"/>
    <x v="1"/>
    <s v="30-71015338-4"/>
    <n v="587"/>
    <m/>
    <d v="2020-11-09T00:00:00"/>
    <s v="Otranto"/>
    <x v="1"/>
    <x v="3"/>
    <x v="1"/>
    <x v="25"/>
  </r>
  <r>
    <d v="2020-11-09T00:00:00"/>
    <s v="Patricia Ramos"/>
    <s v="-"/>
    <d v="2020-11-15T00:00:00"/>
    <s v="Provincia"/>
    <n v="76685438"/>
    <s v="Ramos Patricia Cecilia"/>
    <n v="19880"/>
    <x v="0"/>
    <s v="23-14393221-4"/>
    <n v="588"/>
    <m/>
    <d v="2020-11-25T00:00:00"/>
    <m/>
    <x v="1"/>
    <x v="2"/>
    <x v="1"/>
    <x v="14"/>
  </r>
  <r>
    <d v="2020-11-10T00:00:00"/>
    <s v="Petrich"/>
    <s v="-"/>
    <d v="2021-01-04T00:00:00"/>
    <s v="credicoop"/>
    <n v="41694918"/>
    <s v="Astengo Daniel Oscar"/>
    <n v="3900"/>
    <x v="1"/>
    <s v="20-14690348-8"/>
    <n v="589"/>
    <m/>
    <d v="2020-01-11T00:00:00"/>
    <s v="OAM"/>
    <x v="1"/>
    <x v="6"/>
    <x v="2"/>
    <x v="28"/>
  </r>
  <r>
    <d v="2020-11-10T00:00:00"/>
    <s v="Petrich"/>
    <s v="-"/>
    <d v="2020-11-25T00:00:00"/>
    <s v="Provincia"/>
    <n v="81830625"/>
    <s v="Rodriguez Carlos Alberto"/>
    <n v="5100"/>
    <x v="0"/>
    <s v="20-05250169-6"/>
    <n v="590"/>
    <m/>
    <d v="2020-11-25T00:00:00"/>
    <m/>
    <x v="1"/>
    <x v="2"/>
    <x v="1"/>
    <x v="10"/>
  </r>
  <r>
    <d v="2020-11-10T00:00:00"/>
    <s v="Petrich"/>
    <s v="-"/>
    <d v="2021-01-20T00:00:00"/>
    <s v="Nacion"/>
    <n v="71533"/>
    <s v="Polirubro Amigo S.A."/>
    <n v="10921"/>
    <x v="1"/>
    <s v="30-66665029-4"/>
    <n v="591"/>
    <m/>
    <d v="2020-12-10T00:00:00"/>
    <s v="Rontaltex"/>
    <x v="1"/>
    <x v="6"/>
    <x v="2"/>
    <x v="18"/>
  </r>
  <r>
    <d v="2020-11-10T00:00:00"/>
    <s v="Petrich"/>
    <s v="-"/>
    <d v="2021-01-11T00:00:00"/>
    <s v="Nacion"/>
    <n v="71532"/>
    <s v="Polirubro Amigo S.A."/>
    <n v="10700"/>
    <x v="0"/>
    <s v="30-66665029-4"/>
    <n v="592"/>
    <m/>
    <d v="2021-01-14T00:00:00"/>
    <m/>
    <x v="1"/>
    <x v="6"/>
    <x v="2"/>
    <x v="11"/>
  </r>
  <r>
    <d v="2020-11-10T00:00:00"/>
    <s v="Petrich"/>
    <s v="-"/>
    <d v="2021-01-02T00:00:00"/>
    <s v="Nacion"/>
    <n v="71531"/>
    <s v="Polirubro Amigo S.A."/>
    <n v="10700"/>
    <x v="1"/>
    <s v="30-66665029-4"/>
    <n v="593"/>
    <m/>
    <d v="2020-12-10T00:00:00"/>
    <s v="Rontaltex"/>
    <x v="1"/>
    <x v="6"/>
    <x v="2"/>
    <x v="29"/>
  </r>
  <r>
    <d v="2020-11-10T00:00:00"/>
    <s v="Petrich"/>
    <s v="-"/>
    <d v="2020-12-26T00:00:00"/>
    <s v="Nacion"/>
    <n v="71530"/>
    <s v="Polirubro Amigo S.A."/>
    <n v="10700"/>
    <x v="1"/>
    <s v="30-66665029-4"/>
    <n v="594"/>
    <m/>
    <d v="2020-12-10T00:00:00"/>
    <s v="Rontaltex"/>
    <x v="1"/>
    <x v="3"/>
    <x v="1"/>
    <x v="8"/>
  </r>
  <r>
    <d v="2020-11-10T00:00:00"/>
    <s v="Petrich"/>
    <s v="-"/>
    <d v="2020-11-12T00:00:00"/>
    <s v="Nacion"/>
    <n v="9310"/>
    <s v="Barrueco Adalberto Omar"/>
    <n v="5000"/>
    <x v="1"/>
    <s v="20-12167299-6"/>
    <n v="595"/>
    <m/>
    <d v="2020-12-10T00:00:00"/>
    <s v="Bouzyk"/>
    <x v="1"/>
    <x v="2"/>
    <x v="1"/>
    <x v="0"/>
  </r>
  <r>
    <d v="2020-11-10T00:00:00"/>
    <s v="Petrich"/>
    <s v="-"/>
    <d v="2020-11-02T00:00:00"/>
    <s v="Nacion"/>
    <n v="1539149"/>
    <s v="Trembo Agropecuaria S.A."/>
    <n v="42472.39"/>
    <x v="0"/>
    <s v="30-70758457-9"/>
    <n v="596"/>
    <m/>
    <d v="2020-11-19T00:00:00"/>
    <m/>
    <x v="1"/>
    <x v="2"/>
    <x v="1"/>
    <x v="29"/>
  </r>
  <r>
    <d v="2020-12-16T00:00:00"/>
    <s v="Jerez"/>
    <s v="-"/>
    <d v="2021-02-13T00:00:00"/>
    <s v="Provincia"/>
    <n v="83621601"/>
    <s v="Magallanes Maria Mirtha"/>
    <n v="5838"/>
    <x v="0"/>
    <s v="27-14630508-9"/>
    <n v="597"/>
    <m/>
    <d v="2021-02-17T00:00:00"/>
    <m/>
    <x v="1"/>
    <x v="7"/>
    <x v="2"/>
    <x v="7"/>
  </r>
  <r>
    <d v="2020-12-16T00:00:00"/>
    <s v="Jerez"/>
    <s v="-"/>
    <d v="2021-02-20T00:00:00"/>
    <s v="Provincia"/>
    <n v="83621602"/>
    <s v="Magallanes Maria Mirtha"/>
    <n v="5838"/>
    <x v="0"/>
    <s v="27-14630508-9"/>
    <n v="598"/>
    <m/>
    <d v="2021-02-22T00:00:00"/>
    <m/>
    <x v="1"/>
    <x v="7"/>
    <x v="2"/>
    <x v="18"/>
  </r>
  <r>
    <d v="2020-12-16T00:00:00"/>
    <s v="Jerez"/>
    <s v="-"/>
    <d v="2021-02-27T00:00:00"/>
    <s v="Provincia"/>
    <n v="83621603"/>
    <s v="Magallanes Maria Mirtha"/>
    <n v="5838"/>
    <x v="0"/>
    <s v="27-14630508-9"/>
    <n v="599"/>
    <m/>
    <d v="2021-03-01T00:00:00"/>
    <m/>
    <x v="1"/>
    <x v="7"/>
    <x v="2"/>
    <x v="26"/>
  </r>
  <r>
    <d v="2020-12-16T00:00:00"/>
    <s v="Jerez"/>
    <s v="-"/>
    <d v="2021-03-10T00:00:00"/>
    <s v="Provincia"/>
    <n v="83621604"/>
    <s v="Magallanes Maria Mirtha"/>
    <n v="5838"/>
    <x v="0"/>
    <s v="27-14630508-9"/>
    <n v="600"/>
    <m/>
    <d v="2021-03-15T00:00:00"/>
    <m/>
    <x v="1"/>
    <x v="8"/>
    <x v="2"/>
    <x v="17"/>
  </r>
  <r>
    <d v="2020-12-16T00:00:00"/>
    <s v="Jerez"/>
    <s v="-"/>
    <d v="2021-03-13T00:00:00"/>
    <s v="Provincia"/>
    <n v="83621605"/>
    <s v="Magallanes Maria Mirtha"/>
    <n v="5838"/>
    <x v="0"/>
    <s v="27-14630508-9"/>
    <n v="601"/>
    <m/>
    <d v="2021-03-15T00:00:00"/>
    <m/>
    <x v="1"/>
    <x v="8"/>
    <x v="2"/>
    <x v="7"/>
  </r>
  <r>
    <d v="2020-12-16T00:00:00"/>
    <s v="Jerez"/>
    <s v="-"/>
    <d v="2021-03-17T00:00:00"/>
    <s v="Provincia"/>
    <n v="83621606"/>
    <s v="Magallanes Maria Mirtha"/>
    <n v="5838"/>
    <x v="1"/>
    <s v="27-14630508-9"/>
    <n v="602"/>
    <m/>
    <d v="2021-03-19T00:00:00"/>
    <s v="Ruben Cava"/>
    <x v="1"/>
    <x v="8"/>
    <x v="2"/>
    <x v="21"/>
  </r>
  <r>
    <d v="2020-12-22T00:00:00"/>
    <s v="Vorrazo"/>
    <s v="-"/>
    <d v="2021-02-24T00:00:00"/>
    <s v="Galicia"/>
    <n v="6343411"/>
    <s v="Serra Roberto Alejandro"/>
    <n v="14000"/>
    <x v="0"/>
    <s v="20-32830531-4"/>
    <n v="603"/>
    <m/>
    <d v="2021-02-24T00:00:00"/>
    <s v="Fue rechazado, y al dia me lo pago en efectivo"/>
    <x v="1"/>
    <x v="7"/>
    <x v="2"/>
    <x v="6"/>
  </r>
  <r>
    <d v="2020-12-22T00:00:00"/>
    <s v="Vorrazo"/>
    <s v="-"/>
    <d v="2021-03-09T00:00:00"/>
    <s v="Galicia"/>
    <n v="6343412"/>
    <s v="Serra Roberto Alejandro"/>
    <n v="14000"/>
    <x v="1"/>
    <s v="20-32830531-4"/>
    <n v="604"/>
    <m/>
    <d v="2021-03-19T00:00:00"/>
    <s v="Ruben Cava"/>
    <x v="1"/>
    <x v="8"/>
    <x v="2"/>
    <x v="1"/>
  </r>
  <r>
    <d v="2020-12-22T00:00:00"/>
    <s v="Vorrazo"/>
    <s v="-"/>
    <d v="2021-03-16T00:00:00"/>
    <s v="Galicia"/>
    <n v="6343413"/>
    <s v="Serra Roberto Alejandro"/>
    <n v="14000"/>
    <x v="3"/>
    <s v="20-32830531-4"/>
    <n v="605"/>
    <m/>
    <d v="2021-03-08T00:00:00"/>
    <m/>
    <x v="1"/>
    <x v="8"/>
    <x v="2"/>
    <x v="23"/>
  </r>
  <r>
    <d v="2020-12-22T00:00:00"/>
    <s v="Vorrazo"/>
    <s v="-"/>
    <d v="2021-03-23T00:00:00"/>
    <s v="Galicia"/>
    <n v="6343414"/>
    <s v="Serra Roberto Alejandro"/>
    <n v="14000"/>
    <x v="3"/>
    <s v="20-32830531-4"/>
    <n v="606"/>
    <m/>
    <m/>
    <m/>
    <x v="1"/>
    <x v="8"/>
    <x v="2"/>
    <x v="13"/>
  </r>
  <r>
    <d v="2020-12-22T00:00:00"/>
    <s v="Vorrazo"/>
    <s v="-"/>
    <d v="2021-03-30T00:00:00"/>
    <s v="Galicia"/>
    <n v="6343415"/>
    <s v="Serra Roberto Alejandro"/>
    <n v="14672"/>
    <x v="3"/>
    <s v="20-32830531-4"/>
    <n v="607"/>
    <m/>
    <m/>
    <m/>
    <x v="1"/>
    <x v="8"/>
    <x v="2"/>
    <x v="2"/>
  </r>
  <r>
    <d v="2020-12-29T00:00:00"/>
    <s v="Vorrazo"/>
    <s v="-"/>
    <d v="2020-12-24T00:00:00"/>
    <s v="Nacion"/>
    <n v="1278"/>
    <s v="Vincent Pablo Alberto"/>
    <n v="14668"/>
    <x v="0"/>
    <s v="20-17315483-7"/>
    <n v="608"/>
    <m/>
    <d v="2020-01-11T00:00:00"/>
    <m/>
    <x v="1"/>
    <x v="3"/>
    <x v="1"/>
    <x v="6"/>
  </r>
  <r>
    <d v="2020-12-29T00:00:00"/>
    <s v="Vorrazo"/>
    <s v="-"/>
    <d v="2021-01-03T00:00:00"/>
    <s v="Nacion"/>
    <n v="1279"/>
    <s v="Vincent Pablo Alberto"/>
    <n v="14668"/>
    <x v="0"/>
    <s v="20-17315483-7"/>
    <n v="609"/>
    <m/>
    <d v="2020-01-11T00:00:00"/>
    <m/>
    <x v="1"/>
    <x v="6"/>
    <x v="2"/>
    <x v="30"/>
  </r>
  <r>
    <d v="2021-01-12T00:00:00"/>
    <s v="Bouzyk"/>
    <s v="-"/>
    <d v="2021-03-20T00:00:00"/>
    <s v="credicoop"/>
    <n v="43202703"/>
    <s v="Boero Camila Alejandra"/>
    <n v="50000"/>
    <x v="3"/>
    <s v="27-39261112-1"/>
    <n v="610"/>
    <m/>
    <m/>
    <m/>
    <x v="1"/>
    <x v="8"/>
    <x v="2"/>
    <x v="18"/>
  </r>
  <r>
    <d v="2021-01-12T00:00:00"/>
    <s v="Bouzyk"/>
    <s v="-"/>
    <d v="2021-03-31T00:00:00"/>
    <s v="credicoop"/>
    <n v="4322704"/>
    <s v="Boero Camila Alejandra"/>
    <n v="50000"/>
    <x v="3"/>
    <s v="27-39261112-1"/>
    <n v="611"/>
    <m/>
    <m/>
    <m/>
    <x v="1"/>
    <x v="8"/>
    <x v="2"/>
    <x v="3"/>
  </r>
  <r>
    <d v="2021-01-18T00:00:00"/>
    <s v="Cabello Miguel"/>
    <s v="-"/>
    <d v="2021-01-31T00:00:00"/>
    <s v="Bancor"/>
    <n v="27895005"/>
    <s v="Melano Miguel Angel"/>
    <n v="35000"/>
    <x v="0"/>
    <s v="20-11345164-6"/>
    <n v="612"/>
    <m/>
    <m/>
    <m/>
    <x v="1"/>
    <x v="6"/>
    <x v="2"/>
    <x v="3"/>
  </r>
  <r>
    <d v="2021-01-18T00:00:00"/>
    <s v="Cabello Miguel"/>
    <s v="-"/>
    <d v="2021-01-31T00:00:00"/>
    <s v="credicoop"/>
    <n v="42900980"/>
    <s v="Paduan Estela Maris"/>
    <n v="34099.019999999997"/>
    <x v="0"/>
    <s v="27-13367846-3"/>
    <n v="613"/>
    <m/>
    <m/>
    <m/>
    <x v="1"/>
    <x v="6"/>
    <x v="2"/>
    <x v="3"/>
  </r>
  <r>
    <d v="2021-01-18T00:00:00"/>
    <s v="Cabello Miguel"/>
    <s v="-"/>
    <d v="2021-01-25T00:00:00"/>
    <s v="Tucuman"/>
    <n v="7706419"/>
    <s v="Robles Rene Gustavo"/>
    <n v="50000"/>
    <x v="0"/>
    <s v="20-21028538-6"/>
    <n v="614"/>
    <m/>
    <d v="2021-01-27T00:00:00"/>
    <m/>
    <x v="1"/>
    <x v="6"/>
    <x v="2"/>
    <x v="10"/>
  </r>
  <r>
    <d v="2021-01-18T00:00:00"/>
    <s v="Cabello Miguel"/>
    <s v="-"/>
    <d v="2021-01-19T00:00:00"/>
    <s v="Bancor"/>
    <n v="27850998"/>
    <s v="S.B.M. S.A.S."/>
    <n v="43896"/>
    <x v="0"/>
    <s v="30-71671543-0"/>
    <n v="615"/>
    <m/>
    <d v="2021-01-27T00:00:00"/>
    <m/>
    <x v="1"/>
    <x v="6"/>
    <x v="2"/>
    <x v="25"/>
  </r>
  <r>
    <d v="2021-01-18T00:00:00"/>
    <s v="Cabello Miguel"/>
    <s v="-"/>
    <d v="2021-01-16T00:00:00"/>
    <s v="Nacion"/>
    <n v="136122"/>
    <s v="Dezotti Fabricio Carlos"/>
    <n v="35000"/>
    <x v="1"/>
    <s v="20-21766472-2"/>
    <n v="616"/>
    <m/>
    <d v="2021-01-19T00:00:00"/>
    <s v="Martin"/>
    <x v="1"/>
    <x v="6"/>
    <x v="2"/>
    <x v="23"/>
  </r>
  <r>
    <d v="2021-01-18T00:00:00"/>
    <s v="Cabello Miguel"/>
    <s v="-"/>
    <d v="2021-01-10T00:00:00"/>
    <s v="Macro"/>
    <n v="14382012"/>
    <s v="Bergia Norberto Hector"/>
    <n v="52422"/>
    <x v="0"/>
    <s v="20-20541301-5"/>
    <n v="617"/>
    <m/>
    <d v="2021-01-27T00:00:00"/>
    <m/>
    <x v="1"/>
    <x v="6"/>
    <x v="2"/>
    <x v="17"/>
  </r>
  <r>
    <d v="2021-01-18T00:00:00"/>
    <s v="Cabello Miguel"/>
    <s v="-"/>
    <d v="2021-01-05T00:00:00"/>
    <s v="Macro"/>
    <n v="73994250"/>
    <s v="Jimenez Julia Elena"/>
    <n v="35000"/>
    <x v="0"/>
    <s v="27-23241703-5"/>
    <n v="618"/>
    <m/>
    <d v="2021-01-27T00:00:00"/>
    <m/>
    <x v="1"/>
    <x v="6"/>
    <x v="2"/>
    <x v="22"/>
  </r>
  <r>
    <d v="2021-01-18T00:00:00"/>
    <s v="Cabello Miguel"/>
    <s v="-"/>
    <d v="2020-12-31T00:00:00"/>
    <s v="Bancor"/>
    <n v="27895003"/>
    <s v="Melano Miguel Angel"/>
    <n v="35000"/>
    <x v="0"/>
    <s v="20-11345164-6"/>
    <n v="619"/>
    <m/>
    <d v="2021-01-19T00:00:00"/>
    <m/>
    <x v="1"/>
    <x v="3"/>
    <x v="1"/>
    <x v="3"/>
  </r>
  <r>
    <d v="2021-01-18T00:00:00"/>
    <s v="Cabello Miguel"/>
    <s v="-"/>
    <d v="2020-12-30T00:00:00"/>
    <s v="Bancor"/>
    <n v="27680368"/>
    <s v="Campilia Maria Agustina"/>
    <n v="30000"/>
    <x v="0"/>
    <s v="27-33612440-4"/>
    <n v="620"/>
    <m/>
    <d v="2021-01-19T00:00:00"/>
    <m/>
    <x v="1"/>
    <x v="3"/>
    <x v="1"/>
    <x v="2"/>
  </r>
  <r>
    <d v="2021-01-18T00:00:00"/>
    <s v="Cabello Miguel"/>
    <s v="-"/>
    <d v="2020-12-30T00:00:00"/>
    <s v="Bancor"/>
    <n v="27376451"/>
    <s v="Bertero Paola del Valle"/>
    <n v="50000"/>
    <x v="0"/>
    <s v="27-31335256-6"/>
    <n v="621"/>
    <m/>
    <d v="2021-01-19T00:00:00"/>
    <m/>
    <x v="1"/>
    <x v="3"/>
    <x v="1"/>
    <x v="2"/>
  </r>
  <r>
    <d v="2021-01-19T00:00:00"/>
    <s v="Vorrazo"/>
    <s v="-"/>
    <d v="2021-02-16T00:00:00"/>
    <s v="Galicia"/>
    <n v="62198465"/>
    <s v="Dominguez Marcelo Alberto"/>
    <n v="15000"/>
    <x v="0"/>
    <s v="20-10590043-1"/>
    <n v="622"/>
    <m/>
    <d v="2021-02-17T00:00:00"/>
    <m/>
    <x v="1"/>
    <x v="7"/>
    <x v="2"/>
    <x v="23"/>
  </r>
  <r>
    <d v="2021-01-19T00:00:00"/>
    <s v="Vorrazo"/>
    <s v="-"/>
    <d v="2021-02-28T00:00:00"/>
    <s v="Galicia"/>
    <n v="62198467"/>
    <s v="Dominguez Marcelo Alberto"/>
    <n v="16283"/>
    <x v="0"/>
    <s v="20-10590043-1"/>
    <n v="623"/>
    <m/>
    <d v="2021-03-01T00:00:00"/>
    <m/>
    <x v="1"/>
    <x v="7"/>
    <x v="2"/>
    <x v="4"/>
  </r>
  <r>
    <d v="2021-01-26T00:00:00"/>
    <s v="Vorrazo"/>
    <s v="-"/>
    <d v="2021-01-29T00:00:00"/>
    <s v="Nacion"/>
    <n v="3591849"/>
    <s v="Signori Luis Alberto"/>
    <n v="6800"/>
    <x v="0"/>
    <s v="20-05510696-8"/>
    <n v="624"/>
    <m/>
    <m/>
    <m/>
    <x v="1"/>
    <x v="6"/>
    <x v="2"/>
    <x v="5"/>
  </r>
  <r>
    <d v="2021-01-26T00:00:00"/>
    <s v="Vorrazo"/>
    <s v="-"/>
    <d v="2021-03-31T00:00:00"/>
    <s v="Credicoop"/>
    <n v="41034490"/>
    <s v="Signori Luis Alberto"/>
    <n v="10000"/>
    <x v="1"/>
    <s v="20-05510696-8"/>
    <n v="625"/>
    <m/>
    <d v="2021-03-23T00:00:00"/>
    <s v="Ruben Cava"/>
    <x v="1"/>
    <x v="8"/>
    <x v="2"/>
    <x v="3"/>
  </r>
  <r>
    <d v="2021-02-04T00:00:00"/>
    <s v="Jerez"/>
    <s v="-"/>
    <d v="2021-04-30T00:00:00"/>
    <s v="ICBC"/>
    <n v="81413724"/>
    <s v="Jerez Marcelo Fabian"/>
    <n v="13041"/>
    <x v="3"/>
    <s v="20-17178735-2"/>
    <n v="626"/>
    <m/>
    <s v="??"/>
    <m/>
    <x v="12"/>
    <x v="9"/>
    <x v="2"/>
    <x v="2"/>
  </r>
  <r>
    <d v="2021-02-04T00:00:00"/>
    <s v="Jerez"/>
    <s v="-"/>
    <d v="2021-05-31T00:00:00"/>
    <s v="ICBC"/>
    <n v="81413725"/>
    <s v="Jerez Marcelo Fabian"/>
    <n v="25000"/>
    <x v="0"/>
    <s v="20-17178735-2"/>
    <n v="627"/>
    <m/>
    <s v="??"/>
    <m/>
    <x v="12"/>
    <x v="10"/>
    <x v="2"/>
    <x v="3"/>
  </r>
  <r>
    <d v="2021-02-04T00:00:00"/>
    <s v="Jerez"/>
    <s v="-"/>
    <d v="2021-06-30T00:00:00"/>
    <s v="ICBC"/>
    <n v="81413726"/>
    <s v="Jerez Marcelo Fabian"/>
    <n v="25000"/>
    <x v="3"/>
    <s v="20-17178735-2"/>
    <n v="628"/>
    <m/>
    <m/>
    <m/>
    <x v="1"/>
    <x v="11"/>
    <x v="2"/>
    <x v="2"/>
  </r>
  <r>
    <d v="2021-02-04T00:00:00"/>
    <s v="Jerez"/>
    <s v="-"/>
    <d v="2021-07-31T00:00:00"/>
    <s v="ICBC"/>
    <n v="81413727"/>
    <s v="Jerez Marcelo Fabian"/>
    <n v="25000"/>
    <x v="0"/>
    <s v="20-17178735-2"/>
    <n v="629"/>
    <m/>
    <d v="2021-04-08T00:00:00"/>
    <m/>
    <x v="1"/>
    <x v="4"/>
    <x v="2"/>
    <x v="3"/>
  </r>
  <r>
    <d v="2021-02-04T00:00:00"/>
    <s v="Jerez"/>
    <s v="-"/>
    <d v="2021-08-31T00:00:00"/>
    <s v="ICBC"/>
    <n v="81413728"/>
    <s v="Jerez Marcelo Fabian"/>
    <n v="25000"/>
    <x v="1"/>
    <s v="20-17178735-2"/>
    <n v="630"/>
    <m/>
    <d v="2021-09-01T00:00:00"/>
    <s v="Lartex"/>
    <x v="13"/>
    <x v="0"/>
    <x v="2"/>
    <x v="3"/>
  </r>
  <r>
    <d v="2021-02-10T00:00:00"/>
    <s v="Vorrazo"/>
    <s v="-"/>
    <d v="2021-03-31T00:00:00"/>
    <s v="Credicoop"/>
    <n v="40184949"/>
    <s v="Signori Luis Alberto"/>
    <n v="15000"/>
    <x v="1"/>
    <s v="20-05510696-8"/>
    <n v="631"/>
    <m/>
    <d v="2021-03-29T00:00:00"/>
    <s v="Otranto"/>
    <x v="1"/>
    <x v="8"/>
    <x v="2"/>
    <x v="3"/>
  </r>
  <r>
    <d v="2021-02-18T00:00:00"/>
    <s v="Petrich"/>
    <s v="-"/>
    <d v="2021-02-12T00:00:00"/>
    <s v="Provincia"/>
    <n v="83090557"/>
    <s v="Bazan Sandra Maria"/>
    <n v="5900"/>
    <x v="0"/>
    <s v="27-16584512-4"/>
    <n v="632"/>
    <m/>
    <m/>
    <m/>
    <x v="1"/>
    <x v="7"/>
    <x v="2"/>
    <x v="0"/>
  </r>
  <r>
    <d v="2021-02-18T00:00:00"/>
    <s v="Petrich"/>
    <s v="-"/>
    <d v="2021-02-28T00:00:00"/>
    <s v="Provincia"/>
    <n v="83090559"/>
    <s v="Bazan Sandra Maria"/>
    <n v="6640"/>
    <x v="0"/>
    <s v="27-16584512-4"/>
    <n v="633"/>
    <m/>
    <d v="2021-03-01T00:00:00"/>
    <m/>
    <x v="1"/>
    <x v="7"/>
    <x v="2"/>
    <x v="4"/>
  </r>
  <r>
    <d v="2021-02-18T00:00:00"/>
    <s v="Vorrazo"/>
    <s v="-"/>
    <d v="2021-04-25T00:00:00"/>
    <s v="Credicoop"/>
    <n v="40184950"/>
    <s v="Signori Luis Alberto"/>
    <n v="15000"/>
    <x v="0"/>
    <s v="20-05510696-8"/>
    <n v="634"/>
    <m/>
    <d v="2021-04-26T00:00:00"/>
    <m/>
    <x v="1"/>
    <x v="9"/>
    <x v="2"/>
    <x v="10"/>
  </r>
  <r>
    <d v="2021-02-23T00:00:00"/>
    <s v="Vorrazo"/>
    <s v="-"/>
    <d v="2021-03-20T00:00:00"/>
    <s v="BBVA"/>
    <n v="542860"/>
    <s v="Blub de diseño SR"/>
    <n v="32140"/>
    <x v="3"/>
    <s v="30-71015338-4"/>
    <n v="635"/>
    <m/>
    <m/>
    <m/>
    <x v="1"/>
    <x v="8"/>
    <x v="2"/>
    <x v="18"/>
  </r>
  <r>
    <d v="2021-02-24T00:00:00"/>
    <s v="Dodero"/>
    <s v="-"/>
    <d v="2021-03-15T00:00:00"/>
    <s v="Credicoop"/>
    <n v="38918122"/>
    <s v="Corti Gustavo Eduardo"/>
    <n v="20000"/>
    <x v="3"/>
    <s v="20-14375215-2"/>
    <n v="636"/>
    <m/>
    <m/>
    <m/>
    <x v="1"/>
    <x v="8"/>
    <x v="2"/>
    <x v="14"/>
  </r>
  <r>
    <d v="2021-02-26T00:00:00"/>
    <s v="Martinez"/>
    <s v="-"/>
    <d v="2021-02-15T00:00:00"/>
    <s v="Supervielle"/>
    <n v="92990403"/>
    <s v="Ruiz Gutierrez Francisco Del C"/>
    <n v="9000"/>
    <x v="0"/>
    <s v="27-92341950-6"/>
    <n v="637"/>
    <m/>
    <m/>
    <m/>
    <x v="1"/>
    <x v="7"/>
    <x v="2"/>
    <x v="14"/>
  </r>
  <r>
    <d v="2021-02-26T00:00:00"/>
    <s v="Petrich"/>
    <s v="-"/>
    <d v="2021-02-28T00:00:00"/>
    <s v="Provincia"/>
    <n v="83701469"/>
    <s v="Tajan Javier"/>
    <n v="3332"/>
    <x v="0"/>
    <s v="20-13393212-8"/>
    <n v="638"/>
    <m/>
    <d v="2021-03-01T00:00:00"/>
    <m/>
    <x v="1"/>
    <x v="7"/>
    <x v="2"/>
    <x v="4"/>
  </r>
  <r>
    <d v="2021-02-26T00:00:00"/>
    <s v="Petrich"/>
    <s v="-"/>
    <d v="2021-03-15T00:00:00"/>
    <s v="Provincia"/>
    <n v="83701470"/>
    <s v="Tajan Javier"/>
    <n v="3500"/>
    <x v="0"/>
    <s v="20-13393212-8"/>
    <n v="639"/>
    <m/>
    <d v="2021-03-15T00:00:00"/>
    <m/>
    <x v="1"/>
    <x v="8"/>
    <x v="2"/>
    <x v="14"/>
  </r>
  <r>
    <d v="2021-02-26T00:00:00"/>
    <s v="Petrich"/>
    <s v="-"/>
    <d v="2021-03-31T00:00:00"/>
    <s v="Provincia"/>
    <n v="83701471"/>
    <s v="Tajan Javier"/>
    <n v="3500"/>
    <x v="1"/>
    <s v="20-13393212-8"/>
    <n v="640"/>
    <m/>
    <d v="2021-03-29T00:00:00"/>
    <s v="Otranto"/>
    <x v="1"/>
    <x v="8"/>
    <x v="2"/>
    <x v="3"/>
  </r>
  <r>
    <d v="2021-03-09T00:00:00"/>
    <s v="Cabello Miguel"/>
    <s v="-"/>
    <d v="2021-02-27T00:00:00"/>
    <s v="Santander Rio"/>
    <s v="X4OGNYX8J7R20L6"/>
    <s v="Paula SRL"/>
    <n v="117000"/>
    <x v="0"/>
    <s v="30-70891062-3"/>
    <n v="641"/>
    <m/>
    <d v="2021-03-09T00:00:00"/>
    <m/>
    <x v="14"/>
    <x v="7"/>
    <x v="2"/>
    <x v="26"/>
  </r>
  <r>
    <d v="2021-03-03T00:00:00"/>
    <s v="Vorrazo"/>
    <s v="-"/>
    <d v="2021-04-30T00:00:00"/>
    <s v="Credicoop"/>
    <n v="40184820"/>
    <s v="Signori Luis Alberto"/>
    <n v="6550"/>
    <x v="0"/>
    <s v="20-05510696-8"/>
    <n v="642"/>
    <m/>
    <d v="2021-04-30T00:00:00"/>
    <m/>
    <x v="1"/>
    <x v="9"/>
    <x v="2"/>
    <x v="2"/>
  </r>
  <r>
    <d v="2021-03-12T00:00:00"/>
    <s v="Cabello Miguel"/>
    <s v="-"/>
    <d v="2021-03-05T00:00:00"/>
    <s v="Santander Rio"/>
    <s v="MP68NKWY6LKNR7O"/>
    <s v="Paula SRL"/>
    <n v="117000"/>
    <x v="0"/>
    <s v="30-70891062-3"/>
    <n v="643"/>
    <m/>
    <m/>
    <m/>
    <x v="1"/>
    <x v="8"/>
    <x v="2"/>
    <x v="22"/>
  </r>
  <r>
    <d v="2021-03-12T00:00:00"/>
    <s v="Veira"/>
    <s v="-"/>
    <d v="2021-03-31T00:00:00"/>
    <s v="Santander Rio"/>
    <n v="406"/>
    <s v="Miranda Myriam Angelica"/>
    <n v="25000"/>
    <x v="1"/>
    <s v="27-14792393-2"/>
    <n v="644"/>
    <m/>
    <d v="2021-03-19T00:00:00"/>
    <s v="Ruben Cava"/>
    <x v="1"/>
    <x v="8"/>
    <x v="2"/>
    <x v="3"/>
  </r>
  <r>
    <d v="2021-02-12T00:00:00"/>
    <s v="Veira"/>
    <s v="-"/>
    <d v="2021-04-30T00:00:00"/>
    <s v="Macro"/>
    <n v="222729417"/>
    <s v="Aguvia SRL"/>
    <n v="23000"/>
    <x v="0"/>
    <s v="30-71498922-3"/>
    <n v="645"/>
    <m/>
    <d v="2021-04-30T00:00:00"/>
    <m/>
    <x v="1"/>
    <x v="9"/>
    <x v="2"/>
    <x v="2"/>
  </r>
  <r>
    <d v="2021-03-13T00:00:00"/>
    <s v="Petrich"/>
    <s v="-"/>
    <d v="2021-04-15T00:00:00"/>
    <s v="La Pampa"/>
    <n v="62319955"/>
    <s v="Tajan Javier"/>
    <n v="3500"/>
    <x v="0"/>
    <s v="20-13393212-8"/>
    <n v="646"/>
    <m/>
    <d v="2021-04-15T00:00:00"/>
    <m/>
    <x v="1"/>
    <x v="9"/>
    <x v="2"/>
    <x v="14"/>
  </r>
  <r>
    <d v="2021-03-13T00:00:00"/>
    <s v="Petrich"/>
    <s v="-"/>
    <d v="2021-04-30T00:00:00"/>
    <s v="La Pampa"/>
    <n v="62319956"/>
    <s v="Tajan Javier"/>
    <n v="3500"/>
    <x v="0"/>
    <s v="20-13393212-8"/>
    <n v="647"/>
    <m/>
    <d v="2021-04-30T00:00:00"/>
    <m/>
    <x v="1"/>
    <x v="9"/>
    <x v="2"/>
    <x v="2"/>
  </r>
  <r>
    <d v="2021-03-19T00:00:00"/>
    <s v="Victor Brizuela"/>
    <s v="-"/>
    <d v="2021-03-15T00:00:00"/>
    <s v="Comafi"/>
    <n v="22401419"/>
    <s v="Consorcio Prop. Edif. Gulfi I"/>
    <n v="18000"/>
    <x v="1"/>
    <s v="30-54233724-5"/>
    <n v="648"/>
    <m/>
    <d v="2021-03-19T00:00:00"/>
    <s v="Ruben Cava"/>
    <x v="1"/>
    <x v="8"/>
    <x v="2"/>
    <x v="14"/>
  </r>
  <r>
    <d v="2021-03-19T00:00:00"/>
    <s v="Victor Brizuela"/>
    <s v="-"/>
    <d v="2021-03-16T00:00:00"/>
    <s v="Provincia"/>
    <n v="62480739"/>
    <s v="Consorcio de Prop Edificio Mat"/>
    <n v="20000"/>
    <x v="1"/>
    <s v="30-56216996-9"/>
    <n v="649"/>
    <m/>
    <d v="2021-03-29T00:00:00"/>
    <s v="Otranto"/>
    <x v="1"/>
    <x v="8"/>
    <x v="2"/>
    <x v="23"/>
  </r>
  <r>
    <d v="2021-03-19T00:00:00"/>
    <s v="Victor Brizuela"/>
    <s v="-"/>
    <d v="2021-03-02T00:00:00"/>
    <s v="Provincia"/>
    <n v="82279857"/>
    <s v="Cons Prop Ed Bolivar 2760"/>
    <n v="20000"/>
    <x v="1"/>
    <s v="30-54237382-9"/>
    <n v="650"/>
    <m/>
    <d v="2021-03-19T00:00:00"/>
    <s v="Bouzyk"/>
    <x v="1"/>
    <x v="8"/>
    <x v="2"/>
    <x v="29"/>
  </r>
  <r>
    <d v="2021-03-26T00:00:00"/>
    <s v="Cabello Miguel"/>
    <s v="-"/>
    <d v="2021-07-03T00:00:00"/>
    <s v="Bancor"/>
    <n v="165"/>
    <s v="Nerak S.A."/>
    <n v="22330.42"/>
    <x v="0"/>
    <s v="30-70946270-5"/>
    <n v="651"/>
    <m/>
    <d v="2021-07-03T00:00:00"/>
    <m/>
    <x v="14"/>
    <x v="4"/>
    <x v="2"/>
    <x v="30"/>
  </r>
  <r>
    <d v="2021-03-26T00:00:00"/>
    <s v="Cabello Miguel"/>
    <s v="-"/>
    <d v="2021-04-03T00:00:00"/>
    <s v="Bancor"/>
    <n v="160"/>
    <s v="Nerak S.A."/>
    <n v="22330"/>
    <x v="0"/>
    <s v="30-70946270-5"/>
    <n v="652"/>
    <m/>
    <d v="2021-04-05T00:00:00"/>
    <m/>
    <x v="14"/>
    <x v="9"/>
    <x v="2"/>
    <x v="30"/>
  </r>
  <r>
    <d v="2021-03-26T00:00:00"/>
    <s v="Cabello Miguel"/>
    <s v="-"/>
    <d v="2021-05-02T00:00:00"/>
    <s v="Bancor"/>
    <n v="161"/>
    <s v="Nerak S.A."/>
    <n v="22330"/>
    <x v="0"/>
    <s v="30-70946270-5"/>
    <n v="653"/>
    <m/>
    <d v="2021-05-05T00:00:00"/>
    <m/>
    <x v="14"/>
    <x v="10"/>
    <x v="2"/>
    <x v="29"/>
  </r>
  <r>
    <d v="2021-03-26T00:00:00"/>
    <s v="Cabello Miguel"/>
    <s v="-"/>
    <d v="2021-06-05T00:00:00"/>
    <s v="Bancor"/>
    <n v="163"/>
    <s v="Nerak S.A."/>
    <n v="22330"/>
    <x v="0"/>
    <s v="30-70946270-5"/>
    <n v="654"/>
    <m/>
    <m/>
    <m/>
    <x v="14"/>
    <x v="11"/>
    <x v="2"/>
    <x v="22"/>
  </r>
  <r>
    <d v="2021-03-29T00:00:00"/>
    <s v="Riabis"/>
    <s v="-"/>
    <d v="2021-03-30T00:00:00"/>
    <s v="Credicoop"/>
    <n v="43418557"/>
    <s v="Strasser Beatriz Susana"/>
    <n v="5000"/>
    <x v="1"/>
    <s v="27-12130666-8"/>
    <n v="655"/>
    <m/>
    <d v="2021-03-29T00:00:00"/>
    <s v="Otranto"/>
    <x v="1"/>
    <x v="8"/>
    <x v="2"/>
    <x v="2"/>
  </r>
  <r>
    <d v="2021-03-29T00:00:00"/>
    <s v="Riabis"/>
    <s v="-"/>
    <d v="2021-04-03T00:00:00"/>
    <s v="Galicia"/>
    <n v="63902020"/>
    <s v="Grupo Famsal SRL"/>
    <n v="85000"/>
    <x v="1"/>
    <s v="30-71604988-0"/>
    <n v="656"/>
    <m/>
    <d v="2021-03-29T00:00:00"/>
    <s v="Otranto"/>
    <x v="1"/>
    <x v="9"/>
    <x v="2"/>
    <x v="30"/>
  </r>
  <r>
    <d v="2021-03-29T00:00:00"/>
    <s v="Riabis"/>
    <s v="-"/>
    <d v="2021-04-05T00:00:00"/>
    <s v="Credicoop"/>
    <n v="43418558"/>
    <s v="Strasser Beatriz Susana"/>
    <n v="5000"/>
    <x v="1"/>
    <s v="27-12130666-8"/>
    <n v="657"/>
    <m/>
    <d v="2021-03-29T00:00:00"/>
    <s v="Otranto"/>
    <x v="1"/>
    <x v="9"/>
    <x v="2"/>
    <x v="22"/>
  </r>
  <r>
    <d v="2021-03-29T00:00:00"/>
    <s v="Riabis"/>
    <s v="-"/>
    <d v="2021-04-05T00:00:00"/>
    <s v="Provincia"/>
    <n v="85011451"/>
    <s v="Petz Marcela de los Angeles"/>
    <n v="15000"/>
    <x v="1"/>
    <s v="27-21760514-3"/>
    <n v="658"/>
    <m/>
    <d v="2021-03-29T00:00:00"/>
    <s v="Otranto"/>
    <x v="1"/>
    <x v="9"/>
    <x v="2"/>
    <x v="22"/>
  </r>
  <r>
    <d v="2021-03-29T00:00:00"/>
    <s v="Cabello Miguel"/>
    <s v="-"/>
    <d v="2021-04-13T00:00:00"/>
    <s v="Santander Rio"/>
    <n v="15301408"/>
    <s v="Prienza Irene Carola Edit"/>
    <n v="7000"/>
    <x v="0"/>
    <s v="27-25639646-2"/>
    <n v="659"/>
    <m/>
    <d v="2021-04-13T00:00:00"/>
    <m/>
    <x v="1"/>
    <x v="9"/>
    <x v="2"/>
    <x v="7"/>
  </r>
  <r>
    <d v="2021-03-29T00:00:00"/>
    <s v="Cabello Miguel"/>
    <s v="-"/>
    <d v="2021-04-15T00:00:00"/>
    <s v="Credicoop"/>
    <n v="41752068"/>
    <s v="Anton Veronica Patricia"/>
    <n v="15000"/>
    <x v="0"/>
    <s v="27-27977138-4"/>
    <n v="660"/>
    <m/>
    <d v="2021-04-15T00:00:00"/>
    <m/>
    <x v="1"/>
    <x v="9"/>
    <x v="2"/>
    <x v="14"/>
  </r>
  <r>
    <d v="2021-03-29T00:00:00"/>
    <s v="Cabello Miguel"/>
    <s v="-"/>
    <d v="2021-04-16T00:00:00"/>
    <s v="Santa Fe"/>
    <n v="83747573"/>
    <s v="Castellano Julieta Sabina"/>
    <n v="15000"/>
    <x v="0"/>
    <s v="27-31215595-3"/>
    <n v="661"/>
    <m/>
    <d v="2021-04-16T00:00:00"/>
    <m/>
    <x v="1"/>
    <x v="9"/>
    <x v="2"/>
    <x v="23"/>
  </r>
  <r>
    <d v="2021-03-29T00:00:00"/>
    <s v="Cabello Miguel"/>
    <s v="-"/>
    <d v="2021-04-30T00:00:00"/>
    <s v="Supervielle"/>
    <n v="93010189"/>
    <s v="Rojo Mariela Elizabeth"/>
    <n v="35000"/>
    <x v="0"/>
    <s v="27-21383395-8"/>
    <n v="662"/>
    <m/>
    <d v="2021-04-30T00:00:00"/>
    <m/>
    <x v="1"/>
    <x v="9"/>
    <x v="2"/>
    <x v="2"/>
  </r>
  <r>
    <d v="2021-03-29T00:00:00"/>
    <s v="Cabello Miguel"/>
    <s v="-"/>
    <d v="2021-04-30T00:00:00"/>
    <s v="Santander Rio"/>
    <n v="70400286"/>
    <s v="Joris Paulina Beatriz"/>
    <n v="25165"/>
    <x v="0"/>
    <s v="27-28661925-3"/>
    <n v="663"/>
    <m/>
    <d v="2021-04-30T00:00:00"/>
    <m/>
    <x v="1"/>
    <x v="9"/>
    <x v="2"/>
    <x v="2"/>
  </r>
  <r>
    <d v="2021-03-29T00:00:00"/>
    <s v="Cabello Miguel"/>
    <s v="-"/>
    <d v="2021-04-30T00:00:00"/>
    <s v="Credicoop"/>
    <n v="23205190"/>
    <s v="Laza Walter Jose Luis"/>
    <n v="35000"/>
    <x v="0"/>
    <s v="20-14586077-7"/>
    <n v="664"/>
    <m/>
    <d v="2021-04-30T00:00:00"/>
    <m/>
    <x v="1"/>
    <x v="9"/>
    <x v="2"/>
    <x v="2"/>
  </r>
  <r>
    <d v="2021-03-29T00:00:00"/>
    <s v="Cabello Miguel"/>
    <s v="-"/>
    <d v="2021-05-05T00:00:00"/>
    <s v="Nacion"/>
    <n v="532625"/>
    <s v="Gomez Fernando Antonio"/>
    <n v="60000"/>
    <x v="3"/>
    <s v="20-23163653-7"/>
    <n v="665"/>
    <m/>
    <d v="2021-04-19T00:00:00"/>
    <m/>
    <x v="1"/>
    <x v="10"/>
    <x v="2"/>
    <x v="22"/>
  </r>
  <r>
    <d v="2021-03-29T00:00:00"/>
    <s v="Cabello Miguel"/>
    <s v="-"/>
    <d v="2021-05-10T00:00:00"/>
    <s v="Credicoop"/>
    <n v="41752079"/>
    <s v="Anton Veronica Patricia"/>
    <n v="10000"/>
    <x v="3"/>
    <s v="27-27977138-4"/>
    <n v="666"/>
    <m/>
    <d v="2021-04-19T00:00:00"/>
    <m/>
    <x v="1"/>
    <x v="10"/>
    <x v="2"/>
    <x v="17"/>
  </r>
  <r>
    <d v="2021-03-29T00:00:00"/>
    <s v="Cabello Miguel"/>
    <s v="-"/>
    <d v="2021-05-11T00:00:00"/>
    <s v="Santander Rio"/>
    <n v="70400290"/>
    <s v="Joris Paulina Beatriz"/>
    <n v="25000"/>
    <x v="3"/>
    <s v="27-28661925-3"/>
    <n v="667"/>
    <m/>
    <d v="2021-04-19T00:00:00"/>
    <m/>
    <x v="1"/>
    <x v="10"/>
    <x v="2"/>
    <x v="11"/>
  </r>
  <r>
    <d v="2021-03-29T00:00:00"/>
    <s v="Cabello Miguel"/>
    <s v="-"/>
    <d v="2021-05-20T00:00:00"/>
    <s v="Credicoop"/>
    <n v="41752080"/>
    <s v="Anton Veronica Patricia"/>
    <n v="10000"/>
    <x v="3"/>
    <s v="27-27977138-4"/>
    <n v="668"/>
    <m/>
    <d v="2021-04-15T00:00:00"/>
    <m/>
    <x v="1"/>
    <x v="10"/>
    <x v="2"/>
    <x v="18"/>
  </r>
  <r>
    <d v="2021-03-29T00:00:00"/>
    <s v="Cabello Miguel"/>
    <s v="-"/>
    <d v="2021-05-29T00:00:00"/>
    <s v="Patagonia"/>
    <n v="23652656"/>
    <s v="Bonanza S.H."/>
    <n v="36000"/>
    <x v="3"/>
    <s v="30-71462813-1"/>
    <n v="669"/>
    <m/>
    <d v="2021-04-15T00:00:00"/>
    <m/>
    <x v="1"/>
    <x v="10"/>
    <x v="2"/>
    <x v="5"/>
  </r>
  <r>
    <d v="2021-03-29T00:00:00"/>
    <s v="Cabello Miguel"/>
    <s v="-"/>
    <d v="2021-05-30T00:00:00"/>
    <s v="Santander Rio"/>
    <n v="43600100"/>
    <s v="Bersano Marcelo Adrian"/>
    <n v="31900"/>
    <x v="3"/>
    <s v="20-20260101-5"/>
    <n v="670"/>
    <m/>
    <d v="2021-04-19T00:00:00"/>
    <m/>
    <x v="1"/>
    <x v="10"/>
    <x v="2"/>
    <x v="2"/>
  </r>
  <r>
    <d v="2021-04-05T00:00:00"/>
    <s v="Dodero"/>
    <s v="-"/>
    <d v="2021-05-28T00:00:00"/>
    <s v="Provincia"/>
    <n v="84780335"/>
    <s v="Cames Jose Antonio"/>
    <n v="14115"/>
    <x v="3"/>
    <s v="20-11551829-2"/>
    <n v="671"/>
    <m/>
    <d v="2021-04-15T00:00:00"/>
    <m/>
    <x v="1"/>
    <x v="10"/>
    <x v="2"/>
    <x v="4"/>
  </r>
  <r>
    <d v="2021-04-06T00:00:00"/>
    <s v="Vorrazo"/>
    <s v="-"/>
    <d v="2021-07-19T00:00:00"/>
    <s v="Credicoop"/>
    <n v="41034440"/>
    <s v="Signori Luis Alberto"/>
    <n v="13575"/>
    <x v="1"/>
    <s v="20-05510696-8"/>
    <n v="672"/>
    <m/>
    <d v="2021-07-19T00:00:00"/>
    <s v="Gerardo Expensas"/>
    <x v="1"/>
    <x v="4"/>
    <x v="2"/>
    <x v="25"/>
  </r>
  <r>
    <d v="2021-04-07T00:00:00"/>
    <s v="Martinez"/>
    <s v="-"/>
    <d v="2021-04-15T00:00:00"/>
    <s v="Galicia"/>
    <n v="56672873"/>
    <s v="Ortiz Cristiana Ruben"/>
    <n v="20000"/>
    <x v="0"/>
    <s v="20-23438919-0"/>
    <n v="673"/>
    <m/>
    <d v="2021-04-15T00:00:00"/>
    <m/>
    <x v="1"/>
    <x v="9"/>
    <x v="2"/>
    <x v="14"/>
  </r>
  <r>
    <d v="2021-04-09T00:00:00"/>
    <s v="Petrich"/>
    <s v="-"/>
    <d v="2021-04-15T00:00:00"/>
    <s v="Nacion"/>
    <n v="971936"/>
    <s v="Vazquez Israel Carlos"/>
    <n v="5900"/>
    <x v="0"/>
    <s v="20-93738236-8"/>
    <n v="674"/>
    <m/>
    <d v="2021-04-15T00:00:00"/>
    <m/>
    <x v="1"/>
    <x v="9"/>
    <x v="2"/>
    <x v="14"/>
  </r>
  <r>
    <d v="2021-04-09T00:00:00"/>
    <s v="Petrich"/>
    <s v="-"/>
    <d v="2021-05-10T00:00:00"/>
    <s v="Provincia"/>
    <n v="85543964"/>
    <s v="Bazan Sandra Maria"/>
    <n v="4000"/>
    <x v="3"/>
    <s v="27-16584512-4"/>
    <n v="675"/>
    <m/>
    <d v="2021-04-19T00:00:00"/>
    <m/>
    <x v="1"/>
    <x v="10"/>
    <x v="2"/>
    <x v="17"/>
  </r>
  <r>
    <d v="2021-04-09T00:00:00"/>
    <s v="Petrich"/>
    <s v="-"/>
    <d v="2021-05-31T00:00:00"/>
    <s v="Provincia"/>
    <n v="85543965"/>
    <s v="Bazan Sandra Maria"/>
    <n v="5000"/>
    <x v="3"/>
    <s v="27-16584512-4"/>
    <n v="676"/>
    <m/>
    <d v="2021-04-19T00:00:00"/>
    <m/>
    <x v="1"/>
    <x v="10"/>
    <x v="2"/>
    <x v="3"/>
  </r>
  <r>
    <d v="2021-04-09T00:00:00"/>
    <s v="Petrich"/>
    <s v="-"/>
    <d v="2021-06-10T00:00:00"/>
    <s v="Provincia"/>
    <n v="85543966"/>
    <s v="Bazan Sandra Maria"/>
    <n v="5000"/>
    <x v="3"/>
    <s v="27-16584512-4"/>
    <n v="677"/>
    <m/>
    <d v="2021-04-12T00:00:00"/>
    <m/>
    <x v="1"/>
    <x v="11"/>
    <x v="2"/>
    <x v="17"/>
  </r>
  <r>
    <d v="2021-04-09T00:00:00"/>
    <s v="Petrich"/>
    <s v="-"/>
    <d v="2021-06-30T00:00:00"/>
    <s v="Provincia"/>
    <n v="85543967"/>
    <s v="Bazan Sandra Maria"/>
    <n v="5000"/>
    <x v="3"/>
    <s v="27-16584512-4"/>
    <n v="678"/>
    <m/>
    <d v="2021-04-12T00:00:00"/>
    <m/>
    <x v="1"/>
    <x v="11"/>
    <x v="2"/>
    <x v="2"/>
  </r>
  <r>
    <d v="2021-04-09T00:00:00"/>
    <s v="Petrich"/>
    <s v="-"/>
    <d v="2021-07-10T00:00:00"/>
    <s v="Provincia"/>
    <n v="85543968"/>
    <s v="Bazan Sandra Maria"/>
    <n v="5850"/>
    <x v="3"/>
    <s v="27-16584512-4"/>
    <n v="679"/>
    <m/>
    <d v="2021-04-19T00:00:00"/>
    <m/>
    <x v="1"/>
    <x v="4"/>
    <x v="2"/>
    <x v="17"/>
  </r>
  <r>
    <d v="2021-04-12T00:00:00"/>
    <s v="Dodero"/>
    <s v="-"/>
    <d v="2021-05-14T00:00:00"/>
    <s v="Provincia"/>
    <n v="84780332"/>
    <s v="Cames Jose Antonio"/>
    <n v="10115"/>
    <x v="3"/>
    <s v="20-11551829-2"/>
    <n v="680"/>
    <m/>
    <d v="2021-04-15T00:00:00"/>
    <m/>
    <x v="1"/>
    <x v="10"/>
    <x v="2"/>
    <x v="16"/>
  </r>
  <r>
    <d v="2021-04-19T00:00:00"/>
    <s v="Riabis"/>
    <s v="-"/>
    <d v="2021-04-25T00:00:00"/>
    <s v="Provincia"/>
    <n v="85011452"/>
    <s v="Petz Marcela de los Angeles"/>
    <n v="11624"/>
    <x v="0"/>
    <s v="27-21760514-3"/>
    <n v="681"/>
    <m/>
    <d v="2021-04-26T00:00:00"/>
    <m/>
    <x v="1"/>
    <x v="9"/>
    <x v="2"/>
    <x v="10"/>
  </r>
  <r>
    <d v="2021-04-19T00:00:00"/>
    <s v="Riabis"/>
    <s v="-"/>
    <d v="2021-05-30T00:00:00"/>
    <s v="Provincia"/>
    <n v="77592846"/>
    <s v="Puron German"/>
    <n v="21000"/>
    <x v="0"/>
    <s v="20-32198420-8"/>
    <n v="682"/>
    <m/>
    <d v="2021-05-31T00:00:00"/>
    <m/>
    <x v="1"/>
    <x v="10"/>
    <x v="2"/>
    <x v="2"/>
  </r>
  <r>
    <d v="2021-04-20T00:00:00"/>
    <s v="signori luis"/>
    <s v="-"/>
    <d v="2021-04-30T00:00:00"/>
    <s v="Credicoop"/>
    <n v="41034500"/>
    <s v="Signori Luis Alberto"/>
    <n v="10000"/>
    <x v="0"/>
    <s v="20-05510696-8"/>
    <n v="683"/>
    <m/>
    <d v="2021-04-30T00:00:00"/>
    <m/>
    <x v="1"/>
    <x v="9"/>
    <x v="2"/>
    <x v="2"/>
  </r>
  <r>
    <d v="2021-04-20T00:00:00"/>
    <s v="signori luis"/>
    <s v="-"/>
    <d v="2021-04-23T00:00:00"/>
    <s v="Nacion"/>
    <n v="3591857"/>
    <s v="Signori Luis Alberto"/>
    <n v="10000"/>
    <x v="0"/>
    <s v="20-05510696-8"/>
    <n v="684"/>
    <m/>
    <d v="2021-04-23T00:00:00"/>
    <m/>
    <x v="1"/>
    <x v="9"/>
    <x v="2"/>
    <x v="13"/>
  </r>
  <r>
    <d v="2021-04-22T00:00:00"/>
    <s v="Dodero"/>
    <s v="-"/>
    <d v="2021-04-23T00:00:00"/>
    <s v="Provincia"/>
    <n v="84780329"/>
    <s v="Cames Jose Antonio"/>
    <n v="14115"/>
    <x v="0"/>
    <s v="20-11551829-2"/>
    <n v="685"/>
    <m/>
    <d v="2021-04-23T00:00:00"/>
    <m/>
    <x v="1"/>
    <x v="9"/>
    <x v="2"/>
    <x v="13"/>
  </r>
  <r>
    <d v="2021-04-27T00:00:00"/>
    <s v="Vorrazo"/>
    <s v="-"/>
    <d v="2021-05-22T00:00:00"/>
    <s v="Galicia"/>
    <n v="62198478"/>
    <s v="Dominguez Marcelo Alberto"/>
    <n v="13000"/>
    <x v="0"/>
    <s v="20-10590043-1"/>
    <n v="686"/>
    <m/>
    <d v="2021-05-26T00:00:00"/>
    <m/>
    <x v="1"/>
    <x v="10"/>
    <x v="2"/>
    <x v="19"/>
  </r>
  <r>
    <d v="2021-04-27T00:00:00"/>
    <s v="Vorrazo"/>
    <s v="-"/>
    <d v="2021-05-31T00:00:00"/>
    <s v="Galicia"/>
    <n v="62198479"/>
    <s v="Dominguez Marcelo Alberto"/>
    <n v="13000"/>
    <x v="0"/>
    <s v="20-10590043-1"/>
    <n v="687"/>
    <m/>
    <d v="2021-05-31T00:00:00"/>
    <m/>
    <x v="1"/>
    <x v="10"/>
    <x v="2"/>
    <x v="3"/>
  </r>
  <r>
    <d v="2021-04-27T00:00:00"/>
    <s v="Vorrazo"/>
    <s v="-"/>
    <d v="2021-06-16T00:00:00"/>
    <s v="Galicia"/>
    <n v="62198480"/>
    <s v="Dominguez Marcelo Alberto"/>
    <n v="15315"/>
    <x v="0"/>
    <s v="20-10590043-1"/>
    <n v="688"/>
    <m/>
    <d v="2021-06-22T00:00:00"/>
    <m/>
    <x v="1"/>
    <x v="11"/>
    <x v="2"/>
    <x v="23"/>
  </r>
  <r>
    <d v="2021-04-30T00:00:00"/>
    <s v="signori luis"/>
    <s v="-"/>
    <d v="2021-08-09T00:00:00"/>
    <s v="Credicoop"/>
    <n v="41034441"/>
    <s v="Signori Luis Alberto"/>
    <n v="13500"/>
    <x v="1"/>
    <s v="20-05510696-8"/>
    <n v="689"/>
    <m/>
    <d v="2021-08-30T00:00:00"/>
    <s v="Veira"/>
    <x v="1"/>
    <x v="0"/>
    <x v="2"/>
    <x v="1"/>
  </r>
  <r>
    <d v="2021-05-06T00:00:00"/>
    <s v="Rita Ferrando"/>
    <s v="-"/>
    <d v="2021-05-23T00:00:00"/>
    <s v="Provincia"/>
    <n v="85485505"/>
    <s v="Tovar Luis Maria"/>
    <n v="16030"/>
    <x v="0"/>
    <s v="20-12663675-0"/>
    <n v="690"/>
    <m/>
    <d v="2021-05-26T00:00:00"/>
    <m/>
    <x v="1"/>
    <x v="10"/>
    <x v="2"/>
    <x v="13"/>
  </r>
  <r>
    <d v="2021-05-06T00:00:00"/>
    <s v="Rita Ferrando"/>
    <s v="-"/>
    <d v="2021-06-10T00:00:00"/>
    <s v="Provincia"/>
    <n v="85485506"/>
    <s v="Tovar Luis Maria"/>
    <n v="16030"/>
    <x v="0"/>
    <s v="20-12663675-0"/>
    <n v="691"/>
    <m/>
    <d v="2021-06-10T00:00:00"/>
    <m/>
    <x v="1"/>
    <x v="11"/>
    <x v="2"/>
    <x v="17"/>
  </r>
  <r>
    <d v="2021-05-07T00:00:00"/>
    <s v="Riabis"/>
    <s v="-"/>
    <d v="2021-05-30T00:00:00"/>
    <s v="Provincia"/>
    <n v="85425681"/>
    <s v="Mazzucco Diego Luis"/>
    <n v="9548"/>
    <x v="0"/>
    <s v="20-08525441-4"/>
    <n v="692"/>
    <m/>
    <d v="2021-05-31T00:00:00"/>
    <m/>
    <x v="1"/>
    <x v="10"/>
    <x v="2"/>
    <x v="2"/>
  </r>
  <r>
    <d v="2021-05-07T00:00:00"/>
    <s v="Riabis"/>
    <s v="-"/>
    <d v="2021-06-06T00:00:00"/>
    <s v="Provincia"/>
    <n v="85425682"/>
    <s v="Mazzucco Diego Luis"/>
    <n v="9548"/>
    <x v="0"/>
    <s v="20-08525441-4"/>
    <n v="693"/>
    <m/>
    <d v="2021-06-07T00:00:00"/>
    <m/>
    <x v="1"/>
    <x v="11"/>
    <x v="2"/>
    <x v="27"/>
  </r>
  <r>
    <d v="2021-05-07T00:00:00"/>
    <s v="Riabis"/>
    <s v="-"/>
    <d v="2021-06-17T00:00:00"/>
    <s v="Provincia"/>
    <n v="85138450"/>
    <s v="Morey Maria Marta"/>
    <n v="15000"/>
    <x v="0"/>
    <s v="27-20042244-4"/>
    <n v="694"/>
    <m/>
    <d v="2021-06-17T00:00:00"/>
    <m/>
    <x v="1"/>
    <x v="11"/>
    <x v="2"/>
    <x v="21"/>
  </r>
  <r>
    <d v="2021-05-14T00:00:00"/>
    <s v="signori luis"/>
    <s v="-"/>
    <d v="2021-07-31T00:00:00"/>
    <s v="Credicoop"/>
    <n v="41034612"/>
    <s v="Signori Luis Alberto"/>
    <n v="10000"/>
    <x v="0"/>
    <s v="20-05510696-8"/>
    <n v="695"/>
    <m/>
    <d v="2021-08-11T00:00:00"/>
    <m/>
    <x v="1"/>
    <x v="4"/>
    <x v="2"/>
    <x v="3"/>
  </r>
  <r>
    <d v="2021-05-17T00:00:00"/>
    <s v="Petrich"/>
    <s v="-"/>
    <d v="2021-06-19T00:00:00"/>
    <s v="Provincia"/>
    <n v="86218762"/>
    <s v="Asensio Marcos Daniel"/>
    <n v="7000"/>
    <x v="4"/>
    <s v="20-16927574-3"/>
    <n v="696"/>
    <m/>
    <d v="2021-06-03T00:00:00"/>
    <s v="Devuelto por onena"/>
    <x v="1"/>
    <x v="11"/>
    <x v="2"/>
    <x v="25"/>
  </r>
  <r>
    <d v="2021-05-17T00:00:00"/>
    <s v="Petrich"/>
    <s v="-"/>
    <d v="2021-06-30T00:00:00"/>
    <s v="Provincia"/>
    <n v="86218751"/>
    <s v="Asensio Marcos Daniel"/>
    <n v="8400"/>
    <x v="0"/>
    <s v="20-16927574-3"/>
    <n v="697"/>
    <m/>
    <d v="2021-06-30T00:00:00"/>
    <m/>
    <x v="1"/>
    <x v="11"/>
    <x v="2"/>
    <x v="2"/>
  </r>
  <r>
    <d v="2021-05-17T00:00:00"/>
    <s v="Petrich"/>
    <s v="-"/>
    <d v="2021-06-12T00:00:00"/>
    <s v="Credicoop"/>
    <n v="44185306"/>
    <s v="Salas Alexis Sebastian"/>
    <n v="82800"/>
    <x v="0"/>
    <s v="20-33177561-5"/>
    <n v="698"/>
    <m/>
    <d v="2021-06-14T00:00:00"/>
    <m/>
    <x v="1"/>
    <x v="11"/>
    <x v="2"/>
    <x v="0"/>
  </r>
  <r>
    <d v="2021-05-19T00:00:00"/>
    <s v="signori luis"/>
    <s v="-"/>
    <d v="2021-05-20T00:00:00"/>
    <s v="Provincia"/>
    <n v="85457521"/>
    <s v="De Serro Buedo Ascension Maria"/>
    <n v="18000"/>
    <x v="0"/>
    <s v="27-10388828-5"/>
    <n v="699"/>
    <m/>
    <m/>
    <m/>
    <x v="1"/>
    <x v="10"/>
    <x v="2"/>
    <x v="18"/>
  </r>
  <r>
    <d v="2021-05-28T00:00:00"/>
    <s v="Petrich"/>
    <s v="-"/>
    <d v="2021-07-23T00:00:00"/>
    <s v="Provincia"/>
    <n v="78413210"/>
    <s v="Ramos Natalia Lizama Yamil Y L"/>
    <n v="20000"/>
    <x v="0"/>
    <s v="33-71109490-9"/>
    <n v="700"/>
    <m/>
    <d v="2021-08-10T00:00:00"/>
    <m/>
    <x v="1"/>
    <x v="4"/>
    <x v="2"/>
    <x v="13"/>
  </r>
  <r>
    <d v="2021-05-28T00:00:00"/>
    <s v="Petrich"/>
    <s v="-"/>
    <d v="2021-08-20T00:00:00"/>
    <s v="Provincia"/>
    <n v="78413211"/>
    <s v="Ramos Natalia Lizama Yamil Y L"/>
    <n v="20000"/>
    <x v="0"/>
    <s v="33-71109490-9"/>
    <n v="701"/>
    <m/>
    <d v="2021-08-20T00:00:00"/>
    <m/>
    <x v="1"/>
    <x v="0"/>
    <x v="2"/>
    <x v="18"/>
  </r>
  <r>
    <d v="2021-05-28T00:00:00"/>
    <s v="Martinez"/>
    <s v="-"/>
    <d v="2021-05-23T00:00:00"/>
    <s v="Provincia"/>
    <n v="75546711"/>
    <s v="Casim Maria Florencia"/>
    <n v="83000"/>
    <x v="0"/>
    <s v="27-29211741-3"/>
    <n v="702"/>
    <m/>
    <d v="2021-05-31T00:00:00"/>
    <m/>
    <x v="1"/>
    <x v="10"/>
    <x v="2"/>
    <x v="13"/>
  </r>
  <r>
    <d v="2021-05-28T00:00:00"/>
    <s v="Martinez"/>
    <s v="-"/>
    <d v="2021-05-29T00:00:00"/>
    <s v="Provincia"/>
    <n v="16034421"/>
    <s v="Mennilli Gustavo Daniel"/>
    <n v="14000"/>
    <x v="0"/>
    <s v="20-12200655-8"/>
    <n v="703"/>
    <m/>
    <d v="2021-05-31T00:00:00"/>
    <m/>
    <x v="1"/>
    <x v="10"/>
    <x v="2"/>
    <x v="5"/>
  </r>
  <r>
    <d v="2021-05-28T00:00:00"/>
    <s v="Martinez"/>
    <s v="-"/>
    <d v="2021-06-07T00:00:00"/>
    <s v="Santander Rio"/>
    <n v="4000"/>
    <s v="Transp Autom La Patag SRL"/>
    <n v="50040"/>
    <x v="0"/>
    <s v="30-70746041-1"/>
    <n v="704"/>
    <m/>
    <d v="2021-06-07T00:00:00"/>
    <m/>
    <x v="1"/>
    <x v="11"/>
    <x v="2"/>
    <x v="12"/>
  </r>
  <r>
    <d v="2021-05-31T00:00:00"/>
    <s v="Borra"/>
    <s v="-"/>
    <d v="2021-06-28T00:00:00"/>
    <s v="Nacion"/>
    <n v="476"/>
    <s v="Kess Marina Soledad"/>
    <n v="40000"/>
    <x v="0"/>
    <s v="23-29859387-4"/>
    <n v="705"/>
    <m/>
    <d v="2021-06-28T00:00:00"/>
    <m/>
    <x v="1"/>
    <x v="11"/>
    <x v="2"/>
    <x v="4"/>
  </r>
  <r>
    <d v="2021-05-31T00:00:00"/>
    <s v="Borra"/>
    <s v="-"/>
    <d v="2021-07-13T00:00:00"/>
    <s v="Nacion"/>
    <n v="477"/>
    <s v="Kess Marina Soledad"/>
    <n v="40000"/>
    <x v="0"/>
    <s v="23-29859387-4"/>
    <n v="706"/>
    <m/>
    <d v="2021-07-19T00:00:00"/>
    <m/>
    <x v="1"/>
    <x v="4"/>
    <x v="2"/>
    <x v="7"/>
  </r>
  <r>
    <d v="2021-05-31T00:00:00"/>
    <s v="Borra"/>
    <s v="-"/>
    <d v="2021-07-29T00:00:00"/>
    <s v="Nacion"/>
    <n v="478"/>
    <s v="Kess Marina Soledad"/>
    <n v="40000"/>
    <x v="0"/>
    <s v="23-29859387-4"/>
    <n v="707"/>
    <m/>
    <m/>
    <m/>
    <x v="1"/>
    <x v="4"/>
    <x v="2"/>
    <x v="5"/>
  </r>
  <r>
    <d v="2021-05-31T00:00:00"/>
    <s v="Borra"/>
    <s v="-"/>
    <d v="2021-08-19T00:00:00"/>
    <s v="Nacion"/>
    <n v="479"/>
    <s v="Kess Marina Soledad"/>
    <n v="47500"/>
    <x v="1"/>
    <s v="23-29859387-4"/>
    <n v="708"/>
    <m/>
    <d v="2021-09-01T00:00:00"/>
    <s v="Lartex"/>
    <x v="13"/>
    <x v="0"/>
    <x v="2"/>
    <x v="25"/>
  </r>
  <r>
    <d v="2021-05-31T00:00:00"/>
    <s v="Borra"/>
    <s v="-"/>
    <d v="2021-08-25T00:00:00"/>
    <s v="Nacion"/>
    <n v="480"/>
    <s v="Kess Marina Soledad"/>
    <n v="17500"/>
    <x v="1"/>
    <s v="23-29859387-4"/>
    <n v="709"/>
    <m/>
    <d v="2021-08-17T00:00:00"/>
    <s v="Veira"/>
    <x v="1"/>
    <x v="0"/>
    <x v="2"/>
    <x v="10"/>
  </r>
  <r>
    <d v="2021-06-01T00:00:00"/>
    <s v="signori luis"/>
    <s v="-"/>
    <d v="2021-06-30T00:00:00"/>
    <s v="Credicoop"/>
    <n v="41034577"/>
    <s v="Signori Luis Alberto"/>
    <n v="15000"/>
    <x v="0"/>
    <s v="20-05510696-8"/>
    <n v="710"/>
    <m/>
    <d v="2021-06-30T00:00:00"/>
    <m/>
    <x v="1"/>
    <x v="11"/>
    <x v="2"/>
    <x v="2"/>
  </r>
  <r>
    <d v="2021-06-01T00:00:00"/>
    <s v="signori luis"/>
    <s v="-"/>
    <d v="2021-07-31T00:00:00"/>
    <s v="Credicoop"/>
    <n v="41034578"/>
    <s v="Signori Luis Alberto"/>
    <n v="20000"/>
    <x v="0"/>
    <s v="20-05510696-8"/>
    <n v="711"/>
    <m/>
    <d v="2021-08-04T00:00:00"/>
    <m/>
    <x v="1"/>
    <x v="4"/>
    <x v="2"/>
    <x v="3"/>
  </r>
  <r>
    <d v="2021-06-01T00:00:00"/>
    <s v="signori luis"/>
    <s v="-"/>
    <d v="2021-08-31T00:00:00"/>
    <s v="Credicoop"/>
    <n v="41034579"/>
    <s v="Signori Luis Alberto"/>
    <n v="20000"/>
    <x v="1"/>
    <s v="20-05510696-8"/>
    <n v="712"/>
    <m/>
    <d v="2021-09-01T00:00:00"/>
    <s v="lipovetzky"/>
    <x v="1"/>
    <x v="0"/>
    <x v="2"/>
    <x v="3"/>
  </r>
  <r>
    <d v="2021-06-01T00:00:00"/>
    <s v="Manzo"/>
    <s v="-"/>
    <d v="2021-07-14T00:00:00"/>
    <s v="Nacion"/>
    <n v="2308"/>
    <s v="Cassibba Julio Alberto"/>
    <n v="15700"/>
    <x v="0"/>
    <s v="20-05305088-4"/>
    <n v="713"/>
    <m/>
    <d v="2021-07-19T00:00:00"/>
    <m/>
    <x v="1"/>
    <x v="4"/>
    <x v="2"/>
    <x v="16"/>
  </r>
  <r>
    <d v="2021-06-03T00:00:00"/>
    <s v="Cabello Miguel"/>
    <s v="-"/>
    <d v="2021-05-19T00:00:00"/>
    <s v="Santa Fe"/>
    <n v="84332878"/>
    <s v="Bargas Lorena Guadalupe"/>
    <n v="19500"/>
    <x v="0"/>
    <s v="27-29566646-9"/>
    <n v="714"/>
    <m/>
    <d v="2021-06-07T00:00:00"/>
    <m/>
    <x v="1"/>
    <x v="10"/>
    <x v="2"/>
    <x v="25"/>
  </r>
  <r>
    <d v="2021-06-03T00:00:00"/>
    <s v="Cabello Miguel"/>
    <s v="-"/>
    <d v="2021-05-23T00:00:00"/>
    <s v="Macro"/>
    <n v="24346273"/>
    <s v="Ambrosi Mariel Noelia"/>
    <n v="14564"/>
    <x v="0"/>
    <s v="27-33311326-6"/>
    <n v="715"/>
    <m/>
    <d v="2021-06-07T00:00:00"/>
    <m/>
    <x v="1"/>
    <x v="10"/>
    <x v="2"/>
    <x v="13"/>
  </r>
  <r>
    <d v="2021-06-03T00:00:00"/>
    <s v="Cabello Miguel"/>
    <s v="-"/>
    <d v="2021-05-31T00:00:00"/>
    <s v="Patagonia"/>
    <n v="24154427"/>
    <s v="Prienza Irene Carola Edit"/>
    <n v="15000"/>
    <x v="0"/>
    <s v="27-25639646-2"/>
    <n v="716"/>
    <m/>
    <d v="2021-06-07T00:00:00"/>
    <m/>
    <x v="1"/>
    <x v="10"/>
    <x v="2"/>
    <x v="3"/>
  </r>
  <r>
    <d v="2021-06-03T00:00:00"/>
    <s v="Cabello Miguel"/>
    <s v="-"/>
    <d v="2021-06-13T00:00:00"/>
    <s v="Macro"/>
    <n v="24346275"/>
    <s v="Ambrosi Mariel Noelia"/>
    <n v="14564"/>
    <x v="1"/>
    <s v="27-33311326-6"/>
    <n v="717"/>
    <m/>
    <d v="2021-06-14T00:00:00"/>
    <s v="Contador"/>
    <x v="1"/>
    <x v="11"/>
    <x v="2"/>
    <x v="7"/>
  </r>
  <r>
    <d v="2021-06-03T00:00:00"/>
    <s v="Cabello Miguel"/>
    <s v="-"/>
    <d v="2021-06-15T00:00:00"/>
    <s v="La Pampa"/>
    <n v="62253019"/>
    <s v="Sañudo Veronica Gabriela"/>
    <n v="20000"/>
    <x v="0"/>
    <s v="27-24785771-6"/>
    <n v="718"/>
    <m/>
    <d v="2021-06-17T00:00:00"/>
    <m/>
    <x v="1"/>
    <x v="11"/>
    <x v="2"/>
    <x v="14"/>
  </r>
  <r>
    <d v="2021-06-03T00:00:00"/>
    <s v="Cabello Miguel"/>
    <s v="-"/>
    <d v="2021-06-27T00:00:00"/>
    <s v="Patagonia"/>
    <n v="23850286"/>
    <s v="Prienza Irene Carola Edit"/>
    <n v="15000"/>
    <x v="0"/>
    <s v="27-25639646-2"/>
    <n v="719"/>
    <m/>
    <d v="2021-06-28T00:00:00"/>
    <m/>
    <x v="1"/>
    <x v="11"/>
    <x v="2"/>
    <x v="26"/>
  </r>
  <r>
    <d v="2021-06-03T00:00:00"/>
    <s v="Cabello Miguel"/>
    <s v="-"/>
    <d v="2021-06-27T00:00:00"/>
    <s v="Bancor"/>
    <n v="29401733"/>
    <s v="Campilia Maria Agustina"/>
    <n v="20000"/>
    <x v="0"/>
    <s v="27-33612440-4"/>
    <n v="720"/>
    <m/>
    <d v="2021-06-28T00:00:00"/>
    <m/>
    <x v="1"/>
    <x v="11"/>
    <x v="2"/>
    <x v="26"/>
  </r>
  <r>
    <d v="2021-06-03T00:00:00"/>
    <s v="Cabello Miguel"/>
    <s v="-"/>
    <d v="2021-06-30T00:00:00"/>
    <s v="Credicoop"/>
    <n v="44007102"/>
    <s v="Anton Veronica Patricia"/>
    <n v="15000"/>
    <x v="0"/>
    <s v="27-27977138-4"/>
    <n v="721"/>
    <m/>
    <d v="2021-06-30T00:00:00"/>
    <m/>
    <x v="1"/>
    <x v="11"/>
    <x v="2"/>
    <x v="2"/>
  </r>
  <r>
    <d v="2021-06-03T00:00:00"/>
    <s v="Cabello Miguel"/>
    <s v="-"/>
    <d v="2021-06-30T00:00:00"/>
    <s v="Nacion"/>
    <n v="1773542"/>
    <s v="Caimo Luis Ruben"/>
    <n v="10000"/>
    <x v="0"/>
    <s v="20-10053856-4"/>
    <n v="722"/>
    <m/>
    <d v="2021-06-30T00:00:00"/>
    <m/>
    <x v="1"/>
    <x v="11"/>
    <x v="2"/>
    <x v="2"/>
  </r>
  <r>
    <d v="2021-06-03T00:00:00"/>
    <s v="Cabello Miguel"/>
    <s v="-"/>
    <d v="2021-07-06T00:00:00"/>
    <s v="Patagonia"/>
    <n v="23850273"/>
    <s v="Prienza Irene Carola Edit"/>
    <n v="15000"/>
    <x v="0"/>
    <s v="27-25639646-2"/>
    <n v="723"/>
    <m/>
    <d v="2021-07-12T00:00:00"/>
    <m/>
    <x v="1"/>
    <x v="4"/>
    <x v="2"/>
    <x v="27"/>
  </r>
  <r>
    <d v="2021-06-03T00:00:00"/>
    <s v="Cabello Miguel"/>
    <s v="-"/>
    <d v="2021-07-10T00:00:00"/>
    <s v="Credicoop"/>
    <n v="44007104"/>
    <s v="Anton Veronica Patricia"/>
    <n v="15000"/>
    <x v="0"/>
    <s v="27-27977138-4"/>
    <n v="724"/>
    <m/>
    <d v="2021-07-12T00:00:00"/>
    <m/>
    <x v="1"/>
    <x v="4"/>
    <x v="2"/>
    <x v="17"/>
  </r>
  <r>
    <d v="2021-06-03T00:00:00"/>
    <s v="Cabello Miguel"/>
    <s v="-"/>
    <d v="2021-07-15T00:00:00"/>
    <s v="La Pampa"/>
    <n v="62253021"/>
    <s v="Sañudo Veronica Gabriela"/>
    <n v="15000"/>
    <x v="0"/>
    <s v="27-24785771-6"/>
    <n v="725"/>
    <m/>
    <d v="2021-07-19T00:00:00"/>
    <m/>
    <x v="1"/>
    <x v="4"/>
    <x v="2"/>
    <x v="14"/>
  </r>
  <r>
    <d v="2021-06-03T00:00:00"/>
    <s v="Cabello Miguel"/>
    <s v="-"/>
    <d v="2021-07-18T00:00:00"/>
    <s v="Patagonia"/>
    <n v="23850276"/>
    <s v="Prienza Irene Carola Edit"/>
    <n v="15000"/>
    <x v="1"/>
    <s v="27-25639646-2"/>
    <n v="726"/>
    <m/>
    <d v="2021-06-14T00:00:00"/>
    <s v="Contador"/>
    <x v="1"/>
    <x v="4"/>
    <x v="2"/>
    <x v="9"/>
  </r>
  <r>
    <d v="2021-06-03T00:00:00"/>
    <s v="Cabello Miguel"/>
    <s v="-"/>
    <d v="2021-07-23T00:00:00"/>
    <s v="Santa Fe"/>
    <n v="84635641"/>
    <s v="Bargas Lorena Guadalupe"/>
    <n v="19000"/>
    <x v="1"/>
    <s v="27-29566646-9"/>
    <n v="727"/>
    <m/>
    <d v="2021-06-14T00:00:00"/>
    <s v="Contador"/>
    <x v="1"/>
    <x v="4"/>
    <x v="2"/>
    <x v="13"/>
  </r>
  <r>
    <d v="2021-06-03T00:00:00"/>
    <s v="Cabello Miguel"/>
    <s v="-"/>
    <d v="2021-07-24T00:00:00"/>
    <s v="Chubut"/>
    <n v="18072203"/>
    <s v="Vargas Lilian"/>
    <n v="20000"/>
    <x v="1"/>
    <s v="27-14266621-4"/>
    <n v="728"/>
    <m/>
    <d v="2021-06-14T00:00:00"/>
    <s v="Contador"/>
    <x v="1"/>
    <x v="4"/>
    <x v="2"/>
    <x v="6"/>
  </r>
  <r>
    <d v="2021-06-03T00:00:00"/>
    <s v="Cabello Miguel"/>
    <s v="-"/>
    <d v="2021-07-25T00:00:00"/>
    <s v="La Pampa"/>
    <n v="62253022"/>
    <s v="Sañudo Veronica Gabriela"/>
    <n v="15000"/>
    <x v="1"/>
    <s v="27-24785771-6"/>
    <n v="729"/>
    <m/>
    <d v="2021-06-14T00:00:00"/>
    <s v="Contador"/>
    <x v="1"/>
    <x v="4"/>
    <x v="2"/>
    <x v="10"/>
  </r>
  <r>
    <d v="2021-06-03T00:00:00"/>
    <s v="Cabello Miguel"/>
    <s v="-"/>
    <d v="2021-07-30T00:00:00"/>
    <s v="Nacion"/>
    <n v="1598562"/>
    <s v="Garis Laura Carina"/>
    <n v="25000"/>
    <x v="0"/>
    <s v="27-26907915-6"/>
    <n v="730"/>
    <m/>
    <d v="2021-08-04T00:00:00"/>
    <m/>
    <x v="1"/>
    <x v="4"/>
    <x v="2"/>
    <x v="2"/>
  </r>
  <r>
    <d v="2021-06-03T00:00:00"/>
    <s v="Cabello Miguel"/>
    <s v="-"/>
    <d v="2021-07-31T00:00:00"/>
    <s v="Chubut"/>
    <n v="18072206"/>
    <s v="Vargas Lilian"/>
    <n v="20000"/>
    <x v="0"/>
    <s v="27-14266621-4"/>
    <n v="731"/>
    <m/>
    <d v="2021-08-04T00:00:00"/>
    <m/>
    <x v="1"/>
    <x v="4"/>
    <x v="2"/>
    <x v="3"/>
  </r>
  <r>
    <d v="2021-06-03T00:00:00"/>
    <s v="Cabello Miguel"/>
    <s v="-"/>
    <d v="2021-07-16T00:00:00"/>
    <s v="Bancor"/>
    <n v="47"/>
    <s v="Epokas Valentina S.A.S."/>
    <n v="45000"/>
    <x v="0"/>
    <s v="30-71636966-4"/>
    <n v="732"/>
    <m/>
    <d v="2021-07-19T00:00:00"/>
    <m/>
    <x v="14"/>
    <x v="4"/>
    <x v="2"/>
    <x v="23"/>
  </r>
  <r>
    <d v="2021-06-03T00:00:00"/>
    <s v="Cabello Miguel"/>
    <s v="-"/>
    <d v="2021-07-20T00:00:00"/>
    <s v="Bancor"/>
    <n v="48"/>
    <s v="Epokas Valentina S.A.S."/>
    <n v="45000"/>
    <x v="0"/>
    <s v="30-71636966-4"/>
    <n v="733"/>
    <m/>
    <m/>
    <m/>
    <x v="14"/>
    <x v="4"/>
    <x v="2"/>
    <x v="18"/>
  </r>
  <r>
    <d v="2021-06-03T00:00:00"/>
    <s v="Cabello Miguel"/>
    <s v="-"/>
    <d v="2021-07-25T00:00:00"/>
    <s v="Bancor"/>
    <n v="49"/>
    <s v="Epokas Valentina S.A.S."/>
    <n v="45000"/>
    <x v="0"/>
    <s v="30-71636966-4"/>
    <n v="734"/>
    <m/>
    <m/>
    <m/>
    <x v="14"/>
    <x v="4"/>
    <x v="2"/>
    <x v="10"/>
  </r>
  <r>
    <d v="2021-06-05T00:00:00"/>
    <s v="Manzo"/>
    <s v="-"/>
    <d v="2021-07-20T00:00:00"/>
    <s v="Provincia"/>
    <n v="86696738"/>
    <s v="Cassibba Julio Alberto"/>
    <n v="15000"/>
    <x v="0"/>
    <s v="20-05305088-4"/>
    <n v="735"/>
    <m/>
    <d v="2021-07-22T00:00:00"/>
    <m/>
    <x v="1"/>
    <x v="4"/>
    <x v="2"/>
    <x v="18"/>
  </r>
  <r>
    <d v="2021-06-05T00:00:00"/>
    <s v="Manzo"/>
    <s v="-"/>
    <d v="2021-07-30T00:00:00"/>
    <s v="Nacion"/>
    <n v="2310"/>
    <s v="Cassibba Julio Alberto"/>
    <n v="15000"/>
    <x v="1"/>
    <s v="20-05305088-4"/>
    <n v="736"/>
    <m/>
    <d v="2021-07-15T00:00:00"/>
    <s v="Onena"/>
    <x v="1"/>
    <x v="4"/>
    <x v="2"/>
    <x v="2"/>
  </r>
  <r>
    <d v="2021-06-11T00:00:00"/>
    <s v="Jerez"/>
    <m/>
    <d v="2021-07-16T00:00:00"/>
    <s v="Nacion"/>
    <n v="806831"/>
    <s v="Alonso Maria Eugenia"/>
    <n v="19920"/>
    <x v="0"/>
    <s v="27-20463557-4"/>
    <n v="737"/>
    <m/>
    <d v="2021-07-19T00:00:00"/>
    <m/>
    <x v="1"/>
    <x v="4"/>
    <x v="2"/>
    <x v="23"/>
  </r>
  <r>
    <d v="2021-06-11T00:00:00"/>
    <s v="Carrizo Raul"/>
    <s v="-"/>
    <d v="2021-06-22T00:00:00"/>
    <s v="Provincia"/>
    <n v="85931003"/>
    <s v="Ayala Carmen Haydee"/>
    <n v="30000"/>
    <x v="0"/>
    <s v="23-05792994-4"/>
    <n v="738"/>
    <m/>
    <d v="2021-06-22T00:00:00"/>
    <m/>
    <x v="1"/>
    <x v="11"/>
    <x v="2"/>
    <x v="19"/>
  </r>
  <r>
    <d v="2021-06-11T00:00:00"/>
    <s v="Carrizo Raul"/>
    <s v="-"/>
    <d v="2021-07-25T00:00:00"/>
    <s v="Provincia"/>
    <n v="85931004"/>
    <s v="Ayala Carmen Haydee"/>
    <n v="32290"/>
    <x v="0"/>
    <s v="23-05792994-4"/>
    <n v="739"/>
    <m/>
    <d v="2021-08-04T00:00:00"/>
    <m/>
    <x v="1"/>
    <x v="4"/>
    <x v="2"/>
    <x v="10"/>
  </r>
  <r>
    <d v="2021-06-14T00:00:00"/>
    <s v="Riabis"/>
    <s v="-"/>
    <d v="2021-05-27T00:00:00"/>
    <s v="Provincia"/>
    <n v="86453834"/>
    <s v="Arrighi Raul Daniel"/>
    <n v="2800"/>
    <x v="0"/>
    <s v="20-12196892-5"/>
    <n v="740"/>
    <m/>
    <d v="2021-06-14T00:00:00"/>
    <m/>
    <x v="1"/>
    <x v="10"/>
    <x v="2"/>
    <x v="26"/>
  </r>
  <r>
    <d v="2021-06-14T00:00:00"/>
    <s v="Riabis"/>
    <s v="-"/>
    <d v="2021-06-20T00:00:00"/>
    <s v="Provincia"/>
    <n v="85049285"/>
    <s v="Petroseg Servicios SRL"/>
    <n v="16500"/>
    <x v="0"/>
    <s v="30-71174219-7"/>
    <n v="741"/>
    <m/>
    <d v="2021-06-22T00:00:00"/>
    <m/>
    <x v="1"/>
    <x v="11"/>
    <x v="2"/>
    <x v="18"/>
  </r>
  <r>
    <d v="2021-06-14T00:00:00"/>
    <s v="Riabis"/>
    <s v="-"/>
    <d v="2021-06-10T00:00:00"/>
    <s v="Provincia"/>
    <n v="80621889"/>
    <s v="Rodriguez Spiller Fernando"/>
    <n v="15000"/>
    <x v="0"/>
    <s v="20-24897624-2"/>
    <n v="742"/>
    <m/>
    <d v="2021-06-14T00:00:00"/>
    <m/>
    <x v="1"/>
    <x v="11"/>
    <x v="2"/>
    <x v="17"/>
  </r>
  <r>
    <d v="2021-06-14T00:00:00"/>
    <s v="Riabis"/>
    <s v="-"/>
    <d v="2021-07-10T00:00:00"/>
    <s v="Provincia"/>
    <n v="85049293"/>
    <s v="Petroseg Servicios SRL"/>
    <n v="15000"/>
    <x v="0"/>
    <s v="30-71174219-7"/>
    <n v="743"/>
    <m/>
    <s v="12/7/20021"/>
    <m/>
    <x v="1"/>
    <x v="4"/>
    <x v="2"/>
    <x v="17"/>
  </r>
  <r>
    <d v="2021-06-16T00:00:00"/>
    <s v="Dodero"/>
    <s v="-"/>
    <d v="2021-10-14T00:00:00"/>
    <s v="Santander Rio"/>
    <n v="51100152"/>
    <s v="Solchaga Vanesa Cinthia"/>
    <n v="13000"/>
    <x v="0"/>
    <s v="27-29478450-6"/>
    <n v="744"/>
    <m/>
    <d v="2021-10-18T00:00:00"/>
    <m/>
    <x v="1"/>
    <x v="1"/>
    <x v="2"/>
    <x v="16"/>
  </r>
  <r>
    <d v="2021-06-12T00:00:00"/>
    <s v="signori luis"/>
    <s v="-"/>
    <d v="2021-07-30T00:00:00"/>
    <s v="Credicoop"/>
    <n v="41034596"/>
    <s v="Signori Luis Alberto"/>
    <n v="10000"/>
    <x v="0"/>
    <s v="20-05510696-8"/>
    <n v="745"/>
    <m/>
    <d v="2021-08-11T00:00:00"/>
    <m/>
    <x v="1"/>
    <x v="4"/>
    <x v="2"/>
    <x v="2"/>
  </r>
  <r>
    <d v="2021-06-12T00:00:00"/>
    <s v="signori luis"/>
    <s v="-"/>
    <d v="2021-08-30T00:00:00"/>
    <s v="Credicoop"/>
    <n v="41034597"/>
    <s v="Signori Luis Alberto"/>
    <n v="10000"/>
    <x v="1"/>
    <s v="20-05510696-8"/>
    <n v="746"/>
    <m/>
    <d v="2021-07-05T00:00:00"/>
    <s v="Veccio"/>
    <x v="1"/>
    <x v="0"/>
    <x v="2"/>
    <x v="2"/>
  </r>
  <r>
    <d v="2021-06-17T00:00:00"/>
    <s v="Borra"/>
    <s v="-"/>
    <d v="2021-07-26T00:00:00"/>
    <s v="Nacion"/>
    <n v="504"/>
    <s v="Kess Marina Soledad"/>
    <n v="40000"/>
    <x v="0"/>
    <s v="23-29859387-4"/>
    <n v="747"/>
    <m/>
    <m/>
    <m/>
    <x v="1"/>
    <x v="4"/>
    <x v="2"/>
    <x v="8"/>
  </r>
  <r>
    <d v="2021-06-18T00:00:00"/>
    <s v="Rita Ferrando"/>
    <s v="-"/>
    <d v="2021-07-02T00:00:00"/>
    <s v="Provincia"/>
    <n v="86720209"/>
    <s v="Tovar Luis Maria"/>
    <n v="13995"/>
    <x v="0"/>
    <s v="20-12663675-0"/>
    <n v="748"/>
    <m/>
    <d v="2021-07-05T00:00:00"/>
    <m/>
    <x v="1"/>
    <x v="4"/>
    <x v="2"/>
    <x v="29"/>
  </r>
  <r>
    <d v="2021-06-18T00:00:00"/>
    <s v="Rita Ferrando"/>
    <s v="-"/>
    <d v="2021-07-20T00:00:00"/>
    <s v="Provincia"/>
    <n v="86720210"/>
    <s v="Tovar Luis Maria"/>
    <n v="13995"/>
    <x v="0"/>
    <s v="20-12663675-0"/>
    <n v="749"/>
    <m/>
    <d v="2021-07-22T00:00:00"/>
    <m/>
    <x v="1"/>
    <x v="4"/>
    <x v="2"/>
    <x v="18"/>
  </r>
  <r>
    <d v="2021-06-28T00:00:00"/>
    <s v="signori luis"/>
    <s v="-"/>
    <d v="2021-08-31T00:00:00"/>
    <s v="Credicoop"/>
    <n v="41034623"/>
    <s v="Signori Luis Alberto"/>
    <n v="15000"/>
    <x v="1"/>
    <s v="20-05510696-8"/>
    <n v="750"/>
    <m/>
    <d v="2021-09-01T00:00:00"/>
    <s v="lipovetzky"/>
    <x v="1"/>
    <x v="0"/>
    <x v="2"/>
    <x v="3"/>
  </r>
  <r>
    <d v="2021-06-28T00:00:00"/>
    <s v="signori luis"/>
    <s v="-"/>
    <d v="2021-08-31T00:00:00"/>
    <s v="Credicoop"/>
    <n v="41034624"/>
    <s v="Signori Luis Alberto"/>
    <n v="15000"/>
    <x v="1"/>
    <s v="20-05510696-8"/>
    <n v="751"/>
    <m/>
    <d v="2021-09-01T00:00:00"/>
    <s v="lipovetzky"/>
    <x v="1"/>
    <x v="0"/>
    <x v="2"/>
    <x v="3"/>
  </r>
  <r>
    <d v="2021-06-28T00:00:00"/>
    <s v="signori luis"/>
    <s v="-"/>
    <d v="2021-09-30T00:00:00"/>
    <s v="Credicoop"/>
    <n v="41034625"/>
    <s v="Signori Luis Alberto"/>
    <n v="15000"/>
    <x v="0"/>
    <s v="20-05510696-8"/>
    <n v="752"/>
    <m/>
    <d v="2021-09-30T00:00:00"/>
    <m/>
    <x v="1"/>
    <x v="5"/>
    <x v="2"/>
    <x v="2"/>
  </r>
  <r>
    <d v="2021-06-28T00:00:00"/>
    <s v="signori luis"/>
    <s v="-"/>
    <d v="2021-09-30T00:00:00"/>
    <s v="Credicoop"/>
    <n v="41034626"/>
    <s v="Signori Luis Alberto"/>
    <n v="15000"/>
    <x v="0"/>
    <s v="20-05510696-8"/>
    <n v="753"/>
    <m/>
    <d v="2021-09-30T00:00:00"/>
    <m/>
    <x v="1"/>
    <x v="5"/>
    <x v="2"/>
    <x v="2"/>
  </r>
  <r>
    <d v="2021-06-29T00:00:00"/>
    <s v="Rita Ferrando"/>
    <s v="-"/>
    <d v="2021-06-10T00:00:00"/>
    <s v="BBVA"/>
    <n v="595351"/>
    <s v="Rodriguez Ruben Dario"/>
    <n v="28380"/>
    <x v="0"/>
    <s v="20-04888315-0"/>
    <n v="754"/>
    <m/>
    <d v="2021-06-30T00:00:00"/>
    <m/>
    <x v="1"/>
    <x v="11"/>
    <x v="2"/>
    <x v="17"/>
  </r>
  <r>
    <d v="2021-06-29T00:00:00"/>
    <s v="Rita Ferrando"/>
    <s v="-"/>
    <d v="2021-06-30T00:00:00"/>
    <s v="Nacion"/>
    <n v="10105507"/>
    <s v="Cacerez Nestor Fabian Jesus"/>
    <n v="5900"/>
    <x v="0"/>
    <s v="20-21384214-6"/>
    <n v="755"/>
    <m/>
    <d v="2021-06-30T00:00:00"/>
    <m/>
    <x v="1"/>
    <x v="11"/>
    <x v="2"/>
    <x v="2"/>
  </r>
  <r>
    <d v="2021-09-29T00:00:00"/>
    <s v="Petrich"/>
    <s v="-"/>
    <d v="2021-07-06T00:00:00"/>
    <s v="Credicoop"/>
    <n v="43692997"/>
    <s v="Miculic Catalina Nelly"/>
    <n v="22968"/>
    <x v="4"/>
    <s v="27-01793930-6"/>
    <n v="756"/>
    <m/>
    <d v="2021-07-12T00:00:00"/>
    <m/>
    <x v="15"/>
    <x v="4"/>
    <x v="2"/>
    <x v="27"/>
  </r>
  <r>
    <d v="2021-06-30T00:00:00"/>
    <s v="Riabis"/>
    <s v="-"/>
    <d v="2021-07-20T00:00:00"/>
    <s v="Provincia"/>
    <n v="84665873"/>
    <s v="Vidu Boutique de Bonazza SH"/>
    <n v="27313.4"/>
    <x v="0"/>
    <s v="30-60252140-7"/>
    <n v="757"/>
    <m/>
    <d v="2021-07-22T00:00:00"/>
    <m/>
    <x v="1"/>
    <x v="4"/>
    <x v="2"/>
    <x v="18"/>
  </r>
  <r>
    <d v="2021-07-01T00:00:00"/>
    <s v="Manzo"/>
    <s v="-"/>
    <d v="2021-08-17T00:00:00"/>
    <s v="Provincia"/>
    <n v="87559233"/>
    <s v="Cassibba Julio Alberto"/>
    <n v="10000"/>
    <x v="0"/>
    <s v="20-05305088-4"/>
    <n v="758"/>
    <m/>
    <d v="2021-08-20T00:00:00"/>
    <m/>
    <x v="1"/>
    <x v="0"/>
    <x v="2"/>
    <x v="21"/>
  </r>
  <r>
    <d v="2021-07-01T00:00:00"/>
    <s v="Manzo"/>
    <s v="-"/>
    <d v="2021-08-23T00:00:00"/>
    <s v="Provincia"/>
    <n v="87559234"/>
    <s v="Cassibba Julio Alberto"/>
    <n v="14000"/>
    <x v="0"/>
    <s v="20-05305088-4"/>
    <n v="759"/>
    <m/>
    <d v="2021-09-02T00:00:00"/>
    <m/>
    <x v="1"/>
    <x v="0"/>
    <x v="2"/>
    <x v="13"/>
  </r>
  <r>
    <d v="2021-07-01T00:00:00"/>
    <s v="Manzo"/>
    <s v="-"/>
    <d v="2021-08-30T00:00:00"/>
    <s v="Provincia"/>
    <n v="87559235"/>
    <s v="Cassibba Julio Alberto"/>
    <n v="14300"/>
    <x v="0"/>
    <s v="20-05305088-4"/>
    <n v="760"/>
    <m/>
    <d v="2021-09-02T00:00:00"/>
    <m/>
    <x v="1"/>
    <x v="0"/>
    <x v="2"/>
    <x v="2"/>
  </r>
  <r>
    <d v="2021-07-05T00:00:00"/>
    <s v="Victor Brizuela"/>
    <s v="-"/>
    <d v="2021-06-24T00:00:00"/>
    <s v="Provincia"/>
    <n v="82279868"/>
    <s v="Cons Prop Ed Bolivar 2760"/>
    <n v="25000"/>
    <x v="0"/>
    <s v="30-54237382-9"/>
    <n v="761"/>
    <m/>
    <d v="2021-07-05T00:00:00"/>
    <m/>
    <x v="1"/>
    <x v="11"/>
    <x v="2"/>
    <x v="6"/>
  </r>
  <r>
    <d v="2021-07-05T00:00:00"/>
    <s v="Victor Brizuela"/>
    <s v="-"/>
    <d v="2021-07-02T00:00:00"/>
    <s v="Comafi"/>
    <n v="27901449"/>
    <s v="Consorcio Prop Edif Guili I"/>
    <n v="18000"/>
    <x v="0"/>
    <s v="30-54233724-5"/>
    <n v="762"/>
    <m/>
    <d v="2021-07-05T00:00:00"/>
    <m/>
    <x v="1"/>
    <x v="4"/>
    <x v="2"/>
    <x v="29"/>
  </r>
  <r>
    <d v="2021-07-13T00:00:00"/>
    <s v="Manzo"/>
    <s v="-"/>
    <d v="2021-08-24T00:00:00"/>
    <s v="Nacion"/>
    <n v="2350"/>
    <s v="Cassibba Julio Alberto"/>
    <n v="10000"/>
    <x v="1"/>
    <s v="20-05305088-4"/>
    <n v="763"/>
    <m/>
    <d v="2021-08-17T00:00:00"/>
    <s v="Veira"/>
    <x v="1"/>
    <x v="0"/>
    <x v="2"/>
    <x v="6"/>
  </r>
  <r>
    <d v="2021-07-13T00:00:00"/>
    <s v="Manzo"/>
    <s v="-"/>
    <d v="2021-08-31T00:00:00"/>
    <s v="Nacion"/>
    <n v="2351"/>
    <s v="Cassibba Julio Alberto"/>
    <n v="12300"/>
    <x v="1"/>
    <s v="20-05305088-4"/>
    <n v="764"/>
    <m/>
    <d v="2021-09-01T00:00:00"/>
    <s v="lipovetzky"/>
    <x v="1"/>
    <x v="0"/>
    <x v="2"/>
    <x v="3"/>
  </r>
  <r>
    <d v="2021-07-13T00:00:00"/>
    <s v="Manzo"/>
    <s v="-"/>
    <d v="2021-08-27T00:00:00"/>
    <s v="Provincia"/>
    <n v="87559257"/>
    <s v="Cassibba Julio Alberto"/>
    <n v="12000"/>
    <x v="0"/>
    <s v="20-05305088-4"/>
    <n v="765"/>
    <m/>
    <d v="2021-09-02T00:00:00"/>
    <m/>
    <x v="1"/>
    <x v="0"/>
    <x v="2"/>
    <x v="26"/>
  </r>
  <r>
    <d v="2021-07-14T00:00:00"/>
    <s v="signori luis"/>
    <s v="-"/>
    <d v="2021-06-30T00:00:00"/>
    <s v="Provincia"/>
    <n v="82697998"/>
    <s v="Fioriti Estela Nevis"/>
    <n v="3500"/>
    <x v="0"/>
    <s v="27-11152519-1"/>
    <n v="766"/>
    <m/>
    <d v="2021-06-19T00:00:00"/>
    <m/>
    <x v="1"/>
    <x v="11"/>
    <x v="2"/>
    <x v="2"/>
  </r>
  <r>
    <d v="2021-07-14T00:00:00"/>
    <s v="signori luis"/>
    <s v="-"/>
    <d v="2021-08-20T00:00:00"/>
    <s v="Provincia"/>
    <n v="87109656"/>
    <s v="Fioriti Estela Nevis"/>
    <n v="3500"/>
    <x v="0"/>
    <s v="27-11152519-1"/>
    <n v="767"/>
    <m/>
    <d v="2021-08-20T00:00:00"/>
    <m/>
    <x v="1"/>
    <x v="0"/>
    <x v="2"/>
    <x v="18"/>
  </r>
  <r>
    <d v="2021-07-14T00:00:00"/>
    <s v="signori luis"/>
    <s v="-"/>
    <d v="2021-07-26T00:00:00"/>
    <s v="Galicia"/>
    <n v="57535930"/>
    <s v="Guillermo Pons y Ricardo Pons Sociedad D"/>
    <n v="3500"/>
    <x v="1"/>
    <s v="33-66414782-9"/>
    <n v="768"/>
    <m/>
    <d v="2021-08-09T00:00:00"/>
    <s v="Oam"/>
    <x v="1"/>
    <x v="4"/>
    <x v="2"/>
    <x v="8"/>
  </r>
  <r>
    <d v="2021-07-14T00:00:00"/>
    <s v="signori luis"/>
    <s v="-"/>
    <d v="2021-07-25T00:00:00"/>
    <s v="Nacion"/>
    <n v="3591861"/>
    <s v="Signori Luis Alberto"/>
    <n v="16000"/>
    <x v="1"/>
    <s v="20-05510696-8"/>
    <n v="769"/>
    <m/>
    <d v="2021-08-06T00:00:00"/>
    <s v="Emanuel Albañil"/>
    <x v="1"/>
    <x v="4"/>
    <x v="2"/>
    <x v="10"/>
  </r>
  <r>
    <d v="2021-07-14T00:00:00"/>
    <s v="signori luis"/>
    <s v="-"/>
    <d v="2021-09-30T00:00:00"/>
    <s v="Credicoop"/>
    <n v="41034650"/>
    <s v="Signori Luis Alberto"/>
    <n v="10000"/>
    <x v="0"/>
    <s v="20-05510696-8"/>
    <n v="770"/>
    <m/>
    <d v="2021-09-30T00:00:00"/>
    <m/>
    <x v="1"/>
    <x v="5"/>
    <x v="2"/>
    <x v="2"/>
  </r>
  <r>
    <d v="2021-07-16T00:00:00"/>
    <s v="signori luis"/>
    <s v="-"/>
    <d v="2021-07-27T00:00:00"/>
    <s v="Provincia"/>
    <n v="74975194"/>
    <s v="Signori Luis Alberto"/>
    <n v="26000"/>
    <x v="0"/>
    <s v="20-05510696-8"/>
    <n v="771"/>
    <m/>
    <d v="2021-08-04T00:00:00"/>
    <m/>
    <x v="1"/>
    <x v="4"/>
    <x v="2"/>
    <x v="26"/>
  </r>
  <r>
    <d v="2021-07-21T00:00:00"/>
    <s v="Vorrazo"/>
    <s v="-"/>
    <d v="2021-08-20T00:00:00"/>
    <s v="Galicia"/>
    <n v="63663170"/>
    <s v="Dominguez Marcelo Alberto"/>
    <n v="20000"/>
    <x v="1"/>
    <s v="20-28102931-3"/>
    <n v="772"/>
    <m/>
    <d v="2021-09-01T00:00:00"/>
    <s v="Lartex"/>
    <x v="13"/>
    <x v="0"/>
    <x v="2"/>
    <x v="18"/>
  </r>
  <r>
    <d v="2021-07-21T00:00:00"/>
    <s v="Vorrazo"/>
    <s v="-"/>
    <d v="2021-08-30T00:00:00"/>
    <s v="Galicia"/>
    <n v="63663171"/>
    <s v="Dominguez Marcelo Alberto"/>
    <n v="21814"/>
    <x v="1"/>
    <s v="20-28102931-3"/>
    <n v="773"/>
    <m/>
    <d v="2021-09-01T00:00:00"/>
    <s v="Lartex"/>
    <x v="13"/>
    <x v="0"/>
    <x v="2"/>
    <x v="2"/>
  </r>
  <r>
    <d v="2021-07-27T00:00:00"/>
    <s v="Riavis"/>
    <s v="-"/>
    <d v="2021-07-20T00:00:00"/>
    <s v="Nacion"/>
    <n v="663487"/>
    <s v="transportadora San Cayetano De"/>
    <n v="6000"/>
    <x v="0"/>
    <s v="30-71068592-0"/>
    <n v="774"/>
    <m/>
    <m/>
    <m/>
    <x v="1"/>
    <x v="4"/>
    <x v="2"/>
    <x v="18"/>
  </r>
  <r>
    <d v="2021-07-27T00:00:00"/>
    <s v="Riavis"/>
    <s v="-"/>
    <d v="2021-09-24T00:00:00"/>
    <s v="Industrial"/>
    <n v="15071001"/>
    <s v="Broto Monica Graciela"/>
    <n v="23700"/>
    <x v="0"/>
    <s v="27-17211496-8"/>
    <n v="775"/>
    <m/>
    <d v="2021-09-28T00:00:00"/>
    <m/>
    <x v="1"/>
    <x v="5"/>
    <x v="2"/>
    <x v="6"/>
  </r>
  <r>
    <d v="2021-07-27T00:00:00"/>
    <s v="Riavis"/>
    <s v="-"/>
    <d v="2021-09-25T00:00:00"/>
    <s v="Santander Rio"/>
    <n v="7202166"/>
    <s v="Rodriguez Luis Maria Francisco"/>
    <n v="7000"/>
    <x v="0"/>
    <s v="20-13125770-9"/>
    <n v="776"/>
    <m/>
    <d v="2021-09-28T00:00:00"/>
    <m/>
    <x v="1"/>
    <x v="5"/>
    <x v="2"/>
    <x v="10"/>
  </r>
  <r>
    <d v="2021-07-27T00:00:00"/>
    <s v="Martinez"/>
    <s v="-"/>
    <d v="2021-07-20T00:00:00"/>
    <s v="Credicoop"/>
    <n v="21035085"/>
    <s v="Karaguiosov Juan Emilio "/>
    <n v="39939"/>
    <x v="0"/>
    <s v="20-25261511-4"/>
    <n v="777"/>
    <m/>
    <m/>
    <m/>
    <x v="1"/>
    <x v="4"/>
    <x v="2"/>
    <x v="18"/>
  </r>
  <r>
    <d v="2021-07-27T00:00:00"/>
    <s v="Martinez"/>
    <s v="-"/>
    <d v="2021-07-26T00:00:00"/>
    <s v="Industrial"/>
    <n v="15471623"/>
    <s v="Sindicato de trabajadores muni"/>
    <n v="14022"/>
    <x v="1"/>
    <s v="33-63723043-9"/>
    <n v="778"/>
    <m/>
    <d v="2021-07-27T00:00:00"/>
    <s v="Emanuel Albañil"/>
    <x v="1"/>
    <x v="4"/>
    <x v="2"/>
    <x v="8"/>
  </r>
  <r>
    <d v="2021-07-22T00:00:00"/>
    <s v="Manzo"/>
    <s v="-"/>
    <d v="2021-07-31T00:00:00"/>
    <s v="Provincia"/>
    <n v="78256919"/>
    <s v="Fernandez Julio Cesar"/>
    <n v="5000"/>
    <x v="0"/>
    <s v="20-16603744-2"/>
    <n v="779"/>
    <m/>
    <m/>
    <m/>
    <x v="16"/>
    <x v="4"/>
    <x v="2"/>
    <x v="3"/>
  </r>
  <r>
    <d v="2021-07-22T00:00:00"/>
    <s v="Manzo"/>
    <s v="-"/>
    <d v="2021-08-10T00:00:00"/>
    <s v="Provincia"/>
    <n v="84560900"/>
    <s v="Echayre Carlos Alberto"/>
    <n v="8370"/>
    <x v="0"/>
    <s v="20-16603675-2"/>
    <n v="780"/>
    <m/>
    <d v="2021-08-17T00:00:00"/>
    <m/>
    <x v="1"/>
    <x v="0"/>
    <x v="2"/>
    <x v="17"/>
  </r>
  <r>
    <d v="2021-07-22T00:00:00"/>
    <s v="Manzo"/>
    <s v="-"/>
    <d v="2021-08-19T00:00:00"/>
    <s v="Provincia"/>
    <n v="85105951"/>
    <s v="Sosa Julio Nestor"/>
    <n v="15300"/>
    <x v="1"/>
    <s v="20-17590852-9"/>
    <n v="781"/>
    <m/>
    <d v="2021-08-04T00:00:00"/>
    <s v="Mandy"/>
    <x v="1"/>
    <x v="0"/>
    <x v="2"/>
    <x v="25"/>
  </r>
  <r>
    <d v="2021-07-29T00:00:00"/>
    <s v="signori luis"/>
    <s v="-"/>
    <d v="2021-10-31T00:00:00"/>
    <s v="Credicoop"/>
    <n v="40185004"/>
    <s v="Signori Luis Alberto"/>
    <n v="20000"/>
    <x v="7"/>
    <s v="20-05510696-8"/>
    <n v="782"/>
    <m/>
    <m/>
    <m/>
    <x v="1"/>
    <x v="1"/>
    <x v="2"/>
    <x v="3"/>
  </r>
  <r>
    <d v="2021-07-29T00:00:00"/>
    <s v="signori luis"/>
    <s v="-"/>
    <d v="2021-09-30T00:00:00"/>
    <s v="Credicoop"/>
    <n v="41034500"/>
    <s v="Signori Luis Alberto"/>
    <n v="10000"/>
    <x v="0"/>
    <s v="20-05510696-8"/>
    <n v="783"/>
    <m/>
    <d v="2021-09-30T00:00:00"/>
    <m/>
    <x v="1"/>
    <x v="5"/>
    <x v="2"/>
    <x v="2"/>
  </r>
  <r>
    <d v="2019-07-01T00:00:00"/>
    <s v="Signiori Luis Alberto"/>
    <s v="-"/>
    <d v="2019-08-29T00:00:00"/>
    <s v="Credicoop"/>
    <n v="48900303"/>
    <s v="Signiori Luis Alberto"/>
    <n v="6000"/>
    <x v="1"/>
    <s v="20-05510696-8"/>
    <s v="A-001"/>
    <m/>
    <d v="2019-07-10T00:00:00"/>
    <s v="Pastora Rioja S.A."/>
    <x v="1"/>
    <x v="0"/>
    <x v="0"/>
    <x v="5"/>
  </r>
  <r>
    <d v="2019-07-01T00:00:00"/>
    <s v="Signiori Luis Alberto"/>
    <s v="-"/>
    <d v="2019-08-30T00:00:00"/>
    <s v="Credicoop"/>
    <n v="48900304"/>
    <s v="Signiori Luis Alberto"/>
    <n v="7000"/>
    <x v="1"/>
    <s v="20-05510696-8"/>
    <s v="A-002"/>
    <m/>
    <d v="2019-07-10T00:00:00"/>
    <s v="Pastora Neuquen S.A."/>
    <x v="1"/>
    <x v="0"/>
    <x v="0"/>
    <x v="2"/>
  </r>
  <r>
    <d v="2019-07-01T00:00:00"/>
    <s v="Signiori Luis Alberto"/>
    <s v="-"/>
    <d v="2019-08-31T00:00:00"/>
    <s v="Credicoop"/>
    <n v="49050745"/>
    <s v="Signiori Luis Alberto"/>
    <n v="5000"/>
    <x v="1"/>
    <s v="20-05510696-8"/>
    <s v="A-003"/>
    <m/>
    <d v="2019-07-03T00:00:00"/>
    <s v="Rantalex"/>
    <x v="1"/>
    <x v="0"/>
    <x v="0"/>
    <x v="3"/>
  </r>
  <r>
    <d v="2019-07-01T00:00:00"/>
    <s v="Signiori Luis Alberto"/>
    <s v="-"/>
    <d v="2019-08-31T00:00:00"/>
    <s v="Credicoop"/>
    <n v="49050712"/>
    <s v="Signiori Luis Alberto"/>
    <n v="5000"/>
    <x v="0"/>
    <s v="20-05510696-8"/>
    <s v="A-004"/>
    <m/>
    <m/>
    <m/>
    <x v="1"/>
    <x v="0"/>
    <x v="0"/>
    <x v="3"/>
  </r>
  <r>
    <d v="2019-07-01T00:00:00"/>
    <s v="Signiori Luis Alberto"/>
    <s v="-"/>
    <d v="2019-09-27T00:00:00"/>
    <s v="Credicoop"/>
    <n v="49050746"/>
    <s v="Signiori Luis Alberto"/>
    <n v="9000"/>
    <x v="0"/>
    <s v="20-05510696-8"/>
    <s v="A-005"/>
    <m/>
    <d v="2019-07-15T00:00:00"/>
    <s v="Posdatado"/>
    <x v="1"/>
    <x v="5"/>
    <x v="0"/>
    <x v="26"/>
  </r>
  <r>
    <d v="2019-07-01T00:00:00"/>
    <s v="Signiori Luis Alberto"/>
    <s v="-"/>
    <d v="2019-09-28T00:00:00"/>
    <s v="Credicoop"/>
    <n v="49050713"/>
    <s v="Signiori Luis Alberto"/>
    <n v="10000"/>
    <x v="0"/>
    <s v="20-05510696-8"/>
    <s v="A-006"/>
    <m/>
    <d v="2019-07-11T00:00:00"/>
    <s v="Posdatado"/>
    <x v="1"/>
    <x v="5"/>
    <x v="0"/>
    <x v="4"/>
  </r>
  <r>
    <d v="2019-07-01T00:00:00"/>
    <s v="Signiori Luis Alberto"/>
    <s v="-"/>
    <d v="2019-09-28T00:00:00"/>
    <s v="Credicoop"/>
    <n v="49050747"/>
    <s v="Signiori Luis Alberto"/>
    <n v="7000"/>
    <x v="1"/>
    <s v="20-05510696-8"/>
    <s v="A-007"/>
    <m/>
    <m/>
    <s v="Pastora"/>
    <x v="1"/>
    <x v="5"/>
    <x v="0"/>
    <x v="4"/>
  </r>
  <r>
    <d v="2019-07-01T00:00:00"/>
    <s v="Signiori Luis Alberto"/>
    <s v="-"/>
    <d v="2019-09-28T00:00:00"/>
    <s v="Credicoop"/>
    <n v="48900306"/>
    <s v="Signiori Luis Alberto"/>
    <n v="6000"/>
    <x v="0"/>
    <s v="20-05510696-8"/>
    <s v="A-008"/>
    <m/>
    <m/>
    <m/>
    <x v="1"/>
    <x v="5"/>
    <x v="0"/>
    <x v="4"/>
  </r>
  <r>
    <d v="2019-07-01T00:00:00"/>
    <s v="Signiori Luis Alberto"/>
    <s v="-"/>
    <d v="2019-09-28T00:00:00"/>
    <s v="Credicoop"/>
    <n v="48900321"/>
    <s v="Signiori Luis Alberto"/>
    <n v="6000"/>
    <x v="0"/>
    <s v="20-05510696-8"/>
    <s v="A-009"/>
    <m/>
    <m/>
    <m/>
    <x v="1"/>
    <x v="5"/>
    <x v="0"/>
    <x v="4"/>
  </r>
  <r>
    <d v="2019-07-01T00:00:00"/>
    <s v="Signiori Luis Alberto"/>
    <s v="-"/>
    <d v="2019-09-29T00:00:00"/>
    <s v="Credicoop"/>
    <n v="48900322"/>
    <s v="Signiori Luis Alberto"/>
    <n v="6000"/>
    <x v="0"/>
    <s v="20-05510696-8"/>
    <s v="A-010"/>
    <m/>
    <m/>
    <m/>
    <x v="1"/>
    <x v="5"/>
    <x v="0"/>
    <x v="5"/>
  </r>
  <r>
    <d v="2019-07-01T00:00:00"/>
    <s v="Signiori Luis Alberto"/>
    <s v="-"/>
    <d v="2019-09-29T00:00:00"/>
    <s v="Credicoop"/>
    <n v="48900307"/>
    <s v="Signiori Luis Alberto"/>
    <n v="6000"/>
    <x v="0"/>
    <s v="20-05510696-8"/>
    <s v="A-011"/>
    <m/>
    <m/>
    <m/>
    <x v="1"/>
    <x v="5"/>
    <x v="0"/>
    <x v="5"/>
  </r>
  <r>
    <d v="2019-07-01T00:00:00"/>
    <s v="Signiori Luis Alberto"/>
    <s v="-"/>
    <d v="2019-09-29T00:00:00"/>
    <s v="Credicoop"/>
    <n v="49050748"/>
    <s v="Signiori Luis Alberto"/>
    <n v="8000"/>
    <x v="0"/>
    <s v="20-05510696-8"/>
    <s v="A-012"/>
    <m/>
    <m/>
    <m/>
    <x v="1"/>
    <x v="5"/>
    <x v="0"/>
    <x v="5"/>
  </r>
  <r>
    <d v="2019-07-01T00:00:00"/>
    <s v="Signiori Luis Alberto"/>
    <s v="-"/>
    <d v="2019-09-29T00:00:00"/>
    <s v="Credicoop"/>
    <n v="49050715"/>
    <s v="Signiori Luis Alberto"/>
    <n v="10000"/>
    <x v="0"/>
    <s v="20-05510696-8"/>
    <s v="A-013"/>
    <m/>
    <d v="2019-07-10T00:00:00"/>
    <s v="Posdatado"/>
    <x v="1"/>
    <x v="5"/>
    <x v="0"/>
    <x v="5"/>
  </r>
  <r>
    <d v="2019-07-01T00:00:00"/>
    <s v="Signiori Luis Alberto"/>
    <s v="-"/>
    <d v="2019-09-30T00:00:00"/>
    <s v="Credicoop"/>
    <n v="49050714"/>
    <s v="Signiori Luis Alberto"/>
    <n v="10000"/>
    <x v="0"/>
    <s v="20-05510696-8"/>
    <s v="A-014"/>
    <m/>
    <d v="2019-07-15T00:00:00"/>
    <s v="Posdatado"/>
    <x v="17"/>
    <x v="5"/>
    <x v="0"/>
    <x v="2"/>
  </r>
  <r>
    <d v="2019-07-01T00:00:00"/>
    <s v="Signiori Luis Alberto"/>
    <s v="-"/>
    <d v="2019-09-30T00:00:00"/>
    <s v="Credicoop"/>
    <n v="48900308"/>
    <s v="Signiori Luis Alberto"/>
    <n v="6280"/>
    <x v="0"/>
    <s v="20-05510696-8"/>
    <s v="A-015"/>
    <m/>
    <d v="2019-07-16T00:00:00"/>
    <s v="Posdatado"/>
    <x v="1"/>
    <x v="5"/>
    <x v="0"/>
    <x v="2"/>
  </r>
  <r>
    <d v="2019-07-01T00:00:00"/>
    <s v="Signiori Luis Alberto"/>
    <s v="-"/>
    <d v="2019-09-30T00:00:00"/>
    <s v="Credicoop"/>
    <n v="49050749"/>
    <s v="Signiori Luis Alberto"/>
    <n v="8000"/>
    <x v="0"/>
    <s v="20-05510696-8"/>
    <s v="A-016"/>
    <m/>
    <d v="2019-07-16T00:00:00"/>
    <s v="Posdatado"/>
    <x v="1"/>
    <x v="5"/>
    <x v="0"/>
    <x v="2"/>
  </r>
  <r>
    <d v="2019-07-01T00:00:00"/>
    <s v="Signiori Luis Alberto"/>
    <s v="-"/>
    <d v="2019-09-30T00:00:00"/>
    <s v="Credicoop"/>
    <n v="48900323"/>
    <s v="Signiori Luis Alberto"/>
    <n v="6000"/>
    <x v="0"/>
    <s v="20-05510696-8"/>
    <s v="A-017"/>
    <m/>
    <m/>
    <m/>
    <x v="1"/>
    <x v="5"/>
    <x v="0"/>
    <x v="2"/>
  </r>
  <r>
    <d v="2019-07-01T00:00:00"/>
    <s v="Signiori Luis Alberto"/>
    <s v="-"/>
    <d v="2019-10-26T00:00:00"/>
    <s v="Credicoop"/>
    <n v="49050750"/>
    <s v="Signiori Luis Alberto"/>
    <n v="8000"/>
    <x v="3"/>
    <s v="20-05510696-8"/>
    <s v="A-018"/>
    <m/>
    <d v="2019-09-04T00:00:00"/>
    <m/>
    <x v="1"/>
    <x v="1"/>
    <x v="0"/>
    <x v="8"/>
  </r>
  <r>
    <d v="2019-07-01T00:00:00"/>
    <s v="Signiori Luis Alberto"/>
    <s v="-"/>
    <d v="2019-10-27T00:00:00"/>
    <s v="Credicoop"/>
    <n v="48020173"/>
    <s v="Signiori Luis Alberto"/>
    <n v="7094"/>
    <x v="0"/>
    <s v="20-05510696-8"/>
    <s v="A-019"/>
    <m/>
    <m/>
    <m/>
    <x v="1"/>
    <x v="1"/>
    <x v="0"/>
    <x v="26"/>
  </r>
  <r>
    <d v="2019-07-01T00:00:00"/>
    <s v="Signiori Luis Alberto"/>
    <s v="-"/>
    <d v="2019-10-29T00:00:00"/>
    <s v="Credicoop"/>
    <n v="49050716"/>
    <s v="Signiori Luis Alberto"/>
    <n v="10000"/>
    <x v="1"/>
    <s v="20-05510696-8"/>
    <s v="A-020"/>
    <m/>
    <m/>
    <s v="Pastora"/>
    <x v="1"/>
    <x v="1"/>
    <x v="0"/>
    <x v="5"/>
  </r>
  <r>
    <d v="2019-07-01T00:00:00"/>
    <s v="Signiori Luis Alberto"/>
    <s v="-"/>
    <d v="2019-10-29T00:00:00"/>
    <s v="Credicoop"/>
    <n v="48900324"/>
    <s v="Signiori Luis Alberto"/>
    <n v="6000"/>
    <x v="1"/>
    <s v="20-05510696-8"/>
    <s v="A-021"/>
    <m/>
    <d v="2019-07-25T00:00:00"/>
    <s v="Mandi"/>
    <x v="1"/>
    <x v="1"/>
    <x v="0"/>
    <x v="5"/>
  </r>
  <r>
    <d v="2019-07-01T00:00:00"/>
    <s v="Signiori Luis Alberto"/>
    <s v="-"/>
    <d v="2019-10-30T00:00:00"/>
    <s v="Credicoop"/>
    <n v="48900325"/>
    <s v="Signiori Luis Alberto"/>
    <n v="6000"/>
    <x v="1"/>
    <s v="20-05510696-8"/>
    <s v="A-022"/>
    <m/>
    <d v="2019-08-12T00:00:00"/>
    <s v="Speranza"/>
    <x v="1"/>
    <x v="1"/>
    <x v="0"/>
    <x v="2"/>
  </r>
  <r>
    <d v="2019-07-01T00:00:00"/>
    <s v="Signiori Luis Alberto"/>
    <s v="-"/>
    <d v="2019-10-30T00:00:00"/>
    <s v="Credicoop"/>
    <n v="49050717"/>
    <s v="Signiori Luis Alberto"/>
    <n v="10000"/>
    <x v="0"/>
    <s v="20-05510696-8"/>
    <s v="A-023"/>
    <m/>
    <m/>
    <m/>
    <x v="1"/>
    <x v="1"/>
    <x v="0"/>
    <x v="2"/>
  </r>
  <r>
    <d v="2019-07-01T00:00:00"/>
    <s v="Signiori Luis Alberto"/>
    <s v="-"/>
    <d v="2019-10-31T00:00:00"/>
    <s v="Credicoop"/>
    <n v="49050718"/>
    <s v="Signiori Luis Alberto"/>
    <n v="10210"/>
    <x v="0"/>
    <s v="20-05510696-8"/>
    <s v="A-024"/>
    <m/>
    <m/>
    <m/>
    <x v="1"/>
    <x v="1"/>
    <x v="0"/>
    <x v="3"/>
  </r>
  <r>
    <d v="2019-07-01T00:00:00"/>
    <s v="Signiori Luis Alberto"/>
    <s v="-"/>
    <d v="2019-10-31T00:00:00"/>
    <s v="Credicoop"/>
    <n v="48900326"/>
    <s v="Signiori Luis Alberto"/>
    <n v="6711"/>
    <x v="1"/>
    <s v="20-05510696-8"/>
    <s v="A-025"/>
    <m/>
    <d v="2019-07-25T00:00:00"/>
    <s v="Mandi"/>
    <x v="1"/>
    <x v="1"/>
    <x v="0"/>
    <x v="3"/>
  </r>
  <r>
    <d v="2019-07-01T00:00:00"/>
    <s v="Signiori Luis Alberto"/>
    <s v="-"/>
    <d v="2019-08-31T00:00:00"/>
    <s v="Credicoop"/>
    <n v="49824858"/>
    <s v="Signiori Luis Alberto"/>
    <n v="5000"/>
    <x v="1"/>
    <s v="20-05510696-8"/>
    <s v="A-026"/>
    <m/>
    <d v="2019-07-03T00:00:00"/>
    <s v="Rantalex"/>
    <x v="1"/>
    <x v="0"/>
    <x v="0"/>
    <x v="3"/>
  </r>
  <r>
    <d v="2019-07-01T00:00:00"/>
    <s v="Signiori Luis Alberto"/>
    <s v="-"/>
    <d v="2019-09-30T00:00:00"/>
    <s v="Credicoop"/>
    <n v="49824860"/>
    <s v="Signiori Luis Alberto"/>
    <n v="8000"/>
    <x v="0"/>
    <s v="20-05510696-8"/>
    <s v="A-027"/>
    <m/>
    <d v="2019-07-16T00:00:00"/>
    <s v="Posdatado"/>
    <x v="1"/>
    <x v="5"/>
    <x v="0"/>
    <x v="2"/>
  </r>
  <r>
    <d v="2019-07-01T00:00:00"/>
    <s v="Signiori Luis Alberto"/>
    <s v="-"/>
    <d v="2019-10-29T00:00:00"/>
    <s v="Credicoop"/>
    <n v="49824861"/>
    <s v="Signiori Luis Alberto"/>
    <n v="8000"/>
    <x v="0"/>
    <s v="20-05510696-8"/>
    <s v="A-028"/>
    <m/>
    <m/>
    <m/>
    <x v="1"/>
    <x v="1"/>
    <x v="0"/>
    <x v="5"/>
  </r>
  <r>
    <d v="2019-07-01T00:00:00"/>
    <s v="Signiori Luis Alberto"/>
    <s v="-"/>
    <d v="2019-10-30T00:00:00"/>
    <s v="Credicoop"/>
    <n v="49824862"/>
    <s v="Signiori Luis Alberto"/>
    <n v="8000"/>
    <x v="1"/>
    <s v="20-05510696-8"/>
    <s v="A-029"/>
    <m/>
    <d v="2019-09-04T00:00:00"/>
    <s v="Rontaltex"/>
    <x v="1"/>
    <x v="1"/>
    <x v="0"/>
    <x v="2"/>
  </r>
  <r>
    <d v="2019-07-01T00:00:00"/>
    <s v="Signiori Luis Alberto"/>
    <s v="-"/>
    <d v="2019-10-31T00:00:00"/>
    <s v="Credicoop"/>
    <n v="49824863"/>
    <s v="Signiori Luis Alberto"/>
    <n v="8398"/>
    <x v="0"/>
    <s v="20-05510696-8"/>
    <s v="A-030"/>
    <m/>
    <m/>
    <m/>
    <x v="1"/>
    <x v="1"/>
    <x v="0"/>
    <x v="3"/>
  </r>
  <r>
    <d v="2019-07-01T00:00:00"/>
    <s v="Signiori Luis Alberto"/>
    <s v="-"/>
    <d v="2019-09-29T00:00:00"/>
    <s v="Credicoop"/>
    <n v="49824864"/>
    <s v="Signiori Luis Alberto"/>
    <n v="6474"/>
    <x v="0"/>
    <s v="20-05510696-8"/>
    <s v="A-031"/>
    <m/>
    <m/>
    <m/>
    <x v="1"/>
    <x v="5"/>
    <x v="0"/>
    <x v="5"/>
  </r>
  <r>
    <d v="2019-07-10T00:00:00"/>
    <s v="Signiori Luis Alberto"/>
    <s v="-"/>
    <d v="2019-10-30T00:00:00"/>
    <s v="Provincia"/>
    <n v="68725306"/>
    <s v="Signiori Luis Alberto"/>
    <n v="6000"/>
    <x v="0"/>
    <s v="20-05510696-8"/>
    <s v="A-032"/>
    <m/>
    <m/>
    <m/>
    <x v="1"/>
    <x v="1"/>
    <x v="0"/>
    <x v="2"/>
  </r>
  <r>
    <d v="2019-07-10T00:00:00"/>
    <s v="Signiori Luis Alberto"/>
    <s v="-"/>
    <d v="2019-10-31T00:00:00"/>
    <s v="Provincia"/>
    <n v="68725307"/>
    <s v="Signiori Luis Alberto"/>
    <n v="6000"/>
    <x v="0"/>
    <s v="20-05510696-8"/>
    <s v="A-033"/>
    <m/>
    <m/>
    <m/>
    <x v="1"/>
    <x v="1"/>
    <x v="0"/>
    <x v="3"/>
  </r>
  <r>
    <d v="2019-07-10T00:00:00"/>
    <s v="Signiori Luis Alberto"/>
    <s v="-"/>
    <d v="2019-10-31T00:00:00"/>
    <s v="Provincia"/>
    <n v="68725308"/>
    <s v="Signiori Luis Alberto"/>
    <n v="7717"/>
    <x v="0"/>
    <s v="20-05510696-8"/>
    <s v="A-034"/>
    <m/>
    <m/>
    <m/>
    <x v="1"/>
    <x v="1"/>
    <x v="0"/>
    <x v="3"/>
  </r>
  <r>
    <d v="2019-07-10T00:00:00"/>
    <s v="Signiori Luis Alberto"/>
    <s v="-"/>
    <d v="2019-10-29T00:00:00"/>
    <s v="Provincia"/>
    <n v="68725305"/>
    <s v="Signiori Luis Alberto"/>
    <n v="6000"/>
    <x v="0"/>
    <s v="20-05510696-8"/>
    <s v="A-035"/>
    <m/>
    <m/>
    <m/>
    <x v="1"/>
    <x v="1"/>
    <x v="0"/>
    <x v="5"/>
  </r>
  <r>
    <d v="2019-07-10T00:00:00"/>
    <s v="Signiori Luis Alberto"/>
    <s v="-"/>
    <d v="2019-09-28T00:00:00"/>
    <s v="Provincia"/>
    <n v="68725304"/>
    <s v="Signiori Luis Alberto"/>
    <n v="6000"/>
    <x v="0"/>
    <s v="20-05510696-8"/>
    <s v="A-036"/>
    <m/>
    <m/>
    <m/>
    <x v="1"/>
    <x v="5"/>
    <x v="0"/>
    <x v="4"/>
  </r>
  <r>
    <d v="2019-07-10T00:00:00"/>
    <s v="Signiori Luis Alberto"/>
    <s v="-"/>
    <d v="2019-09-29T00:00:00"/>
    <s v="Provincia"/>
    <n v="68725303"/>
    <s v="Signiori Luis Alberto"/>
    <n v="6000"/>
    <x v="0"/>
    <s v="20-05510696-8"/>
    <s v="A-037"/>
    <m/>
    <d v="2019-07-10T00:00:00"/>
    <s v="Posdatado"/>
    <x v="1"/>
    <x v="5"/>
    <x v="0"/>
    <x v="5"/>
  </r>
  <r>
    <d v="2019-07-10T00:00:00"/>
    <s v="Signiori Luis Alberto"/>
    <s v="-"/>
    <d v="2019-09-30T00:00:00"/>
    <s v="Provincia"/>
    <n v="68725302"/>
    <s v="Signiori Luis Alberto"/>
    <n v="6000"/>
    <x v="0"/>
    <s v="20-05510696-8"/>
    <s v="A-038"/>
    <m/>
    <d v="2019-07-10T00:00:00"/>
    <s v="Posdatado"/>
    <x v="1"/>
    <x v="5"/>
    <x v="0"/>
    <x v="2"/>
  </r>
  <r>
    <d v="2019-07-01T00:00:00"/>
    <s v="Espinosa Monica Silva"/>
    <s v="-"/>
    <d v="2019-06-28T00:00:00"/>
    <s v="BIND"/>
    <n v="14062075"/>
    <s v="Espinosa Monica Silva"/>
    <n v="489.98"/>
    <x v="0"/>
    <s v="30-61119439-7"/>
    <s v="B-001"/>
    <m/>
    <m/>
    <s v="Pago a oam"/>
    <x v="1"/>
    <x v="11"/>
    <x v="0"/>
    <x v="4"/>
  </r>
  <r>
    <d v="2019-07-01T00:00:00"/>
    <s v="Class Carlos"/>
    <s v="-"/>
    <d v="2019-08-04T00:00:00"/>
    <s v="Macro"/>
    <n v="94815326"/>
    <s v="La Valle Antonio Alberto"/>
    <n v="3500"/>
    <x v="0"/>
    <s v="20-08479043-6"/>
    <s v="B-002"/>
    <m/>
    <m/>
    <m/>
    <x v="1"/>
    <x v="0"/>
    <x v="0"/>
    <x v="28"/>
  </r>
  <r>
    <d v="2019-07-01T00:00:00"/>
    <s v="Petrich"/>
    <s v="-"/>
    <d v="2019-08-20T00:00:00"/>
    <s v="Provincia"/>
    <n v="67508307"/>
    <s v="Allegreti Gustavo Carlos"/>
    <n v="1911"/>
    <x v="0"/>
    <s v="20-13770402-2"/>
    <s v="B-003"/>
    <m/>
    <m/>
    <m/>
    <x v="1"/>
    <x v="0"/>
    <x v="0"/>
    <x v="18"/>
  </r>
  <r>
    <d v="2019-07-01T00:00:00"/>
    <s v="Allegretti Gustavo Carlos"/>
    <s v="-"/>
    <d v="2019-08-30T00:00:00"/>
    <s v="Provincia"/>
    <n v="67508313"/>
    <s v="Allegreti Gustavo Carlos"/>
    <n v="2500"/>
    <x v="0"/>
    <s v="20-13770402-2"/>
    <s v="B-004"/>
    <m/>
    <m/>
    <m/>
    <x v="1"/>
    <x v="0"/>
    <x v="0"/>
    <x v="2"/>
  </r>
  <r>
    <d v="2019-07-01T00:00:00"/>
    <s v="Tovillas Carlos Enrique"/>
    <s v="-"/>
    <d v="2019-08-30T00:00:00"/>
    <s v="Credicoop"/>
    <n v="48560127"/>
    <s v="Tovillas Carlos Enrique"/>
    <n v="3000"/>
    <x v="3"/>
    <s v="20-04970412-8"/>
    <s v="B-005"/>
    <m/>
    <d v="2019-09-03T00:00:00"/>
    <m/>
    <x v="1"/>
    <x v="0"/>
    <x v="0"/>
    <x v="2"/>
  </r>
  <r>
    <d v="2019-07-01T00:00:00"/>
    <s v="Riabis"/>
    <s v="-"/>
    <d v="2019-07-12T00:00:00"/>
    <s v="Provincia"/>
    <n v="63641739"/>
    <s v="Anton Victor Jose"/>
    <n v="3910"/>
    <x v="0"/>
    <s v="20-24168928-0"/>
    <s v="B-006"/>
    <m/>
    <m/>
    <m/>
    <x v="1"/>
    <x v="4"/>
    <x v="0"/>
    <x v="0"/>
  </r>
  <r>
    <d v="2019-07-01T00:00:00"/>
    <s v="Petrich"/>
    <s v="-"/>
    <d v="2019-07-20T00:00:00"/>
    <s v="Provincia"/>
    <n v="67508306"/>
    <s v="Allegreti Gustavo Carlos"/>
    <n v="1911"/>
    <x v="0"/>
    <s v="20-13770402-2"/>
    <s v="B-007"/>
    <m/>
    <d v="2019-07-20T00:00:00"/>
    <m/>
    <x v="1"/>
    <x v="4"/>
    <x v="0"/>
    <x v="18"/>
  </r>
  <r>
    <d v="2019-07-01T00:00:00"/>
    <s v="Jerez"/>
    <s v="-"/>
    <d v="2019-07-20T00:00:00"/>
    <s v="Provincia"/>
    <n v="63757219"/>
    <s v="Schwindt Carlos Walter"/>
    <n v="2000"/>
    <x v="0"/>
    <s v="20-18504496-4"/>
    <s v="B-008"/>
    <m/>
    <d v="2019-09-20T00:00:00"/>
    <m/>
    <x v="1"/>
    <x v="4"/>
    <x v="0"/>
    <x v="18"/>
  </r>
  <r>
    <d v="2019-07-01T00:00:00"/>
    <s v="Jerez"/>
    <s v="-"/>
    <d v="2019-07-30T00:00:00"/>
    <s v="Provincia"/>
    <n v="65228753"/>
    <s v="Cricco Alicia"/>
    <n v="10000"/>
    <x v="0"/>
    <s v="23-11808560-4"/>
    <s v="B-009"/>
    <m/>
    <d v="2019-07-10T00:00:00"/>
    <s v="Posdatado"/>
    <x v="1"/>
    <x v="4"/>
    <x v="0"/>
    <x v="2"/>
  </r>
  <r>
    <d v="2019-09-01T00:00:00"/>
    <s v="Riabis"/>
    <s v="-"/>
    <d v="2019-07-12T00:00:00"/>
    <s v="Nacion"/>
    <n v="70053"/>
    <s v="Polirubro Amigo S.A."/>
    <n v="4270"/>
    <x v="0"/>
    <s v="30-66665029-4"/>
    <s v="B-010"/>
    <m/>
    <d v="2019-07-12T00:00:00"/>
    <s v="Deposito"/>
    <x v="18"/>
    <x v="4"/>
    <x v="0"/>
    <x v="0"/>
  </r>
  <r>
    <d v="2019-07-01T00:00:00"/>
    <s v="Riabis"/>
    <s v="-"/>
    <d v="2019-06-29T00:00:00"/>
    <s v="Santander Rio"/>
    <n v="7201258"/>
    <s v="Rodriguez Luis Maria Francisco"/>
    <n v="5000"/>
    <x v="0"/>
    <s v="20-13125770-9"/>
    <s v="B-011"/>
    <m/>
    <d v="2019-07-01T00:00:00"/>
    <s v="Deposito"/>
    <x v="1"/>
    <x v="11"/>
    <x v="0"/>
    <x v="5"/>
  </r>
  <r>
    <d v="2019-07-01T00:00:00"/>
    <s v="Dominguez Marcelo Alberto"/>
    <s v="-"/>
    <d v="2019-06-30T00:00:00"/>
    <s v="Galicia"/>
    <n v="60881406"/>
    <s v="Dominguez Marcelo Alberto"/>
    <n v="10000"/>
    <x v="0"/>
    <s v="20-10590043-1"/>
    <s v="B-012"/>
    <m/>
    <d v="2019-07-01T00:00:00"/>
    <s v="Deposito"/>
    <x v="1"/>
    <x v="11"/>
    <x v="0"/>
    <x v="2"/>
  </r>
  <r>
    <d v="2019-07-01T00:00:00"/>
    <s v="Riabis"/>
    <s v="-"/>
    <d v="2019-07-01T00:00:00"/>
    <s v="Nacion"/>
    <n v="204902"/>
    <s v="Lazaro Maria Bernarda"/>
    <n v="3100"/>
    <x v="0"/>
    <s v="27-32131612-9"/>
    <s v="B-013"/>
    <m/>
    <d v="2019-07-01T00:00:00"/>
    <s v="Deposito"/>
    <x v="1"/>
    <x v="4"/>
    <x v="0"/>
    <x v="24"/>
  </r>
  <r>
    <d v="2019-07-01T00:00:00"/>
    <s v="Riabis"/>
    <s v="-"/>
    <d v="2019-07-04T00:00:00"/>
    <s v="Nacion"/>
    <n v="204903"/>
    <s v="Lazaro Maria Bernarda"/>
    <n v="3100"/>
    <x v="0"/>
    <s v="27-32131612-9"/>
    <s v="B-014"/>
    <m/>
    <d v="2019-07-10T00:00:00"/>
    <m/>
    <x v="1"/>
    <x v="4"/>
    <x v="0"/>
    <x v="28"/>
  </r>
  <r>
    <d v="2019-07-01T00:00:00"/>
    <s v="Serra Roberto Alejandro"/>
    <s v="-"/>
    <d v="2019-07-05T00:00:00"/>
    <s v="Galicia"/>
    <n v="60812619"/>
    <s v="Serra Roberto Alejandro"/>
    <n v="4500"/>
    <x v="0"/>
    <s v="20-32830531-4"/>
    <s v="B-015"/>
    <m/>
    <d v="2019-07-10T00:00:00"/>
    <m/>
    <x v="18"/>
    <x v="4"/>
    <x v="0"/>
    <x v="22"/>
  </r>
  <r>
    <d v="2019-07-01T00:00:00"/>
    <s v="Riabis"/>
    <s v="-"/>
    <d v="2019-07-08T00:00:00"/>
    <s v="Nacion"/>
    <n v="43060"/>
    <s v="Anhorn Juan Ricardo"/>
    <n v="3500"/>
    <x v="0"/>
    <s v="20-07695582-5"/>
    <s v="B-016"/>
    <m/>
    <d v="2019-07-10T00:00:00"/>
    <m/>
    <x v="1"/>
    <x v="4"/>
    <x v="0"/>
    <x v="20"/>
  </r>
  <r>
    <d v="2019-07-01T00:00:00"/>
    <s v="Serra Roberto Alejandro"/>
    <s v="-"/>
    <d v="2019-09-08T00:00:00"/>
    <s v="Galicia"/>
    <n v="60812625"/>
    <s v="Serra Roberto Alejandro"/>
    <n v="4500"/>
    <x v="0"/>
    <s v="20-32830531-4"/>
    <s v="B-017"/>
    <m/>
    <d v="2019-07-01T00:00:00"/>
    <s v="Posdatado"/>
    <x v="1"/>
    <x v="5"/>
    <x v="0"/>
    <x v="20"/>
  </r>
  <r>
    <d v="2019-07-01T00:00:00"/>
    <s v="Tovillas Carlos Enrique"/>
    <s v="-"/>
    <d v="2019-09-11T00:00:00"/>
    <s v="Credicoop"/>
    <n v="48560128"/>
    <s v="Tovillas Carlos Enrique"/>
    <n v="3200"/>
    <x v="0"/>
    <s v="20-04970412-8"/>
    <s v="B-018"/>
    <m/>
    <m/>
    <m/>
    <x v="1"/>
    <x v="5"/>
    <x v="0"/>
    <x v="11"/>
  </r>
  <r>
    <d v="2019-07-01T00:00:00"/>
    <s v="Serra Roberto Alejandro"/>
    <s v="-"/>
    <d v="2019-09-25T00:00:00"/>
    <s v="Galicia"/>
    <n v="60812627"/>
    <s v="Tovillas Carlos Enrique"/>
    <n v="4500"/>
    <x v="0"/>
    <s v="20-32830531-4"/>
    <s v="B-019"/>
    <m/>
    <d v="2019-07-01T00:00:00"/>
    <s v="Posdatado"/>
    <x v="1"/>
    <x v="5"/>
    <x v="0"/>
    <x v="10"/>
  </r>
  <r>
    <d v="2019-07-01T00:00:00"/>
    <s v="Tovillas Carlos Enrique"/>
    <s v="-"/>
    <d v="2019-09-26T00:00:00"/>
    <s v="Credicoop"/>
    <n v="48560131"/>
    <s v="Tovillas Carlos Enrique"/>
    <n v="3296"/>
    <x v="0"/>
    <s v="20-04970412-8"/>
    <s v="B-020"/>
    <m/>
    <m/>
    <m/>
    <x v="1"/>
    <x v="5"/>
    <x v="0"/>
    <x v="8"/>
  </r>
  <r>
    <d v="2019-07-01T00:00:00"/>
    <s v="Baiud Wanda Elisabet"/>
    <s v="-"/>
    <d v="2019-09-27T00:00:00"/>
    <s v="Santander Rio"/>
    <n v="52900208"/>
    <s v="Baiud Wanda Elisabet"/>
    <n v="6500"/>
    <x v="0"/>
    <s v="23-31211968-4"/>
    <s v="B-021"/>
    <m/>
    <d v="2019-07-10T00:00:00"/>
    <s v="Posdatado"/>
    <x v="1"/>
    <x v="5"/>
    <x v="0"/>
    <x v="26"/>
  </r>
  <r>
    <d v="2019-07-01T00:00:00"/>
    <s v="Serra Roberto Alejandro"/>
    <s v="-"/>
    <d v="2019-09-30T00:00:00"/>
    <s v="Galicia"/>
    <n v="60812628"/>
    <s v="Serra Roberto Alejandro"/>
    <n v="4500"/>
    <x v="0"/>
    <s v="20-32830531-4"/>
    <s v="B-022"/>
    <m/>
    <m/>
    <m/>
    <x v="1"/>
    <x v="5"/>
    <x v="0"/>
    <x v="2"/>
  </r>
  <r>
    <d v="2019-07-01T00:00:00"/>
    <s v="Serra Roberto Alejandro"/>
    <s v="-"/>
    <d v="2019-10-12T00:00:00"/>
    <s v="Galicia"/>
    <n v="60812629"/>
    <s v="Serra Roberto Alejandro"/>
    <n v="9000"/>
    <x v="0"/>
    <s v="20-32830531-4"/>
    <s v="B-023"/>
    <m/>
    <m/>
    <m/>
    <x v="1"/>
    <x v="1"/>
    <x v="0"/>
    <x v="0"/>
  </r>
  <r>
    <d v="2019-07-01T00:00:00"/>
    <s v="Serra Roberto Alejandro"/>
    <s v="-"/>
    <d v="2019-10-26T00:00:00"/>
    <s v="Galicia"/>
    <n v="60812630"/>
    <s v="Serra Roberto Alejandro"/>
    <n v="6020"/>
    <x v="0"/>
    <s v="20-32830531-4"/>
    <s v="B-024"/>
    <m/>
    <m/>
    <m/>
    <x v="1"/>
    <x v="1"/>
    <x v="0"/>
    <x v="8"/>
  </r>
  <r>
    <d v="2019-07-01T00:00:00"/>
    <s v="Garcia Sanjurjon Daniel Alejo"/>
    <s v="-"/>
    <d v="2019-09-13T00:00:00"/>
    <s v="Provincia"/>
    <n v="52679406"/>
    <s v="Garcia Sanjurjo Daniel Alejo"/>
    <n v="7000"/>
    <x v="0"/>
    <s v="20-35216842-5"/>
    <s v="B-025"/>
    <m/>
    <d v="2019-07-02T00:00:00"/>
    <s v="Posdatado"/>
    <x v="1"/>
    <x v="5"/>
    <x v="0"/>
    <x v="7"/>
  </r>
  <r>
    <d v="2019-07-01T00:00:00"/>
    <s v="Jerez"/>
    <s v="-"/>
    <d v="2019-09-14T00:00:00"/>
    <s v="Provincia"/>
    <n v="65216614"/>
    <s v="Magallanes Maria Mirtha"/>
    <n v="3460"/>
    <x v="0"/>
    <s v="27-14630508-9"/>
    <s v="B-026"/>
    <m/>
    <d v="2019-09-17T00:00:00"/>
    <m/>
    <x v="1"/>
    <x v="5"/>
    <x v="0"/>
    <x v="16"/>
  </r>
  <r>
    <d v="2019-07-01T00:00:00"/>
    <s v="Serra Roberto Alejandro"/>
    <s v="-"/>
    <d v="2019-09-15T00:00:00"/>
    <s v="Galicia"/>
    <n v="60812626"/>
    <s v="Serra Roberto Alejandro"/>
    <n v="4500"/>
    <x v="1"/>
    <s v="20-32830531-4"/>
    <s v="B-027"/>
    <m/>
    <d v="2019-07-10T00:00:00"/>
    <s v="Pastora Rioja S.A."/>
    <x v="1"/>
    <x v="5"/>
    <x v="0"/>
    <x v="14"/>
  </r>
  <r>
    <d v="2019-07-01T00:00:00"/>
    <s v="Jerez"/>
    <s v="-"/>
    <d v="2019-09-20T00:00:00"/>
    <s v="Santander Rio"/>
    <n v="52900207"/>
    <s v="Baiud Wanda Elisabet"/>
    <n v="6500"/>
    <x v="1"/>
    <s v="23-31211968-4"/>
    <s v="B-028"/>
    <m/>
    <d v="2019-07-03T00:00:00"/>
    <s v="Rantalex"/>
    <x v="1"/>
    <x v="5"/>
    <x v="0"/>
    <x v="18"/>
  </r>
  <r>
    <d v="2019-07-01T00:00:00"/>
    <s v="Tovillas Carlos Enrique"/>
    <s v="-"/>
    <d v="2019-09-21T00:00:00"/>
    <s v="Credicoop"/>
    <n v="48560130"/>
    <s v="Tovillas Carlos Enrique"/>
    <n v="3200"/>
    <x v="1"/>
    <s v="20-04970412-8"/>
    <s v="B-029"/>
    <m/>
    <d v="2019-07-10T00:00:00"/>
    <s v="Pastora Rioja S.A."/>
    <x v="1"/>
    <x v="5"/>
    <x v="0"/>
    <x v="15"/>
  </r>
  <r>
    <d v="2019-07-01T00:00:00"/>
    <s v="Jerez"/>
    <s v="-"/>
    <d v="2019-09-21T00:00:00"/>
    <s v="Provincia"/>
    <n v="65216616"/>
    <s v="Magallanes Maria Mirtha"/>
    <n v="3460"/>
    <x v="0"/>
    <s v="27-14630508-9"/>
    <s v="B-030"/>
    <m/>
    <d v="2019-09-23T00:00:00"/>
    <m/>
    <x v="1"/>
    <x v="5"/>
    <x v="0"/>
    <x v="15"/>
  </r>
  <r>
    <d v="2019-07-02T00:00:00"/>
    <s v="Petrich"/>
    <s v="-"/>
    <d v="2019-08-10T00:00:00"/>
    <s v="Provincia"/>
    <n v="62288615"/>
    <s v="PailleHue SRL"/>
    <n v="2990"/>
    <x v="0"/>
    <s v="30-51962306-0"/>
    <s v="B-031"/>
    <m/>
    <d v="2019-08-14T00:00:00"/>
    <m/>
    <x v="1"/>
    <x v="0"/>
    <x v="0"/>
    <x v="17"/>
  </r>
  <r>
    <d v="2019-07-02T00:00:00"/>
    <s v="Petrich"/>
    <s v="-"/>
    <d v="2019-08-10T00:00:00"/>
    <s v="Provincia"/>
    <n v="53575247"/>
    <s v="Martin Fernando Roberto"/>
    <n v="5000"/>
    <x v="0"/>
    <s v="20-17995601-2"/>
    <s v="B-032"/>
    <m/>
    <d v="2019-08-14T00:00:00"/>
    <m/>
    <x v="1"/>
    <x v="0"/>
    <x v="0"/>
    <x v="17"/>
  </r>
  <r>
    <d v="2019-07-02T00:00:00"/>
    <s v="Petrich"/>
    <s v="-"/>
    <d v="2019-09-29T00:00:00"/>
    <s v="Provincia"/>
    <n v="66810222"/>
    <s v="Flores Silvana Elisabet"/>
    <n v="8000"/>
    <x v="0"/>
    <s v="27-25075914-8"/>
    <s v="B-033"/>
    <m/>
    <d v="2019-07-10T00:00:00"/>
    <s v="Posdatado"/>
    <x v="1"/>
    <x v="5"/>
    <x v="0"/>
    <x v="5"/>
  </r>
  <r>
    <d v="2019-07-02T00:00:00"/>
    <s v="Petrich"/>
    <s v="-"/>
    <d v="2019-09-15T00:00:00"/>
    <s v="Provincia"/>
    <n v="66810221"/>
    <s v="Flores Silvana Elisabet"/>
    <n v="8000"/>
    <x v="0"/>
    <s v="27-25075914-8"/>
    <s v="B-034"/>
    <m/>
    <d v="2019-07-02T00:00:00"/>
    <s v="Posdatado"/>
    <x v="1"/>
    <x v="5"/>
    <x v="0"/>
    <x v="14"/>
  </r>
  <r>
    <d v="2019-07-02T00:00:00"/>
    <s v="Petrich"/>
    <s v="-"/>
    <d v="2019-08-15T00:00:00"/>
    <s v="Galicia"/>
    <n v="48205229"/>
    <s v="El Norosal S.A."/>
    <n v="8500"/>
    <x v="0"/>
    <s v="30-70887339-6"/>
    <s v="B-035"/>
    <m/>
    <d v="2019-07-11T00:00:00"/>
    <s v="Posdatado"/>
    <x v="1"/>
    <x v="0"/>
    <x v="0"/>
    <x v="14"/>
  </r>
  <r>
    <d v="2019-07-02T00:00:00"/>
    <s v="Petrich"/>
    <s v="-"/>
    <d v="2019-09-28T00:00:00"/>
    <s v="Macro"/>
    <n v="95451827"/>
    <s v="Urbaneja Cesar Rene"/>
    <n v="9796"/>
    <x v="0"/>
    <s v="20-05057960-4"/>
    <s v="B-036"/>
    <m/>
    <d v="2019-07-10T00:00:00"/>
    <s v="Posdatado"/>
    <x v="1"/>
    <x v="5"/>
    <x v="0"/>
    <x v="4"/>
  </r>
  <r>
    <d v="2019-07-02T00:00:00"/>
    <s v="Petrich"/>
    <s v="-"/>
    <d v="2019-08-17T00:00:00"/>
    <s v="Nacion"/>
    <n v="70132"/>
    <s v="Polirubro Amigo S.A."/>
    <n v="4150"/>
    <x v="0"/>
    <s v="30-66665029-4"/>
    <s v="B-037"/>
    <m/>
    <m/>
    <m/>
    <x v="1"/>
    <x v="0"/>
    <x v="0"/>
    <x v="21"/>
  </r>
  <r>
    <d v="2019-07-02T00:00:00"/>
    <s v="Petrich"/>
    <s v="-"/>
    <d v="2019-08-31T00:00:00"/>
    <s v="Nacion"/>
    <n v="70133"/>
    <s v="Polirubro Amigo S.A."/>
    <n v="4150"/>
    <x v="3"/>
    <s v="30-66665029-4"/>
    <s v="B-038"/>
    <m/>
    <d v="2019-09-03T00:00:00"/>
    <m/>
    <x v="1"/>
    <x v="0"/>
    <x v="0"/>
    <x v="3"/>
  </r>
  <r>
    <d v="2019-07-02T00:00:00"/>
    <s v="Petrich"/>
    <s v="-"/>
    <d v="2019-09-07T00:00:00"/>
    <s v="Nacion"/>
    <n v="70134"/>
    <s v="Polirubro Amigo S.A."/>
    <n v="4150"/>
    <x v="0"/>
    <s v="30-66665029-4"/>
    <s v="B-039"/>
    <m/>
    <m/>
    <m/>
    <x v="1"/>
    <x v="5"/>
    <x v="0"/>
    <x v="12"/>
  </r>
  <r>
    <d v="2019-07-02T00:00:00"/>
    <s v="Petrich"/>
    <s v="-"/>
    <d v="2019-09-14T00:00:00"/>
    <s v="Nacion"/>
    <n v="70135"/>
    <s v="Polirubro Amigo S.A."/>
    <n v="4150"/>
    <x v="0"/>
    <s v="30-66665029-4"/>
    <s v="B-040"/>
    <m/>
    <m/>
    <s v="Posdatado"/>
    <x v="1"/>
    <x v="5"/>
    <x v="0"/>
    <x v="16"/>
  </r>
  <r>
    <d v="2019-07-02T00:00:00"/>
    <s v="Petrich"/>
    <s v="-"/>
    <d v="2019-09-21T00:00:00"/>
    <s v="Nacion"/>
    <n v="70136"/>
    <s v="Polirubro Amigo S.A."/>
    <n v="4150"/>
    <x v="0"/>
    <s v="30-66665029-4"/>
    <s v="B-041"/>
    <m/>
    <m/>
    <m/>
    <x v="1"/>
    <x v="5"/>
    <x v="0"/>
    <x v="15"/>
  </r>
  <r>
    <d v="2019-07-02T00:00:00"/>
    <s v="Petrich"/>
    <s v="-"/>
    <d v="2019-09-20T00:00:00"/>
    <s v="Provincia"/>
    <n v="67508345"/>
    <s v="Allegreti Gustavo Carlos"/>
    <n v="3936.25"/>
    <x v="0"/>
    <s v="20-13770402-2"/>
    <s v="B-042"/>
    <m/>
    <d v="2019-09-20T00:00:00"/>
    <m/>
    <x v="1"/>
    <x v="5"/>
    <x v="0"/>
    <x v="18"/>
  </r>
  <r>
    <d v="2019-07-02T00:00:00"/>
    <s v="Petrich"/>
    <s v="-"/>
    <d v="2019-09-10T00:00:00"/>
    <s v="Provincia"/>
    <n v="67508344"/>
    <s v="Allegreti Gustavo Carlos"/>
    <n v="3936.25"/>
    <x v="0"/>
    <s v="20-13770402-2"/>
    <s v="B-043"/>
    <m/>
    <d v="2019-09-12T00:00:00"/>
    <m/>
    <x v="1"/>
    <x v="5"/>
    <x v="0"/>
    <x v="17"/>
  </r>
  <r>
    <d v="2019-07-02T00:00:00"/>
    <s v="Petrich"/>
    <s v="-"/>
    <d v="2019-08-20T00:00:00"/>
    <s v="Provincia"/>
    <n v="67508343"/>
    <s v="Allegreti Gustavo Carlos"/>
    <n v="3936.25"/>
    <x v="0"/>
    <s v="20-13770402-2"/>
    <s v="B-044"/>
    <m/>
    <m/>
    <m/>
    <x v="1"/>
    <x v="0"/>
    <x v="0"/>
    <x v="18"/>
  </r>
  <r>
    <d v="2019-07-02T00:00:00"/>
    <s v="Petrich"/>
    <s v="-"/>
    <d v="2019-09-10T00:00:00"/>
    <s v="Provincia"/>
    <n v="67205639"/>
    <s v="Pugliese Jorge oscar"/>
    <n v="12368"/>
    <x v="0"/>
    <s v="20-10095207-7"/>
    <s v="B-045"/>
    <m/>
    <d v="2019-07-02T00:00:00"/>
    <s v="Posdatado"/>
    <x v="1"/>
    <x v="5"/>
    <x v="0"/>
    <x v="17"/>
  </r>
  <r>
    <d v="2019-07-02T00:00:00"/>
    <s v="Petrich"/>
    <s v="-"/>
    <d v="2019-08-05T00:00:00"/>
    <s v="Provincia"/>
    <n v="67205637"/>
    <s v="Pugliese Jorge oscar"/>
    <n v="14000"/>
    <x v="0"/>
    <s v="20-10095207-7"/>
    <s v="B-046"/>
    <m/>
    <d v="2019-07-02T00:00:00"/>
    <s v="Posdatado"/>
    <x v="1"/>
    <x v="0"/>
    <x v="0"/>
    <x v="22"/>
  </r>
  <r>
    <d v="2019-07-02T00:00:00"/>
    <s v="Petrich"/>
    <s v="-"/>
    <d v="2019-08-31T00:00:00"/>
    <s v="Provincia"/>
    <n v="67205638"/>
    <s v="Pugliese Jorge oscar"/>
    <n v="14000"/>
    <x v="0"/>
    <s v="20-10095207-7"/>
    <s v="B-047"/>
    <m/>
    <d v="2019-07-11T00:00:00"/>
    <s v="Posdatado"/>
    <x v="1"/>
    <x v="0"/>
    <x v="0"/>
    <x v="3"/>
  </r>
  <r>
    <d v="2019-07-02T00:00:00"/>
    <s v="Petrich"/>
    <s v="-"/>
    <d v="2019-08-15T00:00:00"/>
    <s v="Provincia"/>
    <n v="67508346"/>
    <s v="Allegreti Gustavo Carlos"/>
    <n v="3936.25"/>
    <x v="0"/>
    <s v="20-13770402-2"/>
    <s v="B-048"/>
    <m/>
    <m/>
    <m/>
    <x v="19"/>
    <x v="0"/>
    <x v="0"/>
    <x v="14"/>
  </r>
  <r>
    <d v="2019-07-02T00:00:00"/>
    <s v="Petrich"/>
    <s v="-"/>
    <d v="2019-08-16T00:00:00"/>
    <s v="Credicoop"/>
    <n v="48560215"/>
    <s v="Tovillas Carlos Enrique"/>
    <n v="2000"/>
    <x v="0"/>
    <s v="20-04970412-8"/>
    <s v="B-049"/>
    <m/>
    <m/>
    <m/>
    <x v="1"/>
    <x v="0"/>
    <x v="0"/>
    <x v="23"/>
  </r>
  <r>
    <d v="2019-07-02T00:00:00"/>
    <s v="Petrich"/>
    <s v="-"/>
    <d v="2019-08-22T00:00:00"/>
    <s v="Credicoop"/>
    <n v="48560216"/>
    <s v="Tovillas Carlos Enrique"/>
    <n v="2000"/>
    <x v="0"/>
    <s v="20-04970412-8"/>
    <s v="B-050"/>
    <m/>
    <m/>
    <m/>
    <x v="1"/>
    <x v="0"/>
    <x v="0"/>
    <x v="19"/>
  </r>
  <r>
    <d v="2019-07-02T00:00:00"/>
    <s v="Petrich"/>
    <s v="-"/>
    <d v="2019-08-30T00:00:00"/>
    <s v="Credicoop"/>
    <n v="48560217"/>
    <s v="Tovillas Carlos Enrique"/>
    <n v="2000"/>
    <x v="3"/>
    <s v="20-04970412-8"/>
    <s v="B-051"/>
    <m/>
    <d v="2019-09-03T00:00:00"/>
    <m/>
    <x v="1"/>
    <x v="0"/>
    <x v="0"/>
    <x v="2"/>
  </r>
  <r>
    <d v="2019-07-02T00:00:00"/>
    <s v="Petrich"/>
    <s v="-"/>
    <d v="2019-09-10T00:00:00"/>
    <s v="Credicoop"/>
    <n v="48560218"/>
    <s v="Tovillas Carlos Enrique"/>
    <n v="2000"/>
    <x v="1"/>
    <s v="20-04970412-8"/>
    <s v="B-052"/>
    <m/>
    <d v="2019-07-03T00:00:00"/>
    <s v="Rantalex"/>
    <x v="1"/>
    <x v="5"/>
    <x v="0"/>
    <x v="17"/>
  </r>
  <r>
    <d v="2019-07-02T00:00:00"/>
    <s v="Petrich"/>
    <s v="-"/>
    <d v="2019-09-14T00:00:00"/>
    <s v="Credicoop"/>
    <n v="48560219"/>
    <s v="Tovillas Carlos Enrique"/>
    <n v="2000"/>
    <x v="0"/>
    <s v="20-04970412-8"/>
    <s v="B-053"/>
    <m/>
    <m/>
    <m/>
    <x v="1"/>
    <x v="5"/>
    <x v="0"/>
    <x v="16"/>
  </r>
  <r>
    <d v="2019-07-02T00:00:00"/>
    <s v="Petrich"/>
    <s v="-"/>
    <d v="2019-09-20T00:00:00"/>
    <s v="Credicoop"/>
    <n v="48560220"/>
    <s v="Tovillas Carlos Enrique"/>
    <n v="2000"/>
    <x v="0"/>
    <s v="20-04970412-8"/>
    <s v="B-054"/>
    <m/>
    <m/>
    <m/>
    <x v="1"/>
    <x v="5"/>
    <x v="0"/>
    <x v="18"/>
  </r>
  <r>
    <d v="2019-07-02T00:00:00"/>
    <s v="Petrich"/>
    <s v="-"/>
    <d v="2019-09-27T00:00:00"/>
    <s v="Credicoop"/>
    <n v="49706651"/>
    <s v="Tovillas Carlos Enrique"/>
    <n v="2000"/>
    <x v="1"/>
    <s v="20-04970412-8"/>
    <s v="B-055"/>
    <m/>
    <d v="2019-09-17T00:00:00"/>
    <s v="Gama"/>
    <x v="1"/>
    <x v="5"/>
    <x v="0"/>
    <x v="26"/>
  </r>
  <r>
    <d v="2019-07-02T00:00:00"/>
    <s v="Petrich"/>
    <s v="-"/>
    <d v="2019-09-30T00:00:00"/>
    <s v="Credicoop"/>
    <n v="49706652"/>
    <s v="Tovillas Carlos Enrique"/>
    <n v="2000"/>
    <x v="0"/>
    <s v="20-04970412-8"/>
    <s v="B-056"/>
    <m/>
    <m/>
    <m/>
    <x v="1"/>
    <x v="5"/>
    <x v="0"/>
    <x v="2"/>
  </r>
  <r>
    <d v="2019-07-02T00:00:00"/>
    <s v="Petrich"/>
    <s v="-"/>
    <d v="2019-10-09T00:00:00"/>
    <s v="Credicoop"/>
    <n v="49706653"/>
    <s v="Tovillas Carlos Enrique"/>
    <n v="2000"/>
    <x v="1"/>
    <s v="20-04970412-8"/>
    <s v="B-057"/>
    <m/>
    <m/>
    <s v="Pastora"/>
    <x v="1"/>
    <x v="1"/>
    <x v="0"/>
    <x v="1"/>
  </r>
  <r>
    <d v="2019-07-02T00:00:00"/>
    <s v="Petrich"/>
    <s v="-"/>
    <d v="2019-10-16T00:00:00"/>
    <s v="Credicoop"/>
    <n v="49706654"/>
    <s v="Tovillas Carlos Enrique"/>
    <n v="2536"/>
    <x v="0"/>
    <s v="20-04970412-8"/>
    <s v="B-058"/>
    <m/>
    <m/>
    <m/>
    <x v="1"/>
    <x v="1"/>
    <x v="0"/>
    <x v="23"/>
  </r>
  <r>
    <d v="2019-07-06T00:00:00"/>
    <s v="Marelo Manzo"/>
    <s v="-"/>
    <d v="2019-08-12T00:00:00"/>
    <s v="Provincia"/>
    <n v="69355660"/>
    <s v="Cassibba Julio Alberto"/>
    <n v="6570"/>
    <x v="0"/>
    <s v="20-05305088-4"/>
    <s v="B-059"/>
    <m/>
    <m/>
    <m/>
    <x v="1"/>
    <x v="0"/>
    <x v="0"/>
    <x v="0"/>
  </r>
  <r>
    <d v="2019-07-06T00:00:00"/>
    <s v="Gusman"/>
    <s v="-"/>
    <d v="2019-08-15T00:00:00"/>
    <s v="Credicoop"/>
    <n v="49851484"/>
    <s v="Coop Trab Text Contex LTD"/>
    <n v="10000"/>
    <x v="0"/>
    <s v="33-66576279-9"/>
    <s v="B-060"/>
    <m/>
    <d v="2019-07-11T00:00:00"/>
    <s v="Posdatado"/>
    <x v="1"/>
    <x v="0"/>
    <x v="0"/>
    <x v="14"/>
  </r>
  <r>
    <d v="2019-07-06T00:00:00"/>
    <s v="Gusman"/>
    <s v="-"/>
    <d v="2019-08-18T00:00:00"/>
    <s v="Credicoop"/>
    <n v="49851485"/>
    <s v="Coop Trab Text Contex LTD"/>
    <n v="10000"/>
    <x v="0"/>
    <s v="33-66576279-9"/>
    <s v="B-061"/>
    <m/>
    <d v="2019-07-11T00:00:00"/>
    <s v="Posdatado"/>
    <x v="1"/>
    <x v="0"/>
    <x v="0"/>
    <x v="9"/>
  </r>
  <r>
    <d v="2019-07-10T00:00:00"/>
    <s v="Petrich (los bascos)"/>
    <s v="-"/>
    <d v="2019-10-18T00:00:00"/>
    <s v="Nacion"/>
    <n v="70205"/>
    <s v="Polirubro Amigo S.A."/>
    <n v="4580"/>
    <x v="0"/>
    <s v="30-66665029-4"/>
    <s v="C-001"/>
    <m/>
    <m/>
    <m/>
    <x v="0"/>
    <x v="1"/>
    <x v="0"/>
    <x v="9"/>
  </r>
  <r>
    <d v="2019-07-10T00:00:00"/>
    <s v="Petrich (los bascos)"/>
    <s v="-"/>
    <d v="2019-08-09T00:00:00"/>
    <s v="Nacion"/>
    <n v="1227"/>
    <s v="Polirubro Amigo S.A."/>
    <n v="4000"/>
    <x v="0"/>
    <s v="30-66665029-4"/>
    <s v="C-002"/>
    <m/>
    <m/>
    <m/>
    <x v="0"/>
    <x v="0"/>
    <x v="0"/>
    <x v="1"/>
  </r>
  <r>
    <d v="2019-10-14T00:00:00"/>
    <s v="-"/>
    <s v="-"/>
    <d v="2019-08-22T00:00:00"/>
    <s v="Ciudad"/>
    <n v="24780654"/>
    <s v="-"/>
    <n v="13000"/>
    <x v="0"/>
    <s v="30-71118911-0"/>
    <s v="x-1"/>
    <m/>
    <m/>
    <m/>
    <x v="1"/>
    <x v="0"/>
    <x v="0"/>
    <x v="19"/>
  </r>
  <r>
    <d v="2019-10-14T00:00:00"/>
    <s v="Signiori Luis Alberto"/>
    <s v="-"/>
    <d v="2019-11-30T00:00:00"/>
    <s v="Credicoop"/>
    <n v="20650404"/>
    <s v="Signiori Luis Alberto"/>
    <n v="10000"/>
    <x v="0"/>
    <s v="20-05510696-8"/>
    <s v="x-10"/>
    <m/>
    <m/>
    <m/>
    <x v="1"/>
    <x v="2"/>
    <x v="0"/>
    <x v="2"/>
  </r>
  <r>
    <d v="2019-10-14T00:00:00"/>
    <s v="Signiori Luis Alberto"/>
    <s v="-"/>
    <d v="2019-12-31T00:00:00"/>
    <s v="Credicoop"/>
    <n v="20650407"/>
    <s v="Signiori Luis Alberto"/>
    <n v="10000"/>
    <x v="1"/>
    <s v="20-05510696-8"/>
    <s v="x-11"/>
    <m/>
    <m/>
    <m/>
    <x v="1"/>
    <x v="3"/>
    <x v="0"/>
    <x v="3"/>
  </r>
  <r>
    <d v="2019-10-14T00:00:00"/>
    <s v="Petrich"/>
    <s v="-"/>
    <d v="2019-09-30T00:00:00"/>
    <s v="Provincia"/>
    <n v="69047186"/>
    <s v="Petrich"/>
    <n v="19250"/>
    <x v="0"/>
    <s v="20-10095207-7"/>
    <s v="x-12"/>
    <m/>
    <m/>
    <m/>
    <x v="1"/>
    <x v="5"/>
    <x v="0"/>
    <x v="2"/>
  </r>
  <r>
    <d v="2019-10-14T00:00:00"/>
    <s v="Petrich"/>
    <s v="-"/>
    <d v="2019-09-07T00:00:00"/>
    <s v="Provincia"/>
    <n v="69047181"/>
    <s v="Petrich"/>
    <n v="19310"/>
    <x v="0"/>
    <s v="20-10095207-7"/>
    <s v="x-13"/>
    <m/>
    <d v="2019-09-19T00:00:00"/>
    <m/>
    <x v="1"/>
    <x v="5"/>
    <x v="0"/>
    <x v="12"/>
  </r>
  <r>
    <d v="2019-10-14T00:00:00"/>
    <s v="Eco Uniformes"/>
    <s v="-"/>
    <d v="2019-08-02T00:00:00"/>
    <s v="Provincia"/>
    <n v="67231187"/>
    <s v="Eco Uniformes"/>
    <n v="42872.18"/>
    <x v="0"/>
    <s v="33-70946211-9"/>
    <s v="x-14"/>
    <m/>
    <d v="2019-08-13T00:00:00"/>
    <m/>
    <x v="1"/>
    <x v="0"/>
    <x v="0"/>
    <x v="29"/>
  </r>
  <r>
    <d v="2019-10-14T00:00:00"/>
    <s v="Eco Uniformes"/>
    <s v="-"/>
    <d v="2019-09-20T00:00:00"/>
    <s v="Santander Rio"/>
    <n v="3179"/>
    <s v="Eco Uniformes"/>
    <n v="12557"/>
    <x v="3"/>
    <s v="33-70946211-9"/>
    <s v="x-15"/>
    <m/>
    <d v="2019-06-26T00:00:00"/>
    <m/>
    <x v="1"/>
    <x v="5"/>
    <x v="0"/>
    <x v="18"/>
  </r>
  <r>
    <d v="2019-10-14T00:00:00"/>
    <s v="Eco Uniformes"/>
    <s v="-"/>
    <d v="2019-09-30T00:00:00"/>
    <s v="Santander Rio"/>
    <n v="3180"/>
    <s v="Eco Uniformes"/>
    <n v="20000"/>
    <x v="0"/>
    <s v="33-70946211-9"/>
    <s v="x-16"/>
    <m/>
    <m/>
    <m/>
    <x v="1"/>
    <x v="5"/>
    <x v="0"/>
    <x v="2"/>
  </r>
  <r>
    <d v="2019-10-14T00:00:00"/>
    <s v="Eco Uniformes"/>
    <s v="-"/>
    <d v="2019-10-21T00:00:00"/>
    <s v="Santander Rio"/>
    <n v="3181"/>
    <s v="Eco Uniformes"/>
    <n v="25000"/>
    <x v="0"/>
    <s v="33-70946211-9"/>
    <s v="x-17"/>
    <m/>
    <m/>
    <m/>
    <x v="1"/>
    <x v="1"/>
    <x v="0"/>
    <x v="15"/>
  </r>
  <r>
    <d v="2019-10-14T00:00:00"/>
    <s v="Eco Uniformes"/>
    <s v="-"/>
    <d v="2019-10-31T00:00:00"/>
    <s v="Santander Rio"/>
    <n v="3182"/>
    <s v="Eco Uniformes"/>
    <n v="25000"/>
    <x v="0"/>
    <s v="33-70946211-9"/>
    <s v="x-18"/>
    <m/>
    <m/>
    <m/>
    <x v="1"/>
    <x v="1"/>
    <x v="0"/>
    <x v="3"/>
  </r>
  <r>
    <d v="2019-10-14T00:00:00"/>
    <s v="Eco Uniformes"/>
    <s v="-"/>
    <d v="2019-11-22T00:00:00"/>
    <s v="Santander Rio"/>
    <n v="3183"/>
    <s v="Eco Uniformes"/>
    <n v="30000"/>
    <x v="0"/>
    <s v="33-70946211-9"/>
    <s v="x-19"/>
    <m/>
    <m/>
    <m/>
    <x v="1"/>
    <x v="2"/>
    <x v="0"/>
    <x v="19"/>
  </r>
  <r>
    <d v="2019-10-14T00:00:00"/>
    <s v="Signiori Luis Alberto"/>
    <s v="-"/>
    <d v="2019-10-31T00:00:00"/>
    <s v="Credicoop"/>
    <n v="20622449"/>
    <s v="Signiori Luis Alberto"/>
    <n v="5000"/>
    <x v="0"/>
    <s v="20-05510696-8"/>
    <s v="x-2"/>
    <m/>
    <m/>
    <m/>
    <x v="1"/>
    <x v="1"/>
    <x v="0"/>
    <x v="3"/>
  </r>
  <r>
    <d v="2019-10-14T00:00:00"/>
    <s v="Eco Uniformes"/>
    <s v="-"/>
    <d v="2019-11-30T00:00:00"/>
    <s v="Santander Rio"/>
    <n v="3184"/>
    <s v="Eco Uniformes"/>
    <n v="30000"/>
    <x v="0"/>
    <s v="33-70946211-9"/>
    <s v="x-20"/>
    <m/>
    <m/>
    <m/>
    <x v="1"/>
    <x v="2"/>
    <x v="0"/>
    <x v="2"/>
  </r>
  <r>
    <d v="2019-10-14T00:00:00"/>
    <s v="Petrich"/>
    <s v="-"/>
    <d v="2019-10-12T00:00:00"/>
    <s v="Nacion"/>
    <n v="70301"/>
    <s v="Petrich"/>
    <n v="4640"/>
    <x v="0"/>
    <s v="30-66665029-4"/>
    <s v="x-21"/>
    <m/>
    <m/>
    <m/>
    <x v="1"/>
    <x v="1"/>
    <x v="0"/>
    <x v="0"/>
  </r>
  <r>
    <d v="2019-10-14T00:00:00"/>
    <s v="Petrich"/>
    <s v="-"/>
    <d v="2019-10-21T00:00:00"/>
    <s v="Nacion"/>
    <n v="70302"/>
    <s v="Petrich"/>
    <n v="4640"/>
    <x v="3"/>
    <s v="30-66665029-4"/>
    <s v="x-22"/>
    <m/>
    <d v="2019-10-15T00:00:00"/>
    <m/>
    <x v="1"/>
    <x v="1"/>
    <x v="0"/>
    <x v="15"/>
  </r>
  <r>
    <d v="2019-10-14T00:00:00"/>
    <s v="Petrich"/>
    <s v="-"/>
    <d v="2019-11-02T00:00:00"/>
    <s v="Nacion"/>
    <n v="70303"/>
    <s v="Petrich"/>
    <n v="4640"/>
    <x v="0"/>
    <s v="30-66665029-4"/>
    <s v="x-23"/>
    <m/>
    <m/>
    <m/>
    <x v="1"/>
    <x v="2"/>
    <x v="0"/>
    <x v="29"/>
  </r>
  <r>
    <d v="2019-10-14T00:00:00"/>
    <s v="Petrich"/>
    <s v="-"/>
    <d v="2019-09-09T00:00:00"/>
    <s v="Credicoop"/>
    <n v="20268917"/>
    <s v="Petrich"/>
    <n v="5000"/>
    <x v="3"/>
    <s v="30-70984048-3"/>
    <s v="x-24"/>
    <m/>
    <m/>
    <m/>
    <x v="1"/>
    <x v="5"/>
    <x v="0"/>
    <x v="1"/>
  </r>
  <r>
    <d v="2019-10-14T00:00:00"/>
    <s v="Petrich"/>
    <s v="-"/>
    <d v="2019-09-16T00:00:00"/>
    <s v="Credicoop"/>
    <n v="20268915"/>
    <s v="Petrich"/>
    <n v="6301.68"/>
    <x v="0"/>
    <s v="30-70984048-3"/>
    <s v="x-25"/>
    <m/>
    <m/>
    <m/>
    <x v="1"/>
    <x v="5"/>
    <x v="0"/>
    <x v="23"/>
  </r>
  <r>
    <d v="2019-10-14T00:00:00"/>
    <s v="Petrich"/>
    <s v="-"/>
    <d v="2019-09-16T00:00:00"/>
    <s v="Credicoop"/>
    <n v="20268918"/>
    <s v="Petrich"/>
    <n v="5000"/>
    <x v="0"/>
    <s v="30-70984048-3"/>
    <s v="x-26"/>
    <m/>
    <m/>
    <m/>
    <x v="1"/>
    <x v="5"/>
    <x v="0"/>
    <x v="23"/>
  </r>
  <r>
    <d v="2019-10-14T00:00:00"/>
    <s v="Petrich"/>
    <s v="-"/>
    <d v="2019-09-23T00:00:00"/>
    <s v="Credicoop"/>
    <n v="20268919"/>
    <s v="Petrich"/>
    <n v="5000"/>
    <x v="3"/>
    <s v="30-70984048-3"/>
    <s v="x-27"/>
    <m/>
    <d v="2019-08-26T00:00:00"/>
    <m/>
    <x v="1"/>
    <x v="5"/>
    <x v="0"/>
    <x v="13"/>
  </r>
  <r>
    <d v="2019-10-14T00:00:00"/>
    <s v="Riabis"/>
    <s v="-"/>
    <d v="2019-09-30T00:00:00"/>
    <s v="Provincia"/>
    <n v="69999843"/>
    <s v="Riavis"/>
    <n v="4900"/>
    <x v="0"/>
    <s v="20-08525441-4"/>
    <s v="x-28"/>
    <m/>
    <m/>
    <m/>
    <x v="1"/>
    <x v="5"/>
    <x v="0"/>
    <x v="2"/>
  </r>
  <r>
    <d v="2019-10-14T00:00:00"/>
    <s v="Riavis"/>
    <s v="-"/>
    <d v="2019-09-30T00:00:00"/>
    <s v="Credicoop"/>
    <n v="37048473"/>
    <s v="Riavis"/>
    <n v="10000"/>
    <x v="0"/>
    <s v="30-70737613-5"/>
    <s v="x-29"/>
    <m/>
    <m/>
    <m/>
    <x v="1"/>
    <x v="5"/>
    <x v="0"/>
    <x v="2"/>
  </r>
  <r>
    <d v="2019-10-14T00:00:00"/>
    <s v="Signiori Luis Alberto"/>
    <s v="-"/>
    <d v="2019-10-31T00:00:00"/>
    <s v="Credicoop"/>
    <n v="20622450"/>
    <s v="Signiori Luis Alberto"/>
    <n v="5000"/>
    <x v="1"/>
    <s v="20-05510696-8"/>
    <s v="x-3"/>
    <m/>
    <d v="2019-08-12T00:00:00"/>
    <s v="Speranza"/>
    <x v="1"/>
    <x v="1"/>
    <x v="0"/>
    <x v="3"/>
  </r>
  <r>
    <d v="2019-10-14T00:00:00"/>
    <s v="Riavis"/>
    <s v="-"/>
    <d v="2019-09-30T00:00:00"/>
    <s v="Santander Rio"/>
    <n v="7201319"/>
    <s v="Riavis"/>
    <n v="4000"/>
    <x v="0"/>
    <s v="20-1325770-9"/>
    <s v="x-30"/>
    <m/>
    <m/>
    <m/>
    <x v="1"/>
    <x v="5"/>
    <x v="0"/>
    <x v="2"/>
  </r>
  <r>
    <d v="2019-10-14T00:00:00"/>
    <s v="Riavis"/>
    <s v="-"/>
    <d v="2019-09-30T00:00:00"/>
    <s v="Santander Rio"/>
    <n v="7201313"/>
    <s v="Riavis"/>
    <n v="4207.92"/>
    <x v="0"/>
    <s v="20-1325770-9"/>
    <s v="x-31"/>
    <m/>
    <m/>
    <m/>
    <x v="1"/>
    <x v="5"/>
    <x v="0"/>
    <x v="2"/>
  </r>
  <r>
    <d v="2019-10-14T00:00:00"/>
    <s v="Riavis"/>
    <s v="-"/>
    <d v="2019-10-15T00:00:00"/>
    <s v="Bancor"/>
    <n v="23022201"/>
    <s v="Riavis"/>
    <n v="4500"/>
    <x v="0"/>
    <s v="30-63733907-5"/>
    <s v="x-32"/>
    <m/>
    <m/>
    <m/>
    <x v="1"/>
    <x v="1"/>
    <x v="0"/>
    <x v="14"/>
  </r>
  <r>
    <d v="2019-10-14T00:00:00"/>
    <s v="Riavis"/>
    <s v="-"/>
    <d v="2019-10-22T00:00:00"/>
    <s v="Santander Rio"/>
    <n v="189"/>
    <s v="Riavis"/>
    <n v="20000"/>
    <x v="0"/>
    <s v="30-66636715-0"/>
    <s v="x-33"/>
    <m/>
    <m/>
    <m/>
    <x v="1"/>
    <x v="1"/>
    <x v="0"/>
    <x v="19"/>
  </r>
  <r>
    <d v="2019-10-14T00:00:00"/>
    <s v="Riavis"/>
    <s v="-"/>
    <d v="2019-10-25T00:00:00"/>
    <s v="Bancor"/>
    <n v="23022202"/>
    <s v="Riavis"/>
    <n v="4500"/>
    <x v="3"/>
    <s v="30-63733907-5"/>
    <s v="x-34"/>
    <m/>
    <d v="2019-10-08T00:00:00"/>
    <m/>
    <x v="1"/>
    <x v="1"/>
    <x v="0"/>
    <x v="10"/>
  </r>
  <r>
    <d v="2019-10-14T00:00:00"/>
    <s v="Riavis"/>
    <s v="-"/>
    <d v="2019-11-05T00:00:00"/>
    <s v="Bancor"/>
    <n v="190"/>
    <s v="Riavis"/>
    <n v="20000"/>
    <x v="3"/>
    <s v="30-66636715-0"/>
    <s v="x-35"/>
    <m/>
    <m/>
    <m/>
    <x v="1"/>
    <x v="2"/>
    <x v="0"/>
    <x v="22"/>
  </r>
  <r>
    <d v="2019-10-14T00:00:00"/>
    <s v="Riavis"/>
    <s v="-"/>
    <d v="2019-11-15T00:00:00"/>
    <s v="Bancor"/>
    <n v="23022203"/>
    <s v="Riavis"/>
    <n v="4500"/>
    <x v="1"/>
    <s v="30-63733907-5"/>
    <s v="x-36"/>
    <m/>
    <d v="2019-11-12T00:00:00"/>
    <s v="Oam"/>
    <x v="1"/>
    <x v="2"/>
    <x v="0"/>
    <x v="14"/>
  </r>
  <r>
    <d v="2019-10-14T00:00:00"/>
    <s v="Riavis"/>
    <s v="-"/>
    <d v="2019-11-25T00:00:00"/>
    <s v="Bancor"/>
    <n v="23022204"/>
    <s v="Riavis"/>
    <n v="4500"/>
    <x v="0"/>
    <s v="30-6373390-5"/>
    <s v="x-37"/>
    <m/>
    <m/>
    <m/>
    <x v="1"/>
    <x v="2"/>
    <x v="0"/>
    <x v="10"/>
  </r>
  <r>
    <d v="2019-10-16T00:00:00"/>
    <s v="Eco Uniformes"/>
    <s v="-"/>
    <d v="2019-09-28T00:00:00"/>
    <s v="Santander Rio"/>
    <n v="10505"/>
    <s v="Eco Uniformes"/>
    <n v="20000"/>
    <x v="0"/>
    <s v="30-71463883-8"/>
    <s v="x-38"/>
    <m/>
    <m/>
    <m/>
    <x v="1"/>
    <x v="5"/>
    <x v="0"/>
    <x v="4"/>
  </r>
  <r>
    <d v="2019-10-16T00:00:00"/>
    <s v="Signiori Luis Alberto"/>
    <s v="-"/>
    <d v="2019-12-31T00:00:00"/>
    <s v="Credicoop"/>
    <n v="20650448"/>
    <s v="Signiori Luis Alberto"/>
    <n v="7000"/>
    <x v="0"/>
    <s v="20-05510696-8"/>
    <s v="x-39"/>
    <m/>
    <m/>
    <m/>
    <x v="1"/>
    <x v="3"/>
    <x v="0"/>
    <x v="3"/>
  </r>
  <r>
    <d v="2019-10-14T00:00:00"/>
    <s v="Signiori Luis Alberto"/>
    <s v="-"/>
    <d v="2019-10-31T00:00:00"/>
    <s v="Credicoop"/>
    <n v="20650401"/>
    <s v="Signiori Luis Alberto"/>
    <n v="5000"/>
    <x v="3"/>
    <s v="20-05510696-8"/>
    <s v="x-4"/>
    <m/>
    <d v="2019-09-04T00:00:00"/>
    <m/>
    <x v="1"/>
    <x v="1"/>
    <x v="0"/>
    <x v="3"/>
  </r>
  <r>
    <d v="2019-10-16T00:00:00"/>
    <s v="Signiori Luis Alberto"/>
    <s v="-"/>
    <d v="2019-12-31T00:00:00"/>
    <s v="Credicoop"/>
    <n v="20650449"/>
    <s v="Signiori Luis Alberto"/>
    <n v="7000"/>
    <x v="0"/>
    <s v="20-05510696-8"/>
    <s v="x-40"/>
    <m/>
    <m/>
    <m/>
    <x v="1"/>
    <x v="3"/>
    <x v="0"/>
    <x v="3"/>
  </r>
  <r>
    <d v="2019-10-16T00:00:00"/>
    <s v="Signiori Luis Alberto"/>
    <s v="-"/>
    <d v="2019-12-31T00:00:00"/>
    <s v="Credicoop"/>
    <n v="20650450"/>
    <s v="Signiori Luis Alberto"/>
    <n v="7000"/>
    <x v="0"/>
    <s v="20-05510696-8"/>
    <s v="x-41"/>
    <m/>
    <m/>
    <m/>
    <x v="1"/>
    <x v="3"/>
    <x v="0"/>
    <x v="3"/>
  </r>
  <r>
    <d v="2019-10-16T00:00:00"/>
    <s v="Signiori Luis Alberto"/>
    <s v="-"/>
    <d v="2019-12-31T00:00:00"/>
    <s v="Credicoop"/>
    <n v="20650451"/>
    <s v="Signiori Luis Alberto"/>
    <n v="6380"/>
    <x v="3"/>
    <s v="20-05510696-8"/>
    <s v="x-42"/>
    <m/>
    <m/>
    <m/>
    <x v="1"/>
    <x v="3"/>
    <x v="0"/>
    <x v="3"/>
  </r>
  <r>
    <d v="2019-10-16T00:00:00"/>
    <s v="Signiori Luis Alberto"/>
    <s v="-"/>
    <d v="2019-11-30T00:00:00"/>
    <s v="Credicoop"/>
    <n v="20650447"/>
    <s v="Signiori Luis Alberto"/>
    <n v="6000"/>
    <x v="3"/>
    <s v="20-05510696-8"/>
    <s v="x-43"/>
    <m/>
    <d v="2019-09-04T00:00:00"/>
    <m/>
    <x v="1"/>
    <x v="2"/>
    <x v="0"/>
    <x v="2"/>
  </r>
  <r>
    <d v="2019-10-16T00:00:00"/>
    <s v="Signiori Luis Alberto"/>
    <s v="-"/>
    <d v="2019-11-30T00:00:00"/>
    <s v="Credicoop"/>
    <n v="20650446"/>
    <s v="Signiori Luis Alberto"/>
    <n v="6000"/>
    <x v="0"/>
    <s v="20-05510696-8"/>
    <s v="x-44"/>
    <m/>
    <m/>
    <m/>
    <x v="1"/>
    <x v="2"/>
    <x v="0"/>
    <x v="2"/>
  </r>
  <r>
    <d v="2019-10-16T00:00:00"/>
    <s v="Signiori Luis Alberto"/>
    <s v="-"/>
    <d v="2019-11-30T00:00:00"/>
    <s v="Credicoop"/>
    <n v="20650445"/>
    <s v="Signiori Luis Alberto"/>
    <n v="6000"/>
    <x v="0"/>
    <s v="20-05510696-8"/>
    <s v="x-45"/>
    <m/>
    <m/>
    <m/>
    <x v="1"/>
    <x v="2"/>
    <x v="0"/>
    <x v="2"/>
  </r>
  <r>
    <d v="2019-10-16T00:00:00"/>
    <s v="Signiori Luis Alberto"/>
    <s v="-"/>
    <d v="2019-11-30T00:00:00"/>
    <s v="Credicoop"/>
    <n v="20650444"/>
    <s v="Signiori Luis Alberto"/>
    <n v="6000"/>
    <x v="1"/>
    <s v="20-05510696-8"/>
    <s v="x-46"/>
    <m/>
    <m/>
    <s v="Pastora"/>
    <x v="1"/>
    <x v="2"/>
    <x v="0"/>
    <x v="2"/>
  </r>
  <r>
    <d v="2019-10-16T00:00:00"/>
    <s v="Matices"/>
    <s v="-"/>
    <d v="2019-11-12T00:00:00"/>
    <s v="La Pampa"/>
    <n v="47180678"/>
    <s v="Matices"/>
    <n v="30602.7"/>
    <x v="0"/>
    <s v="30-54574548-4"/>
    <s v="x-47"/>
    <m/>
    <m/>
    <m/>
    <x v="1"/>
    <x v="2"/>
    <x v="0"/>
    <x v="0"/>
  </r>
  <r>
    <d v="2019-10-16T00:00:00"/>
    <s v="Matices"/>
    <s v="-"/>
    <d v="2019-11-12T00:00:00"/>
    <s v="Galicia"/>
    <n v="82759310"/>
    <s v="Matices"/>
    <n v="37259.379999999997"/>
    <x v="0"/>
    <s v="30-68537634-9"/>
    <s v="x-48"/>
    <m/>
    <m/>
    <m/>
    <x v="1"/>
    <x v="2"/>
    <x v="0"/>
    <x v="0"/>
  </r>
  <r>
    <d v="2019-10-16T00:00:00"/>
    <s v="Eco Uniformes"/>
    <s v="-"/>
    <d v="2019-09-11T00:00:00"/>
    <s v="Provincia"/>
    <n v="47963973"/>
    <s v="Eco Uniformes"/>
    <n v="17729.8"/>
    <x v="0"/>
    <s v="30-68999009-2"/>
    <s v="x-49"/>
    <m/>
    <m/>
    <m/>
    <x v="1"/>
    <x v="5"/>
    <x v="0"/>
    <x v="11"/>
  </r>
  <r>
    <d v="2019-10-14T00:00:00"/>
    <s v="Signiori Luis Alberto"/>
    <s v="-"/>
    <d v="2019-11-30T00:00:00"/>
    <s v="Credicoop"/>
    <n v="20650409"/>
    <s v="Signiori Luis Alberto"/>
    <n v="7630"/>
    <x v="0"/>
    <s v="20-05510696-8"/>
    <s v="x-5"/>
    <m/>
    <m/>
    <m/>
    <x v="1"/>
    <x v="2"/>
    <x v="0"/>
    <x v="2"/>
  </r>
  <r>
    <d v="2019-10-16T00:00:00"/>
    <s v="Eco Uniformes"/>
    <s v="-"/>
    <d v="2019-09-22T00:00:00"/>
    <s v="Credicoop"/>
    <n v="37048470"/>
    <s v="Eco Uniformes"/>
    <n v="15000"/>
    <x v="0"/>
    <s v="30-70737613-5"/>
    <s v="x-50"/>
    <m/>
    <m/>
    <m/>
    <x v="1"/>
    <x v="5"/>
    <x v="0"/>
    <x v="19"/>
  </r>
  <r>
    <d v="2019-10-16T00:00:00"/>
    <s v="Eco Uniformes"/>
    <s v="-"/>
    <d v="2019-09-28T00:00:00"/>
    <s v="Itau"/>
    <n v="383178"/>
    <s v="Eco Uniformes"/>
    <n v="7400"/>
    <x v="0"/>
    <s v="20-04413615-6"/>
    <s v="x-51"/>
    <m/>
    <m/>
    <m/>
    <x v="1"/>
    <x v="5"/>
    <x v="0"/>
    <x v="4"/>
  </r>
  <r>
    <d v="2019-10-16T00:00:00"/>
    <s v="Petrich"/>
    <s v="-"/>
    <d v="2019-09-10T00:00:00"/>
    <s v="Provincia"/>
    <n v="52514553"/>
    <s v="Petrich"/>
    <n v="5700"/>
    <x v="0"/>
    <s v="20-20035646-3"/>
    <s v="x-52"/>
    <m/>
    <m/>
    <m/>
    <x v="1"/>
    <x v="5"/>
    <x v="0"/>
    <x v="17"/>
  </r>
  <r>
    <d v="2019-10-16T00:00:00"/>
    <s v="Petrich"/>
    <s v="-"/>
    <d v="2019-11-02T00:00:00"/>
    <s v="Provincia"/>
    <n v="70102306"/>
    <s v="Petrich"/>
    <n v="2668"/>
    <x v="0"/>
    <s v="20-13770402-2"/>
    <s v="x-53"/>
    <m/>
    <d v="2019-11-05T00:00:00"/>
    <m/>
    <x v="1"/>
    <x v="2"/>
    <x v="0"/>
    <x v="29"/>
  </r>
  <r>
    <d v="2019-10-16T00:00:00"/>
    <s v="Petrich"/>
    <s v="-"/>
    <d v="2019-10-15T00:00:00"/>
    <s v="Provincia"/>
    <n v="70102305"/>
    <s v="Petrich"/>
    <n v="2668"/>
    <x v="0"/>
    <s v="20-13770402-2"/>
    <s v="x-54"/>
    <m/>
    <m/>
    <m/>
    <x v="1"/>
    <x v="1"/>
    <x v="0"/>
    <x v="14"/>
  </r>
  <r>
    <d v="2019-10-16T00:00:00"/>
    <s v="Petrich"/>
    <s v="-"/>
    <d v="2019-09-10T00:00:00"/>
    <s v="Provincia"/>
    <n v="70102304"/>
    <s v="Petrich"/>
    <n v="2668"/>
    <x v="0"/>
    <s v="20-13770402-2"/>
    <s v="x-55"/>
    <m/>
    <m/>
    <m/>
    <x v="1"/>
    <x v="5"/>
    <x v="0"/>
    <x v="17"/>
  </r>
  <r>
    <d v="2019-10-16T00:00:00"/>
    <s v="Petrich"/>
    <s v="-"/>
    <d v="2019-08-16T00:00:00"/>
    <s v="ICBC"/>
    <n v="233452"/>
    <s v="Petrich"/>
    <n v="13438.16"/>
    <x v="0"/>
    <s v="30-63507155-5"/>
    <s v="x-56"/>
    <m/>
    <m/>
    <m/>
    <x v="1"/>
    <x v="0"/>
    <x v="0"/>
    <x v="23"/>
  </r>
  <r>
    <d v="2019-10-19T00:00:00"/>
    <s v="Signiori Luis Alberto"/>
    <s v="-"/>
    <d v="2019-11-30T00:00:00"/>
    <s v="Credicoop"/>
    <n v="20655859"/>
    <s v="Signiori Luis Alberto"/>
    <n v="5000"/>
    <x v="0"/>
    <s v="20-05510696-8"/>
    <s v="x-57"/>
    <m/>
    <m/>
    <m/>
    <x v="1"/>
    <x v="2"/>
    <x v="0"/>
    <x v="2"/>
  </r>
  <r>
    <d v="2019-10-19T00:00:00"/>
    <s v="Signiori Luis Alberto"/>
    <s v="-"/>
    <d v="2019-12-31T00:00:00"/>
    <s v="Credicoop"/>
    <n v="20655865"/>
    <s v="Signiori Luis Alberto"/>
    <n v="5864"/>
    <x v="0"/>
    <s v="20-05510696-8"/>
    <s v="x-58"/>
    <m/>
    <m/>
    <m/>
    <x v="1"/>
    <x v="3"/>
    <x v="0"/>
    <x v="3"/>
  </r>
  <r>
    <d v="2019-10-19T00:00:00"/>
    <s v="Signiori Luis Alberto"/>
    <s v="-"/>
    <d v="2019-12-31T00:00:00"/>
    <s v="Credicoop"/>
    <n v="20655864"/>
    <s v="Signiori Luis Alberto"/>
    <n v="5000"/>
    <x v="0"/>
    <s v="20-05510696-8"/>
    <s v="x-59"/>
    <m/>
    <m/>
    <m/>
    <x v="1"/>
    <x v="3"/>
    <x v="0"/>
    <x v="3"/>
  </r>
  <r>
    <d v="2019-10-14T00:00:00"/>
    <s v="Signiori Luis Alberto"/>
    <s v="-"/>
    <d v="2019-11-30T00:00:00"/>
    <s v="Credicoop"/>
    <n v="20650402"/>
    <s v="Signiori Luis Alberto"/>
    <n v="10000"/>
    <x v="1"/>
    <s v="20-05510696-8"/>
    <s v="x-6"/>
    <m/>
    <d v="2019-08-12T00:00:00"/>
    <s v="Speranza"/>
    <x v="1"/>
    <x v="2"/>
    <x v="0"/>
    <x v="2"/>
  </r>
  <r>
    <d v="2019-10-19T00:00:00"/>
    <s v="Signiori Luis Alberto"/>
    <s v="-"/>
    <d v="2019-12-31T00:00:00"/>
    <s v="Credicoop"/>
    <n v="20655863"/>
    <s v="Signiori Luis Alberto"/>
    <n v="5000"/>
    <x v="0"/>
    <s v="20-05510696-8"/>
    <s v="x-60"/>
    <m/>
    <m/>
    <m/>
    <x v="1"/>
    <x v="3"/>
    <x v="0"/>
    <x v="3"/>
  </r>
  <r>
    <d v="2019-10-19T00:00:00"/>
    <s v="Signiori Luis Alberto"/>
    <s v="-"/>
    <d v="2019-12-31T00:00:00"/>
    <s v="Credicoop"/>
    <n v="20655862"/>
    <s v="Signiori Luis Alberto"/>
    <n v="5000"/>
    <x v="3"/>
    <s v="20-05510696-8"/>
    <s v="x-61"/>
    <m/>
    <d v="2019-09-04T00:00:00"/>
    <m/>
    <x v="1"/>
    <x v="3"/>
    <x v="0"/>
    <x v="3"/>
  </r>
  <r>
    <d v="2019-10-19T00:00:00"/>
    <s v="Signiori Luis Alberto"/>
    <s v="-"/>
    <d v="2019-11-30T00:00:00"/>
    <s v="Credicoop"/>
    <n v="20653861"/>
    <s v="Signiori Luis Alberto"/>
    <n v="5000"/>
    <x v="0"/>
    <s v="20-05510696-8"/>
    <s v="x-62"/>
    <m/>
    <m/>
    <m/>
    <x v="1"/>
    <x v="2"/>
    <x v="0"/>
    <x v="2"/>
  </r>
  <r>
    <d v="2019-10-19T00:00:00"/>
    <s v="Signiori Luis Alberto"/>
    <s v="-"/>
    <d v="2019-11-30T00:00:00"/>
    <s v="Credicoop"/>
    <n v="20653860"/>
    <s v="Signiori Luis Alberto"/>
    <n v="5000"/>
    <x v="0"/>
    <s v="20-05510696-8"/>
    <s v="x-63"/>
    <m/>
    <m/>
    <m/>
    <x v="1"/>
    <x v="2"/>
    <x v="0"/>
    <x v="2"/>
  </r>
  <r>
    <d v="2019-10-23T00:00:00"/>
    <s v="Cassibba"/>
    <s v="-"/>
    <d v="2019-10-14T00:00:00"/>
    <s v="Nacion"/>
    <n v="1709"/>
    <s v="Cassibba Julio Alberto"/>
    <n v="3400"/>
    <x v="0"/>
    <s v="20-05305088-4"/>
    <s v="x-64"/>
    <m/>
    <m/>
    <m/>
    <x v="1"/>
    <x v="1"/>
    <x v="0"/>
    <x v="16"/>
  </r>
  <r>
    <d v="2019-10-23T00:00:00"/>
    <s v="Cassibba"/>
    <s v="-"/>
    <d v="2019-09-10T00:00:00"/>
    <s v="Provincia"/>
    <n v="70940201"/>
    <s v="Cassibba Julio Alberto"/>
    <n v="3400"/>
    <x v="0"/>
    <s v="20-05305088-4"/>
    <s v="x-65"/>
    <m/>
    <m/>
    <m/>
    <x v="1"/>
    <x v="5"/>
    <x v="0"/>
    <x v="17"/>
  </r>
  <r>
    <d v="2019-10-23T00:00:00"/>
    <s v="Serra Roberto Alejandro"/>
    <s v="-"/>
    <d v="2019-11-11T00:00:00"/>
    <s v="Galicia"/>
    <n v="61403437"/>
    <s v="Serra Roberto Alejandro"/>
    <n v="7000"/>
    <x v="1"/>
    <s v="20-32830531-4"/>
    <s v="x-66"/>
    <m/>
    <m/>
    <s v="Rontaltex"/>
    <x v="1"/>
    <x v="2"/>
    <x v="0"/>
    <x v="11"/>
  </r>
  <r>
    <d v="2019-10-23T00:00:00"/>
    <s v="Serra Roberto Alejandro"/>
    <s v="-"/>
    <d v="2019-11-18T00:00:00"/>
    <s v="Galicia"/>
    <n v="61403438"/>
    <s v="Serra Roberto Alejandro"/>
    <n v="7150"/>
    <x v="0"/>
    <s v="20-32830531-4"/>
    <s v="x-67"/>
    <m/>
    <m/>
    <m/>
    <x v="1"/>
    <x v="2"/>
    <x v="0"/>
    <x v="9"/>
  </r>
  <r>
    <d v="2019-10-23T00:00:00"/>
    <s v="Signiori Luis Alberto"/>
    <s v="-"/>
    <d v="2019-11-30T00:00:00"/>
    <s v="Credicoop"/>
    <n v="20655869"/>
    <s v="Signiori Luis Alberto"/>
    <n v="6000"/>
    <x v="0"/>
    <s v="20-05510696-8"/>
    <s v="x-68"/>
    <m/>
    <m/>
    <m/>
    <x v="1"/>
    <x v="2"/>
    <x v="0"/>
    <x v="2"/>
  </r>
  <r>
    <d v="2019-10-23T00:00:00"/>
    <s v="Signiori Luis Alberto"/>
    <s v="-"/>
    <d v="2019-11-30T00:00:00"/>
    <s v="Credicoop"/>
    <n v="20655870"/>
    <s v="Signiori Luis Alberto"/>
    <n v="6000"/>
    <x v="0"/>
    <s v="20-05510696-8"/>
    <s v="x-69"/>
    <m/>
    <m/>
    <m/>
    <x v="1"/>
    <x v="2"/>
    <x v="0"/>
    <x v="2"/>
  </r>
  <r>
    <d v="2019-10-14T00:00:00"/>
    <s v="Signiori Luis Alberto"/>
    <s v="-"/>
    <d v="2019-12-30T00:00:00"/>
    <s v="Credicoop"/>
    <n v="20650406"/>
    <s v="Signiori Luis Alberto"/>
    <n v="10000"/>
    <x v="0"/>
    <s v="20-05510696-8"/>
    <s v="x-7"/>
    <m/>
    <m/>
    <m/>
    <x v="1"/>
    <x v="3"/>
    <x v="0"/>
    <x v="2"/>
  </r>
  <r>
    <d v="2019-10-23T00:00:00"/>
    <s v="Signiori Luis Alberto"/>
    <s v="-"/>
    <d v="2019-11-30T00:00:00"/>
    <s v="Credicoop"/>
    <n v="20655871"/>
    <s v="Signiori Luis Alberto"/>
    <n v="6000"/>
    <x v="0"/>
    <s v="20-05510696-8"/>
    <s v="x-70"/>
    <m/>
    <m/>
    <m/>
    <x v="1"/>
    <x v="2"/>
    <x v="0"/>
    <x v="2"/>
  </r>
  <r>
    <d v="2019-10-23T00:00:00"/>
    <s v="Signiori Luis Alberto"/>
    <s v="-"/>
    <d v="2019-12-31T00:00:00"/>
    <s v="Credicoop"/>
    <n v="20655872"/>
    <s v="Signiori Luis Alberto"/>
    <n v="6000"/>
    <x v="0"/>
    <s v="20-05510696-8"/>
    <s v="x-71"/>
    <m/>
    <m/>
    <m/>
    <x v="1"/>
    <x v="3"/>
    <x v="0"/>
    <x v="3"/>
  </r>
  <r>
    <d v="2019-10-23T00:00:00"/>
    <s v="Signiori Luis Alberto"/>
    <s v="-"/>
    <d v="2019-12-31T00:00:00"/>
    <s v="Credicoop"/>
    <n v="20655873"/>
    <s v="Signiori Luis Alberto"/>
    <n v="6000"/>
    <x v="0"/>
    <s v="20-05510696-8"/>
    <s v="x-72"/>
    <m/>
    <m/>
    <m/>
    <x v="1"/>
    <x v="3"/>
    <x v="0"/>
    <x v="3"/>
  </r>
  <r>
    <d v="2019-10-23T00:00:00"/>
    <s v="Signiori Luis Alberto"/>
    <s v="-"/>
    <d v="2019-12-31T00:00:00"/>
    <s v="Credicoop"/>
    <n v="20655874"/>
    <s v="Signiori Luis Alberto"/>
    <n v="6000"/>
    <x v="1"/>
    <s v="20-05510696-8"/>
    <s v="x-73"/>
    <m/>
    <m/>
    <s v="Roxana"/>
    <x v="1"/>
    <x v="3"/>
    <x v="0"/>
    <x v="3"/>
  </r>
  <r>
    <d v="2019-10-23T00:00:00"/>
    <s v="Signiori Luis Alberto"/>
    <s v="-"/>
    <d v="2019-12-31T00:00:00"/>
    <s v="Credicoop"/>
    <n v="20655875"/>
    <s v="Signiori Luis Alberto"/>
    <n v="6929"/>
    <x v="0"/>
    <s v="20-05510696-8"/>
    <s v="x-74"/>
    <m/>
    <m/>
    <m/>
    <x v="1"/>
    <x v="3"/>
    <x v="0"/>
    <x v="3"/>
  </r>
  <r>
    <d v="2019-10-14T00:00:00"/>
    <s v="Signiori Luis Alberto"/>
    <s v="-"/>
    <d v="2019-12-31T00:00:00"/>
    <s v="Credicoop"/>
    <n v="20650405"/>
    <s v="Signiori Luis Alberto"/>
    <n v="10000"/>
    <x v="0"/>
    <s v="20-05510696-8"/>
    <s v="x-8"/>
    <m/>
    <m/>
    <m/>
    <x v="1"/>
    <x v="3"/>
    <x v="0"/>
    <x v="3"/>
  </r>
  <r>
    <d v="2019-10-14T00:00:00"/>
    <s v="Signiori Luis Alberto"/>
    <s v="-"/>
    <d v="2019-12-31T00:00:00"/>
    <s v="Credicoop"/>
    <n v="20650408"/>
    <s v="Signiori Luis Alberto"/>
    <n v="5500"/>
    <x v="0"/>
    <s v="20-05510696-8"/>
    <s v="x-9"/>
    <m/>
    <m/>
    <m/>
    <x v="1"/>
    <x v="3"/>
    <x v="0"/>
    <x v="3"/>
  </r>
  <r>
    <d v="2021-08-12T00:00:00"/>
    <s v="Riabis"/>
    <s v="-"/>
    <d v="2021-07-30T00:00:00"/>
    <s v="Provincia"/>
    <n v="87124721"/>
    <s v="Romero Cintia Anabel"/>
    <n v="1530"/>
    <x v="0"/>
    <s v="27-22173452-7"/>
    <n v="784"/>
    <m/>
    <d v="2021-08-17T00:00:00"/>
    <m/>
    <x v="1"/>
    <x v="4"/>
    <x v="2"/>
    <x v="2"/>
  </r>
  <r>
    <d v="2021-08-12T00:00:00"/>
    <s v="Riabis"/>
    <s v="-"/>
    <d v="2021-08-09T00:00:00"/>
    <s v="Provincia"/>
    <n v="87124705"/>
    <s v="Romero Cintia Anabel"/>
    <n v="7530"/>
    <x v="1"/>
    <s v="27-22173452-7"/>
    <n v="785"/>
    <m/>
    <d v="2021-08-25T00:00:00"/>
    <s v="Onena"/>
    <x v="1"/>
    <x v="0"/>
    <x v="2"/>
    <x v="1"/>
  </r>
  <r>
    <d v="2021-08-12T00:00:00"/>
    <s v="Riabis"/>
    <s v="-"/>
    <d v="2021-08-12T00:00:00"/>
    <s v="Provincia"/>
    <n v="87124709"/>
    <s v="Romero Cintia Anabel"/>
    <n v="7530"/>
    <x v="1"/>
    <s v="27-22173452-7"/>
    <n v="786"/>
    <m/>
    <d v="2021-08-30T00:00:00"/>
    <s v="Veira"/>
    <x v="1"/>
    <x v="0"/>
    <x v="2"/>
    <x v="0"/>
  </r>
  <r>
    <d v="2021-08-12T00:00:00"/>
    <s v="Riabis"/>
    <s v="-"/>
    <d v="2021-08-16T00:00:00"/>
    <s v="Provincia"/>
    <n v="87124706"/>
    <s v="Romero Cintia Anabel"/>
    <n v="7530"/>
    <x v="0"/>
    <s v="27-22173452-7"/>
    <n v="787"/>
    <m/>
    <d v="2021-08-20T00:00:00"/>
    <m/>
    <x v="1"/>
    <x v="0"/>
    <x v="2"/>
    <x v="23"/>
  </r>
  <r>
    <d v="2021-08-20T00:00:00"/>
    <s v="Signiori Luis Alberto"/>
    <s v="-"/>
    <d v="2021-10-31T00:00:00"/>
    <s v="Credicoop"/>
    <n v="40185009"/>
    <s v="Signori Luis Alberto"/>
    <n v="10000"/>
    <x v="7"/>
    <s v="20-05510696-8"/>
    <n v="788"/>
    <m/>
    <m/>
    <m/>
    <x v="1"/>
    <x v="1"/>
    <x v="2"/>
    <x v="3"/>
  </r>
  <r>
    <d v="2021-08-20T00:00:00"/>
    <s v="Victor Collaccio"/>
    <s v="-"/>
    <d v="2021-08-22T00:00:00"/>
    <s v="Macro"/>
    <n v="23842100"/>
    <s v="Gesualdo Graciela Beatriz"/>
    <n v="10000"/>
    <x v="1"/>
    <s v="27-14131212-5"/>
    <n v="789"/>
    <m/>
    <d v="2021-09-01T00:00:00"/>
    <s v="Lartex"/>
    <x v="13"/>
    <x v="0"/>
    <x v="2"/>
    <x v="19"/>
  </r>
  <r>
    <d v="2021-08-20T00:00:00"/>
    <s v="Petrich"/>
    <s v="-"/>
    <d v="2021-08-17T00:00:00"/>
    <s v="ICBC"/>
    <n v="281344"/>
    <s v="Santa Monica S.A."/>
    <n v="28370.01"/>
    <x v="1"/>
    <s v="30-63507155-5"/>
    <n v="790"/>
    <m/>
    <d v="2021-09-01T00:00:00"/>
    <s v="Veira"/>
    <x v="1"/>
    <x v="0"/>
    <x v="2"/>
    <x v="21"/>
  </r>
  <r>
    <d v="2021-08-20T00:00:00"/>
    <s v="Petrich"/>
    <s v="-"/>
    <d v="2021-09-05T00:00:00"/>
    <s v="Provincia"/>
    <n v="80436623"/>
    <s v="Castañeira Hector Jose Luis"/>
    <n v="11433"/>
    <x v="1"/>
    <s v="20-22346917-6"/>
    <n v="791"/>
    <m/>
    <d v="2021-08-25T00:00:00"/>
    <s v="Endosado"/>
    <x v="1"/>
    <x v="5"/>
    <x v="2"/>
    <x v="22"/>
  </r>
  <r>
    <d v="2021-08-20T00:00:00"/>
    <s v="Petrich"/>
    <s v="-"/>
    <d v="2021-10-09T00:00:00"/>
    <s v="Macro"/>
    <n v="22284393"/>
    <s v="Los Vascos SRL"/>
    <n v="56595"/>
    <x v="0"/>
    <s v="30-52975244-6"/>
    <n v="792"/>
    <m/>
    <d v="2021-10-12T00:00:00"/>
    <m/>
    <x v="1"/>
    <x v="1"/>
    <x v="2"/>
    <x v="1"/>
  </r>
  <r>
    <d v="2021-08-20T00:00:00"/>
    <s v="Petrich"/>
    <s v="-"/>
    <d v="2021-10-23T00:00:00"/>
    <s v="Macro"/>
    <n v="22284394"/>
    <s v="Los Vascos SRL"/>
    <n v="60000"/>
    <x v="7"/>
    <s v="30-529752446"/>
    <n v="793"/>
    <m/>
    <m/>
    <m/>
    <x v="1"/>
    <x v="1"/>
    <x v="2"/>
    <x v="13"/>
  </r>
  <r>
    <d v="2021-08-20T00:00:00"/>
    <s v="Dodero"/>
    <s v="-"/>
    <d v="2021-09-19T00:00:00"/>
    <s v="Nacion"/>
    <n v="349"/>
    <s v="Ledsma Luis Maria"/>
    <n v="20000"/>
    <x v="0"/>
    <s v="20-13454393-1"/>
    <n v="794"/>
    <m/>
    <d v="2021-09-21T00:00:00"/>
    <m/>
    <x v="1"/>
    <x v="5"/>
    <x v="2"/>
    <x v="25"/>
  </r>
  <r>
    <d v="2021-08-20T00:00:00"/>
    <s v="Signiori Luis Alberto"/>
    <s v="-"/>
    <d v="2021-10-31T00:00:00"/>
    <s v="Credicoop"/>
    <n v="40185029"/>
    <s v="Signori Luis Alberto"/>
    <n v="10000"/>
    <x v="1"/>
    <s v="20-05510696-8"/>
    <n v="795"/>
    <m/>
    <d v="2021-10-14T00:00:00"/>
    <s v="Onena"/>
    <x v="1"/>
    <x v="1"/>
    <x v="2"/>
    <x v="3"/>
  </r>
  <r>
    <d v="2021-08-25T00:00:00"/>
    <s v="Martinez"/>
    <s v="-"/>
    <d v="2021-08-30T00:00:00"/>
    <s v="Provincia"/>
    <n v="83784826"/>
    <s v="Anuncibay Marina Ines"/>
    <n v="25000"/>
    <x v="1"/>
    <s v="23-22671656-4"/>
    <n v="796"/>
    <m/>
    <d v="2021-09-01T00:00:00"/>
    <s v="Veira"/>
    <x v="1"/>
    <x v="0"/>
    <x v="2"/>
    <x v="2"/>
  </r>
  <r>
    <d v="2021-08-25T00:00:00"/>
    <s v="Tejiendo Arte"/>
    <s v="-"/>
    <d v="2021-08-24T00:00:00"/>
    <s v="Provincia"/>
    <n v="39118757"/>
    <s v="Gurban Pablo Amadeo"/>
    <n v="17000"/>
    <x v="0"/>
    <s v="20-13807861-3"/>
    <n v="797"/>
    <m/>
    <d v="2021-09-02T00:00:00"/>
    <m/>
    <x v="1"/>
    <x v="0"/>
    <x v="2"/>
    <x v="6"/>
  </r>
  <r>
    <d v="2021-08-28T00:00:00"/>
    <s v="Victor Brizuela"/>
    <s v="-"/>
    <d v="2021-09-14T00:00:00"/>
    <s v="Provincia"/>
    <n v="86425855"/>
    <s v="Cons Prop Edif Colon 1545"/>
    <n v="21800"/>
    <x v="0"/>
    <s v="30-54132533-2"/>
    <n v="798"/>
    <m/>
    <d v="2021-09-15T00:00:00"/>
    <m/>
    <x v="1"/>
    <x v="5"/>
    <x v="2"/>
    <x v="16"/>
  </r>
  <r>
    <d v="2021-08-28T00:00:00"/>
    <s v="Victor Brizuela"/>
    <s v="-"/>
    <d v="2021-09-15T00:00:00"/>
    <s v="Provincia"/>
    <n v="82143906"/>
    <s v="Prop Edif Ñandu VIII"/>
    <n v="32000"/>
    <x v="0"/>
    <s v="30-59805465-3"/>
    <n v="799"/>
    <m/>
    <d v="2021-09-15T00:00:00"/>
    <m/>
    <x v="1"/>
    <x v="5"/>
    <x v="2"/>
    <x v="14"/>
  </r>
  <r>
    <d v="2021-08-28T00:00:00"/>
    <s v="Petrich"/>
    <s v="-"/>
    <d v="2021-09-11T00:00:00"/>
    <s v="Provincia"/>
    <n v="1242864"/>
    <s v="Garcia Javier"/>
    <n v="20000"/>
    <x v="0"/>
    <s v="20-22845810-5"/>
    <n v="800"/>
    <m/>
    <d v="2021-09-15T00:00:00"/>
    <m/>
    <x v="1"/>
    <x v="5"/>
    <x v="2"/>
    <x v="11"/>
  </r>
  <r>
    <d v="2021-08-30T00:00:00"/>
    <s v="Rita Ferrando"/>
    <s v="-"/>
    <d v="2021-09-24T00:00:00"/>
    <s v="Provincia"/>
    <n v="88488001"/>
    <s v="Tovar Luis Maria"/>
    <n v="13370"/>
    <x v="0"/>
    <s v="20-12663675-0"/>
    <n v="801"/>
    <m/>
    <d v="2021-09-27T00:00:00"/>
    <m/>
    <x v="1"/>
    <x v="5"/>
    <x v="2"/>
    <x v="6"/>
  </r>
  <r>
    <d v="2021-09-01T00:00:00"/>
    <s v="Martinez"/>
    <s v="-"/>
    <d v="2021-08-15T00:00:00"/>
    <s v="Santander Rio"/>
    <n v="21200082"/>
    <s v="Ferreras Gabriela Patricia"/>
    <n v="20000"/>
    <x v="1"/>
    <s v="27-14319139-2"/>
    <n v="802"/>
    <m/>
    <d v="2021-09-02T00:00:00"/>
    <s v="lipovetzky"/>
    <x v="1"/>
    <x v="0"/>
    <x v="2"/>
    <x v="14"/>
  </r>
  <r>
    <d v="2021-09-01T00:00:00"/>
    <s v="Martinez"/>
    <s v="-"/>
    <d v="2021-08-31T00:00:00"/>
    <s v="Provincia"/>
    <n v="84749189"/>
    <s v="Tajan Javier"/>
    <n v="20000"/>
    <x v="1"/>
    <s v="20-13393212-8"/>
    <n v="803"/>
    <m/>
    <d v="2021-09-02T00:00:00"/>
    <s v="lipovetzky"/>
    <x v="1"/>
    <x v="0"/>
    <x v="2"/>
    <x v="3"/>
  </r>
  <r>
    <d v="2021-09-07T00:00:00"/>
    <s v="Petrich"/>
    <s v="-"/>
    <d v="2021-11-05T00:00:00"/>
    <s v="Santander Rio"/>
    <n v="70"/>
    <s v="Residencia Suredaperetti SRL"/>
    <n v="26700"/>
    <x v="7"/>
    <s v="33-71519528-9"/>
    <n v="804"/>
    <m/>
    <m/>
    <m/>
    <x v="1"/>
    <x v="2"/>
    <x v="2"/>
    <x v="22"/>
  </r>
  <r>
    <d v="2021-09-07T00:00:00"/>
    <s v="Petrich"/>
    <s v="-"/>
    <d v="2021-11-20T00:00:00"/>
    <s v="Credicoop"/>
    <n v="44185313"/>
    <s v="Salas Alexis Sebastian"/>
    <n v="13500"/>
    <x v="7"/>
    <s v="20-33177561-5"/>
    <n v="805"/>
    <m/>
    <m/>
    <m/>
    <x v="1"/>
    <x v="2"/>
    <x v="2"/>
    <x v="18"/>
  </r>
  <r>
    <d v="2021-09-07T00:00:00"/>
    <s v="Petrich"/>
    <s v="-"/>
    <d v="2021-11-20T00:00:00"/>
    <s v="Nacion"/>
    <n v="72281"/>
    <s v="Polirubro Amigo S.A."/>
    <n v="10076"/>
    <x v="7"/>
    <s v="30-66665029-4"/>
    <n v="806"/>
    <m/>
    <m/>
    <m/>
    <x v="1"/>
    <x v="2"/>
    <x v="2"/>
    <x v="18"/>
  </r>
  <r>
    <d v="2021-09-07T00:00:00"/>
    <s v="Petrich"/>
    <s v="-"/>
    <d v="2021-11-06T00:00:00"/>
    <s v="Nacion"/>
    <n v="72280"/>
    <s v="Polirubro Amigo S.A."/>
    <n v="9800"/>
    <x v="7"/>
    <s v="30-66665029-4"/>
    <n v="807"/>
    <m/>
    <m/>
    <m/>
    <x v="1"/>
    <x v="2"/>
    <x v="2"/>
    <x v="27"/>
  </r>
  <r>
    <d v="2021-09-07T00:00:00"/>
    <s v="Petrich"/>
    <s v="-"/>
    <d v="2021-09-28T00:00:00"/>
    <s v="Provincia"/>
    <n v="86894338"/>
    <s v="Juan Carlos Latour SRL"/>
    <n v="65040.09"/>
    <x v="0"/>
    <s v="30-70845691-4"/>
    <n v="808"/>
    <m/>
    <d v="2021-09-28T00:00:00"/>
    <m/>
    <x v="1"/>
    <x v="5"/>
    <x v="2"/>
    <x v="4"/>
  </r>
  <r>
    <d v="2021-09-07T00:00:00"/>
    <s v="Petrich"/>
    <s v="-"/>
    <d v="2021-10-31T00:00:00"/>
    <s v="Provincia"/>
    <n v="87671157"/>
    <s v="Los Vascos SRL"/>
    <n v="50000"/>
    <x v="7"/>
    <s v="30-52975244-6"/>
    <n v="809"/>
    <m/>
    <m/>
    <m/>
    <x v="1"/>
    <x v="1"/>
    <x v="2"/>
    <x v="3"/>
  </r>
  <r>
    <d v="2021-09-07T00:00:00"/>
    <s v="signori luis"/>
    <s v="-"/>
    <d v="2021-09-05T00:00:00"/>
    <s v="Nacion"/>
    <n v="3591862"/>
    <s v="Signori Luis Alberto"/>
    <n v="18000"/>
    <x v="0"/>
    <s v="20-05510696-8"/>
    <n v="810"/>
    <m/>
    <d v="2021-09-15T00:00:00"/>
    <m/>
    <x v="1"/>
    <x v="5"/>
    <x v="2"/>
    <x v="22"/>
  </r>
  <r>
    <d v="2021-09-07T00:00:00"/>
    <s v="signori luis"/>
    <s v="-"/>
    <d v="2021-09-05T00:00:00"/>
    <s v="Provincia"/>
    <n v="74975196"/>
    <s v="Signori Luis Alberto"/>
    <n v="4000"/>
    <x v="0"/>
    <s v="20-05510696-8"/>
    <n v="811"/>
    <m/>
    <d v="2021-09-15T00:00:00"/>
    <m/>
    <x v="1"/>
    <x v="5"/>
    <x v="2"/>
    <x v="22"/>
  </r>
  <r>
    <d v="2021-09-08T00:00:00"/>
    <s v="Riabis"/>
    <s v="-"/>
    <d v="2021-08-23T00:00:00"/>
    <s v="Provincia"/>
    <n v="87124707"/>
    <s v="Romero Cintia Anabel"/>
    <n v="7530"/>
    <x v="0"/>
    <s v="27-22173452-7"/>
    <n v="812"/>
    <m/>
    <d v="2021-09-09T00:00:00"/>
    <m/>
    <x v="1"/>
    <x v="0"/>
    <x v="2"/>
    <x v="13"/>
  </r>
  <r>
    <d v="2021-09-08T00:00:00"/>
    <s v="Riabis"/>
    <s v="-"/>
    <d v="2021-08-26T00:00:00"/>
    <s v="Provincia"/>
    <n v="87124711"/>
    <s v="Romero Cintia Anabel"/>
    <n v="7530"/>
    <x v="0"/>
    <s v="27-22173452-7"/>
    <n v="813"/>
    <m/>
    <d v="2021-09-09T00:00:00"/>
    <m/>
    <x v="1"/>
    <x v="0"/>
    <x v="2"/>
    <x v="8"/>
  </r>
  <r>
    <d v="2021-09-16T00:00:00"/>
    <s v="Tejiendo Arte"/>
    <s v="-"/>
    <d v="2021-09-21T00:00:00"/>
    <s v="Provincia"/>
    <n v="39118762"/>
    <s v="Gurban Pablo Amadeo"/>
    <n v="7000"/>
    <x v="0"/>
    <s v="20-13807861-3"/>
    <n v="814"/>
    <m/>
    <d v="2021-09-21T00:00:00"/>
    <m/>
    <x v="1"/>
    <x v="5"/>
    <x v="2"/>
    <x v="15"/>
  </r>
  <r>
    <d v="2021-09-20T00:00:00"/>
    <s v="Victor Collaccio"/>
    <s v="-"/>
    <d v="2021-10-23T00:00:00"/>
    <s v="Credicoop"/>
    <n v="21615588"/>
    <s v="Del Marmol Benmergui Juan Cruz"/>
    <n v="50000"/>
    <x v="7"/>
    <s v="20-27073213-6"/>
    <n v="815"/>
    <m/>
    <m/>
    <m/>
    <x v="1"/>
    <x v="1"/>
    <x v="2"/>
    <x v="13"/>
  </r>
  <r>
    <d v="2021-09-28T00:00:00"/>
    <s v="signori luis"/>
    <s v="-"/>
    <d v="2021-11-30T00:00:00"/>
    <s v="Credicoop"/>
    <n v="45506251"/>
    <s v="Signori Luis Alberto"/>
    <n v="20000"/>
    <x v="7"/>
    <s v="20-05510696-8"/>
    <n v="816"/>
    <m/>
    <m/>
    <m/>
    <x v="1"/>
    <x v="2"/>
    <x v="2"/>
    <x v="2"/>
  </r>
  <r>
    <d v="2021-09-28T00:00:00"/>
    <s v="signori luis"/>
    <s v="-"/>
    <d v="2021-12-31T00:00:00"/>
    <s v="Credicoop"/>
    <n v="45506252"/>
    <s v="Signori Luis Alberto"/>
    <n v="20000"/>
    <x v="7"/>
    <s v="20-05510696-8"/>
    <n v="817"/>
    <m/>
    <m/>
    <m/>
    <x v="1"/>
    <x v="3"/>
    <x v="2"/>
    <x v="3"/>
  </r>
  <r>
    <d v="2021-09-28T00:00:00"/>
    <s v="Los Vascos"/>
    <s v="-"/>
    <d v="2021-12-10T00:00:00"/>
    <s v="Provincia"/>
    <n v="87130942"/>
    <s v="Flores Silvana Elisabet"/>
    <n v="20000"/>
    <x v="7"/>
    <s v="27-25075914-8"/>
    <n v="818"/>
    <m/>
    <m/>
    <m/>
    <x v="1"/>
    <x v="3"/>
    <x v="2"/>
    <x v="17"/>
  </r>
  <r>
    <d v="2021-09-28T00:00:00"/>
    <s v="Los Vascos"/>
    <s v="-"/>
    <d v="2021-12-20T00:00:00"/>
    <s v="Provincia"/>
    <n v="87130943"/>
    <s v="Flores Silvana Elisabet"/>
    <n v="20000"/>
    <x v="7"/>
    <s v="27-25075914-8"/>
    <n v="819"/>
    <m/>
    <m/>
    <m/>
    <x v="1"/>
    <x v="3"/>
    <x v="2"/>
    <x v="18"/>
  </r>
  <r>
    <d v="2021-09-28T00:00:00"/>
    <s v="Los Vascos"/>
    <s v="-"/>
    <d v="2021-12-31T00:00:00"/>
    <s v="Nacion"/>
    <n v="72339"/>
    <s v="Polirubro Amigo S.A."/>
    <n v="13259"/>
    <x v="7"/>
    <s v="30-66665029-4"/>
    <n v="820"/>
    <m/>
    <m/>
    <m/>
    <x v="1"/>
    <x v="3"/>
    <x v="2"/>
    <x v="3"/>
  </r>
  <r>
    <d v="2021-09-28T00:00:00"/>
    <s v="Tejiendo Arte"/>
    <s v="-"/>
    <d v="2021-10-12T00:00:00"/>
    <s v="Provincia"/>
    <n v="75125489"/>
    <s v="Tejiendo Arte SA"/>
    <n v="12000"/>
    <x v="0"/>
    <s v="30-70993802-5"/>
    <n v="821"/>
    <m/>
    <d v="2021-10-12T00:00:00"/>
    <m/>
    <x v="1"/>
    <x v="1"/>
    <x v="2"/>
    <x v="0"/>
  </r>
  <r>
    <d v="2021-10-06T00:00:00"/>
    <s v="Riabis"/>
    <s v="-"/>
    <d v="2021-09-29T00:00:00"/>
    <s v="Provincia"/>
    <n v="88254217"/>
    <s v="Mazzucco Diego Luis"/>
    <n v="8372.5"/>
    <x v="0"/>
    <s v="20-08525441-4"/>
    <n v="822"/>
    <m/>
    <d v="2021-10-06T00:00:00"/>
    <m/>
    <x v="1"/>
    <x v="5"/>
    <x v="2"/>
    <x v="5"/>
  </r>
  <r>
    <d v="2021-10-06T00:00:00"/>
    <s v="Riabis"/>
    <s v="-"/>
    <d v="2021-10-16T00:00:00"/>
    <s v="Provincia"/>
    <n v="88254219"/>
    <s v="Mazzucco Diego Luis"/>
    <n v="8372.5"/>
    <x v="0"/>
    <s v="20-08525441-4"/>
    <n v="823"/>
    <m/>
    <d v="2021-10-18T00:00:00"/>
    <m/>
    <x v="1"/>
    <x v="1"/>
    <x v="2"/>
    <x v="23"/>
  </r>
  <r>
    <d v="2021-10-09T00:00:00"/>
    <s v="Victor Collaccio"/>
    <s v="-"/>
    <d v="2021-10-20T00:00:00"/>
    <s v="Macro"/>
    <n v="15440709"/>
    <s v="Leguizamon Gabriela Lujan"/>
    <n v="20000"/>
    <x v="0"/>
    <s v="27-23797427-7"/>
    <n v="824"/>
    <m/>
    <d v="2021-10-20T00:00:00"/>
    <m/>
    <x v="1"/>
    <x v="1"/>
    <x v="2"/>
    <x v="18"/>
  </r>
  <r>
    <d v="2021-10-12T00:00:00"/>
    <s v="Petrich"/>
    <s v="-"/>
    <d v="2021-09-16T00:00:00"/>
    <s v="ICBC"/>
    <n v="283766"/>
    <s v="Santa Monica S.A."/>
    <n v="33947.589999999997"/>
    <x v="0"/>
    <s v="30-63507155-5"/>
    <n v="825"/>
    <m/>
    <d v="2021-10-12T00:00:00"/>
    <m/>
    <x v="1"/>
    <x v="5"/>
    <x v="2"/>
    <x v="23"/>
  </r>
  <r>
    <d v="2021-10-14T00:00:00"/>
    <s v="signori luis"/>
    <s v="-"/>
    <d v="2021-10-20T00:00:00"/>
    <s v="Nacion"/>
    <n v="3591863"/>
    <s v="Signori Luis Alberto"/>
    <n v="28000"/>
    <x v="0"/>
    <s v="20-05510696-8"/>
    <n v="826"/>
    <m/>
    <d v="2021-10-20T00:00:00"/>
    <m/>
    <x v="1"/>
    <x v="1"/>
    <x v="2"/>
    <x v="18"/>
  </r>
  <r>
    <m/>
    <m/>
    <s v="-"/>
    <m/>
    <m/>
    <m/>
    <m/>
    <m/>
    <x v="8"/>
    <m/>
    <n v="827"/>
    <m/>
    <m/>
    <m/>
    <x v="1"/>
    <x v="6"/>
    <x v="3"/>
    <x v="31"/>
  </r>
  <r>
    <m/>
    <m/>
    <s v="-"/>
    <m/>
    <m/>
    <m/>
    <m/>
    <m/>
    <x v="8"/>
    <m/>
    <n v="828"/>
    <m/>
    <m/>
    <m/>
    <x v="1"/>
    <x v="6"/>
    <x v="3"/>
    <x v="31"/>
  </r>
  <r>
    <m/>
    <m/>
    <s v="-"/>
    <m/>
    <m/>
    <m/>
    <m/>
    <m/>
    <x v="8"/>
    <m/>
    <n v="829"/>
    <m/>
    <m/>
    <m/>
    <x v="1"/>
    <x v="6"/>
    <x v="3"/>
    <x v="31"/>
  </r>
  <r>
    <m/>
    <m/>
    <s v="-"/>
    <m/>
    <m/>
    <m/>
    <m/>
    <m/>
    <x v="8"/>
    <m/>
    <n v="830"/>
    <m/>
    <m/>
    <m/>
    <x v="1"/>
    <x v="6"/>
    <x v="3"/>
    <x v="31"/>
  </r>
  <r>
    <m/>
    <m/>
    <s v="-"/>
    <m/>
    <m/>
    <m/>
    <m/>
    <m/>
    <x v="8"/>
    <m/>
    <n v="831"/>
    <m/>
    <m/>
    <m/>
    <x v="1"/>
    <x v="6"/>
    <x v="3"/>
    <x v="31"/>
  </r>
  <r>
    <m/>
    <m/>
    <s v="-"/>
    <m/>
    <m/>
    <m/>
    <m/>
    <m/>
    <x v="8"/>
    <m/>
    <n v="832"/>
    <m/>
    <m/>
    <m/>
    <x v="1"/>
    <x v="6"/>
    <x v="3"/>
    <x v="31"/>
  </r>
  <r>
    <m/>
    <m/>
    <s v="-"/>
    <m/>
    <m/>
    <m/>
    <m/>
    <m/>
    <x v="8"/>
    <m/>
    <n v="833"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  <r>
    <m/>
    <m/>
    <s v="-"/>
    <m/>
    <m/>
    <m/>
    <m/>
    <m/>
    <x v="8"/>
    <m/>
    <m/>
    <m/>
    <m/>
    <m/>
    <x v="1"/>
    <x v="6"/>
    <x v="3"/>
    <x v="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7">
  <r>
    <d v="2019-07-30T00:00:00"/>
    <s v="-"/>
    <n v="62889167"/>
    <n v="5563"/>
    <x v="0"/>
    <d v="2019-07-15T00:00:00"/>
    <m/>
    <x v="0"/>
    <x v="0"/>
    <x v="0"/>
  </r>
  <r>
    <d v="2019-07-23T00:00:00"/>
    <s v="Veira"/>
    <n v="66126483"/>
    <n v="6576"/>
    <x v="0"/>
    <d v="2019-07-15T00:00:00"/>
    <m/>
    <x v="1"/>
    <x v="0"/>
    <x v="0"/>
  </r>
  <r>
    <d v="2019-07-16T00:00:00"/>
    <s v="Zoogant"/>
    <n v="66126493"/>
    <n v="10120"/>
    <x v="0"/>
    <d v="2019-07-15T00:00:00"/>
    <m/>
    <x v="2"/>
    <x v="0"/>
    <x v="0"/>
  </r>
  <r>
    <d v="2019-07-23T00:00:00"/>
    <s v="Raul Vorrazo"/>
    <n v="66126494"/>
    <n v="3900"/>
    <x v="0"/>
    <d v="2019-07-15T00:00:00"/>
    <m/>
    <x v="1"/>
    <x v="0"/>
    <x v="0"/>
  </r>
  <r>
    <d v="2019-08-08T00:00:00"/>
    <s v="Raul Vorrazo"/>
    <n v="66126495"/>
    <n v="3951"/>
    <x v="0"/>
    <d v="2019-07-15T00:00:00"/>
    <m/>
    <x v="3"/>
    <x v="1"/>
    <x v="0"/>
  </r>
  <r>
    <d v="2019-07-15T00:00:00"/>
    <s v="Gama"/>
    <n v="66126497"/>
    <n v="1700"/>
    <x v="0"/>
    <d v="2019-07-15T00:00:00"/>
    <m/>
    <x v="4"/>
    <x v="0"/>
    <x v="0"/>
  </r>
  <r>
    <d v="2019-07-23T00:00:00"/>
    <s v="Gama"/>
    <n v="66126498"/>
    <n v="1800"/>
    <x v="0"/>
    <d v="2019-07-15T00:00:00"/>
    <m/>
    <x v="1"/>
    <x v="0"/>
    <x v="0"/>
  </r>
  <r>
    <d v="2019-07-15T00:00:00"/>
    <s v="Jerez"/>
    <n v="66126501"/>
    <n v="9100"/>
    <x v="0"/>
    <d v="2019-07-15T00:00:00"/>
    <m/>
    <x v="4"/>
    <x v="0"/>
    <x v="0"/>
  </r>
  <r>
    <d v="2019-07-23T00:00:00"/>
    <s v="Jerez"/>
    <n v="66126502"/>
    <n v="9000"/>
    <x v="0"/>
    <d v="2019-07-15T00:00:00"/>
    <m/>
    <x v="1"/>
    <x v="0"/>
    <x v="0"/>
  </r>
  <r>
    <d v="2019-07-31T00:00:00"/>
    <s v="Jerez"/>
    <n v="66126503"/>
    <n v="10000"/>
    <x v="0"/>
    <d v="2019-07-15T00:00:00"/>
    <m/>
    <x v="5"/>
    <x v="0"/>
    <x v="0"/>
  </r>
  <r>
    <d v="2019-07-16T00:00:00"/>
    <s v="Jerez"/>
    <n v="66126504"/>
    <n v="7000"/>
    <x v="0"/>
    <d v="2019-07-15T00:00:00"/>
    <m/>
    <x v="2"/>
    <x v="0"/>
    <x v="0"/>
  </r>
  <r>
    <d v="2019-07-30T00:00:00"/>
    <s v="Jerez"/>
    <n v="66126505"/>
    <n v="7000"/>
    <x v="0"/>
    <d v="2019-07-15T00:00:00"/>
    <m/>
    <x v="0"/>
    <x v="0"/>
    <x v="0"/>
  </r>
  <r>
    <d v="2019-08-08T00:00:00"/>
    <s v="Jerez"/>
    <n v="66126506"/>
    <n v="6500"/>
    <x v="0"/>
    <d v="2019-07-15T00:00:00"/>
    <m/>
    <x v="3"/>
    <x v="1"/>
    <x v="0"/>
  </r>
  <r>
    <d v="2019-07-15T00:00:00"/>
    <s v="Zoogant"/>
    <n v="66126514"/>
    <n v="12150"/>
    <x v="0"/>
    <d v="2019-07-15T00:00:00"/>
    <m/>
    <x v="4"/>
    <x v="0"/>
    <x v="0"/>
  </r>
  <r>
    <d v="2019-07-23T00:00:00"/>
    <s v="Zoogant"/>
    <n v="66126515"/>
    <n v="12390"/>
    <x v="0"/>
    <d v="2019-07-15T00:00:00"/>
    <m/>
    <x v="1"/>
    <x v="0"/>
    <x v="0"/>
  </r>
  <r>
    <d v="2019-07-31T00:00:00"/>
    <s v="Zoogant"/>
    <n v="66126516"/>
    <n v="13510"/>
    <x v="0"/>
    <d v="2019-07-15T00:00:00"/>
    <m/>
    <x v="5"/>
    <x v="0"/>
    <x v="0"/>
  </r>
  <r>
    <d v="2019-09-08T00:00:00"/>
    <s v="Gama"/>
    <n v="66126517"/>
    <n v="3800"/>
    <x v="0"/>
    <d v="2019-07-15T00:00:00"/>
    <m/>
    <x v="3"/>
    <x v="2"/>
    <x v="0"/>
  </r>
  <r>
    <d v="2019-08-16T00:00:00"/>
    <s v="Zoogant"/>
    <n v="66126521"/>
    <n v="8000"/>
    <x v="0"/>
    <d v="2019-07-15T00:00:00"/>
    <m/>
    <x v="2"/>
    <x v="1"/>
    <x v="0"/>
  </r>
  <r>
    <d v="2019-08-23T00:00:00"/>
    <s v="Zoogant"/>
    <n v="66126522"/>
    <n v="12000"/>
    <x v="0"/>
    <d v="2019-07-15T00:00:00"/>
    <m/>
    <x v="1"/>
    <x v="1"/>
    <x v="0"/>
  </r>
  <r>
    <d v="2019-09-08T00:00:00"/>
    <s v="Zoogant"/>
    <n v="66126523"/>
    <n v="10000"/>
    <x v="0"/>
    <d v="2019-07-15T00:00:00"/>
    <m/>
    <x v="3"/>
    <x v="2"/>
    <x v="0"/>
  </r>
  <r>
    <d v="2019-09-16T00:00:00"/>
    <s v="Zoogant"/>
    <n v="66126524"/>
    <n v="11000"/>
    <x v="0"/>
    <d v="2019-07-15T00:00:00"/>
    <m/>
    <x v="2"/>
    <x v="2"/>
    <x v="0"/>
  </r>
  <r>
    <d v="2019-09-23T00:00:00"/>
    <s v="Zoogant"/>
    <n v="66126525"/>
    <n v="9000"/>
    <x v="0"/>
    <d v="2019-07-15T00:00:00"/>
    <m/>
    <x v="1"/>
    <x v="2"/>
    <x v="0"/>
  </r>
  <r>
    <d v="2019-07-23T00:00:00"/>
    <s v="-"/>
    <n v="68230252"/>
    <n v="5200"/>
    <x v="0"/>
    <d v="2019-07-12T00:00:00"/>
    <m/>
    <x v="1"/>
    <x v="0"/>
    <x v="0"/>
  </r>
  <r>
    <d v="2019-08-08T00:00:00"/>
    <s v="-"/>
    <n v="68230253"/>
    <n v="5276.91"/>
    <x v="0"/>
    <d v="2019-07-12T00:00:00"/>
    <m/>
    <x v="3"/>
    <x v="1"/>
    <x v="0"/>
  </r>
  <r>
    <d v="2019-08-23T00:00:00"/>
    <s v="-"/>
    <n v="68230254"/>
    <n v="5300"/>
    <x v="0"/>
    <d v="2019-07-15T00:00:00"/>
    <m/>
    <x v="1"/>
    <x v="1"/>
    <x v="0"/>
  </r>
  <r>
    <d v="2019-08-08T00:00:00"/>
    <s v="Manoli"/>
    <n v="68230255"/>
    <n v="3133"/>
    <x v="0"/>
    <d v="2019-07-15T00:00:00"/>
    <m/>
    <x v="3"/>
    <x v="1"/>
    <x v="0"/>
  </r>
  <r>
    <d v="2019-08-23T00:00:00"/>
    <s v="Manoli"/>
    <n v="68230256"/>
    <n v="3100.62"/>
    <x v="0"/>
    <d v="2019-07-15T00:00:00"/>
    <m/>
    <x v="1"/>
    <x v="1"/>
    <x v="0"/>
  </r>
  <r>
    <d v="2019-07-16T00:00:00"/>
    <s v="La Pastora"/>
    <n v="68230261"/>
    <n v="6202.89"/>
    <x v="0"/>
    <d v="2019-07-15T00:00:00"/>
    <m/>
    <x v="2"/>
    <x v="0"/>
    <x v="0"/>
  </r>
  <r>
    <d v="2019-08-08T00:00:00"/>
    <s v="Banarik"/>
    <n v="68230262"/>
    <n v="7000"/>
    <x v="0"/>
    <d v="2019-07-15T00:00:00"/>
    <m/>
    <x v="3"/>
    <x v="1"/>
    <x v="0"/>
  </r>
  <r>
    <d v="2019-08-10T00:00:00"/>
    <s v="Banarik"/>
    <n v="68230263"/>
    <n v="8000"/>
    <x v="0"/>
    <d v="2019-07-15T00:00:00"/>
    <m/>
    <x v="6"/>
    <x v="1"/>
    <x v="0"/>
  </r>
  <r>
    <d v="2019-09-08T00:00:00"/>
    <s v="Banarik"/>
    <n v="68230264"/>
    <n v="7500"/>
    <x v="0"/>
    <d v="2019-07-15T00:00:00"/>
    <m/>
    <x v="3"/>
    <x v="2"/>
    <x v="0"/>
  </r>
  <r>
    <d v="2019-09-10T00:00:00"/>
    <s v="Banarik"/>
    <n v="68230265"/>
    <n v="8500"/>
    <x v="0"/>
    <d v="2019-07-15T00:00:00"/>
    <m/>
    <x v="6"/>
    <x v="2"/>
    <x v="0"/>
  </r>
  <r>
    <d v="2019-07-16T00:00:00"/>
    <s v="Matiel"/>
    <n v="68230267"/>
    <n v="9600"/>
    <x v="0"/>
    <d v="2019-07-15T00:00:00"/>
    <m/>
    <x v="2"/>
    <x v="0"/>
    <x v="0"/>
  </r>
  <r>
    <d v="2019-07-23T00:00:00"/>
    <s v="Matiel"/>
    <n v="68230268"/>
    <n v="10500"/>
    <x v="0"/>
    <d v="2019-07-15T00:00:00"/>
    <m/>
    <x v="1"/>
    <x v="0"/>
    <x v="0"/>
  </r>
  <r>
    <d v="2019-07-30T00:00:00"/>
    <s v="Matiel"/>
    <n v="68230269"/>
    <n v="10600"/>
    <x v="0"/>
    <d v="2019-07-15T00:00:00"/>
    <m/>
    <x v="0"/>
    <x v="0"/>
    <x v="0"/>
  </r>
  <r>
    <d v="2019-08-08T00:00:00"/>
    <s v="Matiel"/>
    <n v="68230270"/>
    <n v="10700"/>
    <x v="0"/>
    <d v="2019-07-15T00:00:00"/>
    <m/>
    <x v="3"/>
    <x v="1"/>
    <x v="0"/>
  </r>
  <r>
    <d v="2019-08-16T00:00:00"/>
    <s v="Matiel"/>
    <n v="68230271"/>
    <n v="10800"/>
    <x v="0"/>
    <d v="2019-07-15T00:00:00"/>
    <m/>
    <x v="2"/>
    <x v="1"/>
    <x v="0"/>
  </r>
  <r>
    <d v="2019-08-23T00:00:00"/>
    <s v="Matiel"/>
    <n v="68230272"/>
    <n v="7800"/>
    <x v="0"/>
    <d v="2019-07-15T00:00:00"/>
    <m/>
    <x v="1"/>
    <x v="1"/>
    <x v="0"/>
  </r>
  <r>
    <d v="2019-07-30T00:00:00"/>
    <s v="Jerez"/>
    <n v="68230273"/>
    <n v="3000"/>
    <x v="0"/>
    <d v="2019-07-15T00:00:00"/>
    <m/>
    <x v="0"/>
    <x v="0"/>
    <x v="0"/>
  </r>
  <r>
    <d v="2019-07-23T00:00:00"/>
    <s v="Jerez"/>
    <n v="68230274"/>
    <n v="6000"/>
    <x v="0"/>
    <d v="2019-07-15T00:00:00"/>
    <m/>
    <x v="1"/>
    <x v="0"/>
    <x v="0"/>
  </r>
  <r>
    <d v="2019-09-07T00:00:00"/>
    <s v="Jerez"/>
    <n v="68230275"/>
    <n v="6010"/>
    <x v="0"/>
    <d v="2019-07-15T00:00:00"/>
    <m/>
    <x v="7"/>
    <x v="2"/>
    <x v="0"/>
  </r>
  <r>
    <d v="2019-09-22T00:00:00"/>
    <s v="Jerez"/>
    <n v="68230276"/>
    <n v="6050"/>
    <x v="0"/>
    <d v="2019-07-15T00:00:00"/>
    <m/>
    <x v="8"/>
    <x v="2"/>
    <x v="0"/>
  </r>
  <r>
    <d v="2019-09-30T00:00:00"/>
    <s v="Jerez"/>
    <n v="68230277"/>
    <n v="6300"/>
    <x v="0"/>
    <d v="2019-07-15T00:00:00"/>
    <m/>
    <x v="0"/>
    <x v="2"/>
    <x v="0"/>
  </r>
  <r>
    <d v="2019-09-08T00:00:00"/>
    <s v="Raul Vorrazo"/>
    <n v="68230278"/>
    <n v="7500"/>
    <x v="0"/>
    <d v="2019-07-15T00:00:00"/>
    <m/>
    <x v="3"/>
    <x v="2"/>
    <x v="0"/>
  </r>
  <r>
    <d v="2019-09-22T00:00:00"/>
    <s v="Raul Vorrazo"/>
    <n v="68230279"/>
    <n v="7500"/>
    <x v="0"/>
    <d v="2019-07-15T00:00:00"/>
    <m/>
    <x v="8"/>
    <x v="2"/>
    <x v="0"/>
  </r>
  <r>
    <d v="2019-09-30T00:00:00"/>
    <s v="Raul Vorrazo"/>
    <n v="68230280"/>
    <n v="7500"/>
    <x v="0"/>
    <d v="2019-07-15T00:00:00"/>
    <m/>
    <x v="0"/>
    <x v="2"/>
    <x v="0"/>
  </r>
  <r>
    <d v="2019-10-08T00:00:00"/>
    <s v="Raul Vorrazo"/>
    <n v="68230281"/>
    <n v="7500"/>
    <x v="0"/>
    <d v="2019-07-15T00:00:00"/>
    <m/>
    <x v="3"/>
    <x v="3"/>
    <x v="0"/>
  </r>
  <r>
    <d v="2019-10-22T00:00:00"/>
    <s v="Raul Vorrazo"/>
    <n v="68230282"/>
    <n v="7500"/>
    <x v="0"/>
    <d v="2019-07-15T00:00:00"/>
    <m/>
    <x v="8"/>
    <x v="3"/>
    <x v="0"/>
  </r>
  <r>
    <d v="2019-10-30T00:00:00"/>
    <s v="Raul Vorrazo"/>
    <n v="68230283"/>
    <n v="7818"/>
    <x v="0"/>
    <d v="2019-07-15T00:00:00"/>
    <m/>
    <x v="0"/>
    <x v="4"/>
    <x v="0"/>
  </r>
  <r>
    <d v="2019-08-24T00:00:00"/>
    <s v="Rontaltex"/>
    <n v="68230284"/>
    <n v="1700"/>
    <x v="0"/>
    <d v="2019-07-15T00:00:00"/>
    <m/>
    <x v="9"/>
    <x v="1"/>
    <x v="0"/>
  </r>
  <r>
    <d v="2019-08-10T00:00:00"/>
    <s v="Pastora Neuquen"/>
    <n v="68230285"/>
    <n v="2320.0500000000002"/>
    <x v="0"/>
    <d v="2019-07-15T00:00:00"/>
    <m/>
    <x v="6"/>
    <x v="1"/>
    <x v="0"/>
  </r>
  <r>
    <d v="2019-08-16T00:00:00"/>
    <s v="Pastora Rioja"/>
    <n v="68230286"/>
    <n v="4867.3999999999996"/>
    <x v="0"/>
    <d v="2019-07-15T00:00:00"/>
    <m/>
    <x v="2"/>
    <x v="1"/>
    <x v="0"/>
  </r>
  <r>
    <d v="2019-08-23T00:00:00"/>
    <s v="Riza Pesdera"/>
    <n v="68230287"/>
    <n v="4800"/>
    <x v="0"/>
    <d v="2019-07-15T00:00:00"/>
    <m/>
    <x v="1"/>
    <x v="1"/>
    <x v="0"/>
  </r>
  <r>
    <d v="2019-08-30T00:00:00"/>
    <s v="Riza Pesdera"/>
    <n v="68230288"/>
    <n v="4800"/>
    <x v="0"/>
    <d v="2019-07-15T00:00:00"/>
    <m/>
    <x v="0"/>
    <x v="1"/>
    <x v="0"/>
  </r>
  <r>
    <d v="2019-08-08T00:00:00"/>
    <s v="Matices"/>
    <n v="68230289"/>
    <n v="8000"/>
    <x v="0"/>
    <d v="2019-07-15T00:00:00"/>
    <m/>
    <x v="3"/>
    <x v="1"/>
    <x v="0"/>
  </r>
  <r>
    <d v="2019-09-07T00:00:00"/>
    <s v="Matices"/>
    <n v="68230290"/>
    <n v="7300"/>
    <x v="0"/>
    <d v="2019-07-18T00:00:00"/>
    <m/>
    <x v="7"/>
    <x v="2"/>
    <x v="0"/>
  </r>
  <r>
    <d v="2019-09-16T00:00:00"/>
    <s v="Matices"/>
    <n v="68230291"/>
    <n v="7480"/>
    <x v="0"/>
    <d v="2019-07-18T00:00:00"/>
    <m/>
    <x v="2"/>
    <x v="2"/>
    <x v="0"/>
  </r>
  <r>
    <d v="2019-09-21T00:00:00"/>
    <s v="Matices"/>
    <n v="68230292"/>
    <n v="7600"/>
    <x v="0"/>
    <d v="2019-07-18T00:00:00"/>
    <m/>
    <x v="10"/>
    <x v="2"/>
    <x v="0"/>
  </r>
  <r>
    <d v="2019-09-30T00:00:00"/>
    <s v="Matices"/>
    <n v="68230293"/>
    <n v="7700"/>
    <x v="0"/>
    <d v="2019-07-18T00:00:00"/>
    <m/>
    <x v="0"/>
    <x v="2"/>
    <x v="0"/>
  </r>
  <r>
    <d v="2019-09-27T00:00:00"/>
    <s v="Matices"/>
    <n v="68230294"/>
    <n v="7800"/>
    <x v="0"/>
    <d v="2019-07-18T00:00:00"/>
    <m/>
    <x v="11"/>
    <x v="2"/>
    <x v="0"/>
  </r>
  <r>
    <d v="2019-10-22T00:00:00"/>
    <s v="Gama"/>
    <n v="68230295"/>
    <n v="3000"/>
    <x v="0"/>
    <d v="2019-07-20T00:00:00"/>
    <m/>
    <x v="8"/>
    <x v="3"/>
    <x v="0"/>
  </r>
  <r>
    <d v="2019-08-16T00:00:00"/>
    <s v="Iveco"/>
    <n v="68230296"/>
    <n v="2815"/>
    <x v="0"/>
    <d v="2019-07-25T00:00:00"/>
    <m/>
    <x v="2"/>
    <x v="1"/>
    <x v="0"/>
  </r>
  <r>
    <d v="2019-08-30T00:00:00"/>
    <s v="Iveco"/>
    <n v="68230297"/>
    <n v="2837"/>
    <x v="0"/>
    <d v="2019-07-25T00:00:00"/>
    <m/>
    <x v="0"/>
    <x v="1"/>
    <x v="0"/>
  </r>
  <r>
    <d v="2019-11-23T00:00:00"/>
    <s v="Bousyk"/>
    <n v="68230298"/>
    <n v="8600"/>
    <x v="0"/>
    <d v="2019-07-25T00:00:00"/>
    <m/>
    <x v="1"/>
    <x v="4"/>
    <x v="0"/>
  </r>
  <r>
    <d v="2019-11-23T00:00:00"/>
    <s v="Bousyk"/>
    <n v="68230299"/>
    <n v="8700"/>
    <x v="0"/>
    <d v="2019-07-25T00:00:00"/>
    <m/>
    <x v="1"/>
    <x v="4"/>
    <x v="0"/>
  </r>
  <r>
    <d v="2019-12-08T00:00:00"/>
    <s v="Bouzyk"/>
    <n v="68230300"/>
    <n v="8800"/>
    <x v="0"/>
    <d v="2019-07-25T00:00:00"/>
    <m/>
    <x v="3"/>
    <x v="5"/>
    <x v="0"/>
  </r>
  <r>
    <d v="2019-11-30T00:00:00"/>
    <s v="Mandi"/>
    <n v="70455976"/>
    <n v="4600"/>
    <x v="0"/>
    <d v="2019-08-05T00:00:00"/>
    <m/>
    <x v="0"/>
    <x v="4"/>
    <x v="0"/>
  </r>
  <r>
    <d v="2019-11-22T00:00:00"/>
    <s v="Mandi"/>
    <n v="70455977"/>
    <n v="4700"/>
    <x v="0"/>
    <d v="2019-08-05T00:00:00"/>
    <m/>
    <x v="8"/>
    <x v="4"/>
    <x v="0"/>
  </r>
  <r>
    <d v="2019-12-07T00:00:00"/>
    <s v="Mandi"/>
    <n v="70455978"/>
    <n v="4627"/>
    <x v="0"/>
    <d v="2019-08-05T00:00:00"/>
    <m/>
    <x v="7"/>
    <x v="5"/>
    <x v="0"/>
  </r>
  <r>
    <d v="2019-09-22T00:00:00"/>
    <s v="La Pastora"/>
    <n v="70455980"/>
    <n v="2361.25"/>
    <x v="0"/>
    <d v="2019-08-12T00:00:00"/>
    <m/>
    <x v="8"/>
    <x v="2"/>
    <x v="0"/>
  </r>
  <r>
    <d v="2019-09-07T00:00:00"/>
    <s v="Veira "/>
    <n v="70455981"/>
    <n v="4600"/>
    <x v="0"/>
    <d v="2019-08-12T00:00:00"/>
    <m/>
    <x v="7"/>
    <x v="2"/>
    <x v="0"/>
  </r>
  <r>
    <d v="2019-09-22T00:00:00"/>
    <s v="Veira "/>
    <n v="70455982"/>
    <n v="4700"/>
    <x v="0"/>
    <d v="2019-08-12T00:00:00"/>
    <m/>
    <x v="8"/>
    <x v="2"/>
    <x v="0"/>
  </r>
  <r>
    <d v="2019-10-07T00:00:00"/>
    <s v="Veira "/>
    <n v="70455983"/>
    <n v="4810"/>
    <x v="0"/>
    <d v="2019-08-12T00:00:00"/>
    <m/>
    <x v="7"/>
    <x v="3"/>
    <x v="0"/>
  </r>
  <r>
    <d v="2019-10-22T00:00:00"/>
    <s v="Veira"/>
    <n v="70455984"/>
    <n v="4800"/>
    <x v="0"/>
    <d v="2019-08-12T00:00:00"/>
    <m/>
    <x v="8"/>
    <x v="3"/>
    <x v="0"/>
  </r>
  <r>
    <d v="2019-08-15T00:00:00"/>
    <s v="Yo"/>
    <n v="70455985"/>
    <n v="15000"/>
    <x v="0"/>
    <d v="2019-08-12T00:00:00"/>
    <m/>
    <x v="4"/>
    <x v="1"/>
    <x v="0"/>
  </r>
  <r>
    <d v="2019-09-22T00:00:00"/>
    <s v="Veira"/>
    <n v="70455986"/>
    <n v="3400"/>
    <x v="0"/>
    <d v="2019-08-22T00:00:00"/>
    <m/>
    <x v="8"/>
    <x v="2"/>
    <x v="0"/>
  </r>
  <r>
    <d v="2019-09-22T00:00:00"/>
    <s v="Veira"/>
    <n v="70455987"/>
    <n v="3500"/>
    <x v="0"/>
    <d v="2019-08-22T00:00:00"/>
    <m/>
    <x v="8"/>
    <x v="2"/>
    <x v="0"/>
  </r>
  <r>
    <d v="2019-10-22T00:00:00"/>
    <s v="Veira"/>
    <n v="70455988"/>
    <n v="3642"/>
    <x v="0"/>
    <d v="2019-08-22T00:00:00"/>
    <m/>
    <x v="8"/>
    <x v="3"/>
    <x v="0"/>
  </r>
  <r>
    <d v="2019-11-07T00:00:00"/>
    <s v="Veira"/>
    <n v="70455989"/>
    <n v="3700"/>
    <x v="0"/>
    <d v="2019-08-22T00:00:00"/>
    <m/>
    <x v="7"/>
    <x v="4"/>
    <x v="0"/>
  </r>
  <r>
    <d v="2019-11-22T00:00:00"/>
    <s v="Veira"/>
    <n v="70455990"/>
    <n v="3800"/>
    <x v="0"/>
    <d v="2019-08-22T00:00:00"/>
    <m/>
    <x v="8"/>
    <x v="4"/>
    <x v="0"/>
  </r>
  <r>
    <d v="2019-11-30T00:00:00"/>
    <s v="Gama"/>
    <n v="70455991"/>
    <n v="4408"/>
    <x v="0"/>
    <d v="2019-08-22T00:00:00"/>
    <m/>
    <x v="0"/>
    <x v="4"/>
    <x v="0"/>
  </r>
  <r>
    <d v="2019-12-07T00:00:00"/>
    <s v="Mandi"/>
    <n v="70455992"/>
    <n v="4900"/>
    <x v="0"/>
    <d v="2019-08-22T00:00:00"/>
    <m/>
    <x v="7"/>
    <x v="5"/>
    <x v="0"/>
  </r>
  <r>
    <d v="2019-10-22T00:00:00"/>
    <s v="Raul Vorrazo"/>
    <n v="70455993"/>
    <n v="5000"/>
    <x v="0"/>
    <d v="2019-08-22T00:00:00"/>
    <s v="ANULADO"/>
    <x v="8"/>
    <x v="3"/>
    <x v="0"/>
  </r>
  <r>
    <d v="2019-11-07T00:00:00"/>
    <s v="Raul Vorrazo"/>
    <n v="70455994"/>
    <n v="5500"/>
    <x v="0"/>
    <d v="2019-08-22T00:00:00"/>
    <m/>
    <x v="7"/>
    <x v="4"/>
    <x v="0"/>
  </r>
  <r>
    <d v="2020-01-22T00:00:00"/>
    <s v="Veira"/>
    <n v="70455995"/>
    <n v="6000"/>
    <x v="0"/>
    <d v="2019-08-22T00:00:00"/>
    <m/>
    <x v="8"/>
    <x v="6"/>
    <x v="1"/>
  </r>
  <r>
    <d v="2019-12-22T00:00:00"/>
    <s v="Raul Vorrazo"/>
    <n v="70455996"/>
    <n v="6000"/>
    <x v="0"/>
    <d v="2019-08-22T00:00:00"/>
    <m/>
    <x v="8"/>
    <x v="5"/>
    <x v="0"/>
  </r>
  <r>
    <d v="2020-03-31T00:00:00"/>
    <s v="Veira"/>
    <n v="70455997"/>
    <n v="6100"/>
    <x v="0"/>
    <d v="2019-08-22T00:00:00"/>
    <m/>
    <x v="5"/>
    <x v="7"/>
    <x v="1"/>
  </r>
  <r>
    <d v="2019-12-07T00:00:00"/>
    <s v="Raul Vorrazo"/>
    <n v="70455998"/>
    <n v="6000"/>
    <x v="0"/>
    <d v="2019-08-22T00:00:00"/>
    <s v="ANULADO"/>
    <x v="7"/>
    <x v="5"/>
    <x v="0"/>
  </r>
  <r>
    <d v="2019-08-22T00:00:00"/>
    <s v="Yo"/>
    <n v="70455999"/>
    <n v="14000"/>
    <x v="0"/>
    <d v="2019-08-22T00:00:00"/>
    <m/>
    <x v="8"/>
    <x v="1"/>
    <x v="0"/>
  </r>
  <r>
    <d v="2019-11-07T00:00:00"/>
    <s v="Gama"/>
    <n v="70456000"/>
    <n v="3000"/>
    <x v="0"/>
    <d v="2019-08-26T00:00:00"/>
    <m/>
    <x v="7"/>
    <x v="4"/>
    <x v="0"/>
  </r>
  <r>
    <d v="2019-11-22T00:00:00"/>
    <s v="Gama"/>
    <n v="70456001"/>
    <n v="2950"/>
    <x v="0"/>
    <d v="2019-08-26T00:00:00"/>
    <m/>
    <x v="8"/>
    <x v="4"/>
    <x v="0"/>
  </r>
  <r>
    <d v="2019-11-07T00:00:00"/>
    <s v="Zoogant"/>
    <n v="70456002"/>
    <n v="8100"/>
    <x v="0"/>
    <d v="2019-08-26T00:00:00"/>
    <m/>
    <x v="7"/>
    <x v="4"/>
    <x v="0"/>
  </r>
  <r>
    <d v="2019-11-16T00:00:00"/>
    <s v="Zoogant"/>
    <n v="70456003"/>
    <n v="8150"/>
    <x v="0"/>
    <d v="2019-08-26T00:00:00"/>
    <m/>
    <x v="2"/>
    <x v="4"/>
    <x v="0"/>
  </r>
  <r>
    <d v="2019-11-22T00:00:00"/>
    <s v="Zoogant"/>
    <n v="70456004"/>
    <n v="8250"/>
    <x v="0"/>
    <d v="2019-08-26T00:00:00"/>
    <m/>
    <x v="8"/>
    <x v="4"/>
    <x v="0"/>
  </r>
  <r>
    <d v="2019-11-30T00:00:00"/>
    <s v="Zoogant"/>
    <n v="70456005"/>
    <n v="8400"/>
    <x v="0"/>
    <d v="2019-08-26T00:00:00"/>
    <m/>
    <x v="0"/>
    <x v="4"/>
    <x v="0"/>
  </r>
  <r>
    <d v="2019-10-31T00:00:00"/>
    <s v="Zoogant"/>
    <n v="70456006"/>
    <n v="8500"/>
    <x v="0"/>
    <d v="2019-08-26T00:00:00"/>
    <m/>
    <x v="5"/>
    <x v="3"/>
    <x v="0"/>
  </r>
  <r>
    <d v="2019-10-27T00:00:00"/>
    <s v="Zoogant"/>
    <n v="70456007"/>
    <n v="8600"/>
    <x v="0"/>
    <d v="2019-08-26T00:00:00"/>
    <m/>
    <x v="11"/>
    <x v="3"/>
    <x v="0"/>
  </r>
  <r>
    <d v="2019-10-30T00:00:00"/>
    <s v="Otranto"/>
    <n v="70456008"/>
    <n v="4850"/>
    <x v="0"/>
    <d v="2019-08-29T00:00:00"/>
    <m/>
    <x v="0"/>
    <x v="3"/>
    <x v="0"/>
  </r>
  <r>
    <d v="2019-11-09T00:00:00"/>
    <s v="Otranto"/>
    <n v="70456009"/>
    <n v="4950"/>
    <x v="0"/>
    <d v="2019-08-29T00:00:00"/>
    <m/>
    <x v="12"/>
    <x v="4"/>
    <x v="0"/>
  </r>
  <r>
    <d v="2019-11-14T00:00:00"/>
    <s v="Otranto"/>
    <n v="70456010"/>
    <n v="5050"/>
    <x v="0"/>
    <d v="2019-08-29T00:00:00"/>
    <m/>
    <x v="13"/>
    <x v="4"/>
    <x v="0"/>
  </r>
  <r>
    <d v="2019-11-22T00:00:00"/>
    <s v="Otranto"/>
    <n v="70456011"/>
    <n v="5164.12"/>
    <x v="0"/>
    <d v="2019-08-29T00:00:00"/>
    <m/>
    <x v="8"/>
    <x v="4"/>
    <x v="0"/>
  </r>
  <r>
    <d v="2019-11-30T00:00:00"/>
    <s v="Otranto"/>
    <n v="70456012"/>
    <n v="5250"/>
    <x v="0"/>
    <d v="2019-08-29T00:00:00"/>
    <m/>
    <x v="0"/>
    <x v="4"/>
    <x v="0"/>
  </r>
  <r>
    <d v="2019-12-07T00:00:00"/>
    <s v="Otranto"/>
    <n v="70456013"/>
    <n v="5350"/>
    <x v="0"/>
    <d v="2019-08-29T00:00:00"/>
    <m/>
    <x v="7"/>
    <x v="5"/>
    <x v="0"/>
  </r>
  <r>
    <d v="2019-12-14T00:00:00"/>
    <s v="Otranto"/>
    <n v="70456014"/>
    <n v="5450"/>
    <x v="0"/>
    <d v="2019-08-29T00:00:00"/>
    <m/>
    <x v="13"/>
    <x v="5"/>
    <x v="0"/>
  </r>
  <r>
    <d v="2019-12-22T00:00:00"/>
    <s v="Lipo Mandi"/>
    <n v="70456015"/>
    <n v="3587.74"/>
    <x v="0"/>
    <d v="2019-08-29T00:00:00"/>
    <m/>
    <x v="8"/>
    <x v="5"/>
    <x v="0"/>
  </r>
  <r>
    <d v="2019-11-07T00:00:00"/>
    <s v="Matices"/>
    <n v="70456016"/>
    <n v="4595"/>
    <x v="0"/>
    <d v="2019-08-29T00:00:00"/>
    <m/>
    <x v="7"/>
    <x v="4"/>
    <x v="0"/>
  </r>
  <r>
    <d v="2019-11-16T00:00:00"/>
    <s v="Matices"/>
    <n v="70456017"/>
    <n v="4594"/>
    <x v="0"/>
    <d v="2019-08-29T00:00:00"/>
    <m/>
    <x v="2"/>
    <x v="4"/>
    <x v="0"/>
  </r>
  <r>
    <d v="2019-11-07T00:00:00"/>
    <s v="Matices"/>
    <n v="70456018"/>
    <n v="6380"/>
    <x v="0"/>
    <d v="2019-08-29T00:00:00"/>
    <m/>
    <x v="7"/>
    <x v="4"/>
    <x v="0"/>
  </r>
  <r>
    <d v="2019-11-16T00:00:00"/>
    <s v="Matices"/>
    <n v="70456019"/>
    <n v="6290"/>
    <x v="0"/>
    <d v="2019-08-29T00:00:00"/>
    <m/>
    <x v="2"/>
    <x v="4"/>
    <x v="0"/>
  </r>
  <r>
    <d v="2019-08-29T00:00:00"/>
    <s v="Yo"/>
    <n v="70456020"/>
    <n v="7000"/>
    <x v="0"/>
    <d v="2019-08-29T00:00:00"/>
    <m/>
    <x v="14"/>
    <x v="1"/>
    <x v="0"/>
  </r>
  <r>
    <d v="2019-10-22T00:00:00"/>
    <s v="Rontaltex"/>
    <n v="70456021"/>
    <n v="1380.64"/>
    <x v="0"/>
    <d v="2019-09-02T00:00:00"/>
    <m/>
    <x v="8"/>
    <x v="3"/>
    <x v="0"/>
  </r>
  <r>
    <d v="2019-09-04T00:00:00"/>
    <s v="Yo"/>
    <n v="70456022"/>
    <n v="9000"/>
    <x v="0"/>
    <d v="2019-09-02T00:00:00"/>
    <m/>
    <x v="15"/>
    <x v="2"/>
    <x v="0"/>
  </r>
  <r>
    <d v="2019-11-07T00:00:00"/>
    <s v="Seg. Rio Uruguay"/>
    <n v="70456023"/>
    <n v="2255"/>
    <x v="0"/>
    <d v="2019-09-02T00:00:00"/>
    <m/>
    <x v="7"/>
    <x v="4"/>
    <x v="0"/>
  </r>
  <r>
    <d v="2019-09-13T00:00:00"/>
    <s v="Yo"/>
    <n v="70456024"/>
    <n v="11000"/>
    <x v="0"/>
    <d v="2019-09-13T00:00:00"/>
    <m/>
    <x v="16"/>
    <x v="2"/>
    <x v="0"/>
  </r>
  <r>
    <d v="2019-10-08T00:00:00"/>
    <s v="Matices"/>
    <n v="70456025"/>
    <n v="8634"/>
    <x v="0"/>
    <d v="2019-10-14T00:00:00"/>
    <m/>
    <x v="3"/>
    <x v="3"/>
    <x v="0"/>
  </r>
  <r>
    <d v="2019-09-18T00:00:00"/>
    <s v="Yo"/>
    <n v="72178301"/>
    <n v="15000"/>
    <x v="0"/>
    <d v="2019-09-18T00:00:00"/>
    <m/>
    <x v="17"/>
    <x v="2"/>
    <x v="0"/>
  </r>
  <r>
    <d v="2019-09-20T00:00:00"/>
    <s v="Yo"/>
    <n v="72178302"/>
    <n v="10000"/>
    <x v="0"/>
    <d v="2019-09-20T00:00:00"/>
    <m/>
    <x v="18"/>
    <x v="2"/>
    <x v="0"/>
  </r>
  <r>
    <d v="2019-11-08T00:00:00"/>
    <s v="Matices"/>
    <n v="72178303"/>
    <n v="6000"/>
    <x v="0"/>
    <d v="2019-09-20T00:00:00"/>
    <m/>
    <x v="3"/>
    <x v="4"/>
    <x v="0"/>
  </r>
  <r>
    <d v="2019-11-23T00:00:00"/>
    <s v="Matices"/>
    <n v="72178304"/>
    <n v="6000"/>
    <x v="0"/>
    <d v="2019-09-20T00:00:00"/>
    <m/>
    <x v="1"/>
    <x v="4"/>
    <x v="0"/>
  </r>
  <r>
    <d v="2019-11-30T00:00:00"/>
    <s v="Matices"/>
    <n v="72178305"/>
    <n v="7717"/>
    <x v="0"/>
    <d v="2019-09-20T00:00:00"/>
    <m/>
    <x v="0"/>
    <x v="4"/>
    <x v="0"/>
  </r>
  <r>
    <d v="2020-02-19T00:00:00"/>
    <s v="Rontaltex"/>
    <n v="72178306"/>
    <n v="6000"/>
    <x v="0"/>
    <d v="2019-09-26T00:00:00"/>
    <m/>
    <x v="19"/>
    <x v="8"/>
    <x v="1"/>
  </r>
  <r>
    <d v="2020-03-08T00:00:00"/>
    <s v="Veira"/>
    <n v="72178307"/>
    <n v="5542"/>
    <x v="0"/>
    <d v="2019-09-26T00:00:00"/>
    <m/>
    <x v="3"/>
    <x v="7"/>
    <x v="1"/>
  </r>
  <r>
    <d v="2019-11-22T00:00:00"/>
    <s v="Poli Martinez"/>
    <n v="72178308"/>
    <n v="3417"/>
    <x v="0"/>
    <d v="2019-09-26T00:00:00"/>
    <m/>
    <x v="8"/>
    <x v="4"/>
    <x v="0"/>
  </r>
  <r>
    <d v="2019-11-22T00:00:00"/>
    <s v="Matices"/>
    <n v="72178309"/>
    <n v="2027"/>
    <x v="0"/>
    <d v="2019-09-27T00:00:00"/>
    <m/>
    <x v="8"/>
    <x v="4"/>
    <x v="0"/>
  </r>
  <r>
    <d v="2019-11-22T00:00:00"/>
    <s v="Bouzik"/>
    <n v="72178310"/>
    <n v="11600"/>
    <x v="0"/>
    <d v="2019-09-27T00:00:00"/>
    <m/>
    <x v="8"/>
    <x v="4"/>
    <x v="0"/>
  </r>
  <r>
    <d v="2019-11-30T00:00:00"/>
    <s v="Bouzik"/>
    <n v="72178311"/>
    <n v="11800"/>
    <x v="0"/>
    <d v="2019-09-27T00:00:00"/>
    <m/>
    <x v="0"/>
    <x v="4"/>
    <x v="0"/>
  </r>
  <r>
    <d v="2019-12-08T00:00:00"/>
    <s v="Bouzik"/>
    <n v="72178312"/>
    <n v="12000"/>
    <x v="0"/>
    <d v="2019-09-27T00:00:00"/>
    <m/>
    <x v="3"/>
    <x v="5"/>
    <x v="0"/>
  </r>
  <r>
    <d v="2019-12-22T00:00:00"/>
    <s v="Bouzik"/>
    <n v="72178313"/>
    <n v="12200"/>
    <x v="0"/>
    <d v="2019-09-27T00:00:00"/>
    <m/>
    <x v="8"/>
    <x v="5"/>
    <x v="0"/>
  </r>
  <r>
    <d v="2019-12-16T00:00:00"/>
    <s v="Bouzik"/>
    <n v="72178314"/>
    <n v="12200"/>
    <x v="0"/>
    <d v="2019-09-27T00:00:00"/>
    <m/>
    <x v="2"/>
    <x v="5"/>
    <x v="0"/>
  </r>
  <r>
    <d v="2019-11-30T00:00:00"/>
    <s v="Matices"/>
    <n v="72178315"/>
    <n v="5900"/>
    <x v="0"/>
    <d v="2019-09-27T00:00:00"/>
    <m/>
    <x v="0"/>
    <x v="4"/>
    <x v="0"/>
  </r>
  <r>
    <d v="2019-12-08T00:00:00"/>
    <s v="Matices"/>
    <n v="72178316"/>
    <n v="6100"/>
    <x v="0"/>
    <d v="2019-09-27T00:00:00"/>
    <m/>
    <x v="3"/>
    <x v="5"/>
    <x v="0"/>
  </r>
  <r>
    <d v="2019-11-22T00:00:00"/>
    <s v="Matices"/>
    <n v="72178317"/>
    <n v="8540"/>
    <x v="0"/>
    <d v="2019-10-14T00:00:00"/>
    <m/>
    <x v="8"/>
    <x v="4"/>
    <x v="0"/>
  </r>
  <r>
    <d v="2019-11-30T00:00:00"/>
    <s v="Matices"/>
    <n v="72178318"/>
    <n v="9540"/>
    <x v="0"/>
    <d v="2019-10-14T00:00:00"/>
    <m/>
    <x v="0"/>
    <x v="4"/>
    <x v="0"/>
  </r>
  <r>
    <d v="2019-12-08T00:00:00"/>
    <s v="Matices"/>
    <n v="72178319"/>
    <n v="10528"/>
    <x v="0"/>
    <d v="2019-10-14T00:00:00"/>
    <m/>
    <x v="3"/>
    <x v="5"/>
    <x v="0"/>
  </r>
  <r>
    <d v="2019-10-11T00:00:00"/>
    <s v="Yo"/>
    <n v="72178320"/>
    <n v="20000"/>
    <x v="0"/>
    <d v="2019-10-14T00:00:00"/>
    <m/>
    <x v="20"/>
    <x v="3"/>
    <x v="0"/>
  </r>
  <r>
    <d v="2019-11-08T00:00:00"/>
    <s v="Matices"/>
    <n v="72178321"/>
    <n v="7800"/>
    <x v="0"/>
    <d v="2019-10-16T00:00:00"/>
    <m/>
    <x v="3"/>
    <x v="4"/>
    <x v="0"/>
  </r>
  <r>
    <d v="2019-10-16T00:00:00"/>
    <s v="Yo"/>
    <n v="72178322"/>
    <n v="15000"/>
    <x v="0"/>
    <d v="2019-10-16T00:00:00"/>
    <m/>
    <x v="2"/>
    <x v="3"/>
    <x v="0"/>
  </r>
  <r>
    <d v="2019-10-10T00:00:00"/>
    <s v="Oam"/>
    <n v="72178323"/>
    <n v="4900"/>
    <x v="0"/>
    <d v="2019-10-18T00:00:00"/>
    <m/>
    <x v="6"/>
    <x v="3"/>
    <x v="0"/>
  </r>
  <r>
    <d v="2019-11-22T00:00:00"/>
    <s v="Zougant"/>
    <n v="72178324"/>
    <n v="5000"/>
    <x v="0"/>
    <d v="2019-10-18T00:00:00"/>
    <m/>
    <x v="8"/>
    <x v="4"/>
    <x v="0"/>
  </r>
  <r>
    <d v="2019-11-30T00:00:00"/>
    <s v="Zougant"/>
    <n v="72178325"/>
    <n v="6000"/>
    <x v="0"/>
    <d v="2019-10-18T00:00:00"/>
    <m/>
    <x v="0"/>
    <x v="4"/>
    <x v="0"/>
  </r>
  <r>
    <d v="2019-12-08T00:00:00"/>
    <s v="Zougant"/>
    <n v="72178326"/>
    <n v="11000"/>
    <x v="0"/>
    <d v="2019-10-18T00:00:00"/>
    <m/>
    <x v="3"/>
    <x v="5"/>
    <x v="0"/>
  </r>
  <r>
    <d v="2019-12-22T00:00:00"/>
    <s v="Zougant"/>
    <n v="72178327"/>
    <n v="12000"/>
    <x v="0"/>
    <d v="2019-10-18T00:00:00"/>
    <m/>
    <x v="8"/>
    <x v="5"/>
    <x v="0"/>
  </r>
  <r>
    <d v="2020-01-07T00:00:00"/>
    <s v="Zougant"/>
    <n v="72178328"/>
    <n v="10050"/>
    <x v="0"/>
    <d v="2019-10-18T00:00:00"/>
    <m/>
    <x v="7"/>
    <x v="6"/>
    <x v="1"/>
  </r>
  <r>
    <d v="2020-01-22T00:00:00"/>
    <s v="Zougant"/>
    <n v="72178329"/>
    <n v="10550"/>
    <x v="0"/>
    <d v="2019-10-18T00:00:00"/>
    <m/>
    <x v="8"/>
    <x v="6"/>
    <x v="1"/>
  </r>
  <r>
    <d v="2020-01-30T00:00:00"/>
    <s v="Zougant"/>
    <n v="72178330"/>
    <n v="10400"/>
    <x v="0"/>
    <d v="2019-10-18T00:00:00"/>
    <m/>
    <x v="0"/>
    <x v="6"/>
    <x v="1"/>
  </r>
  <r>
    <d v="2019-11-22T00:00:00"/>
    <s v="Rontaltex"/>
    <n v="72178331"/>
    <n v="4383.1099999999997"/>
    <x v="0"/>
    <d v="2019-10-18T00:00:00"/>
    <m/>
    <x v="8"/>
    <x v="4"/>
    <x v="0"/>
  </r>
  <r>
    <d v="2019-10-18T00:00:00"/>
    <s v="Yo"/>
    <n v="72178332"/>
    <n v="21000"/>
    <x v="0"/>
    <d v="2019-10-18T00:00:00"/>
    <m/>
    <x v="17"/>
    <x v="3"/>
    <x v="0"/>
  </r>
  <r>
    <d v="2019-11-27T00:00:00"/>
    <s v="Gama"/>
    <n v="72178333"/>
    <n v="2800"/>
    <x v="0"/>
    <d v="2019-10-20T00:00:00"/>
    <m/>
    <x v="11"/>
    <x v="4"/>
    <x v="0"/>
  </r>
  <r>
    <d v="2019-12-22T00:00:00"/>
    <s v="Mandi"/>
    <n v="72178334"/>
    <n v="3616.5"/>
    <x v="0"/>
    <d v="2019-10-20T00:00:00"/>
    <m/>
    <x v="8"/>
    <x v="5"/>
    <x v="0"/>
  </r>
  <r>
    <d v="2019-12-07T00:00:00"/>
    <s v="Matices"/>
    <n v="72178335"/>
    <n v="3900"/>
    <x v="0"/>
    <d v="2019-11-05T00:00:00"/>
    <m/>
    <x v="7"/>
    <x v="5"/>
    <x v="0"/>
  </r>
  <r>
    <d v="2020-01-07T00:00:00"/>
    <s v="Matices"/>
    <n v="72178336"/>
    <n v="4000"/>
    <x v="0"/>
    <d v="2019-11-05T00:00:00"/>
    <m/>
    <x v="7"/>
    <x v="6"/>
    <x v="1"/>
  </r>
  <r>
    <d v="2020-02-07T00:00:00"/>
    <s v="Matices"/>
    <n v="72178337"/>
    <n v="4050"/>
    <x v="1"/>
    <d v="2020-11-05T00:00:00"/>
    <m/>
    <x v="7"/>
    <x v="8"/>
    <x v="1"/>
  </r>
  <r>
    <d v="2020-01-07T00:00:00"/>
    <s v="bouzik gustavo"/>
    <n v="72178338"/>
    <n v="9500"/>
    <x v="0"/>
    <d v="2019-11-06T00:00:00"/>
    <m/>
    <x v="7"/>
    <x v="6"/>
    <x v="1"/>
  </r>
  <r>
    <d v="2019-12-22T00:00:00"/>
    <s v="bouzik gustavo"/>
    <n v="72178339"/>
    <n v="10500"/>
    <x v="0"/>
    <d v="2019-11-06T00:00:00"/>
    <m/>
    <x v="8"/>
    <x v="5"/>
    <x v="0"/>
  </r>
  <r>
    <d v="2020-08-07T00:00:00"/>
    <s v="Bouzyk"/>
    <n v="72178340"/>
    <n v="9000"/>
    <x v="2"/>
    <d v="2020-06-04T00:00:00"/>
    <m/>
    <x v="7"/>
    <x v="1"/>
    <x v="1"/>
  </r>
  <r>
    <d v="2020-04-22T00:00:00"/>
    <s v="Bouzyk"/>
    <n v="72178341"/>
    <n v="9500"/>
    <x v="0"/>
    <d v="2019-11-12T00:00:00"/>
    <m/>
    <x v="8"/>
    <x v="9"/>
    <x v="1"/>
  </r>
  <r>
    <d v="2020-04-30T00:00:00"/>
    <s v="Bouzyk"/>
    <n v="72178342"/>
    <n v="9800"/>
    <x v="2"/>
    <d v="2019-11-12T00:00:00"/>
    <m/>
    <x v="0"/>
    <x v="9"/>
    <x v="1"/>
  </r>
  <r>
    <d v="2020-05-07T00:00:00"/>
    <s v="Bouzyk"/>
    <n v="72178343"/>
    <n v="10200"/>
    <x v="2"/>
    <d v="2019-11-12T00:00:00"/>
    <m/>
    <x v="7"/>
    <x v="10"/>
    <x v="1"/>
  </r>
  <r>
    <d v="2020-03-31T00:00:00"/>
    <s v="Bouzyk"/>
    <n v="72178344"/>
    <n v="15000"/>
    <x v="0"/>
    <d v="2019-11-12T00:00:00"/>
    <m/>
    <x v="5"/>
    <x v="7"/>
    <x v="1"/>
  </r>
  <r>
    <d v="2020-03-20T00:00:00"/>
    <s v="Bouzyk"/>
    <n v="72178345"/>
    <n v="15000"/>
    <x v="0"/>
    <d v="2019-11-12T00:00:00"/>
    <m/>
    <x v="18"/>
    <x v="7"/>
    <x v="1"/>
  </r>
  <r>
    <d v="2020-02-20T00:00:00"/>
    <s v="Bouzyk"/>
    <n v="72178346"/>
    <n v="15000"/>
    <x v="0"/>
    <d v="2019-11-12T00:00:00"/>
    <m/>
    <x v="18"/>
    <x v="8"/>
    <x v="1"/>
  </r>
  <r>
    <d v="2019-12-09T00:00:00"/>
    <s v="Gama"/>
    <n v="72178347"/>
    <n v="9000"/>
    <x v="0"/>
    <d v="2019-11-12T00:00:00"/>
    <m/>
    <x v="12"/>
    <x v="5"/>
    <x v="0"/>
  </r>
  <r>
    <d v="2019-12-10T00:00:00"/>
    <s v="Gama"/>
    <n v="72178348"/>
    <n v="8845"/>
    <x v="0"/>
    <d v="2019-11-12T00:00:00"/>
    <m/>
    <x v="6"/>
    <x v="5"/>
    <x v="0"/>
  </r>
  <r>
    <d v="2019-11-21T00:00:00"/>
    <s v="Yo"/>
    <n v="72178349"/>
    <n v="9000"/>
    <x v="0"/>
    <d v="2019-11-21T00:00:00"/>
    <m/>
    <x v="10"/>
    <x v="4"/>
    <x v="0"/>
  </r>
  <r>
    <d v="2019-12-16T00:00:00"/>
    <s v="Otranto"/>
    <n v="72178350"/>
    <n v="1852"/>
    <x v="0"/>
    <d v="2019-11-21T00:00:00"/>
    <m/>
    <x v="2"/>
    <x v="5"/>
    <x v="0"/>
  </r>
  <r>
    <d v="2019-11-29T00:00:00"/>
    <s v="Veira"/>
    <n v="74728176"/>
    <n v="9500"/>
    <x v="0"/>
    <d v="2019-11-20T00:00:00"/>
    <m/>
    <x v="14"/>
    <x v="4"/>
    <x v="0"/>
  </r>
  <r>
    <s v="---"/>
    <s v="ANULADO"/>
    <n v="74728177"/>
    <s v="---"/>
    <x v="0"/>
    <d v="2019-11-20T00:00:00"/>
    <m/>
    <x v="21"/>
    <x v="11"/>
    <x v="2"/>
  </r>
  <r>
    <d v="2019-11-30T00:00:00"/>
    <s v="Veira"/>
    <n v="74728178"/>
    <n v="10000"/>
    <x v="0"/>
    <d v="2019-11-20T00:00:00"/>
    <m/>
    <x v="0"/>
    <x v="4"/>
    <x v="0"/>
  </r>
  <r>
    <d v="2020-01-08T00:00:00"/>
    <s v="La Pastora"/>
    <n v="74728179"/>
    <n v="10500"/>
    <x v="0"/>
    <d v="2019-11-20T00:00:00"/>
    <m/>
    <x v="3"/>
    <x v="6"/>
    <x v="1"/>
  </r>
  <r>
    <d v="2019-12-16T00:00:00"/>
    <s v="Veira"/>
    <n v="74728180"/>
    <n v="14000"/>
    <x v="0"/>
    <d v="2019-11-20T00:00:00"/>
    <m/>
    <x v="2"/>
    <x v="5"/>
    <x v="0"/>
  </r>
  <r>
    <d v="2019-12-26T00:00:00"/>
    <s v="Veira"/>
    <n v="74728181"/>
    <n v="16000"/>
    <x v="0"/>
    <d v="2019-11-20T00:00:00"/>
    <m/>
    <x v="22"/>
    <x v="5"/>
    <x v="0"/>
  </r>
  <r>
    <d v="2019-12-10T00:00:00"/>
    <s v="Vaquero"/>
    <n v="74728182"/>
    <n v="10000"/>
    <x v="0"/>
    <d v="2019-11-20T00:00:00"/>
    <m/>
    <x v="6"/>
    <x v="5"/>
    <x v="0"/>
  </r>
  <r>
    <d v="2019-12-17T00:00:00"/>
    <s v="Vaquero"/>
    <n v="74728183"/>
    <n v="10000"/>
    <x v="0"/>
    <d v="2019-11-20T00:00:00"/>
    <m/>
    <x v="23"/>
    <x v="5"/>
    <x v="0"/>
  </r>
  <r>
    <d v="2019-12-23T00:00:00"/>
    <s v="Vaquero"/>
    <n v="74728184"/>
    <n v="10000"/>
    <x v="0"/>
    <d v="2019-11-20T00:00:00"/>
    <m/>
    <x v="1"/>
    <x v="5"/>
    <x v="0"/>
  </r>
  <r>
    <d v="2019-12-07T00:00:00"/>
    <s v="Matices"/>
    <n v="74728185"/>
    <n v="17500"/>
    <x v="0"/>
    <d v="2019-11-20T00:00:00"/>
    <m/>
    <x v="7"/>
    <x v="5"/>
    <x v="0"/>
  </r>
  <r>
    <d v="2020-01-09T00:00:00"/>
    <s v="Gama"/>
    <n v="74728186"/>
    <n v="1500"/>
    <x v="0"/>
    <d v="2019-11-20T00:00:00"/>
    <m/>
    <x v="12"/>
    <x v="6"/>
    <x v="1"/>
  </r>
  <r>
    <d v="2020-01-07T00:00:00"/>
    <s v="Matices"/>
    <n v="74728187"/>
    <n v="5700"/>
    <x v="0"/>
    <d v="2019-11-20T00:00:00"/>
    <m/>
    <x v="7"/>
    <x v="6"/>
    <x v="1"/>
  </r>
  <r>
    <d v="2020-01-16T00:00:00"/>
    <s v="Matices"/>
    <n v="74728188"/>
    <n v="5800"/>
    <x v="0"/>
    <d v="2019-11-20T00:00:00"/>
    <m/>
    <x v="2"/>
    <x v="6"/>
    <x v="1"/>
  </r>
  <r>
    <d v="2020-01-22T00:00:00"/>
    <s v="Matices"/>
    <n v="74728189"/>
    <n v="6000"/>
    <x v="0"/>
    <d v="2019-11-20T00:00:00"/>
    <m/>
    <x v="8"/>
    <x v="6"/>
    <x v="1"/>
  </r>
  <r>
    <d v="2020-01-31T00:00:00"/>
    <m/>
    <n v="74728190"/>
    <n v="4000"/>
    <x v="0"/>
    <d v="2019-11-20T00:00:00"/>
    <m/>
    <x v="5"/>
    <x v="6"/>
    <x v="1"/>
  </r>
  <r>
    <d v="2020-02-29T00:00:00"/>
    <m/>
    <n v="74728191"/>
    <n v="4000"/>
    <x v="0"/>
    <d v="2019-11-20T00:00:00"/>
    <m/>
    <x v="14"/>
    <x v="8"/>
    <x v="1"/>
  </r>
  <r>
    <d v="2020-03-31T00:00:00"/>
    <s v="Vorrazo"/>
    <n v="74728192"/>
    <n v="4023"/>
    <x v="2"/>
    <d v="2019-11-20T00:00:00"/>
    <m/>
    <x v="5"/>
    <x v="7"/>
    <x v="1"/>
  </r>
  <r>
    <d v="2019-12-22T00:00:00"/>
    <s v="La pastora"/>
    <n v="74728193"/>
    <n v="9190"/>
    <x v="0"/>
    <d v="2019-12-09T00:00:00"/>
    <m/>
    <x v="8"/>
    <x v="5"/>
    <x v="0"/>
  </r>
  <r>
    <d v="2019-12-28T00:00:00"/>
    <s v="La pastora"/>
    <n v="74728194"/>
    <n v="9200"/>
    <x v="0"/>
    <d v="2019-12-09T00:00:00"/>
    <m/>
    <x v="24"/>
    <x v="5"/>
    <x v="0"/>
  </r>
  <r>
    <d v="2020-01-22T00:00:00"/>
    <s v="Veira"/>
    <n v="74728195"/>
    <n v="5900"/>
    <x v="0"/>
    <d v="2019-12-09T00:00:00"/>
    <m/>
    <x v="8"/>
    <x v="6"/>
    <x v="1"/>
  </r>
  <r>
    <d v="2020-01-31T00:00:00"/>
    <s v="Veira"/>
    <n v="74728196"/>
    <n v="11900"/>
    <x v="0"/>
    <d v="2019-12-09T00:00:00"/>
    <m/>
    <x v="5"/>
    <x v="6"/>
    <x v="1"/>
  </r>
  <r>
    <d v="2020-02-07T00:00:00"/>
    <s v="Veira"/>
    <n v="74728197"/>
    <n v="12600"/>
    <x v="0"/>
    <d v="2019-12-09T00:00:00"/>
    <m/>
    <x v="7"/>
    <x v="8"/>
    <x v="1"/>
  </r>
  <r>
    <d v="2020-02-16T00:00:00"/>
    <s v="Veira"/>
    <n v="74728198"/>
    <n v="12850"/>
    <x v="0"/>
    <d v="2019-12-09T00:00:00"/>
    <m/>
    <x v="2"/>
    <x v="8"/>
    <x v="1"/>
  </r>
  <r>
    <d v="2020-02-22T00:00:00"/>
    <s v="Veira"/>
    <n v="74728199"/>
    <n v="13950"/>
    <x v="0"/>
    <d v="2019-12-09T00:00:00"/>
    <m/>
    <x v="8"/>
    <x v="8"/>
    <x v="1"/>
  </r>
  <r>
    <d v="2020-02-29T00:00:00"/>
    <s v="Veira"/>
    <n v="74728200"/>
    <n v="13900"/>
    <x v="0"/>
    <d v="2019-12-09T00:00:00"/>
    <m/>
    <x v="14"/>
    <x v="8"/>
    <x v="1"/>
  </r>
  <r>
    <d v="2020-01-07T00:00:00"/>
    <s v="Otranto"/>
    <n v="74728201"/>
    <n v="9890.59"/>
    <x v="0"/>
    <d v="2019-12-12T00:00:00"/>
    <m/>
    <x v="7"/>
    <x v="6"/>
    <x v="1"/>
  </r>
  <r>
    <d v="2020-01-08T00:00:00"/>
    <s v="Otranto"/>
    <n v="74728202"/>
    <n v="10500"/>
    <x v="0"/>
    <d v="2019-12-12T00:00:00"/>
    <m/>
    <x v="3"/>
    <x v="6"/>
    <x v="1"/>
  </r>
  <r>
    <d v="2020-01-16T00:00:00"/>
    <s v="Otranto"/>
    <n v="74728203"/>
    <n v="12500"/>
    <x v="0"/>
    <d v="2019-12-12T00:00:00"/>
    <m/>
    <x v="2"/>
    <x v="6"/>
    <x v="1"/>
  </r>
  <r>
    <d v="2020-01-23T00:00:00"/>
    <s v="Otranto"/>
    <n v="74728204"/>
    <n v="11500"/>
    <x v="0"/>
    <d v="2019-12-12T00:00:00"/>
    <m/>
    <x v="1"/>
    <x v="6"/>
    <x v="1"/>
  </r>
  <r>
    <d v="2020-01-22T00:00:00"/>
    <s v="Otranto"/>
    <n v="74728205"/>
    <n v="11500"/>
    <x v="0"/>
    <d v="2019-12-12T00:00:00"/>
    <m/>
    <x v="8"/>
    <x v="6"/>
    <x v="1"/>
  </r>
  <r>
    <d v="2020-01-23T00:00:00"/>
    <s v="Otranto"/>
    <n v="74728206"/>
    <n v="10500"/>
    <x v="0"/>
    <d v="2019-12-12T00:00:00"/>
    <m/>
    <x v="1"/>
    <x v="6"/>
    <x v="1"/>
  </r>
  <r>
    <d v="2020-01-30T00:00:00"/>
    <s v="Otranto"/>
    <n v="74728207"/>
    <n v="12000"/>
    <x v="0"/>
    <d v="2019-12-12T00:00:00"/>
    <m/>
    <x v="0"/>
    <x v="6"/>
    <x v="1"/>
  </r>
  <r>
    <d v="2020-01-31T00:00:00"/>
    <s v="Otranto"/>
    <n v="74728208"/>
    <n v="12500"/>
    <x v="0"/>
    <d v="2019-12-12T00:00:00"/>
    <m/>
    <x v="5"/>
    <x v="6"/>
    <x v="1"/>
  </r>
  <r>
    <d v="2019-12-30T00:00:00"/>
    <s v="Yo"/>
    <n v="74728209"/>
    <n v="120000"/>
    <x v="0"/>
    <d v="2019-01-30T00:00:00"/>
    <m/>
    <x v="0"/>
    <x v="5"/>
    <x v="0"/>
  </r>
  <r>
    <d v="2020-02-29T00:00:00"/>
    <s v="Veira"/>
    <n v="74728210"/>
    <n v="9402"/>
    <x v="0"/>
    <d v="2020-01-04T00:00:00"/>
    <m/>
    <x v="14"/>
    <x v="8"/>
    <x v="1"/>
  </r>
  <r>
    <d v="2020-03-22T00:00:00"/>
    <s v="Veira"/>
    <n v="74728211"/>
    <n v="9762"/>
    <x v="0"/>
    <d v="2020-01-04T00:00:00"/>
    <m/>
    <x v="8"/>
    <x v="7"/>
    <x v="1"/>
  </r>
  <r>
    <d v="2020-02-08T00:00:00"/>
    <s v="Rontaltex"/>
    <n v="74728212"/>
    <n v="6926.11"/>
    <x v="0"/>
    <d v="2020-02-06T00:00:00"/>
    <m/>
    <x v="3"/>
    <x v="8"/>
    <x v="1"/>
  </r>
  <r>
    <d v="2020-01-08T00:00:00"/>
    <s v="OAM"/>
    <n v="74728213"/>
    <n v="3000"/>
    <x v="0"/>
    <d v="2020-01-07T00:00:00"/>
    <m/>
    <x v="3"/>
    <x v="6"/>
    <x v="1"/>
  </r>
  <r>
    <d v="2020-08-21T00:00:00"/>
    <s v="Bouzick Canje"/>
    <n v="74728214"/>
    <n v="10000"/>
    <x v="0"/>
    <d v="2020-05-06T00:00:00"/>
    <m/>
    <x v="10"/>
    <x v="1"/>
    <x v="1"/>
  </r>
  <r>
    <d v="2020-03-31T00:00:00"/>
    <s v="Bouzick Canje"/>
    <n v="74728215"/>
    <n v="10000"/>
    <x v="0"/>
    <d v="2020-01-12T00:00:00"/>
    <m/>
    <x v="5"/>
    <x v="7"/>
    <x v="1"/>
  </r>
  <r>
    <d v="2020-04-08T00:00:00"/>
    <s v="Bouzick Canje"/>
    <n v="74728216"/>
    <n v="10000"/>
    <x v="0"/>
    <d v="2020-01-12T00:00:00"/>
    <m/>
    <x v="3"/>
    <x v="9"/>
    <x v="1"/>
  </r>
  <r>
    <d v="2020-04-16T00:00:00"/>
    <s v="Bouzick Canje"/>
    <n v="74728217"/>
    <n v="10000"/>
    <x v="0"/>
    <d v="2020-01-12T00:00:00"/>
    <m/>
    <x v="2"/>
    <x v="9"/>
    <x v="1"/>
  </r>
  <r>
    <d v="2020-04-22T00:00:00"/>
    <s v="Bouzick Canje"/>
    <n v="74728218"/>
    <n v="10000"/>
    <x v="0"/>
    <d v="2020-01-12T00:00:00"/>
    <m/>
    <x v="8"/>
    <x v="9"/>
    <x v="1"/>
  </r>
  <r>
    <d v="2020-04-30T00:00:00"/>
    <s v="Bouzick Canje"/>
    <n v="74728219"/>
    <n v="10000"/>
    <x v="2"/>
    <d v="2020-01-12T00:00:00"/>
    <m/>
    <x v="0"/>
    <x v="9"/>
    <x v="1"/>
  </r>
  <r>
    <d v="2020-05-08T00:00:00"/>
    <s v="Bouzick Canje"/>
    <n v="74728220"/>
    <n v="10000"/>
    <x v="0"/>
    <d v="2020-01-12T00:00:00"/>
    <m/>
    <x v="3"/>
    <x v="10"/>
    <x v="1"/>
  </r>
  <r>
    <d v="2020-03-08T00:00:00"/>
    <s v="Temco"/>
    <n v="74728221"/>
    <n v="6388.89"/>
    <x v="0"/>
    <d v="2020-01-13T00:00:00"/>
    <m/>
    <x v="3"/>
    <x v="7"/>
    <x v="1"/>
  </r>
  <r>
    <d v="2020-03-16T00:00:00"/>
    <s v="Temco"/>
    <n v="74728222"/>
    <n v="6306"/>
    <x v="0"/>
    <d v="2020-01-13T00:00:00"/>
    <m/>
    <x v="2"/>
    <x v="7"/>
    <x v="1"/>
  </r>
  <r>
    <s v="----"/>
    <s v="Anulado"/>
    <n v="74728223"/>
    <s v="----"/>
    <x v="0"/>
    <s v="---"/>
    <m/>
    <x v="21"/>
    <x v="11"/>
    <x v="2"/>
  </r>
  <r>
    <d v="2020-03-22T00:00:00"/>
    <s v="Temco"/>
    <n v="74728224"/>
    <n v="6406"/>
    <x v="0"/>
    <d v="2020-01-13T00:00:00"/>
    <m/>
    <x v="8"/>
    <x v="7"/>
    <x v="1"/>
  </r>
  <r>
    <d v="2020-03-30T00:00:00"/>
    <s v="Temco"/>
    <n v="74728225"/>
    <n v="6506"/>
    <x v="0"/>
    <d v="2020-01-13T00:00:00"/>
    <m/>
    <x v="0"/>
    <x v="7"/>
    <x v="1"/>
  </r>
  <r>
    <d v="2020-04-08T00:00:00"/>
    <s v="Temco"/>
    <n v="75613201"/>
    <n v="6606"/>
    <x v="0"/>
    <d v="2020-01-13T00:00:00"/>
    <m/>
    <x v="3"/>
    <x v="9"/>
    <x v="1"/>
  </r>
  <r>
    <d v="2020-04-16T00:00:00"/>
    <s v="Temco"/>
    <n v="75613202"/>
    <n v="6706"/>
    <x v="0"/>
    <d v="2020-01-13T00:00:00"/>
    <m/>
    <x v="2"/>
    <x v="9"/>
    <x v="1"/>
  </r>
  <r>
    <d v="2020-04-22T00:00:00"/>
    <s v="Temco"/>
    <n v="75613203"/>
    <n v="6806"/>
    <x v="0"/>
    <d v="2020-01-13T00:00:00"/>
    <m/>
    <x v="8"/>
    <x v="9"/>
    <x v="1"/>
  </r>
  <r>
    <d v="2020-04-30T00:00:00"/>
    <s v="Temco"/>
    <n v="75613204"/>
    <n v="6906"/>
    <x v="2"/>
    <d v="2020-01-13T00:00:00"/>
    <s v="Frente al BCRA"/>
    <x v="0"/>
    <x v="9"/>
    <x v="1"/>
  </r>
  <r>
    <d v="2020-03-30T00:00:00"/>
    <s v="AO Textil"/>
    <n v="75613205"/>
    <n v="4135.49"/>
    <x v="0"/>
    <d v="2020-01-15T00:00:00"/>
    <m/>
    <x v="0"/>
    <x v="7"/>
    <x v="1"/>
  </r>
  <r>
    <d v="2020-04-08T00:00:00"/>
    <s v="AO Textil"/>
    <n v="75613206"/>
    <n v="4648"/>
    <x v="3"/>
    <d v="2020-01-15T00:00:00"/>
    <m/>
    <x v="3"/>
    <x v="9"/>
    <x v="1"/>
  </r>
  <r>
    <d v="2020-04-22T00:00:00"/>
    <s v="AO Textil"/>
    <n v="75613207"/>
    <n v="4275.99"/>
    <x v="0"/>
    <d v="2020-01-15T00:00:00"/>
    <m/>
    <x v="8"/>
    <x v="9"/>
    <x v="1"/>
  </r>
  <r>
    <d v="2020-01-17T00:00:00"/>
    <s v="Yo"/>
    <n v="75613208"/>
    <n v="7000"/>
    <x v="0"/>
    <d v="2020-01-17T00:00:00"/>
    <m/>
    <x v="23"/>
    <x v="6"/>
    <x v="1"/>
  </r>
  <r>
    <d v="2020-02-16T00:00:00"/>
    <s v="Otranto"/>
    <n v="75613209"/>
    <n v="10200"/>
    <x v="0"/>
    <d v="2020-01-21T00:00:00"/>
    <m/>
    <x v="2"/>
    <x v="8"/>
    <x v="1"/>
  </r>
  <r>
    <d v="2020-02-22T00:00:00"/>
    <s v="Otranto"/>
    <n v="75613210"/>
    <n v="11700"/>
    <x v="0"/>
    <d v="2020-01-21T00:00:00"/>
    <m/>
    <x v="8"/>
    <x v="8"/>
    <x v="1"/>
  </r>
  <r>
    <d v="2020-02-29T00:00:00"/>
    <s v="Otranto"/>
    <n v="75613211"/>
    <n v="12200"/>
    <x v="0"/>
    <d v="2020-01-21T00:00:00"/>
    <m/>
    <x v="14"/>
    <x v="8"/>
    <x v="1"/>
  </r>
  <r>
    <d v="2020-03-08T00:00:00"/>
    <s v="Otranto"/>
    <n v="75613212"/>
    <n v="12700"/>
    <x v="0"/>
    <d v="2020-01-21T00:00:00"/>
    <m/>
    <x v="3"/>
    <x v="7"/>
    <x v="1"/>
  </r>
  <r>
    <d v="2020-03-16T00:00:00"/>
    <s v="Otranto"/>
    <n v="75613213"/>
    <n v="13200"/>
    <x v="0"/>
    <d v="2020-01-21T00:00:00"/>
    <m/>
    <x v="2"/>
    <x v="7"/>
    <x v="1"/>
  </r>
  <r>
    <d v="2020-03-22T00:00:00"/>
    <s v="Otranto"/>
    <n v="75613214"/>
    <n v="14002"/>
    <x v="0"/>
    <d v="2020-01-21T00:00:00"/>
    <m/>
    <x v="8"/>
    <x v="7"/>
    <x v="1"/>
  </r>
  <r>
    <d v="2020-03-30T00:00:00"/>
    <s v="Otranto"/>
    <n v="75613215"/>
    <n v="14200"/>
    <x v="0"/>
    <d v="2020-01-21T00:00:00"/>
    <m/>
    <x v="0"/>
    <x v="7"/>
    <x v="1"/>
  </r>
  <r>
    <d v="2020-04-08T00:00:00"/>
    <s v="Otranto"/>
    <n v="75613216"/>
    <n v="14700"/>
    <x v="0"/>
    <d v="2020-01-21T00:00:00"/>
    <m/>
    <x v="3"/>
    <x v="9"/>
    <x v="1"/>
  </r>
  <r>
    <d v="2020-04-16T00:00:00"/>
    <s v="Otranto"/>
    <n v="75613217"/>
    <n v="15200"/>
    <x v="0"/>
    <d v="2020-01-21T00:00:00"/>
    <m/>
    <x v="2"/>
    <x v="9"/>
    <x v="1"/>
  </r>
  <r>
    <d v="2020-04-22T00:00:00"/>
    <s v="Otranto"/>
    <n v="75613218"/>
    <n v="15700"/>
    <x v="0"/>
    <d v="2020-01-21T00:00:00"/>
    <m/>
    <x v="8"/>
    <x v="9"/>
    <x v="1"/>
  </r>
  <r>
    <d v="2020-04-30T00:00:00"/>
    <s v="Otranto"/>
    <n v="75613219"/>
    <n v="16200"/>
    <x v="0"/>
    <d v="2020-01-21T00:00:00"/>
    <m/>
    <x v="0"/>
    <x v="9"/>
    <x v="1"/>
  </r>
  <r>
    <d v="2020-01-21T00:00:00"/>
    <s v="Yo"/>
    <n v="75613220"/>
    <n v="10000"/>
    <x v="0"/>
    <d v="2020-01-21T00:00:00"/>
    <m/>
    <x v="10"/>
    <x v="6"/>
    <x v="1"/>
  </r>
  <r>
    <d v="2020-02-16T00:00:00"/>
    <s v="Vaquero"/>
    <n v="75613221"/>
    <n v="12000"/>
    <x v="0"/>
    <d v="2020-01-21T00:00:00"/>
    <m/>
    <x v="2"/>
    <x v="8"/>
    <x v="1"/>
  </r>
  <r>
    <d v="2020-02-19T00:00:00"/>
    <s v="Vaquero"/>
    <n v="75613222"/>
    <n v="13000"/>
    <x v="0"/>
    <d v="2020-01-21T00:00:00"/>
    <m/>
    <x v="19"/>
    <x v="8"/>
    <x v="1"/>
  </r>
  <r>
    <d v="2020-02-08T00:00:00"/>
    <s v="Vaquero"/>
    <n v="75613223"/>
    <n v="11000"/>
    <x v="0"/>
    <d v="2020-01-21T00:00:00"/>
    <m/>
    <x v="3"/>
    <x v="8"/>
    <x v="1"/>
  </r>
  <r>
    <d v="2020-01-23T00:00:00"/>
    <s v="Yo"/>
    <n v="75613224"/>
    <n v="10000"/>
    <x v="0"/>
    <d v="2020-01-21T00:00:00"/>
    <m/>
    <x v="1"/>
    <x v="6"/>
    <x v="1"/>
  </r>
  <r>
    <d v="2020-02-10T00:00:00"/>
    <s v="Pastora"/>
    <n v="75613225"/>
    <n v="5388.11"/>
    <x v="0"/>
    <d v="2020-01-24T00:00:00"/>
    <m/>
    <x v="6"/>
    <x v="8"/>
    <x v="1"/>
  </r>
  <r>
    <d v="2020-01-24T00:00:00"/>
    <s v="Yo"/>
    <n v="75613226"/>
    <n v="12000"/>
    <x v="0"/>
    <d v="2020-01-24T00:00:00"/>
    <m/>
    <x v="9"/>
    <x v="6"/>
    <x v="1"/>
  </r>
  <r>
    <d v="2020-08-20T00:00:00"/>
    <s v="??"/>
    <n v="75613227"/>
    <n v="4981"/>
    <x v="0"/>
    <m/>
    <m/>
    <x v="18"/>
    <x v="1"/>
    <x v="1"/>
  </r>
  <r>
    <d v="2020-02-08T00:00:00"/>
    <s v="Lanhil"/>
    <n v="75613228"/>
    <n v="12000"/>
    <x v="0"/>
    <d v="2020-01-29T00:00:00"/>
    <m/>
    <x v="3"/>
    <x v="8"/>
    <x v="1"/>
  </r>
  <r>
    <d v="2020-02-16T00:00:00"/>
    <s v="Lanhil"/>
    <n v="75613229"/>
    <n v="12500"/>
    <x v="0"/>
    <d v="2020-01-29T00:00:00"/>
    <m/>
    <x v="2"/>
    <x v="8"/>
    <x v="1"/>
  </r>
  <r>
    <d v="2020-02-22T00:00:00"/>
    <s v="Lanhil"/>
    <n v="75613230"/>
    <n v="13000"/>
    <x v="0"/>
    <d v="2020-01-29T00:00:00"/>
    <m/>
    <x v="8"/>
    <x v="8"/>
    <x v="1"/>
  </r>
  <r>
    <d v="2020-02-29T00:00:00"/>
    <s v="Lanhil"/>
    <n v="75613231"/>
    <n v="14000"/>
    <x v="0"/>
    <d v="2020-01-29T00:00:00"/>
    <m/>
    <x v="14"/>
    <x v="8"/>
    <x v="1"/>
  </r>
  <r>
    <d v="2020-03-08T00:00:00"/>
    <s v="Lanhil"/>
    <n v="75613232"/>
    <n v="12000"/>
    <x v="0"/>
    <d v="2020-01-29T00:00:00"/>
    <m/>
    <x v="3"/>
    <x v="7"/>
    <x v="1"/>
  </r>
  <r>
    <d v="2020-03-16T00:00:00"/>
    <s v="Lanhil"/>
    <n v="75613233"/>
    <n v="12500"/>
    <x v="0"/>
    <d v="2020-01-29T00:00:00"/>
    <m/>
    <x v="2"/>
    <x v="7"/>
    <x v="1"/>
  </r>
  <r>
    <d v="2020-03-22T00:00:00"/>
    <s v="Lanhil"/>
    <n v="75613234"/>
    <n v="13000"/>
    <x v="0"/>
    <d v="2020-01-29T00:00:00"/>
    <m/>
    <x v="8"/>
    <x v="7"/>
    <x v="1"/>
  </r>
  <r>
    <d v="2020-03-30T00:00:00"/>
    <s v="Lanhil"/>
    <n v="75613235"/>
    <n v="14000"/>
    <x v="0"/>
    <d v="2020-01-29T00:00:00"/>
    <m/>
    <x v="0"/>
    <x v="7"/>
    <x v="1"/>
  </r>
  <r>
    <d v="2020-01-31T00:00:00"/>
    <s v="Yo"/>
    <n v="75613236"/>
    <n v="12000"/>
    <x v="0"/>
    <d v="2020-01-31T00:00:00"/>
    <m/>
    <x v="5"/>
    <x v="6"/>
    <x v="1"/>
  </r>
  <r>
    <d v="2020-04-08T00:00:00"/>
    <s v="Lanhil"/>
    <n v="75613237"/>
    <n v="13505.95"/>
    <x v="0"/>
    <d v="2020-01-29T00:00:00"/>
    <m/>
    <x v="3"/>
    <x v="9"/>
    <x v="1"/>
  </r>
  <r>
    <d v="2020-02-06T00:00:00"/>
    <s v="Yo"/>
    <n v="75613238"/>
    <n v="10000"/>
    <x v="0"/>
    <d v="2020-02-06T00:00:00"/>
    <m/>
    <x v="25"/>
    <x v="8"/>
    <x v="1"/>
  </r>
  <r>
    <d v="2020-04-08T00:00:00"/>
    <s v="Mandi"/>
    <n v="75613239"/>
    <n v="6700"/>
    <x v="0"/>
    <d v="2020-02-06T00:00:00"/>
    <m/>
    <x v="3"/>
    <x v="9"/>
    <x v="1"/>
  </r>
  <r>
    <d v="2020-03-30T00:00:00"/>
    <s v="Mandi"/>
    <n v="75613240"/>
    <n v="6800"/>
    <x v="0"/>
    <d v="2020-02-06T00:00:00"/>
    <m/>
    <x v="0"/>
    <x v="7"/>
    <x v="1"/>
  </r>
  <r>
    <d v="2020-04-16T00:00:00"/>
    <s v="Mandi"/>
    <n v="75613241"/>
    <n v="6900"/>
    <x v="0"/>
    <d v="2020-02-06T00:00:00"/>
    <m/>
    <x v="2"/>
    <x v="9"/>
    <x v="1"/>
  </r>
  <r>
    <d v="2020-04-22T00:00:00"/>
    <s v="Mandi"/>
    <n v="75613242"/>
    <n v="8386.84"/>
    <x v="1"/>
    <d v="2020-02-06T00:00:00"/>
    <m/>
    <x v="8"/>
    <x v="9"/>
    <x v="1"/>
  </r>
  <r>
    <d v="2020-04-30T00:00:00"/>
    <s v="Mandi"/>
    <n v="75613243"/>
    <n v="7100"/>
    <x v="2"/>
    <d v="2020-02-06T00:00:00"/>
    <m/>
    <x v="0"/>
    <x v="9"/>
    <x v="1"/>
  </r>
  <r>
    <d v="2020-05-08T00:00:00"/>
    <s v="Mandi"/>
    <n v="75613244"/>
    <n v="7200"/>
    <x v="0"/>
    <d v="2020-02-06T00:00:00"/>
    <m/>
    <x v="3"/>
    <x v="10"/>
    <x v="1"/>
  </r>
  <r>
    <d v="2020-05-16T00:00:00"/>
    <s v="Mandi"/>
    <n v="75613245"/>
    <n v="7300"/>
    <x v="0"/>
    <d v="2020-02-06T00:00:00"/>
    <m/>
    <x v="2"/>
    <x v="10"/>
    <x v="1"/>
  </r>
  <r>
    <d v="2020-02-07T00:00:00"/>
    <s v="Yo"/>
    <n v="75613246"/>
    <n v="20000"/>
    <x v="0"/>
    <d v="2020-02-07T00:00:00"/>
    <m/>
    <x v="7"/>
    <x v="8"/>
    <x v="1"/>
  </r>
  <r>
    <d v="2020-08-08T00:00:00"/>
    <s v="Veira"/>
    <n v="75613247"/>
    <n v="11000"/>
    <x v="0"/>
    <d v="2020-02-10T00:00:00"/>
    <m/>
    <x v="3"/>
    <x v="1"/>
    <x v="1"/>
  </r>
  <r>
    <d v="2020-08-16T00:00:00"/>
    <s v="Veira"/>
    <n v="75613248"/>
    <n v="12000"/>
    <x v="0"/>
    <d v="2020-05-22T00:00:00"/>
    <m/>
    <x v="2"/>
    <x v="1"/>
    <x v="1"/>
  </r>
  <r>
    <d v="2020-08-22T00:00:00"/>
    <s v="Pastora Neuquen"/>
    <n v="75613249"/>
    <n v="13000"/>
    <x v="0"/>
    <d v="2020-06-23T00:00:00"/>
    <m/>
    <x v="8"/>
    <x v="1"/>
    <x v="1"/>
  </r>
  <r>
    <d v="2020-08-30T00:00:00"/>
    <s v="Veira"/>
    <n v="75613250"/>
    <n v="14000"/>
    <x v="0"/>
    <d v="2020-05-22T00:00:00"/>
    <m/>
    <x v="0"/>
    <x v="1"/>
    <x v="1"/>
  </r>
  <r>
    <d v="2020-04-16T00:00:00"/>
    <s v="San Cristobal Ecco"/>
    <n v="77747426"/>
    <n v="4583"/>
    <x v="0"/>
    <d v="2020-02-17T00:00:00"/>
    <m/>
    <x v="2"/>
    <x v="9"/>
    <x v="1"/>
  </r>
  <r>
    <d v="2020-04-30T00:00:00"/>
    <s v="San Cristobal Ecco"/>
    <n v="77747427"/>
    <n v="4500"/>
    <x v="2"/>
    <d v="2020-02-17T00:00:00"/>
    <m/>
    <x v="0"/>
    <x v="9"/>
    <x v="1"/>
  </r>
  <r>
    <d v="2020-05-16T00:00:00"/>
    <s v="San Cristobal Ecco"/>
    <n v="77747428"/>
    <n v="4600"/>
    <x v="0"/>
    <d v="2020-02-17T00:00:00"/>
    <m/>
    <x v="2"/>
    <x v="10"/>
    <x v="1"/>
  </r>
  <r>
    <d v="2020-05-30T00:00:00"/>
    <s v="San Cristobal Ecco"/>
    <n v="77747429"/>
    <n v="4700"/>
    <x v="0"/>
    <d v="2020-02-17T00:00:00"/>
    <m/>
    <x v="0"/>
    <x v="10"/>
    <x v="1"/>
  </r>
  <r>
    <d v="2020-03-22T00:00:00"/>
    <s v="Pastora Rioja"/>
    <n v="77747430"/>
    <n v="6875.84"/>
    <x v="0"/>
    <d v="2020-02-17T00:00:00"/>
    <m/>
    <x v="8"/>
    <x v="7"/>
    <x v="1"/>
  </r>
  <r>
    <d v="2020-03-07T00:00:00"/>
    <s v="Pastora Neuquen"/>
    <n v="77747431"/>
    <n v="4813"/>
    <x v="0"/>
    <d v="2020-02-17T00:00:00"/>
    <m/>
    <x v="7"/>
    <x v="7"/>
    <x v="1"/>
  </r>
  <r>
    <d v="2020-03-16T00:00:00"/>
    <s v="Pastora Neuquen"/>
    <n v="77747432"/>
    <n v="5000.6899999999996"/>
    <x v="2"/>
    <d v="2020-02-17T00:00:00"/>
    <m/>
    <x v="2"/>
    <x v="7"/>
    <x v="1"/>
  </r>
  <r>
    <d v="2020-03-22T00:00:00"/>
    <s v="Pastora Neuquen"/>
    <n v="77747433"/>
    <n v="5200"/>
    <x v="0"/>
    <d v="2020-02-17T00:00:00"/>
    <m/>
    <x v="8"/>
    <x v="7"/>
    <x v="1"/>
  </r>
  <r>
    <d v="2020-03-31T00:00:00"/>
    <s v="Pastora Neuquen"/>
    <n v="77747434"/>
    <n v="5300"/>
    <x v="0"/>
    <d v="2020-02-17T00:00:00"/>
    <m/>
    <x v="5"/>
    <x v="7"/>
    <x v="1"/>
  </r>
  <r>
    <d v="2020-03-30T00:00:00"/>
    <s v="Rontaltex"/>
    <n v="77747435"/>
    <n v="7450"/>
    <x v="0"/>
    <d v="2020-02-18T00:00:00"/>
    <m/>
    <x v="0"/>
    <x v="7"/>
    <x v="1"/>
  </r>
  <r>
    <d v="2020-04-08T00:00:00"/>
    <s v="Rontaltex"/>
    <n v="77747436"/>
    <n v="7550"/>
    <x v="0"/>
    <d v="2020-02-18T00:00:00"/>
    <m/>
    <x v="3"/>
    <x v="9"/>
    <x v="1"/>
  </r>
  <r>
    <d v="2020-04-16T00:00:00"/>
    <s v="Rontaltex"/>
    <n v="77747437"/>
    <n v="7650"/>
    <x v="0"/>
    <d v="2020-02-18T00:00:00"/>
    <m/>
    <x v="2"/>
    <x v="9"/>
    <x v="1"/>
  </r>
  <r>
    <d v="2020-04-22T00:00:00"/>
    <s v="Rontaltex"/>
    <n v="77747438"/>
    <n v="7775.48"/>
    <x v="0"/>
    <d v="2020-02-18T00:00:00"/>
    <m/>
    <x v="8"/>
    <x v="9"/>
    <x v="1"/>
  </r>
  <r>
    <d v="2020-04-30T00:00:00"/>
    <s v="Rontaltex"/>
    <n v="77747439"/>
    <n v="7850"/>
    <x v="2"/>
    <d v="2020-02-18T00:00:00"/>
    <m/>
    <x v="0"/>
    <x v="9"/>
    <x v="1"/>
  </r>
  <r>
    <d v="2020-05-08T00:00:00"/>
    <s v="Bouzyk"/>
    <n v="77747440"/>
    <n v="7950"/>
    <x v="0"/>
    <d v="2020-08-08T00:00:00"/>
    <m/>
    <x v="3"/>
    <x v="10"/>
    <x v="1"/>
  </r>
  <r>
    <d v="2020-08-21T00:00:00"/>
    <s v="Bouzyk"/>
    <n v="77747441"/>
    <n v="8150"/>
    <x v="0"/>
    <d v="2020-05-06T00:00:00"/>
    <m/>
    <x v="10"/>
    <x v="1"/>
    <x v="1"/>
  </r>
  <r>
    <d v="2020-05-22T00:00:00"/>
    <s v="AOT"/>
    <n v="77747442"/>
    <n v="5752.41"/>
    <x v="0"/>
    <d v="2020-02-19T00:00:00"/>
    <m/>
    <x v="8"/>
    <x v="10"/>
    <x v="1"/>
  </r>
  <r>
    <d v="2020-04-22T00:00:00"/>
    <s v="AOT"/>
    <n v="77747443"/>
    <n v="3220"/>
    <x v="0"/>
    <d v="2020-02-19T00:00:00"/>
    <m/>
    <x v="8"/>
    <x v="9"/>
    <x v="1"/>
  </r>
  <r>
    <d v="2020-04-30T00:00:00"/>
    <s v="AOT"/>
    <n v="77747444"/>
    <n v="3208.25"/>
    <x v="0"/>
    <d v="2020-02-19T00:00:00"/>
    <m/>
    <x v="0"/>
    <x v="9"/>
    <x v="1"/>
  </r>
  <r>
    <d v="2020-04-30T00:00:00"/>
    <s v="Seguro Gol"/>
    <n v="77747445"/>
    <n v="2073"/>
    <x v="0"/>
    <d v="2020-03-05T00:00:00"/>
    <m/>
    <x v="0"/>
    <x v="9"/>
    <x v="1"/>
  </r>
  <r>
    <d v="2020-04-30T00:00:00"/>
    <s v="Mandi"/>
    <n v="77747446"/>
    <n v="7000"/>
    <x v="2"/>
    <d v="2020-03-10T00:00:00"/>
    <m/>
    <x v="0"/>
    <x v="9"/>
    <x v="1"/>
  </r>
  <r>
    <d v="2020-03-31T00:00:00"/>
    <s v="Otranto"/>
    <n v="77747447"/>
    <n v="16140"/>
    <x v="0"/>
    <d v="2020-02-27T00:00:00"/>
    <m/>
    <x v="5"/>
    <x v="7"/>
    <x v="1"/>
  </r>
  <r>
    <d v="2020-04-08T00:00:00"/>
    <s v="Otranto"/>
    <n v="77747448"/>
    <n v="16150"/>
    <x v="0"/>
    <d v="2020-02-27T00:00:00"/>
    <m/>
    <x v="3"/>
    <x v="9"/>
    <x v="1"/>
  </r>
  <r>
    <d v="2020-04-16T00:00:00"/>
    <s v="Otranto"/>
    <n v="77747449"/>
    <n v="16160"/>
    <x v="0"/>
    <d v="2020-02-27T00:00:00"/>
    <m/>
    <x v="2"/>
    <x v="9"/>
    <x v="1"/>
  </r>
  <r>
    <d v="2020-04-22T00:00:00"/>
    <s v="Otranto"/>
    <n v="77747450"/>
    <n v="16170"/>
    <x v="0"/>
    <d v="2020-02-27T00:00:00"/>
    <m/>
    <x v="8"/>
    <x v="9"/>
    <x v="1"/>
  </r>
  <r>
    <d v="2020-04-30T00:00:00"/>
    <s v="Otranto"/>
    <n v="77747451"/>
    <n v="16180"/>
    <x v="2"/>
    <d v="2020-02-27T00:00:00"/>
    <m/>
    <x v="0"/>
    <x v="9"/>
    <x v="1"/>
  </r>
  <r>
    <d v="2020-05-08T00:00:00"/>
    <s v="Otranto"/>
    <n v="77747452"/>
    <n v="16190"/>
    <x v="0"/>
    <d v="2020-02-27T00:00:00"/>
    <m/>
    <x v="3"/>
    <x v="10"/>
    <x v="1"/>
  </r>
  <r>
    <d v="2020-05-22T00:00:00"/>
    <s v="Otranto"/>
    <n v="77747453"/>
    <n v="16455.39"/>
    <x v="2"/>
    <d v="2020-02-27T00:00:00"/>
    <m/>
    <x v="8"/>
    <x v="10"/>
    <x v="1"/>
  </r>
  <r>
    <d v="2020-05-16T00:00:00"/>
    <s v="Otranto"/>
    <n v="77747454"/>
    <n v="16210"/>
    <x v="2"/>
    <d v="2020-02-27T00:00:00"/>
    <m/>
    <x v="2"/>
    <x v="10"/>
    <x v="1"/>
  </r>
  <r>
    <d v="2020-05-30T00:00:00"/>
    <s v="Otranto"/>
    <n v="77747455"/>
    <n v="16220"/>
    <x v="0"/>
    <d v="2020-02-27T00:00:00"/>
    <m/>
    <x v="0"/>
    <x v="10"/>
    <x v="1"/>
  </r>
  <r>
    <d v="2020-06-08T00:00:00"/>
    <s v="Otranto"/>
    <n v="77747456"/>
    <n v="16230"/>
    <x v="0"/>
    <d v="2020-02-27T00:00:00"/>
    <m/>
    <x v="3"/>
    <x v="12"/>
    <x v="1"/>
  </r>
  <r>
    <d v="2020-06-16T00:00:00"/>
    <s v="Otranto"/>
    <n v="77747457"/>
    <n v="16240"/>
    <x v="0"/>
    <d v="2020-02-27T00:00:00"/>
    <m/>
    <x v="2"/>
    <x v="12"/>
    <x v="1"/>
  </r>
  <r>
    <d v="2020-06-22T00:00:00"/>
    <s v="Otranto"/>
    <n v="77747458"/>
    <n v="16250"/>
    <x v="0"/>
    <d v="2020-02-27T00:00:00"/>
    <m/>
    <x v="8"/>
    <x v="12"/>
    <x v="1"/>
  </r>
  <r>
    <d v="2020-06-30T00:00:00"/>
    <s v="Otranto"/>
    <n v="77747459"/>
    <n v="16260"/>
    <x v="0"/>
    <d v="2020-02-27T00:00:00"/>
    <m/>
    <x v="0"/>
    <x v="12"/>
    <x v="1"/>
  </r>
  <r>
    <d v="2020-05-08T00:00:00"/>
    <s v="Mandi"/>
    <n v="77747460"/>
    <n v="7100"/>
    <x v="0"/>
    <d v="2020-03-10T00:00:00"/>
    <m/>
    <x v="3"/>
    <x v="10"/>
    <x v="1"/>
  </r>
  <r>
    <d v="2020-05-22T00:00:00"/>
    <s v="Mandi"/>
    <n v="77747461"/>
    <n v="7200"/>
    <x v="0"/>
    <d v="2020-03-10T00:00:00"/>
    <m/>
    <x v="8"/>
    <x v="10"/>
    <x v="1"/>
  </r>
  <r>
    <d v="2020-05-30T00:00:00"/>
    <s v="Mandi"/>
    <n v="77747462"/>
    <n v="7300"/>
    <x v="0"/>
    <d v="2020-03-10T00:00:00"/>
    <m/>
    <x v="0"/>
    <x v="10"/>
    <x v="1"/>
  </r>
  <r>
    <d v="2020-06-08T00:00:00"/>
    <s v="Mandi"/>
    <n v="77747463"/>
    <n v="7450"/>
    <x v="0"/>
    <d v="2020-03-10T00:00:00"/>
    <m/>
    <x v="3"/>
    <x v="12"/>
    <x v="1"/>
  </r>
  <r>
    <d v="2020-06-22T00:00:00"/>
    <s v="Mandi"/>
    <n v="77747464"/>
    <n v="7452.5"/>
    <x v="0"/>
    <d v="2020-03-10T00:00:00"/>
    <m/>
    <x v="8"/>
    <x v="12"/>
    <x v="1"/>
  </r>
  <r>
    <d v="2020-06-30T00:00:00"/>
    <s v="Mandi"/>
    <n v="77747465"/>
    <n v="7500"/>
    <x v="0"/>
    <d v="2020-03-10T00:00:00"/>
    <m/>
    <x v="0"/>
    <x v="12"/>
    <x v="1"/>
  </r>
  <r>
    <d v="2020-07-08T00:00:00"/>
    <s v="Mandi"/>
    <n v="77747466"/>
    <n v="7600"/>
    <x v="0"/>
    <d v="2020-03-10T00:00:00"/>
    <m/>
    <x v="3"/>
    <x v="0"/>
    <x v="1"/>
  </r>
  <r>
    <d v="2020-07-16T00:00:00"/>
    <s v="Mandi"/>
    <n v="77747467"/>
    <n v="7700"/>
    <x v="0"/>
    <d v="2020-03-10T00:00:00"/>
    <m/>
    <x v="2"/>
    <x v="0"/>
    <x v="1"/>
  </r>
  <r>
    <d v="2020-07-22T00:00:00"/>
    <s v="Mandi"/>
    <n v="77747468"/>
    <n v="7800"/>
    <x v="0"/>
    <d v="2020-03-10T00:00:00"/>
    <m/>
    <x v="8"/>
    <x v="0"/>
    <x v="1"/>
  </r>
  <r>
    <d v="2020-09-07T00:00:00"/>
    <s v="Bouzyk"/>
    <n v="77747469"/>
    <n v="9000"/>
    <x v="2"/>
    <d v="2020-03-18T00:00:00"/>
    <m/>
    <x v="7"/>
    <x v="2"/>
    <x v="1"/>
  </r>
  <r>
    <d v="2020-05-22T00:00:00"/>
    <s v="Rontaltex"/>
    <n v="77747470"/>
    <n v="9000"/>
    <x v="3"/>
    <d v="2020-03-18T00:00:00"/>
    <m/>
    <x v="8"/>
    <x v="10"/>
    <x v="1"/>
  </r>
  <r>
    <d v="2020-06-22T00:00:00"/>
    <s v="Bouzyk"/>
    <n v="77747471"/>
    <n v="19000"/>
    <x v="0"/>
    <d v="2020-03-18T00:00:00"/>
    <m/>
    <x v="8"/>
    <x v="12"/>
    <x v="1"/>
  </r>
  <r>
    <d v="2020-06-30T00:00:00"/>
    <s v="Bouzyk"/>
    <n v="77747472"/>
    <n v="20000"/>
    <x v="0"/>
    <d v="2020-03-18T00:00:00"/>
    <m/>
    <x v="0"/>
    <x v="12"/>
    <x v="1"/>
  </r>
  <r>
    <d v="2020-07-08T00:00:00"/>
    <s v="Bouzyk"/>
    <n v="77747473"/>
    <n v="21000"/>
    <x v="0"/>
    <d v="2020-03-18T00:00:00"/>
    <m/>
    <x v="3"/>
    <x v="0"/>
    <x v="1"/>
  </r>
  <r>
    <d v="2020-07-13T00:00:00"/>
    <s v="Veira"/>
    <n v="77747474"/>
    <n v="5200"/>
    <x v="0"/>
    <d v="2020-03-18T00:00:00"/>
    <m/>
    <x v="16"/>
    <x v="0"/>
    <x v="1"/>
  </r>
  <r>
    <d v="2020-07-22T00:00:00"/>
    <s v="Veira"/>
    <n v="77747475"/>
    <n v="5300"/>
    <x v="0"/>
    <d v="2020-05-22T00:00:00"/>
    <m/>
    <x v="8"/>
    <x v="0"/>
    <x v="1"/>
  </r>
  <r>
    <d v="2020-07-30T00:00:00"/>
    <s v="Veira"/>
    <n v="78212376"/>
    <n v="5710"/>
    <x v="0"/>
    <d v="2020-05-22T00:00:00"/>
    <m/>
    <x v="0"/>
    <x v="0"/>
    <x v="1"/>
  </r>
  <r>
    <d v="2020-06-07T00:00:00"/>
    <s v="Veira"/>
    <n v="78212377"/>
    <n v="5500"/>
    <x v="0"/>
    <d v="2020-03-18T00:00:00"/>
    <m/>
    <x v="7"/>
    <x v="12"/>
    <x v="1"/>
  </r>
  <r>
    <d v="2020-06-22T00:00:00"/>
    <s v="Veira"/>
    <n v="78212378"/>
    <n v="6000"/>
    <x v="0"/>
    <d v="2020-03-18T00:00:00"/>
    <m/>
    <x v="8"/>
    <x v="12"/>
    <x v="1"/>
  </r>
  <r>
    <d v="2020-08-30T00:00:00"/>
    <s v="Bouzyk"/>
    <n v="78212379"/>
    <n v="4850"/>
    <x v="0"/>
    <d v="2020-05-06T00:00:00"/>
    <m/>
    <x v="0"/>
    <x v="1"/>
    <x v="1"/>
  </r>
  <r>
    <d v="2020-08-16T00:00:00"/>
    <s v="Bouzyk"/>
    <n v="78212380"/>
    <n v="16010"/>
    <x v="0"/>
    <d v="2020-05-06T00:00:00"/>
    <m/>
    <x v="2"/>
    <x v="1"/>
    <x v="1"/>
  </r>
  <r>
    <d v="2020-08-22T00:00:00"/>
    <s v="Bouzyk"/>
    <n v="78212381"/>
    <n v="16020"/>
    <x v="0"/>
    <d v="2020-05-06T00:00:00"/>
    <m/>
    <x v="8"/>
    <x v="1"/>
    <x v="1"/>
  </r>
  <r>
    <d v="2020-08-30T00:00:00"/>
    <s v="Bouzyk"/>
    <n v="78212382"/>
    <n v="16030"/>
    <x v="0"/>
    <d v="2020-05-06T00:00:00"/>
    <m/>
    <x v="0"/>
    <x v="1"/>
    <x v="1"/>
  </r>
  <r>
    <d v="2020-09-08T00:00:00"/>
    <s v="Bouzyk"/>
    <n v="78212383"/>
    <n v="16100"/>
    <x v="0"/>
    <d v="2020-05-06T00:00:00"/>
    <m/>
    <x v="3"/>
    <x v="2"/>
    <x v="1"/>
  </r>
  <r>
    <d v="2020-09-16T00:00:00"/>
    <s v="Bouzyk"/>
    <n v="78212384"/>
    <n v="16120"/>
    <x v="0"/>
    <d v="2020-05-06T00:00:00"/>
    <m/>
    <x v="2"/>
    <x v="2"/>
    <x v="1"/>
  </r>
  <r>
    <d v="2020-09-22T00:00:00"/>
    <s v="Bouzyk"/>
    <n v="78212385"/>
    <n v="16130"/>
    <x v="0"/>
    <d v="2020-05-06T00:00:00"/>
    <m/>
    <x v="8"/>
    <x v="2"/>
    <x v="1"/>
  </r>
  <r>
    <d v="2020-09-30T00:00:00"/>
    <s v="Bouzyk"/>
    <n v="78212386"/>
    <n v="16140"/>
    <x v="0"/>
    <d v="2020-05-06T00:00:00"/>
    <m/>
    <x v="0"/>
    <x v="2"/>
    <x v="1"/>
  </r>
  <r>
    <d v="2020-08-07T00:00:00"/>
    <s v="Bouzyk"/>
    <n v="78212387"/>
    <n v="9500"/>
    <x v="0"/>
    <d v="2020-05-06T00:00:00"/>
    <m/>
    <x v="7"/>
    <x v="1"/>
    <x v="1"/>
  </r>
  <r>
    <d v="2020-06-30T00:00:00"/>
    <s v="Veira"/>
    <n v="78212388"/>
    <n v="7900"/>
    <x v="0"/>
    <d v="2020-05-22T00:00:00"/>
    <m/>
    <x v="0"/>
    <x v="12"/>
    <x v="1"/>
  </r>
  <r>
    <d v="2020-07-08T00:00:00"/>
    <s v="Veccio"/>
    <n v="78212389"/>
    <n v="2500"/>
    <x v="0"/>
    <d v="2020-05-30T00:00:00"/>
    <m/>
    <x v="3"/>
    <x v="0"/>
    <x v="1"/>
  </r>
  <r>
    <d v="2020-07-22T00:00:00"/>
    <s v="Veccio"/>
    <n v="78212390"/>
    <n v="2500"/>
    <x v="0"/>
    <d v="2020-05-30T00:00:00"/>
    <m/>
    <x v="8"/>
    <x v="0"/>
    <x v="1"/>
  </r>
  <r>
    <d v="2020-08-08T00:00:00"/>
    <s v="Veccio"/>
    <n v="78212391"/>
    <n v="2500"/>
    <x v="0"/>
    <d v="2020-05-30T00:00:00"/>
    <m/>
    <x v="3"/>
    <x v="1"/>
    <x v="1"/>
  </r>
  <r>
    <d v="2020-08-31T00:00:00"/>
    <s v="Bouzyk"/>
    <n v="78212392"/>
    <n v="7977"/>
    <x v="0"/>
    <d v="2020-06-04T00:00:00"/>
    <m/>
    <x v="5"/>
    <x v="1"/>
    <x v="1"/>
  </r>
  <r>
    <d v="2020-07-31T00:00:00"/>
    <s v="Bouzyk"/>
    <n v="78212393"/>
    <n v="8510"/>
    <x v="0"/>
    <d v="2020-06-04T00:00:00"/>
    <m/>
    <x v="5"/>
    <x v="0"/>
    <x v="1"/>
  </r>
  <r>
    <d v="2020-08-22T00:00:00"/>
    <s v="Bouzyk"/>
    <n v="78212394"/>
    <n v="8513"/>
    <x v="0"/>
    <d v="2020-06-04T00:00:00"/>
    <m/>
    <x v="8"/>
    <x v="1"/>
    <x v="1"/>
  </r>
  <r>
    <d v="2020-07-22T00:00:00"/>
    <s v="Pastora Neuquen"/>
    <n v="78212395"/>
    <n v="11010.26"/>
    <x v="0"/>
    <d v="2020-06-23T00:00:00"/>
    <m/>
    <x v="8"/>
    <x v="0"/>
    <x v="1"/>
  </r>
  <r>
    <d v="2020-08-07T00:00:00"/>
    <s v="Pastora Neuquen"/>
    <n v="78212396"/>
    <n v="11020"/>
    <x v="0"/>
    <d v="2020-06-23T00:00:00"/>
    <m/>
    <x v="7"/>
    <x v="1"/>
    <x v="1"/>
  </r>
  <r>
    <d v="2020-07-07T00:00:00"/>
    <s v="Pastora Neuquen"/>
    <n v="78212397"/>
    <n v="11030"/>
    <x v="0"/>
    <d v="2020-06-23T00:00:00"/>
    <m/>
    <x v="7"/>
    <x v="0"/>
    <x v="1"/>
  </r>
  <r>
    <d v="2020-07-22T00:00:00"/>
    <s v="Pastora Rioja"/>
    <n v="78212398"/>
    <n v="7054.4"/>
    <x v="0"/>
    <d v="2020-06-23T00:00:00"/>
    <m/>
    <x v="8"/>
    <x v="0"/>
    <x v="1"/>
  </r>
  <r>
    <d v="2020-08-07T00:00:00"/>
    <s v="Pastora Rioja"/>
    <n v="78212399"/>
    <n v="7150"/>
    <x v="0"/>
    <d v="2020-06-23T00:00:00"/>
    <m/>
    <x v="7"/>
    <x v="1"/>
    <x v="1"/>
  </r>
  <r>
    <d v="2020-08-22T00:00:00"/>
    <s v="Pastora Rioja"/>
    <n v="78212400"/>
    <n v="7180"/>
    <x v="0"/>
    <d v="2020-06-23T00:00:00"/>
    <m/>
    <x v="8"/>
    <x v="1"/>
    <x v="1"/>
  </r>
  <r>
    <d v="2020-09-07T00:00:00"/>
    <s v="Pastora Rioja"/>
    <n v="78212401"/>
    <n v="7170"/>
    <x v="2"/>
    <d v="2020-06-23T00:00:00"/>
    <m/>
    <x v="7"/>
    <x v="2"/>
    <x v="1"/>
  </r>
  <r>
    <d v="2020-07-22T00:00:00"/>
    <s v="Rontaltex"/>
    <n v="78212402"/>
    <n v="4010"/>
    <x v="0"/>
    <d v="2020-06-23T00:00:00"/>
    <m/>
    <x v="8"/>
    <x v="0"/>
    <x v="1"/>
  </r>
  <r>
    <d v="2020-08-07T00:00:00"/>
    <s v="Rontaltex"/>
    <n v="78212403"/>
    <n v="4020"/>
    <x v="0"/>
    <d v="2020-06-23T00:00:00"/>
    <m/>
    <x v="7"/>
    <x v="1"/>
    <x v="1"/>
  </r>
  <r>
    <d v="2020-08-22T00:00:00"/>
    <s v="Rontaltex"/>
    <n v="78212404"/>
    <n v="4030"/>
    <x v="0"/>
    <d v="2020-06-23T00:00:00"/>
    <m/>
    <x v="8"/>
    <x v="1"/>
    <x v="1"/>
  </r>
  <r>
    <d v="2020-08-30T00:00:00"/>
    <s v="Rontaltex"/>
    <n v="78212405"/>
    <n v="4040.8"/>
    <x v="0"/>
    <d v="2020-06-23T00:00:00"/>
    <m/>
    <x v="0"/>
    <x v="1"/>
    <x v="1"/>
  </r>
  <r>
    <d v="2020-07-16T00:00:00"/>
    <s v="Otranto"/>
    <n v="78212406"/>
    <n v="8090"/>
    <x v="0"/>
    <d v="2020-06-26T00:00:00"/>
    <m/>
    <x v="2"/>
    <x v="0"/>
    <x v="1"/>
  </r>
  <r>
    <d v="2020-07-22T00:00:00"/>
    <s v="Otranto"/>
    <n v="78212407"/>
    <n v="8100"/>
    <x v="0"/>
    <d v="2020-06-26T00:00:00"/>
    <m/>
    <x v="8"/>
    <x v="0"/>
    <x v="1"/>
  </r>
  <r>
    <d v="2020-07-30T00:00:00"/>
    <s v="Otranto"/>
    <n v="78212408"/>
    <n v="8200"/>
    <x v="0"/>
    <d v="2020-06-26T00:00:00"/>
    <m/>
    <x v="0"/>
    <x v="0"/>
    <x v="1"/>
  </r>
  <r>
    <d v="2020-08-08T00:00:00"/>
    <s v="Otranto"/>
    <n v="78212409"/>
    <n v="8300"/>
    <x v="0"/>
    <d v="2020-06-26T00:00:00"/>
    <m/>
    <x v="3"/>
    <x v="1"/>
    <x v="1"/>
  </r>
  <r>
    <d v="2020-08-08T00:00:00"/>
    <s v="Martin - Mandi"/>
    <n v="78212410"/>
    <n v="9006"/>
    <x v="0"/>
    <d v="2020-06-26T00:00:00"/>
    <m/>
    <x v="3"/>
    <x v="1"/>
    <x v="1"/>
  </r>
  <r>
    <d v="2020-08-16T00:00:00"/>
    <s v="Martin - Mandi"/>
    <n v="78212411"/>
    <n v="9100"/>
    <x v="0"/>
    <d v="2020-06-26T00:00:00"/>
    <m/>
    <x v="2"/>
    <x v="1"/>
    <x v="1"/>
  </r>
  <r>
    <d v="2020-08-22T00:00:00"/>
    <s v="Martin - Mandi"/>
    <n v="78212412"/>
    <n v="9204"/>
    <x v="0"/>
    <d v="2020-06-26T00:00:00"/>
    <m/>
    <x v="8"/>
    <x v="1"/>
    <x v="1"/>
  </r>
  <r>
    <d v="2020-09-08T00:00:00"/>
    <s v="Martin - Mandi"/>
    <n v="78212413"/>
    <n v="9240"/>
    <x v="0"/>
    <d v="2020-06-26T00:00:00"/>
    <m/>
    <x v="3"/>
    <x v="2"/>
    <x v="1"/>
  </r>
  <r>
    <d v="2020-08-30T00:00:00"/>
    <s v="Martin - Mandi"/>
    <n v="78212414"/>
    <n v="9060"/>
    <x v="0"/>
    <d v="2020-06-26T00:00:00"/>
    <m/>
    <x v="0"/>
    <x v="1"/>
    <x v="1"/>
  </r>
  <r>
    <d v="2020-09-16T00:00:00"/>
    <s v="Martin - Mandi"/>
    <n v="78212415"/>
    <n v="9390"/>
    <x v="0"/>
    <d v="2020-06-26T00:00:00"/>
    <m/>
    <x v="2"/>
    <x v="2"/>
    <x v="1"/>
  </r>
  <r>
    <d v="2020-09-20T00:00:00"/>
    <s v="Mandy"/>
    <n v="78212416"/>
    <n v="25000"/>
    <x v="0"/>
    <d v="2020-07-20T00:00:00"/>
    <m/>
    <x v="18"/>
    <x v="2"/>
    <x v="1"/>
  </r>
  <r>
    <d v="2020-09-30T00:00:00"/>
    <s v="Mandy"/>
    <n v="78212417"/>
    <n v="26000"/>
    <x v="0"/>
    <d v="2020-07-20T00:00:00"/>
    <m/>
    <x v="0"/>
    <x v="2"/>
    <x v="1"/>
  </r>
  <r>
    <d v="2020-10-08T00:00:00"/>
    <s v="Mandy"/>
    <n v="78212418"/>
    <n v="27061"/>
    <x v="0"/>
    <d v="2020-07-20T00:00:00"/>
    <m/>
    <x v="3"/>
    <x v="3"/>
    <x v="1"/>
  </r>
  <r>
    <d v="2020-10-16T00:00:00"/>
    <s v="Mandy"/>
    <n v="78212419"/>
    <n v="27800"/>
    <x v="0"/>
    <d v="2020-07-20T00:00:00"/>
    <m/>
    <x v="2"/>
    <x v="3"/>
    <x v="1"/>
  </r>
  <r>
    <d v="2020-10-22T00:00:00"/>
    <s v="Mandy"/>
    <n v="78212420"/>
    <n v="28000"/>
    <x v="0"/>
    <d v="2020-07-20T00:00:00"/>
    <m/>
    <x v="8"/>
    <x v="3"/>
    <x v="1"/>
  </r>
  <r>
    <d v="2020-10-30T00:00:00"/>
    <s v="Mandy"/>
    <n v="78212421"/>
    <n v="29000"/>
    <x v="0"/>
    <d v="2020-07-20T00:00:00"/>
    <m/>
    <x v="0"/>
    <x v="3"/>
    <x v="1"/>
  </r>
  <r>
    <d v="2020-10-08T00:00:00"/>
    <s v="Lipo Mandi"/>
    <n v="78212422"/>
    <n v="6706"/>
    <x v="0"/>
    <d v="2020-08-06T00:00:00"/>
    <m/>
    <x v="3"/>
    <x v="3"/>
    <x v="1"/>
  </r>
  <r>
    <d v="2020-10-16T00:00:00"/>
    <s v="Lipo Mandi"/>
    <n v="78212423"/>
    <n v="6800"/>
    <x v="0"/>
    <d v="2020-08-06T00:00:00"/>
    <m/>
    <x v="2"/>
    <x v="3"/>
    <x v="1"/>
  </r>
  <r>
    <d v="2020-10-22T00:00:00"/>
    <s v="Lipo Mandi"/>
    <n v="78212424"/>
    <n v="6850"/>
    <x v="0"/>
    <d v="2020-08-06T00:00:00"/>
    <m/>
    <x v="8"/>
    <x v="3"/>
    <x v="1"/>
  </r>
  <r>
    <d v="2020-10-30T00:00:00"/>
    <s v="Lipo Mandi"/>
    <n v="78212425"/>
    <n v="6890"/>
    <x v="0"/>
    <d v="2020-08-06T00:00:00"/>
    <m/>
    <x v="0"/>
    <x v="3"/>
    <x v="1"/>
  </r>
  <r>
    <d v="2020-11-08T00:00:00"/>
    <s v="Lipo Mandi"/>
    <n v="79702826"/>
    <n v="7300"/>
    <x v="0"/>
    <d v="2020-08-06T00:00:00"/>
    <m/>
    <x v="3"/>
    <x v="4"/>
    <x v="1"/>
  </r>
  <r>
    <d v="2020-11-16T00:00:00"/>
    <s v="Lipo Mandi"/>
    <n v="79702827"/>
    <n v="7340.8"/>
    <x v="0"/>
    <d v="2020-08-06T00:00:00"/>
    <m/>
    <x v="2"/>
    <x v="4"/>
    <x v="1"/>
  </r>
  <r>
    <d v="2020-12-16T00:00:00"/>
    <s v="Lipo Mandi"/>
    <n v="79702828"/>
    <n v="11000"/>
    <x v="0"/>
    <d v="2020-08-10T00:00:00"/>
    <m/>
    <x v="2"/>
    <x v="5"/>
    <x v="1"/>
  </r>
  <r>
    <d v="2020-12-22T00:00:00"/>
    <s v="Lipo Mandi"/>
    <n v="79702829"/>
    <n v="12500"/>
    <x v="0"/>
    <d v="2020-08-10T00:00:00"/>
    <m/>
    <x v="8"/>
    <x v="5"/>
    <x v="1"/>
  </r>
  <r>
    <d v="2020-12-30T00:00:00"/>
    <s v="Lipo Mandi"/>
    <n v="79702830"/>
    <n v="12370"/>
    <x v="0"/>
    <d v="2020-08-10T00:00:00"/>
    <m/>
    <x v="0"/>
    <x v="5"/>
    <x v="1"/>
  </r>
  <r>
    <d v="2020-12-14T00:00:00"/>
    <s v="Vorrazo"/>
    <n v="79702831"/>
    <n v="13000"/>
    <x v="3"/>
    <d v="2020-08-10T00:00:00"/>
    <m/>
    <x v="13"/>
    <x v="5"/>
    <x v="1"/>
  </r>
  <r>
    <d v="2020-11-16T00:00:00"/>
    <s v="Bouzyk"/>
    <n v="79702832"/>
    <n v="11500"/>
    <x v="0"/>
    <d v="2020-08-10T00:00:00"/>
    <m/>
    <x v="2"/>
    <x v="4"/>
    <x v="1"/>
  </r>
  <r>
    <d v="2020-09-16T00:00:00"/>
    <s v="Otranto"/>
    <n v="79702833"/>
    <n v="8800"/>
    <x v="0"/>
    <d v="2020-08-11T00:00:00"/>
    <m/>
    <x v="2"/>
    <x v="2"/>
    <x v="1"/>
  </r>
  <r>
    <d v="2020-09-22T00:00:00"/>
    <s v="Otranto"/>
    <n v="79702834"/>
    <n v="8900"/>
    <x v="0"/>
    <d v="2020-08-11T00:00:00"/>
    <m/>
    <x v="8"/>
    <x v="2"/>
    <x v="1"/>
  </r>
  <r>
    <d v="2020-09-30T00:00:00"/>
    <s v="Otranto"/>
    <n v="79702835"/>
    <n v="9070"/>
    <x v="0"/>
    <d v="2020-08-11T00:00:00"/>
    <m/>
    <x v="0"/>
    <x v="2"/>
    <x v="1"/>
  </r>
  <r>
    <d v="2020-10-08T00:00:00"/>
    <s v="Otranto"/>
    <n v="79702836"/>
    <n v="9000"/>
    <x v="0"/>
    <d v="2020-08-11T00:00:00"/>
    <m/>
    <x v="3"/>
    <x v="3"/>
    <x v="1"/>
  </r>
  <r>
    <d v="2020-10-16T00:00:00"/>
    <s v="Otranto"/>
    <n v="79702837"/>
    <n v="9100"/>
    <x v="0"/>
    <d v="2020-08-11T00:00:00"/>
    <m/>
    <x v="2"/>
    <x v="3"/>
    <x v="1"/>
  </r>
  <r>
    <d v="2020-11-16T00:00:00"/>
    <s v="Mandy"/>
    <n v="79702838"/>
    <n v="7762"/>
    <x v="0"/>
    <d v="2020-08-27T00:00:00"/>
    <m/>
    <x v="2"/>
    <x v="4"/>
    <x v="1"/>
  </r>
  <r>
    <d v="2020-11-20T00:00:00"/>
    <s v="Mandy"/>
    <n v="79702839"/>
    <n v="7800"/>
    <x v="0"/>
    <d v="2020-08-27T00:00:00"/>
    <m/>
    <x v="18"/>
    <x v="4"/>
    <x v="1"/>
  </r>
  <r>
    <d v="2020-11-30T00:00:00"/>
    <s v="Mandy"/>
    <n v="79702840"/>
    <n v="7850"/>
    <x v="0"/>
    <d v="2020-08-27T00:00:00"/>
    <m/>
    <x v="0"/>
    <x v="4"/>
    <x v="1"/>
  </r>
  <r>
    <d v="2020-12-08T00:00:00"/>
    <s v="Mandy"/>
    <n v="79702841"/>
    <n v="7900"/>
    <x v="0"/>
    <d v="2020-08-27T00:00:00"/>
    <m/>
    <x v="3"/>
    <x v="5"/>
    <x v="1"/>
  </r>
  <r>
    <d v="2020-09-25T00:00:00"/>
    <s v="Veira"/>
    <n v="79702842"/>
    <n v="13500"/>
    <x v="0"/>
    <d v="2020-09-04T00:00:00"/>
    <m/>
    <x v="26"/>
    <x v="2"/>
    <x v="1"/>
  </r>
  <r>
    <d v="2020-10-08T00:00:00"/>
    <s v="Veira"/>
    <n v="79702843"/>
    <n v="10000"/>
    <x v="0"/>
    <d v="2020-09-04T00:00:00"/>
    <m/>
    <x v="3"/>
    <x v="3"/>
    <x v="1"/>
  </r>
  <r>
    <d v="2020-10-30T00:00:00"/>
    <s v="Seguro Gol"/>
    <n v="79702844"/>
    <n v="3600"/>
    <x v="0"/>
    <d v="2020-09-07T00:00:00"/>
    <m/>
    <x v="0"/>
    <x v="3"/>
    <x v="1"/>
  </r>
  <r>
    <d v="2020-11-07T00:00:00"/>
    <s v="Seguro Gol"/>
    <n v="79702845"/>
    <n v="3675"/>
    <x v="0"/>
    <d v="2020-09-07T00:00:00"/>
    <m/>
    <x v="7"/>
    <x v="4"/>
    <x v="1"/>
  </r>
  <r>
    <d v="2020-11-30T00:00:00"/>
    <s v="Mandy"/>
    <n v="79702846"/>
    <n v="4009"/>
    <x v="0"/>
    <d v="2020-09-25T00:00:00"/>
    <m/>
    <x v="0"/>
    <x v="4"/>
    <x v="1"/>
  </r>
  <r>
    <d v="2020-12-08T00:00:00"/>
    <s v="Mandy"/>
    <n v="79702847"/>
    <n v="4010"/>
    <x v="0"/>
    <d v="2020-09-25T00:00:00"/>
    <m/>
    <x v="3"/>
    <x v="5"/>
    <x v="1"/>
  </r>
  <r>
    <d v="2020-12-16T00:00:00"/>
    <s v="Mandy"/>
    <n v="79702848"/>
    <n v="4020"/>
    <x v="0"/>
    <d v="2020-09-25T00:00:00"/>
    <m/>
    <x v="2"/>
    <x v="5"/>
    <x v="1"/>
  </r>
  <r>
    <d v="2020-10-30T00:00:00"/>
    <s v="Otranto"/>
    <n v="79702849"/>
    <n v="6852"/>
    <x v="0"/>
    <d v="2020-09-28T00:00:00"/>
    <m/>
    <x v="0"/>
    <x v="3"/>
    <x v="1"/>
  </r>
  <r>
    <d v="2020-12-16T00:00:00"/>
    <s v="Victor Colaccio"/>
    <n v="79702850"/>
    <n v="7463.03"/>
    <x v="0"/>
    <d v="2020-10-07T00:00:00"/>
    <m/>
    <x v="2"/>
    <x v="5"/>
    <x v="1"/>
  </r>
  <r>
    <d v="2020-11-22T00:00:00"/>
    <s v="Mandy"/>
    <n v="79702851"/>
    <n v="7720"/>
    <x v="0"/>
    <d v="2020-10-07T00:00:00"/>
    <m/>
    <x v="8"/>
    <x v="4"/>
    <x v="1"/>
  </r>
  <r>
    <d v="2020-11-30T00:00:00"/>
    <s v="Mandy"/>
    <n v="79702852"/>
    <n v="8720"/>
    <x v="0"/>
    <d v="2020-10-07T00:00:00"/>
    <m/>
    <x v="0"/>
    <x v="4"/>
    <x v="1"/>
  </r>
  <r>
    <d v="2020-12-08T00:00:00"/>
    <s v="Mandy"/>
    <n v="79702853"/>
    <n v="9720"/>
    <x v="0"/>
    <d v="2020-10-07T00:00:00"/>
    <m/>
    <x v="3"/>
    <x v="5"/>
    <x v="1"/>
  </r>
  <r>
    <d v="2020-12-16T00:00:00"/>
    <s v="Mandy"/>
    <n v="79702854"/>
    <n v="24000"/>
    <x v="0"/>
    <d v="2020-10-21T00:00:00"/>
    <m/>
    <x v="2"/>
    <x v="5"/>
    <x v="1"/>
  </r>
  <r>
    <d v="2020-12-22T00:00:00"/>
    <s v="Mandy"/>
    <n v="79702855"/>
    <n v="20327"/>
    <x v="0"/>
    <d v="2020-10-21T00:00:00"/>
    <m/>
    <x v="8"/>
    <x v="5"/>
    <x v="1"/>
  </r>
  <r>
    <d v="2020-11-11T00:00:00"/>
    <s v="Yo"/>
    <n v="79702856"/>
    <n v="0"/>
    <x v="0"/>
    <d v="2020-10-22T00:00:00"/>
    <s v="Para sacar efect por 66800$-,"/>
    <x v="20"/>
    <x v="4"/>
    <x v="1"/>
  </r>
  <r>
    <d v="2020-11-16T00:00:00"/>
    <s v="Ao Textil"/>
    <n v="79702857"/>
    <n v="4648"/>
    <x v="0"/>
    <d v="2020-11-13T00:00:00"/>
    <m/>
    <x v="2"/>
    <x v="4"/>
    <x v="1"/>
  </r>
  <r>
    <d v="2021-03-30T00:00:00"/>
    <s v="Melisa y Martin"/>
    <n v="79702858"/>
    <n v="10500"/>
    <x v="1"/>
    <d v="2020-11-13T00:00:00"/>
    <s v="Nunca se cobro"/>
    <x v="0"/>
    <x v="7"/>
    <x v="3"/>
  </r>
  <r>
    <d v="2021-01-16T00:00:00"/>
    <s v="Rontaltex"/>
    <n v="79702859"/>
    <n v="11636.92"/>
    <x v="1"/>
    <d v="2020-11-13T00:00:00"/>
    <s v="Se le vencio a Rontaltex"/>
    <x v="2"/>
    <x v="6"/>
    <x v="3"/>
  </r>
  <r>
    <d v="2020-12-22T00:00:00"/>
    <s v="Zalaquett"/>
    <n v="79702860"/>
    <n v="4569.37"/>
    <x v="0"/>
    <d v="2020-11-18T00:00:00"/>
    <m/>
    <x v="8"/>
    <x v="5"/>
    <x v="1"/>
  </r>
  <r>
    <d v="2020-12-16T00:00:00"/>
    <s v="Melisa y Martin"/>
    <n v="79702861"/>
    <n v="10000"/>
    <x v="0"/>
    <d v="2020-11-19T00:00:00"/>
    <m/>
    <x v="2"/>
    <x v="5"/>
    <x v="1"/>
  </r>
  <r>
    <d v="2020-12-22T00:00:00"/>
    <s v="Melisa y Martin"/>
    <n v="79702862"/>
    <n v="10000"/>
    <x v="0"/>
    <d v="2020-11-19T00:00:00"/>
    <m/>
    <x v="8"/>
    <x v="5"/>
    <x v="1"/>
  </r>
  <r>
    <d v="2020-12-30T00:00:00"/>
    <s v="Melisa y Martin"/>
    <n v="79702863"/>
    <n v="10000"/>
    <x v="0"/>
    <d v="2020-11-19T00:00:00"/>
    <m/>
    <x v="0"/>
    <x v="5"/>
    <x v="1"/>
  </r>
  <r>
    <d v="2021-01-16T00:00:00"/>
    <s v="Melisa y Martin"/>
    <n v="79702864"/>
    <n v="10000"/>
    <x v="0"/>
    <d v="2020-11-19T00:00:00"/>
    <m/>
    <x v="2"/>
    <x v="6"/>
    <x v="3"/>
  </r>
  <r>
    <d v="2021-01-30T00:00:00"/>
    <s v="Melisa y Martin"/>
    <n v="79702865"/>
    <n v="12386"/>
    <x v="0"/>
    <d v="2020-11-19T00:00:00"/>
    <m/>
    <x v="0"/>
    <x v="6"/>
    <x v="3"/>
  </r>
  <r>
    <d v="2021-01-22T00:00:00"/>
    <s v="Melisa y Martin"/>
    <n v="79702866"/>
    <n v="10000"/>
    <x v="0"/>
    <d v="2020-11-19T00:00:00"/>
    <m/>
    <x v="8"/>
    <x v="6"/>
    <x v="3"/>
  </r>
  <r>
    <d v="2019-08-26T00:00:00"/>
    <s v="Prestamo"/>
    <s v="6105-1077293/1"/>
    <n v="14039.38"/>
    <x v="0"/>
    <d v="2019-07-29T00:00:00"/>
    <m/>
    <x v="22"/>
    <x v="1"/>
    <x v="0"/>
  </r>
  <r>
    <d v="2019-09-26T00:00:00"/>
    <s v="Prestamo"/>
    <s v="6105-1077293/1"/>
    <n v="13731.5"/>
    <x v="0"/>
    <d v="2019-07-29T00:00:00"/>
    <m/>
    <x v="22"/>
    <x v="2"/>
    <x v="0"/>
  </r>
  <r>
    <d v="2019-10-26T00:00:00"/>
    <s v="Prestamo"/>
    <s v="6105-1077293/1"/>
    <n v="13393.83"/>
    <x v="0"/>
    <d v="2019-07-29T00:00:00"/>
    <m/>
    <x v="22"/>
    <x v="3"/>
    <x v="0"/>
  </r>
  <r>
    <d v="2019-11-26T00:00:00"/>
    <s v="Prestamo"/>
    <s v="6105-1077293/1"/>
    <n v="13115.75"/>
    <x v="0"/>
    <d v="2019-07-29T00:00:00"/>
    <m/>
    <x v="22"/>
    <x v="4"/>
    <x v="0"/>
  </r>
  <r>
    <d v="2019-12-26T00:00:00"/>
    <s v="Prestamo"/>
    <s v="6105-1077293/1"/>
    <n v="12558.15"/>
    <x v="0"/>
    <d v="2019-07-29T00:00:00"/>
    <m/>
    <x v="22"/>
    <x v="5"/>
    <x v="0"/>
  </r>
  <r>
    <d v="2020-03-13T00:00:00"/>
    <s v="Prestamo"/>
    <s v="6105-1153529/0"/>
    <n v="17315.48"/>
    <x v="0"/>
    <d v="2019-07-29T00:00:00"/>
    <m/>
    <x v="16"/>
    <x v="7"/>
    <x v="1"/>
  </r>
  <r>
    <d v="2019-08-13T00:00:00"/>
    <s v="Prestamo"/>
    <s v="6105-1153529/1"/>
    <n v="22215.52"/>
    <x v="0"/>
    <d v="2019-07-29T00:00:00"/>
    <m/>
    <x v="16"/>
    <x v="1"/>
    <x v="0"/>
  </r>
  <r>
    <d v="2019-09-13T00:00:00"/>
    <s v="Prestamo"/>
    <s v="6105-1153529/1"/>
    <n v="21651.93"/>
    <x v="0"/>
    <d v="2019-07-29T00:00:00"/>
    <m/>
    <x v="16"/>
    <x v="2"/>
    <x v="0"/>
  </r>
  <r>
    <d v="2019-10-13T00:00:00"/>
    <s v="Prestamo"/>
    <s v="6105-1153529/1"/>
    <n v="20639.27"/>
    <x v="0"/>
    <d v="2019-07-29T00:00:00"/>
    <m/>
    <x v="16"/>
    <x v="3"/>
    <x v="0"/>
  </r>
  <r>
    <d v="2019-11-13T00:00:00"/>
    <s v="Prestamo"/>
    <s v="6105-1153529/1"/>
    <n v="20134.7"/>
    <x v="0"/>
    <d v="2019-07-29T00:00:00"/>
    <m/>
    <x v="16"/>
    <x v="4"/>
    <x v="0"/>
  </r>
  <r>
    <d v="2019-12-13T00:00:00"/>
    <s v="Prestamo"/>
    <s v="6105-1153529/1"/>
    <n v="19351.599999999999"/>
    <x v="0"/>
    <d v="2019-07-29T00:00:00"/>
    <m/>
    <x v="16"/>
    <x v="5"/>
    <x v="0"/>
  </r>
  <r>
    <d v="2020-01-13T00:00:00"/>
    <s v="Prestamo"/>
    <s v="6105-1153529/1"/>
    <n v="18747.490000000002"/>
    <x v="0"/>
    <d v="2019-07-29T00:00:00"/>
    <m/>
    <x v="16"/>
    <x v="6"/>
    <x v="1"/>
  </r>
  <r>
    <d v="2020-02-13T00:00:00"/>
    <s v="Prestamo"/>
    <s v="6105-1153529/1"/>
    <n v="18087.439999999999"/>
    <x v="0"/>
    <d v="2019-07-29T00:00:00"/>
    <m/>
    <x v="16"/>
    <x v="8"/>
    <x v="1"/>
  </r>
  <r>
    <d v="2019-11-23T00:00:00"/>
    <s v="Prestamo"/>
    <s v="6105-11738664/1"/>
    <n v="20361.18"/>
    <x v="0"/>
    <d v="2019-07-23T00:00:00"/>
    <m/>
    <x v="1"/>
    <x v="4"/>
    <x v="0"/>
  </r>
  <r>
    <d v="2019-12-23T00:00:00"/>
    <s v="Prestamo"/>
    <s v="6105-11738664/1"/>
    <n v="20003.650000000001"/>
    <x v="0"/>
    <d v="2019-07-23T00:00:00"/>
    <m/>
    <x v="1"/>
    <x v="5"/>
    <x v="0"/>
  </r>
  <r>
    <d v="2020-01-23T00:00:00"/>
    <s v="Prestamo"/>
    <s v="6105-11738664/1"/>
    <n v="19540.18"/>
    <x v="0"/>
    <d v="2019-07-23T00:00:00"/>
    <m/>
    <x v="1"/>
    <x v="6"/>
    <x v="1"/>
  </r>
  <r>
    <d v="2020-02-23T00:00:00"/>
    <s v="Prestamo"/>
    <s v="6105-11738664/1"/>
    <n v="19248.849999999999"/>
    <x v="0"/>
    <d v="2019-07-23T00:00:00"/>
    <m/>
    <x v="1"/>
    <x v="8"/>
    <x v="1"/>
  </r>
  <r>
    <d v="2020-03-23T00:00:00"/>
    <s v="Prestamo"/>
    <s v="6105-11738664/1"/>
    <n v="19116.439999999999"/>
    <x v="0"/>
    <d v="2019-07-23T00:00:00"/>
    <m/>
    <x v="1"/>
    <x v="7"/>
    <x v="1"/>
  </r>
  <r>
    <d v="2020-04-23T00:00:00"/>
    <s v="Prestamo"/>
    <s v="6105-11738664/1"/>
    <n v="18507.3"/>
    <x v="0"/>
    <d v="2019-07-23T00:00:00"/>
    <m/>
    <x v="1"/>
    <x v="9"/>
    <x v="1"/>
  </r>
  <r>
    <d v="2020-05-23T00:00:00"/>
    <s v="Prestamo"/>
    <s v="6105-11738664/1"/>
    <n v="18192.34"/>
    <x v="0"/>
    <d v="2019-07-23T00:00:00"/>
    <m/>
    <x v="1"/>
    <x v="10"/>
    <x v="1"/>
  </r>
  <r>
    <d v="2020-06-23T00:00:00"/>
    <s v="Prestamo"/>
    <s v="6105-11738664/1"/>
    <n v="17500.91"/>
    <x v="0"/>
    <d v="2019-07-23T00:00:00"/>
    <m/>
    <x v="1"/>
    <x v="12"/>
    <x v="1"/>
  </r>
  <r>
    <d v="2020-07-23T00:00:00"/>
    <s v="Prestamo"/>
    <s v="6105-11738664/1"/>
    <n v="17063.88"/>
    <x v="0"/>
    <d v="2019-07-23T00:00:00"/>
    <m/>
    <x v="1"/>
    <x v="0"/>
    <x v="1"/>
  </r>
  <r>
    <d v="2020-01-30T00:00:00"/>
    <s v="Prestamo"/>
    <s v="6105-1200039/0"/>
    <n v="21592.69"/>
    <x v="0"/>
    <d v="2019-12-30T00:00:00"/>
    <m/>
    <x v="0"/>
    <x v="6"/>
    <x v="1"/>
  </r>
  <r>
    <d v="2020-02-29T00:00:00"/>
    <s v="Prestamo"/>
    <s v="6105-1200039/0"/>
    <n v="21036.53"/>
    <x v="0"/>
    <d v="2019-12-30T00:00:00"/>
    <m/>
    <x v="14"/>
    <x v="8"/>
    <x v="1"/>
  </r>
  <r>
    <d v="2020-03-30T00:00:00"/>
    <s v="Prestamo"/>
    <s v="6105-1200039/0"/>
    <n v="20771.689999999999"/>
    <x v="0"/>
    <d v="2019-12-30T00:00:00"/>
    <m/>
    <x v="0"/>
    <x v="7"/>
    <x v="1"/>
  </r>
  <r>
    <d v="2020-04-30T00:00:00"/>
    <s v="Prestamo"/>
    <s v="6105-1200039/0"/>
    <n v="20864.38"/>
    <x v="0"/>
    <d v="2019-12-30T00:00:00"/>
    <m/>
    <x v="0"/>
    <x v="9"/>
    <x v="1"/>
  </r>
  <r>
    <d v="2020-05-30T00:00:00"/>
    <s v="Prestamo"/>
    <s v="6105-1200039/0"/>
    <n v="20112.78"/>
    <x v="0"/>
    <d v="2019-12-30T00:00:00"/>
    <m/>
    <x v="0"/>
    <x v="10"/>
    <x v="1"/>
  </r>
  <r>
    <d v="2020-06-30T00:00:00"/>
    <s v="Prestamo"/>
    <s v="6105-1200039/0"/>
    <n v="19540.18"/>
    <x v="0"/>
    <d v="2019-12-30T00:00:00"/>
    <m/>
    <x v="0"/>
    <x v="12"/>
    <x v="1"/>
  </r>
  <r>
    <d v="2020-07-30T00:00:00"/>
    <s v="Prestamo"/>
    <s v="6105-1200039/0"/>
    <n v="19050.23"/>
    <x v="0"/>
    <d v="2019-12-30T00:00:00"/>
    <m/>
    <x v="0"/>
    <x v="0"/>
    <x v="1"/>
  </r>
  <r>
    <d v="2020-08-30T00:00:00"/>
    <s v="Prestamo"/>
    <s v="6105-1200039/0"/>
    <n v="18719.18"/>
    <x v="0"/>
    <d v="2019-12-30T00:00:00"/>
    <m/>
    <x v="0"/>
    <x v="1"/>
    <x v="1"/>
  </r>
  <r>
    <d v="2020-09-30T00:00:00"/>
    <s v="Prestamo"/>
    <s v="6105-1200039/0"/>
    <n v="18308.669999999998"/>
    <x v="0"/>
    <d v="2019-12-30T00:00:00"/>
    <m/>
    <x v="0"/>
    <x v="2"/>
    <x v="1"/>
  </r>
  <r>
    <d v="2020-10-30T00:00:00"/>
    <s v="Prestamo"/>
    <s v="6105-1200039/0"/>
    <n v="17858.45"/>
    <x v="0"/>
    <d v="2019-12-30T00:00:00"/>
    <m/>
    <x v="0"/>
    <x v="3"/>
    <x v="1"/>
  </r>
  <r>
    <d v="2020-11-30T00:00:00"/>
    <s v="Prestamo"/>
    <s v="6105-1200039/0"/>
    <n v="17487.669999999998"/>
    <x v="0"/>
    <d v="2019-12-30T00:00:00"/>
    <m/>
    <x v="0"/>
    <x v="4"/>
    <x v="1"/>
  </r>
  <r>
    <d v="2020-12-30T00:00:00"/>
    <s v="Prestamo"/>
    <s v="6105-1200039/0"/>
    <n v="17063.88"/>
    <x v="0"/>
    <d v="2019-12-30T00:00:00"/>
    <m/>
    <x v="0"/>
    <x v="5"/>
    <x v="1"/>
  </r>
  <r>
    <d v="2020-03-16T00:00:00"/>
    <s v="Afip:M528572"/>
    <s v="Cuota Nº1"/>
    <n v="12412.65"/>
    <x v="0"/>
    <d v="2020-02-03T00:00:00"/>
    <m/>
    <x v="2"/>
    <x v="7"/>
    <x v="1"/>
  </r>
  <r>
    <d v="2020-01-16T00:00:00"/>
    <s v="Afip:M469312"/>
    <s v="Cuota Nº1"/>
    <n v="2970.88"/>
    <x v="0"/>
    <d v="2019-12-30T00:00:00"/>
    <m/>
    <x v="2"/>
    <x v="6"/>
    <x v="1"/>
  </r>
  <r>
    <d v="2020-12-16T00:00:00"/>
    <s v="Afip: N795279"/>
    <s v="Cuota Nº1"/>
    <n v="1048.56"/>
    <x v="0"/>
    <d v="2020-10-12T00:00:00"/>
    <m/>
    <x v="2"/>
    <x v="5"/>
    <x v="1"/>
  </r>
  <r>
    <d v="2021-09-16T00:00:00"/>
    <s v="Afip: N795279"/>
    <s v="Cuota Nº10"/>
    <n v="1229.22"/>
    <x v="0"/>
    <d v="2020-10-12T00:00:00"/>
    <s v="Pague 1262,94"/>
    <x v="2"/>
    <x v="2"/>
    <x v="3"/>
  </r>
  <r>
    <d v="2021-10-16T00:00:00"/>
    <s v="Afip: N795279"/>
    <s v="Cuota Nº11"/>
    <n v="1249.3"/>
    <x v="0"/>
    <d v="2020-10-12T00:00:00"/>
    <s v="Pague 1291,45"/>
    <x v="2"/>
    <x v="3"/>
    <x v="3"/>
  </r>
  <r>
    <d v="2021-11-16T00:00:00"/>
    <s v="Afip: N795279"/>
    <s v="Cuota Nº12"/>
    <n v="1269.3699999999999"/>
    <x v="4"/>
    <d v="2020-10-12T00:00:00"/>
    <m/>
    <x v="2"/>
    <x v="4"/>
    <x v="3"/>
  </r>
  <r>
    <d v="2020-07-16T00:00:00"/>
    <s v="Afip: M618474"/>
    <s v="Cuota Nº1"/>
    <n v="3621.58"/>
    <x v="0"/>
    <d v="2020-03-02T00:00:00"/>
    <m/>
    <x v="2"/>
    <x v="0"/>
    <x v="1"/>
  </r>
  <r>
    <d v="2019-12-16T00:00:00"/>
    <s v="Afip: M302639"/>
    <s v="Cuota Nº1"/>
    <n v="1153.93"/>
    <x v="0"/>
    <d v="2019-11-11T00:00:00"/>
    <m/>
    <x v="2"/>
    <x v="5"/>
    <x v="0"/>
  </r>
  <r>
    <d v="2021-12-16T00:00:00"/>
    <s v="Afip: N795279"/>
    <s v="Cuota Nº13"/>
    <n v="1289.45"/>
    <x v="4"/>
    <d v="2020-10-12T00:00:00"/>
    <m/>
    <x v="2"/>
    <x v="5"/>
    <x v="3"/>
  </r>
  <r>
    <d v="2022-01-16T00:00:00"/>
    <s v="Afip: N795279"/>
    <s v="Cuota Nº14"/>
    <n v="1309.52"/>
    <x v="4"/>
    <d v="2020-10-12T00:00:00"/>
    <m/>
    <x v="2"/>
    <x v="6"/>
    <x v="4"/>
  </r>
  <r>
    <d v="2022-02-16T00:00:00"/>
    <s v="Afip: N795279"/>
    <s v="Cuota Nº15"/>
    <n v="1329.59"/>
    <x v="4"/>
    <d v="2020-10-12T00:00:00"/>
    <m/>
    <x v="2"/>
    <x v="8"/>
    <x v="4"/>
  </r>
  <r>
    <d v="2021-04-16T00:00:00"/>
    <s v="Afip: M618474"/>
    <s v="Cuota Nº10"/>
    <n v="4484.0200000000004"/>
    <x v="2"/>
    <d v="2020-03-02T00:00:00"/>
    <m/>
    <x v="2"/>
    <x v="9"/>
    <x v="3"/>
  </r>
  <r>
    <d v="2022-03-16T00:00:00"/>
    <s v="Afip: N795279"/>
    <s v="Cuota Nº16"/>
    <n v="1349.66"/>
    <x v="4"/>
    <d v="2020-10-12T00:00:00"/>
    <m/>
    <x v="2"/>
    <x v="7"/>
    <x v="4"/>
  </r>
  <r>
    <d v="2022-04-16T00:00:00"/>
    <s v="Afip: N795279"/>
    <s v="Cuota Nº17"/>
    <n v="1369.75"/>
    <x v="4"/>
    <d v="2020-10-12T00:00:00"/>
    <m/>
    <x v="2"/>
    <x v="9"/>
    <x v="4"/>
  </r>
  <r>
    <d v="2022-05-16T00:00:00"/>
    <s v="Afip: N795279"/>
    <s v="Cuota Nº18"/>
    <n v="1389.82"/>
    <x v="4"/>
    <d v="2020-10-12T00:00:00"/>
    <m/>
    <x v="2"/>
    <x v="10"/>
    <x v="4"/>
  </r>
  <r>
    <d v="2021-05-16T00:00:00"/>
    <s v="Afip: M618474"/>
    <s v="Cuota Nº11"/>
    <n v="4576.3100000000004"/>
    <x v="2"/>
    <d v="2020-03-02T00:00:00"/>
    <m/>
    <x v="2"/>
    <x v="10"/>
    <x v="3"/>
  </r>
  <r>
    <d v="2022-06-16T00:00:00"/>
    <s v="Afip: N795279"/>
    <s v="Cuota Nº19"/>
    <n v="1409.89"/>
    <x v="4"/>
    <d v="2020-10-12T00:00:00"/>
    <m/>
    <x v="2"/>
    <x v="12"/>
    <x v="4"/>
  </r>
  <r>
    <d v="2021-01-16T00:00:00"/>
    <s v="Afip: N795279"/>
    <s v="Cuota Nº2"/>
    <n v="1068.6300000000001"/>
    <x v="0"/>
    <d v="2020-10-12T00:00:00"/>
    <m/>
    <x v="2"/>
    <x v="6"/>
    <x v="3"/>
  </r>
  <r>
    <d v="2022-07-16T00:00:00"/>
    <s v="Afip: N795279"/>
    <s v="Cuota Nº20"/>
    <n v="1429.96"/>
    <x v="4"/>
    <d v="2020-10-12T00:00:00"/>
    <m/>
    <x v="2"/>
    <x v="0"/>
    <x v="4"/>
  </r>
  <r>
    <d v="2021-06-16T00:00:00"/>
    <s v="Afip: M618474"/>
    <s v="Cuota Nº12"/>
    <n v="4674.96"/>
    <x v="2"/>
    <d v="2020-03-02T00:00:00"/>
    <m/>
    <x v="2"/>
    <x v="12"/>
    <x v="3"/>
  </r>
  <r>
    <d v="2022-08-16T00:00:00"/>
    <s v="Afip: N795279"/>
    <s v="Cuota Nº21"/>
    <n v="1450.04"/>
    <x v="4"/>
    <d v="2020-10-12T00:00:00"/>
    <m/>
    <x v="2"/>
    <x v="1"/>
    <x v="4"/>
  </r>
  <r>
    <d v="2022-09-16T00:00:00"/>
    <s v="Afip: N795279"/>
    <s v="Cuota Nº22"/>
    <n v="1470.12"/>
    <x v="4"/>
    <d v="2020-10-12T00:00:00"/>
    <m/>
    <x v="2"/>
    <x v="2"/>
    <x v="4"/>
  </r>
  <r>
    <d v="2022-10-16T00:00:00"/>
    <s v="Afip: N795279"/>
    <s v="Cuota Nº23"/>
    <n v="1490.19"/>
    <x v="4"/>
    <d v="2020-10-12T00:00:00"/>
    <m/>
    <x v="2"/>
    <x v="3"/>
    <x v="4"/>
  </r>
  <r>
    <d v="2021-07-16T00:00:00"/>
    <s v="Afip: M618474"/>
    <s v="Cuota Nº13"/>
    <n v="4767.25"/>
    <x v="2"/>
    <d v="2020-03-02T00:00:00"/>
    <m/>
    <x v="2"/>
    <x v="0"/>
    <x v="3"/>
  </r>
  <r>
    <d v="2022-11-16T00:00:00"/>
    <s v="Afip: N795279"/>
    <s v="Cuota Nº24"/>
    <n v="1510.26"/>
    <x v="4"/>
    <d v="2020-10-12T00:00:00"/>
    <m/>
    <x v="2"/>
    <x v="4"/>
    <x v="4"/>
  </r>
  <r>
    <d v="2022-12-16T00:00:00"/>
    <s v="Afip: N795279"/>
    <s v="Cuota Nº25"/>
    <n v="1530.34"/>
    <x v="4"/>
    <d v="2020-10-12T00:00:00"/>
    <m/>
    <x v="2"/>
    <x v="5"/>
    <x v="4"/>
  </r>
  <r>
    <d v="2023-01-16T00:00:00"/>
    <s v="Afip: N795279"/>
    <s v="Cuota Nº26"/>
    <n v="1550.41"/>
    <x v="4"/>
    <d v="2020-10-12T00:00:00"/>
    <m/>
    <x v="2"/>
    <x v="6"/>
    <x v="5"/>
  </r>
  <r>
    <d v="2021-08-16T00:00:00"/>
    <s v="Afip: M618474"/>
    <s v="Cuota Nº14"/>
    <n v="4865.8999999999996"/>
    <x v="2"/>
    <d v="2020-03-02T00:00:00"/>
    <m/>
    <x v="2"/>
    <x v="1"/>
    <x v="3"/>
  </r>
  <r>
    <d v="2023-02-16T00:00:00"/>
    <s v="Afip: N795279"/>
    <s v="Cuota Nº27"/>
    <n v="1570.48"/>
    <x v="4"/>
    <d v="2020-10-12T00:00:00"/>
    <m/>
    <x v="2"/>
    <x v="8"/>
    <x v="5"/>
  </r>
  <r>
    <d v="2023-03-16T00:00:00"/>
    <s v="Afip: N795279"/>
    <s v="Cuota Nº28"/>
    <n v="1590.57"/>
    <x v="4"/>
    <d v="2020-10-12T00:00:00"/>
    <m/>
    <x v="2"/>
    <x v="7"/>
    <x v="5"/>
  </r>
  <r>
    <d v="2023-04-16T00:00:00"/>
    <s v="Afip: N795279"/>
    <s v="Cuota Nº29"/>
    <n v="1610.64"/>
    <x v="4"/>
    <d v="2020-10-12T00:00:00"/>
    <m/>
    <x v="2"/>
    <x v="9"/>
    <x v="5"/>
  </r>
  <r>
    <d v="2021-09-16T00:00:00"/>
    <s v="Afip: M618474"/>
    <s v="Cuota Nº15"/>
    <n v="4961.38"/>
    <x v="2"/>
    <d v="2020-03-02T00:00:00"/>
    <m/>
    <x v="2"/>
    <x v="2"/>
    <x v="3"/>
  </r>
  <r>
    <d v="2021-02-16T00:00:00"/>
    <s v="Afip: N795279"/>
    <s v="Cuota Nº3"/>
    <n v="1088.7"/>
    <x v="0"/>
    <d v="2020-10-12T00:00:00"/>
    <m/>
    <x v="2"/>
    <x v="8"/>
    <x v="3"/>
  </r>
  <r>
    <d v="2023-05-16T00:00:00"/>
    <s v="Afip: N795279"/>
    <s v="Cuota Nº30"/>
    <n v="1630.71"/>
    <x v="4"/>
    <d v="2020-10-12T00:00:00"/>
    <m/>
    <x v="2"/>
    <x v="10"/>
    <x v="5"/>
  </r>
  <r>
    <d v="2023-06-16T00:00:00"/>
    <s v="Afip: N795279"/>
    <s v="Cuota Nº31"/>
    <n v="1650.78"/>
    <x v="4"/>
    <d v="2020-10-12T00:00:00"/>
    <m/>
    <x v="2"/>
    <x v="12"/>
    <x v="5"/>
  </r>
  <r>
    <d v="2021-10-16T00:00:00"/>
    <s v="Afip: M618474"/>
    <s v="Cuota Nº16"/>
    <n v="5053.67"/>
    <x v="2"/>
    <d v="2020-03-02T00:00:00"/>
    <m/>
    <x v="2"/>
    <x v="3"/>
    <x v="3"/>
  </r>
  <r>
    <d v="2023-07-16T00:00:00"/>
    <s v="Afip: N795279"/>
    <s v="Cuota Nº32"/>
    <n v="1670.86"/>
    <x v="4"/>
    <d v="2020-10-12T00:00:00"/>
    <m/>
    <x v="2"/>
    <x v="0"/>
    <x v="5"/>
  </r>
  <r>
    <d v="2023-08-16T00:00:00"/>
    <s v="Afip: N795279"/>
    <s v="Cuota Nº33"/>
    <n v="1690.94"/>
    <x v="4"/>
    <d v="2020-10-12T00:00:00"/>
    <m/>
    <x v="2"/>
    <x v="1"/>
    <x v="5"/>
  </r>
  <r>
    <d v="2023-09-16T00:00:00"/>
    <s v="Afip: N795279"/>
    <s v="Cuota Nº34"/>
    <n v="1711.01"/>
    <x v="4"/>
    <d v="2020-10-12T00:00:00"/>
    <m/>
    <x v="2"/>
    <x v="2"/>
    <x v="5"/>
  </r>
  <r>
    <d v="2021-11-16T00:00:00"/>
    <s v="Afip: M618474"/>
    <s v="Cuota Nº17"/>
    <n v="5152.32"/>
    <x v="2"/>
    <d v="2020-03-02T00:00:00"/>
    <m/>
    <x v="2"/>
    <x v="4"/>
    <x v="3"/>
  </r>
  <r>
    <d v="2023-10-16T00:00:00"/>
    <s v="Afip: N795279"/>
    <s v="Cuota Nº35"/>
    <n v="1731.08"/>
    <x v="4"/>
    <d v="2020-10-12T00:00:00"/>
    <m/>
    <x v="2"/>
    <x v="3"/>
    <x v="5"/>
  </r>
  <r>
    <d v="2023-11-16T00:00:00"/>
    <s v="Afip: N795279"/>
    <s v="Cuota Nº36"/>
    <n v="1751.16"/>
    <x v="4"/>
    <d v="2020-10-12T00:00:00"/>
    <m/>
    <x v="2"/>
    <x v="4"/>
    <x v="5"/>
  </r>
  <r>
    <d v="2023-12-16T00:00:00"/>
    <s v="Afip: N795279"/>
    <s v="Cuota Nº37"/>
    <n v="1771.23"/>
    <x v="4"/>
    <d v="2020-10-12T00:00:00"/>
    <m/>
    <x v="2"/>
    <x v="5"/>
    <x v="5"/>
  </r>
  <r>
    <d v="2021-12-16T00:00:00"/>
    <s v="Afip: M618474"/>
    <s v="Cuota Nº18"/>
    <n v="5244.6"/>
    <x v="2"/>
    <d v="2020-03-02T00:00:00"/>
    <m/>
    <x v="2"/>
    <x v="5"/>
    <x v="3"/>
  </r>
  <r>
    <d v="2024-01-16T00:00:00"/>
    <s v="Afip: N795279"/>
    <s v="Cuota Nº38"/>
    <n v="1791.3"/>
    <x v="4"/>
    <d v="2020-10-12T00:00:00"/>
    <m/>
    <x v="2"/>
    <x v="6"/>
    <x v="6"/>
  </r>
  <r>
    <d v="2024-02-16T00:00:00"/>
    <s v="Afip: N795279"/>
    <s v="Cuota Nº39"/>
    <n v="1811.38"/>
    <x v="4"/>
    <d v="2020-10-12T00:00:00"/>
    <m/>
    <x v="2"/>
    <x v="8"/>
    <x v="6"/>
  </r>
  <r>
    <d v="2021-03-16T00:00:00"/>
    <s v="Afip: N795279"/>
    <s v="Cuota Nº4"/>
    <n v="1108.77"/>
    <x v="0"/>
    <d v="2020-10-12T00:00:00"/>
    <m/>
    <x v="2"/>
    <x v="7"/>
    <x v="3"/>
  </r>
  <r>
    <d v="2020-04-16T00:00:00"/>
    <s v="Afip:M528572"/>
    <s v="Cuota Nº2"/>
    <n v="12412.65"/>
    <x v="2"/>
    <d v="2020-02-03T00:00:00"/>
    <s v="Ver si es 17/6"/>
    <x v="2"/>
    <x v="9"/>
    <x v="1"/>
  </r>
  <r>
    <d v="2020-02-16T00:00:00"/>
    <s v="Afip:M469312"/>
    <s v="Cuota Nº2"/>
    <n v="2970.88"/>
    <x v="0"/>
    <d v="2019-12-30T00:00:00"/>
    <m/>
    <x v="2"/>
    <x v="8"/>
    <x v="1"/>
  </r>
  <r>
    <d v="2024-03-16T00:00:00"/>
    <s v="Afip: N795279"/>
    <s v="Cuota Nº40"/>
    <n v="1831.46"/>
    <x v="4"/>
    <d v="2020-10-12T00:00:00"/>
    <m/>
    <x v="2"/>
    <x v="7"/>
    <x v="6"/>
  </r>
  <r>
    <d v="2024-04-16T00:00:00"/>
    <s v="Afip: N795279"/>
    <s v="Cuota Nº41"/>
    <n v="1851.53"/>
    <x v="4"/>
    <d v="2020-10-12T00:00:00"/>
    <m/>
    <x v="2"/>
    <x v="9"/>
    <x v="6"/>
  </r>
  <r>
    <d v="2024-05-16T00:00:00"/>
    <s v="Afip: N795279"/>
    <s v="Cuota Nº42"/>
    <n v="1871.6"/>
    <x v="4"/>
    <d v="2020-10-12T00:00:00"/>
    <m/>
    <x v="2"/>
    <x v="10"/>
    <x v="6"/>
  </r>
  <r>
    <d v="2024-06-16T00:00:00"/>
    <s v="Afip: N795279"/>
    <s v="Cuota Nº43"/>
    <n v="1891.67"/>
    <x v="4"/>
    <d v="2020-10-12T00:00:00"/>
    <m/>
    <x v="2"/>
    <x v="12"/>
    <x v="6"/>
  </r>
  <r>
    <d v="2020-08-16T00:00:00"/>
    <s v="Afip: M618474"/>
    <s v="Cuota Nº2"/>
    <n v="3720.24"/>
    <x v="0"/>
    <d v="2020-03-02T00:00:00"/>
    <m/>
    <x v="2"/>
    <x v="1"/>
    <x v="1"/>
  </r>
  <r>
    <d v="2020-01-16T00:00:00"/>
    <s v="Afip: M302639"/>
    <s v="Cuota Nº2"/>
    <n v="1153.93"/>
    <x v="0"/>
    <d v="2019-11-11T00:00:00"/>
    <m/>
    <x v="2"/>
    <x v="6"/>
    <x v="1"/>
  </r>
  <r>
    <d v="2024-07-16T00:00:00"/>
    <s v="Afip: N795279"/>
    <s v="Cuota Nº44"/>
    <n v="1911.76"/>
    <x v="4"/>
    <d v="2020-10-12T00:00:00"/>
    <m/>
    <x v="2"/>
    <x v="0"/>
    <x v="6"/>
  </r>
  <r>
    <d v="2024-08-16T00:00:00"/>
    <s v="Afip: N795279"/>
    <s v="Cuota Nº45"/>
    <n v="1931.83"/>
    <x v="4"/>
    <d v="2020-10-12T00:00:00"/>
    <m/>
    <x v="2"/>
    <x v="1"/>
    <x v="6"/>
  </r>
  <r>
    <d v="2024-09-16T00:00:00"/>
    <s v="Afip: N795279"/>
    <s v="Cuota Nº46"/>
    <n v="1951.9"/>
    <x v="4"/>
    <d v="2020-10-12T00:00:00"/>
    <m/>
    <x v="2"/>
    <x v="2"/>
    <x v="6"/>
  </r>
  <r>
    <d v="2024-10-16T00:00:00"/>
    <s v="Afip: N795279"/>
    <s v="Cuota Nº47"/>
    <n v="1971.97"/>
    <x v="4"/>
    <d v="2020-10-12T00:00:00"/>
    <m/>
    <x v="2"/>
    <x v="3"/>
    <x v="6"/>
  </r>
  <r>
    <d v="2024-11-16T00:00:00"/>
    <s v="Afip: N795279"/>
    <s v="Cuota Nº48"/>
    <n v="1992.05"/>
    <x v="4"/>
    <d v="2020-10-12T00:00:00"/>
    <m/>
    <x v="2"/>
    <x v="4"/>
    <x v="6"/>
  </r>
  <r>
    <d v="2024-12-16T00:00:00"/>
    <s v="Afip: N795279"/>
    <s v="Cuota Nº49"/>
    <n v="2012.12"/>
    <x v="4"/>
    <d v="2020-10-12T00:00:00"/>
    <m/>
    <x v="2"/>
    <x v="5"/>
    <x v="6"/>
  </r>
  <r>
    <d v="2021-04-16T00:00:00"/>
    <s v="Afip: N795279"/>
    <s v="Cuota Nº5"/>
    <n v="1128.8499999999999"/>
    <x v="0"/>
    <d v="2020-10-12T00:00:00"/>
    <m/>
    <x v="2"/>
    <x v="9"/>
    <x v="3"/>
  </r>
  <r>
    <d v="2025-01-16T00:00:00"/>
    <s v="Afip: N795279"/>
    <s v="Cuota Nº50"/>
    <n v="2032.2"/>
    <x v="4"/>
    <d v="2020-10-12T00:00:00"/>
    <m/>
    <x v="2"/>
    <x v="6"/>
    <x v="7"/>
  </r>
  <r>
    <d v="2025-02-16T00:00:00"/>
    <s v="Afip: N795279"/>
    <s v="Cuota Nº51"/>
    <n v="2052.2800000000002"/>
    <x v="4"/>
    <d v="2020-10-12T00:00:00"/>
    <m/>
    <x v="2"/>
    <x v="8"/>
    <x v="7"/>
  </r>
  <r>
    <d v="2025-03-16T00:00:00"/>
    <s v="Afip: N795279"/>
    <s v="Cuota Nº52"/>
    <n v="2072.35"/>
    <x v="4"/>
    <d v="2020-10-12T00:00:00"/>
    <m/>
    <x v="2"/>
    <x v="7"/>
    <x v="7"/>
  </r>
  <r>
    <d v="2025-04-16T00:00:00"/>
    <s v="Afip: N795279"/>
    <s v="Cuota Nº53"/>
    <n v="2092.42"/>
    <x v="4"/>
    <d v="2020-10-12T00:00:00"/>
    <m/>
    <x v="2"/>
    <x v="9"/>
    <x v="7"/>
  </r>
  <r>
    <d v="2025-05-16T00:00:00"/>
    <s v="Afip: N795279"/>
    <s v="Cuota Nº54"/>
    <n v="2112.4899999999998"/>
    <x v="4"/>
    <d v="2020-10-12T00:00:00"/>
    <m/>
    <x v="2"/>
    <x v="10"/>
    <x v="7"/>
  </r>
  <r>
    <d v="2025-06-16T00:00:00"/>
    <s v="Afip: N795279"/>
    <s v="Cuota Nº55"/>
    <n v="2132.5700000000002"/>
    <x v="4"/>
    <d v="2020-10-12T00:00:00"/>
    <m/>
    <x v="2"/>
    <x v="12"/>
    <x v="7"/>
  </r>
  <r>
    <d v="2025-07-16T00:00:00"/>
    <s v="Afip: N795279"/>
    <s v="Cuota Nº56"/>
    <n v="2152.65"/>
    <x v="4"/>
    <d v="2020-10-12T00:00:00"/>
    <m/>
    <x v="2"/>
    <x v="0"/>
    <x v="7"/>
  </r>
  <r>
    <d v="2025-08-16T00:00:00"/>
    <s v="Afip: N795279"/>
    <s v="Cuota Nº57"/>
    <n v="2172.7199999999998"/>
    <x v="4"/>
    <d v="2020-10-12T00:00:00"/>
    <m/>
    <x v="2"/>
    <x v="1"/>
    <x v="7"/>
  </r>
  <r>
    <d v="2025-09-16T00:00:00"/>
    <s v="Afip: N795279"/>
    <s v="Cuota Nº58"/>
    <n v="2192.79"/>
    <x v="4"/>
    <d v="2020-10-12T00:00:00"/>
    <m/>
    <x v="2"/>
    <x v="2"/>
    <x v="7"/>
  </r>
  <r>
    <d v="2025-10-16T00:00:00"/>
    <s v="Afip: N795279"/>
    <s v="Cuota Nº59"/>
    <n v="2212.87"/>
    <x v="4"/>
    <d v="2020-10-12T00:00:00"/>
    <m/>
    <x v="2"/>
    <x v="3"/>
    <x v="7"/>
  </r>
  <r>
    <d v="2021-05-16T00:00:00"/>
    <s v="Afip: N795279"/>
    <s v="Cuota Nº6"/>
    <n v="1148.93"/>
    <x v="0"/>
    <d v="2020-10-12T00:00:00"/>
    <m/>
    <x v="2"/>
    <x v="10"/>
    <x v="3"/>
  </r>
  <r>
    <d v="2025-11-16T00:00:00"/>
    <s v="Afip: N795279"/>
    <s v="Cuota Nº60"/>
    <n v="2232.94"/>
    <x v="4"/>
    <d v="2020-10-12T00:00:00"/>
    <m/>
    <x v="2"/>
    <x v="4"/>
    <x v="7"/>
  </r>
  <r>
    <d v="2025-12-16T00:00:00"/>
    <s v="Afip: N795279"/>
    <s v="Cuota Nº61"/>
    <n v="2253.02"/>
    <x v="4"/>
    <d v="2020-10-12T00:00:00"/>
    <m/>
    <x v="2"/>
    <x v="5"/>
    <x v="7"/>
  </r>
  <r>
    <d v="2026-01-16T00:00:00"/>
    <s v="Afip: N795279"/>
    <s v="Cuota Nº62"/>
    <n v="2273.09"/>
    <x v="4"/>
    <d v="2020-10-12T00:00:00"/>
    <m/>
    <x v="2"/>
    <x v="6"/>
    <x v="8"/>
  </r>
  <r>
    <d v="2020-05-16T00:00:00"/>
    <s v="Afip:M528572"/>
    <s v="Cuota Nº3"/>
    <n v="12412.65"/>
    <x v="2"/>
    <d v="2020-02-03T00:00:00"/>
    <m/>
    <x v="2"/>
    <x v="10"/>
    <x v="1"/>
  </r>
  <r>
    <d v="2020-03-16T00:00:00"/>
    <s v="Afip:M469312"/>
    <s v="Cuota Nº3"/>
    <n v="2970.88"/>
    <x v="0"/>
    <d v="2019-12-30T00:00:00"/>
    <m/>
    <x v="2"/>
    <x v="7"/>
    <x v="1"/>
  </r>
  <r>
    <d v="2026-02-16T00:00:00"/>
    <s v="Afip: N795279"/>
    <s v="Cuota Nº63"/>
    <n v="2293.17"/>
    <x v="4"/>
    <d v="2020-10-12T00:00:00"/>
    <m/>
    <x v="2"/>
    <x v="8"/>
    <x v="8"/>
  </r>
  <r>
    <d v="2026-03-16T00:00:00"/>
    <s v="Afip: N795279"/>
    <s v="Cuota Nº64"/>
    <n v="2313.2399999999998"/>
    <x v="4"/>
    <d v="2020-10-12T00:00:00"/>
    <m/>
    <x v="2"/>
    <x v="7"/>
    <x v="8"/>
  </r>
  <r>
    <d v="2026-04-16T00:00:00"/>
    <s v="Afip: N795279"/>
    <s v="Cuota Nº65"/>
    <n v="2333.31"/>
    <x v="4"/>
    <d v="2020-10-12T00:00:00"/>
    <m/>
    <x v="2"/>
    <x v="9"/>
    <x v="8"/>
  </r>
  <r>
    <d v="2026-05-16T00:00:00"/>
    <s v="Afip: N795279"/>
    <s v="Cuota Nº66"/>
    <n v="2353.38"/>
    <x v="4"/>
    <d v="2020-10-12T00:00:00"/>
    <m/>
    <x v="2"/>
    <x v="10"/>
    <x v="8"/>
  </r>
  <r>
    <d v="2020-09-16T00:00:00"/>
    <s v="Afip: M618474"/>
    <s v="Cuota Nº3"/>
    <n v="3815.71"/>
    <x v="0"/>
    <d v="2020-03-02T00:00:00"/>
    <m/>
    <x v="2"/>
    <x v="2"/>
    <x v="1"/>
  </r>
  <r>
    <d v="2020-02-16T00:00:00"/>
    <s v="Afip: M302639"/>
    <s v="Cuota Nº3"/>
    <n v="1153.93"/>
    <x v="0"/>
    <d v="2019-11-11T00:00:00"/>
    <m/>
    <x v="2"/>
    <x v="8"/>
    <x v="1"/>
  </r>
  <r>
    <d v="2019-12-16T00:00:00"/>
    <s v="Afip: M057143"/>
    <s v="Cuota Nº3"/>
    <n v="1684.61"/>
    <x v="0"/>
    <d v="2019-12-05T00:00:00"/>
    <m/>
    <x v="2"/>
    <x v="5"/>
    <x v="0"/>
  </r>
  <r>
    <d v="2026-06-16T00:00:00"/>
    <s v="Afip: N795279"/>
    <s v="Cuota Nº67"/>
    <n v="2373.4699999999998"/>
    <x v="4"/>
    <d v="2020-10-12T00:00:00"/>
    <m/>
    <x v="2"/>
    <x v="12"/>
    <x v="8"/>
  </r>
  <r>
    <d v="2026-07-16T00:00:00"/>
    <s v="Afip: N795279"/>
    <s v="Cuota Nº68"/>
    <n v="2393.54"/>
    <x v="4"/>
    <d v="2020-10-12T00:00:00"/>
    <m/>
    <x v="2"/>
    <x v="0"/>
    <x v="8"/>
  </r>
  <r>
    <d v="2026-08-16T00:00:00"/>
    <s v="Afip: N795279"/>
    <s v="Cuota Nº69"/>
    <n v="2413.61"/>
    <x v="4"/>
    <d v="2020-10-12T00:00:00"/>
    <m/>
    <x v="2"/>
    <x v="1"/>
    <x v="8"/>
  </r>
  <r>
    <d v="2021-06-16T00:00:00"/>
    <s v="Afip: N795279"/>
    <s v="Cuota Nº7"/>
    <n v="1169"/>
    <x v="0"/>
    <d v="2020-10-12T00:00:00"/>
    <s v="Pague 1177,43"/>
    <x v="2"/>
    <x v="12"/>
    <x v="3"/>
  </r>
  <r>
    <d v="2026-09-16T00:00:00"/>
    <s v="Afip: N795279"/>
    <s v="Cuota Nº70"/>
    <n v="2433.6799999999998"/>
    <x v="4"/>
    <d v="2020-10-12T00:00:00"/>
    <m/>
    <x v="2"/>
    <x v="2"/>
    <x v="8"/>
  </r>
  <r>
    <d v="2026-10-16T00:00:00"/>
    <s v="Afip: N795279"/>
    <s v="Cuota Nº71"/>
    <n v="2453.7600000000002"/>
    <x v="4"/>
    <d v="2020-10-12T00:00:00"/>
    <m/>
    <x v="2"/>
    <x v="3"/>
    <x v="8"/>
  </r>
  <r>
    <d v="2026-11-16T00:00:00"/>
    <s v="Afip: N795279"/>
    <s v="Cuota Nº72"/>
    <n v="2473.5100000000002"/>
    <x v="4"/>
    <d v="2020-10-12T00:00:00"/>
    <m/>
    <x v="2"/>
    <x v="4"/>
    <x v="8"/>
  </r>
  <r>
    <d v="2021-07-16T00:00:00"/>
    <s v="Afip: N795279"/>
    <s v="Cuota Nº8"/>
    <n v="1189.07"/>
    <x v="0"/>
    <d v="2020-10-12T00:00:00"/>
    <s v="Pague 1205,93"/>
    <x v="2"/>
    <x v="0"/>
    <x v="3"/>
  </r>
  <r>
    <d v="2021-08-16T00:00:00"/>
    <s v="Afip: N795279"/>
    <s v="Cuota Nº9"/>
    <n v="1209.1500000000001"/>
    <x v="0"/>
    <d v="2020-10-12T00:00:00"/>
    <s v="Pague 1234,44"/>
    <x v="2"/>
    <x v="1"/>
    <x v="3"/>
  </r>
  <r>
    <d v="2020-12-16T00:00:00"/>
    <s v="Afip: N795505"/>
    <s v="Cuota Nº1"/>
    <n v="1081.4100000000001"/>
    <x v="0"/>
    <d v="2020-10-12T00:00:00"/>
    <m/>
    <x v="2"/>
    <x v="5"/>
    <x v="1"/>
  </r>
  <r>
    <d v="2021-09-16T00:00:00"/>
    <s v="Afip: N795505"/>
    <s v="Cuota Nº10"/>
    <n v="1267.74"/>
    <x v="0"/>
    <d v="2020-10-12T00:00:00"/>
    <s v="Pague 1302,52"/>
    <x v="2"/>
    <x v="2"/>
    <x v="3"/>
  </r>
  <r>
    <d v="2021-10-16T00:00:00"/>
    <s v="Afip: N795505"/>
    <s v="Cuota Nº11"/>
    <n v="1288.44"/>
    <x v="0"/>
    <d v="2020-10-12T00:00:00"/>
    <s v="Pague 1331,92"/>
    <x v="2"/>
    <x v="3"/>
    <x v="3"/>
  </r>
  <r>
    <d v="2021-11-16T00:00:00"/>
    <s v="Afip: N795505"/>
    <s v="Cuota Nº12"/>
    <n v="1309.1400000000001"/>
    <x v="4"/>
    <d v="2020-10-12T00:00:00"/>
    <m/>
    <x v="2"/>
    <x v="4"/>
    <x v="3"/>
  </r>
  <r>
    <d v="2021-12-16T00:00:00"/>
    <s v="Afip: N795505"/>
    <s v="Cuota Nº13"/>
    <n v="1329.85"/>
    <x v="4"/>
    <d v="2020-10-12T00:00:00"/>
    <m/>
    <x v="2"/>
    <x v="5"/>
    <x v="3"/>
  </r>
  <r>
    <d v="2022-01-16T00:00:00"/>
    <s v="Afip: N795505"/>
    <s v="Cuota Nº14"/>
    <n v="1350.55"/>
    <x v="4"/>
    <d v="2020-10-12T00:00:00"/>
    <m/>
    <x v="2"/>
    <x v="6"/>
    <x v="4"/>
  </r>
  <r>
    <d v="2022-02-16T00:00:00"/>
    <s v="Afip: N795505"/>
    <s v="Cuota Nº15"/>
    <n v="1371.26"/>
    <x v="4"/>
    <d v="2020-10-12T00:00:00"/>
    <m/>
    <x v="2"/>
    <x v="8"/>
    <x v="4"/>
  </r>
  <r>
    <d v="2022-03-16T00:00:00"/>
    <s v="Afip: N795505"/>
    <s v="Cuota Nº16"/>
    <n v="1391.96"/>
    <x v="4"/>
    <d v="2020-10-12T00:00:00"/>
    <m/>
    <x v="2"/>
    <x v="7"/>
    <x v="4"/>
  </r>
  <r>
    <d v="2022-04-16T00:00:00"/>
    <s v="Afip: N795505"/>
    <s v="Cuota Nº17"/>
    <n v="1412.66"/>
    <x v="4"/>
    <d v="2020-10-12T00:00:00"/>
    <m/>
    <x v="2"/>
    <x v="9"/>
    <x v="4"/>
  </r>
  <r>
    <d v="2022-05-16T00:00:00"/>
    <s v="Afip: N795505"/>
    <s v="Cuota Nº18"/>
    <n v="1433.37"/>
    <x v="4"/>
    <d v="2020-10-12T00:00:00"/>
    <m/>
    <x v="2"/>
    <x v="10"/>
    <x v="4"/>
  </r>
  <r>
    <d v="2022-06-16T00:00:00"/>
    <s v="Afip: N795505"/>
    <s v="Cuota Nº19"/>
    <n v="1454.07"/>
    <x v="4"/>
    <d v="2020-10-12T00:00:00"/>
    <m/>
    <x v="2"/>
    <x v="12"/>
    <x v="4"/>
  </r>
  <r>
    <d v="2020-06-16T00:00:00"/>
    <s v="Afip:M528572"/>
    <s v="Cuota Nº4"/>
    <n v="12412.65"/>
    <x v="0"/>
    <d v="2020-02-03T00:00:00"/>
    <d v="2020-07-16T00:00:00"/>
    <x v="2"/>
    <x v="12"/>
    <x v="1"/>
  </r>
  <r>
    <d v="2020-04-16T00:00:00"/>
    <s v="Afip:M469312"/>
    <s v="Cuota Nº4"/>
    <n v="2995.64"/>
    <x v="2"/>
    <d v="2019-12-30T00:00:00"/>
    <s v="26/5 VER SI ES "/>
    <x v="2"/>
    <x v="9"/>
    <x v="1"/>
  </r>
  <r>
    <d v="2021-01-16T00:00:00"/>
    <s v="Afip: N795505"/>
    <s v="Cuota Nº2"/>
    <n v="1102.0999999999999"/>
    <x v="0"/>
    <d v="2020-10-12T00:00:00"/>
    <m/>
    <x v="2"/>
    <x v="6"/>
    <x v="3"/>
  </r>
  <r>
    <d v="2022-07-16T00:00:00"/>
    <s v="Afip: N795505"/>
    <s v="Cuota Nº20"/>
    <n v="1474.89"/>
    <x v="4"/>
    <d v="2020-10-12T00:00:00"/>
    <m/>
    <x v="2"/>
    <x v="0"/>
    <x v="4"/>
  </r>
  <r>
    <d v="2021-02-16T00:00:00"/>
    <s v="Afip: N795505"/>
    <s v="Cuota Nº3"/>
    <n v="1122.81"/>
    <x v="0"/>
    <d v="2020-10-12T00:00:00"/>
    <m/>
    <x v="2"/>
    <x v="8"/>
    <x v="3"/>
  </r>
  <r>
    <d v="2021-03-16T00:00:00"/>
    <s v="Afip: N795505"/>
    <s v="Cuota Nº4"/>
    <n v="1143.52"/>
    <x v="0"/>
    <d v="2020-10-12T00:00:00"/>
    <m/>
    <x v="2"/>
    <x v="7"/>
    <x v="3"/>
  </r>
  <r>
    <d v="2020-10-16T00:00:00"/>
    <s v="Afip: M618474"/>
    <s v="Cuota Nº4"/>
    <n v="3908"/>
    <x v="2"/>
    <d v="2020-03-02T00:00:00"/>
    <m/>
    <x v="2"/>
    <x v="3"/>
    <x v="1"/>
  </r>
  <r>
    <d v="2020-03-16T00:00:00"/>
    <s v="Afip: M302639"/>
    <s v="Cuota Nº4"/>
    <n v="1153.93"/>
    <x v="0"/>
    <d v="2019-11-11T00:00:00"/>
    <m/>
    <x v="2"/>
    <x v="7"/>
    <x v="1"/>
  </r>
  <r>
    <d v="2020-01-16T00:00:00"/>
    <s v="Afip: M057143"/>
    <s v="Cuota Nº4"/>
    <n v="1684.61"/>
    <x v="0"/>
    <d v="2019-12-05T00:00:00"/>
    <m/>
    <x v="2"/>
    <x v="6"/>
    <x v="1"/>
  </r>
  <r>
    <d v="2021-04-16T00:00:00"/>
    <s v="Afip: N795505"/>
    <s v="Cuota Nº5"/>
    <n v="1164.22"/>
    <x v="0"/>
    <d v="2020-10-12T00:00:00"/>
    <m/>
    <x v="2"/>
    <x v="9"/>
    <x v="3"/>
  </r>
  <r>
    <d v="2021-05-16T00:00:00"/>
    <s v="Afip: N795505"/>
    <s v="Cuota Nº6"/>
    <n v="1184.92"/>
    <x v="0"/>
    <d v="2020-10-12T00:00:00"/>
    <m/>
    <x v="2"/>
    <x v="10"/>
    <x v="3"/>
  </r>
  <r>
    <d v="2021-06-16T00:00:00"/>
    <s v="Afip: N795505"/>
    <s v="Cuota Nº7"/>
    <n v="1205.6300000000001"/>
    <x v="0"/>
    <d v="2020-10-12T00:00:00"/>
    <s v="Pague 1214,32"/>
    <x v="2"/>
    <x v="12"/>
    <x v="3"/>
  </r>
  <r>
    <d v="2021-07-16T00:00:00"/>
    <s v="Afip: N795505"/>
    <s v="Cuota Nº8"/>
    <n v="1226.33"/>
    <x v="0"/>
    <d v="2020-10-12T00:00:00"/>
    <s v="Pague 1243,72"/>
    <x v="2"/>
    <x v="0"/>
    <x v="3"/>
  </r>
  <r>
    <d v="2021-08-16T00:00:00"/>
    <s v="Afip: N795505"/>
    <s v="Cuota Nº9"/>
    <n v="1247.03"/>
    <x v="0"/>
    <d v="2020-10-12T00:00:00"/>
    <s v="Pague 1273,12"/>
    <x v="2"/>
    <x v="1"/>
    <x v="3"/>
  </r>
  <r>
    <d v="2020-12-16T00:00:00"/>
    <s v="Afip: N796086"/>
    <s v="Cuota Nº1"/>
    <n v="1062.42"/>
    <x v="0"/>
    <d v="2020-10-12T00:00:00"/>
    <m/>
    <x v="2"/>
    <x v="5"/>
    <x v="1"/>
  </r>
  <r>
    <d v="2021-09-16T00:00:00"/>
    <s v="Afip: N796086"/>
    <s v="Cuota Nº10"/>
    <n v="1245.47"/>
    <x v="0"/>
    <d v="2020-10-12T00:00:00"/>
    <s v="Pague 1279,64"/>
    <x v="2"/>
    <x v="2"/>
    <x v="3"/>
  </r>
  <r>
    <d v="2021-10-16T00:00:00"/>
    <s v="Afip: N796086"/>
    <s v="Cuota Nº11"/>
    <n v="1265.81"/>
    <x v="0"/>
    <d v="2020-10-12T00:00:00"/>
    <s v="Pague 1308,53"/>
    <x v="2"/>
    <x v="3"/>
    <x v="3"/>
  </r>
  <r>
    <d v="2021-11-16T00:00:00"/>
    <s v="Afip: N796086"/>
    <s v="Cuota Nº12"/>
    <n v="1286.1500000000001"/>
    <x v="4"/>
    <d v="2020-10-12T00:00:00"/>
    <m/>
    <x v="2"/>
    <x v="4"/>
    <x v="3"/>
  </r>
  <r>
    <d v="2021-12-16T00:00:00"/>
    <s v="Afip: N796086"/>
    <s v="Cuota Nº13"/>
    <n v="1306.49"/>
    <x v="4"/>
    <d v="2020-10-12T00:00:00"/>
    <m/>
    <x v="2"/>
    <x v="5"/>
    <x v="3"/>
  </r>
  <r>
    <d v="2022-01-16T00:00:00"/>
    <s v="Afip: N796086"/>
    <s v="Cuota Nº14"/>
    <n v="1326.83"/>
    <x v="4"/>
    <d v="2020-10-12T00:00:00"/>
    <m/>
    <x v="2"/>
    <x v="6"/>
    <x v="4"/>
  </r>
  <r>
    <d v="2022-02-16T00:00:00"/>
    <s v="Afip: N796086"/>
    <s v="Cuota Nº15"/>
    <n v="1347.17"/>
    <x v="4"/>
    <d v="2020-10-12T00:00:00"/>
    <m/>
    <x v="2"/>
    <x v="8"/>
    <x v="4"/>
  </r>
  <r>
    <d v="2022-03-16T00:00:00"/>
    <s v="Afip: N796086"/>
    <s v="Cuota Nº16"/>
    <n v="1367.51"/>
    <x v="4"/>
    <d v="2020-10-12T00:00:00"/>
    <m/>
    <x v="2"/>
    <x v="7"/>
    <x v="4"/>
  </r>
  <r>
    <d v="2022-04-16T00:00:00"/>
    <s v="Afip: N796086"/>
    <s v="Cuota Nº17"/>
    <n v="1387.85"/>
    <x v="4"/>
    <d v="2020-10-12T00:00:00"/>
    <m/>
    <x v="2"/>
    <x v="9"/>
    <x v="4"/>
  </r>
  <r>
    <d v="2022-05-16T00:00:00"/>
    <s v="Afip: N796086"/>
    <s v="Cuota Nº18"/>
    <n v="1408.19"/>
    <x v="4"/>
    <d v="2020-10-12T00:00:00"/>
    <m/>
    <x v="2"/>
    <x v="10"/>
    <x v="4"/>
  </r>
  <r>
    <d v="2022-06-16T00:00:00"/>
    <s v="Afip: N796086"/>
    <s v="Cuota Nº19"/>
    <n v="1428.53"/>
    <x v="4"/>
    <d v="2020-10-12T00:00:00"/>
    <m/>
    <x v="2"/>
    <x v="12"/>
    <x v="4"/>
  </r>
  <r>
    <d v="2021-01-16T00:00:00"/>
    <s v="Afip: N796086"/>
    <s v="Cuota Nº2"/>
    <n v="1082.76"/>
    <x v="0"/>
    <d v="2020-10-12T00:00:00"/>
    <m/>
    <x v="2"/>
    <x v="6"/>
    <x v="3"/>
  </r>
  <r>
    <d v="2020-07-16T00:00:00"/>
    <s v="Afip:M528572"/>
    <s v="Cuota Nº5"/>
    <n v="12412.65"/>
    <x v="0"/>
    <d v="2020-02-03T00:00:00"/>
    <m/>
    <x v="2"/>
    <x v="0"/>
    <x v="1"/>
  </r>
  <r>
    <d v="2020-05-16T00:00:00"/>
    <s v="Afip:M469312"/>
    <s v="Cuota Nº5"/>
    <n v="2970.88"/>
    <x v="0"/>
    <d v="2019-12-30T00:00:00"/>
    <m/>
    <x v="2"/>
    <x v="10"/>
    <x v="1"/>
  </r>
  <r>
    <d v="2022-07-16T00:00:00"/>
    <s v="Afip: N796086"/>
    <s v="Cuota Nº20"/>
    <n v="1448.87"/>
    <x v="4"/>
    <d v="2020-10-12T00:00:00"/>
    <m/>
    <x v="2"/>
    <x v="0"/>
    <x v="4"/>
  </r>
  <r>
    <d v="2022-08-16T00:00:00"/>
    <s v="Afip: N796086"/>
    <s v="Cuota Nº21"/>
    <n v="1469.21"/>
    <x v="4"/>
    <d v="2020-10-12T00:00:00"/>
    <m/>
    <x v="2"/>
    <x v="1"/>
    <x v="4"/>
  </r>
  <r>
    <d v="2022-09-16T00:00:00"/>
    <s v="Afip: N796086"/>
    <s v="Cuota Nº22"/>
    <n v="1489.55"/>
    <x v="4"/>
    <d v="2020-10-12T00:00:00"/>
    <m/>
    <x v="2"/>
    <x v="2"/>
    <x v="4"/>
  </r>
  <r>
    <d v="2022-10-16T00:00:00"/>
    <s v="Afip: N796086"/>
    <s v="Cuota Nº23"/>
    <n v="1509.89"/>
    <x v="4"/>
    <d v="2020-10-12T00:00:00"/>
    <m/>
    <x v="2"/>
    <x v="3"/>
    <x v="4"/>
  </r>
  <r>
    <d v="2020-11-16T00:00:00"/>
    <s v="Afip: M618474"/>
    <s v="Cuota Nº5"/>
    <n v="4006.65"/>
    <x v="2"/>
    <d v="2020-03-02T00:00:00"/>
    <m/>
    <x v="2"/>
    <x v="4"/>
    <x v="1"/>
  </r>
  <r>
    <d v="2020-04-16T00:00:00"/>
    <s v="Afip: M302639"/>
    <s v="Cuota Nº5"/>
    <n v="1153.93"/>
    <x v="2"/>
    <d v="2019-11-11T00:00:00"/>
    <m/>
    <x v="2"/>
    <x v="9"/>
    <x v="1"/>
  </r>
  <r>
    <d v="2020-02-16T00:00:00"/>
    <s v="Afip: M057143"/>
    <s v="Cuota Nº5"/>
    <n v="1684.61"/>
    <x v="0"/>
    <d v="2019-12-05T00:00:00"/>
    <m/>
    <x v="2"/>
    <x v="8"/>
    <x v="1"/>
  </r>
  <r>
    <d v="2022-11-16T00:00:00"/>
    <s v="Afip: N796086"/>
    <s v="Cuota Nº24"/>
    <n v="1530.23"/>
    <x v="4"/>
    <d v="2020-10-12T00:00:00"/>
    <m/>
    <x v="2"/>
    <x v="4"/>
    <x v="4"/>
  </r>
  <r>
    <d v="2022-12-16T00:00:00"/>
    <s v="Afip: N796086"/>
    <s v="Cuota Nº25"/>
    <n v="1550.57"/>
    <x v="4"/>
    <d v="2020-10-12T00:00:00"/>
    <m/>
    <x v="2"/>
    <x v="5"/>
    <x v="4"/>
  </r>
  <r>
    <d v="2023-01-16T00:00:00"/>
    <s v="Afip: N796086"/>
    <s v="Cuota Nº26"/>
    <n v="1570.91"/>
    <x v="4"/>
    <d v="2020-10-12T00:00:00"/>
    <m/>
    <x v="2"/>
    <x v="6"/>
    <x v="5"/>
  </r>
  <r>
    <d v="2023-02-16T00:00:00"/>
    <s v="Afip: N796086"/>
    <s v="Cuota Nº27"/>
    <n v="1591.25"/>
    <x v="4"/>
    <d v="2020-10-12T00:00:00"/>
    <m/>
    <x v="2"/>
    <x v="8"/>
    <x v="5"/>
  </r>
  <r>
    <d v="2023-03-16T00:00:00"/>
    <s v="Afip: N796086"/>
    <s v="Cuota Nº28"/>
    <n v="1611.59"/>
    <x v="4"/>
    <d v="2020-10-12T00:00:00"/>
    <m/>
    <x v="2"/>
    <x v="7"/>
    <x v="5"/>
  </r>
  <r>
    <d v="2023-04-16T00:00:00"/>
    <s v="Afip: N796086"/>
    <s v="Cuota Nº29"/>
    <n v="1631.93"/>
    <x v="4"/>
    <d v="2020-10-12T00:00:00"/>
    <m/>
    <x v="2"/>
    <x v="9"/>
    <x v="5"/>
  </r>
  <r>
    <d v="2021-02-16T00:00:00"/>
    <s v="Afip: N796086"/>
    <s v="Cuota Nº3"/>
    <n v="1103.0999999999999"/>
    <x v="0"/>
    <d v="2020-10-12T00:00:00"/>
    <m/>
    <x v="2"/>
    <x v="8"/>
    <x v="3"/>
  </r>
  <r>
    <d v="2023-05-16T00:00:00"/>
    <s v="Afip: N796086"/>
    <s v="Cuota Nº30"/>
    <n v="1652.27"/>
    <x v="4"/>
    <d v="2020-10-12T00:00:00"/>
    <m/>
    <x v="2"/>
    <x v="10"/>
    <x v="5"/>
  </r>
  <r>
    <d v="2023-06-16T00:00:00"/>
    <s v="Afip: N796086"/>
    <s v="Cuota Nº31"/>
    <n v="1672.61"/>
    <x v="4"/>
    <d v="2020-10-12T00:00:00"/>
    <m/>
    <x v="2"/>
    <x v="12"/>
    <x v="5"/>
  </r>
  <r>
    <d v="2023-07-16T00:00:00"/>
    <s v="Afip: N796086"/>
    <s v="Cuota Nº32"/>
    <n v="1692.95"/>
    <x v="4"/>
    <d v="2020-10-12T00:00:00"/>
    <m/>
    <x v="2"/>
    <x v="0"/>
    <x v="5"/>
  </r>
  <r>
    <d v="2020-08-16T00:00:00"/>
    <s v="Afip:M528572"/>
    <s v="Cuota Nº6"/>
    <n v="12412.65"/>
    <x v="2"/>
    <d v="2020-02-03T00:00:00"/>
    <m/>
    <x v="2"/>
    <x v="1"/>
    <x v="1"/>
  </r>
  <r>
    <d v="2020-06-16T00:00:00"/>
    <s v="Afip:M469312"/>
    <s v="Cuota Nº6"/>
    <n v="2970.88"/>
    <x v="0"/>
    <d v="2019-12-30T00:00:00"/>
    <m/>
    <x v="2"/>
    <x v="12"/>
    <x v="1"/>
  </r>
  <r>
    <d v="2023-08-16T00:00:00"/>
    <s v="Afip: N796086"/>
    <s v="Cuota Nº33"/>
    <n v="1713.29"/>
    <x v="4"/>
    <d v="2020-10-12T00:00:00"/>
    <m/>
    <x v="2"/>
    <x v="1"/>
    <x v="5"/>
  </r>
  <r>
    <d v="2023-09-16T00:00:00"/>
    <s v="Afip: N796086"/>
    <s v="Cuota Nº34"/>
    <n v="1733.63"/>
    <x v="4"/>
    <d v="2020-10-12T00:00:00"/>
    <m/>
    <x v="2"/>
    <x v="2"/>
    <x v="5"/>
  </r>
  <r>
    <d v="2023-10-16T00:00:00"/>
    <s v="Afip: N796086"/>
    <s v="Cuota Nº35"/>
    <n v="1753.97"/>
    <x v="4"/>
    <d v="2020-10-12T00:00:00"/>
    <m/>
    <x v="2"/>
    <x v="3"/>
    <x v="5"/>
  </r>
  <r>
    <d v="2023-11-16T00:00:00"/>
    <s v="Afip: N796086"/>
    <s v="Cuota Nº36"/>
    <n v="1774.31"/>
    <x v="4"/>
    <d v="2020-10-12T00:00:00"/>
    <m/>
    <x v="2"/>
    <x v="4"/>
    <x v="5"/>
  </r>
  <r>
    <d v="2020-12-16T00:00:00"/>
    <s v="Afip: M618474"/>
    <s v="Cuota Nº6"/>
    <n v="4098.9399999999996"/>
    <x v="2"/>
    <d v="2020-03-02T00:00:00"/>
    <m/>
    <x v="2"/>
    <x v="5"/>
    <x v="1"/>
  </r>
  <r>
    <d v="2020-03-16T00:00:00"/>
    <s v="Afip: M057143"/>
    <s v="Cuota Nº6"/>
    <n v="1684.61"/>
    <x v="0"/>
    <d v="2019-12-05T00:00:00"/>
    <m/>
    <x v="2"/>
    <x v="7"/>
    <x v="1"/>
  </r>
  <r>
    <d v="2023-12-16T00:00:00"/>
    <s v="Afip: N796086"/>
    <s v="Cuota Nº37"/>
    <n v="1794.65"/>
    <x v="4"/>
    <d v="2020-10-12T00:00:00"/>
    <m/>
    <x v="2"/>
    <x v="5"/>
    <x v="5"/>
  </r>
  <r>
    <d v="2024-01-16T00:00:00"/>
    <s v="Afip: N796086"/>
    <s v="Cuota Nº38"/>
    <n v="1814.99"/>
    <x v="4"/>
    <d v="2020-10-12T00:00:00"/>
    <m/>
    <x v="2"/>
    <x v="6"/>
    <x v="6"/>
  </r>
  <r>
    <d v="2024-02-16T00:00:00"/>
    <s v="Afip: N796086"/>
    <s v="Cuota Nº39"/>
    <n v="1835.33"/>
    <x v="4"/>
    <d v="2020-10-12T00:00:00"/>
    <m/>
    <x v="2"/>
    <x v="8"/>
    <x v="6"/>
  </r>
  <r>
    <d v="2021-03-16T00:00:00"/>
    <s v="Afip: N796086"/>
    <s v="Cuota Nº4"/>
    <n v="1123.43"/>
    <x v="0"/>
    <d v="2020-10-12T00:00:00"/>
    <m/>
    <x v="2"/>
    <x v="7"/>
    <x v="3"/>
  </r>
  <r>
    <d v="2024-03-16T00:00:00"/>
    <s v="Afip: N796086"/>
    <s v="Cuota Nº40"/>
    <n v="1855.67"/>
    <x v="4"/>
    <d v="2020-10-12T00:00:00"/>
    <m/>
    <x v="2"/>
    <x v="7"/>
    <x v="6"/>
  </r>
  <r>
    <d v="2024-04-16T00:00:00"/>
    <s v="Afip: N796086"/>
    <s v="Cuota Nº41"/>
    <n v="1876.01"/>
    <x v="4"/>
    <d v="2020-10-12T00:00:00"/>
    <m/>
    <x v="2"/>
    <x v="9"/>
    <x v="6"/>
  </r>
  <r>
    <d v="2024-05-16T00:00:00"/>
    <s v="Afip: N796086"/>
    <s v="Cuota Nº42"/>
    <n v="1896.35"/>
    <x v="4"/>
    <d v="2020-10-12T00:00:00"/>
    <m/>
    <x v="2"/>
    <x v="10"/>
    <x v="6"/>
  </r>
  <r>
    <d v="2024-06-16T00:00:00"/>
    <s v="Afip: N796086"/>
    <s v="Cuota Nº43"/>
    <n v="1916.69"/>
    <x v="4"/>
    <d v="2020-10-12T00:00:00"/>
    <m/>
    <x v="2"/>
    <x v="12"/>
    <x v="6"/>
  </r>
  <r>
    <d v="2024-07-16T00:00:00"/>
    <s v="Afip: N796086"/>
    <s v="Cuota Nº44"/>
    <n v="1937.03"/>
    <x v="4"/>
    <d v="2020-10-12T00:00:00"/>
    <m/>
    <x v="2"/>
    <x v="0"/>
    <x v="6"/>
  </r>
  <r>
    <d v="2024-08-16T00:00:00"/>
    <s v="Afip: N796086"/>
    <s v="Cuota Nº45"/>
    <n v="1957.37"/>
    <x v="4"/>
    <d v="2020-10-12T00:00:00"/>
    <m/>
    <x v="2"/>
    <x v="1"/>
    <x v="6"/>
  </r>
  <r>
    <d v="2020-09-16T00:00:00"/>
    <s v="Afip:M528572"/>
    <s v="Cuota Nº7"/>
    <n v="12412.65"/>
    <x v="2"/>
    <d v="2020-02-03T00:00:00"/>
    <m/>
    <x v="2"/>
    <x v="2"/>
    <x v="1"/>
  </r>
  <r>
    <d v="2024-09-16T00:00:00"/>
    <s v="Afip: N796086"/>
    <s v="Cuota Nº46"/>
    <n v="1977.45"/>
    <x v="4"/>
    <d v="2020-10-12T00:00:00"/>
    <m/>
    <x v="2"/>
    <x v="2"/>
    <x v="6"/>
  </r>
  <r>
    <d v="2021-04-16T00:00:00"/>
    <s v="Afip: N796086"/>
    <s v="Cuota Nº5"/>
    <n v="1143.77"/>
    <x v="0"/>
    <d v="2020-10-12T00:00:00"/>
    <m/>
    <x v="2"/>
    <x v="9"/>
    <x v="3"/>
  </r>
  <r>
    <d v="2021-05-16T00:00:00"/>
    <s v="Afip: N796086"/>
    <s v="Cuota Nº6"/>
    <n v="1164.1099999999999"/>
    <x v="0"/>
    <d v="2020-10-12T00:00:00"/>
    <m/>
    <x v="2"/>
    <x v="10"/>
    <x v="3"/>
  </r>
  <r>
    <d v="2021-06-16T00:00:00"/>
    <s v="Afip: N796086"/>
    <s v="Cuota Nº7"/>
    <n v="1184.45"/>
    <x v="0"/>
    <d v="2020-10-12T00:00:00"/>
    <s v="Pague 1193"/>
    <x v="2"/>
    <x v="12"/>
    <x v="3"/>
  </r>
  <r>
    <d v="2021-01-16T00:00:00"/>
    <s v="Afip: M618474"/>
    <s v="Cuota Nº7"/>
    <n v="4197.6000000000004"/>
    <x v="2"/>
    <d v="2020-03-02T00:00:00"/>
    <m/>
    <x v="2"/>
    <x v="6"/>
    <x v="3"/>
  </r>
  <r>
    <d v="2020-04-16T00:00:00"/>
    <s v="Afip: M057143"/>
    <s v="Cuota Nº7"/>
    <n v="1698.65"/>
    <x v="0"/>
    <d v="2019-12-05T00:00:00"/>
    <s v="26/5 (VER SI ES)"/>
    <x v="2"/>
    <x v="9"/>
    <x v="1"/>
  </r>
  <r>
    <d v="2021-07-16T00:00:00"/>
    <s v="Afip: N796086"/>
    <s v="Cuota Nº8"/>
    <n v="1204.79"/>
    <x v="0"/>
    <d v="2020-10-12T00:00:00"/>
    <s v="Pague 1221,88"/>
    <x v="2"/>
    <x v="0"/>
    <x v="3"/>
  </r>
  <r>
    <d v="2021-08-16T00:00:00"/>
    <s v="Afip: N796086"/>
    <s v="Cuota Nº9"/>
    <n v="1225.1300000000001"/>
    <x v="0"/>
    <d v="2020-10-12T00:00:00"/>
    <s v="Pague 1250,76"/>
    <x v="2"/>
    <x v="1"/>
    <x v="3"/>
  </r>
  <r>
    <d v="2020-12-16T00:00:00"/>
    <s v="Afip: O203812"/>
    <s v="Cuota Nº1"/>
    <n v="16914.669999999998"/>
    <x v="0"/>
    <d v="2020-11-19T00:00:00"/>
    <m/>
    <x v="2"/>
    <x v="5"/>
    <x v="1"/>
  </r>
  <r>
    <d v="2020-10-16T00:00:00"/>
    <s v="Afip:M528572"/>
    <s v="Cuota Nº8"/>
    <n v="12412.65"/>
    <x v="2"/>
    <d v="2020-02-03T00:00:00"/>
    <m/>
    <x v="2"/>
    <x v="3"/>
    <x v="1"/>
  </r>
  <r>
    <d v="2021-01-16T00:00:00"/>
    <s v="Afip: O203812"/>
    <s v="Cuota Nº2"/>
    <n v="16914.669999999998"/>
    <x v="0"/>
    <d v="2020-11-19T00:00:00"/>
    <m/>
    <x v="2"/>
    <x v="6"/>
    <x v="3"/>
  </r>
  <r>
    <d v="2021-02-16T00:00:00"/>
    <s v="Afip: O203812"/>
    <s v="Cuota Nº3"/>
    <n v="16914.669999999998"/>
    <x v="0"/>
    <d v="2020-11-19T00:00:00"/>
    <m/>
    <x v="2"/>
    <x v="8"/>
    <x v="3"/>
  </r>
  <r>
    <d v="2021-03-16T00:00:00"/>
    <s v="Afip: O203812"/>
    <s v="Cuota Nº4"/>
    <n v="16914.669999999998"/>
    <x v="0"/>
    <d v="2020-11-19T00:00:00"/>
    <m/>
    <x v="2"/>
    <x v="7"/>
    <x v="3"/>
  </r>
  <r>
    <d v="2021-04-16T00:00:00"/>
    <s v="Afip: O203812"/>
    <s v="Cuota Nº5"/>
    <n v="16914.669999999998"/>
    <x v="0"/>
    <d v="2020-11-19T00:00:00"/>
    <m/>
    <x v="2"/>
    <x v="9"/>
    <x v="3"/>
  </r>
  <r>
    <d v="2021-02-16T00:00:00"/>
    <s v="Afip: M618474"/>
    <s v="Cuota Nº8"/>
    <n v="4293.07"/>
    <x v="2"/>
    <d v="2020-03-02T00:00:00"/>
    <m/>
    <x v="2"/>
    <x v="8"/>
    <x v="3"/>
  </r>
  <r>
    <d v="2020-05-16T00:00:00"/>
    <s v="Afip: M057143"/>
    <s v="Cuota Nº8"/>
    <n v="1684.61"/>
    <x v="2"/>
    <d v="2019-12-05T00:00:00"/>
    <m/>
    <x v="2"/>
    <x v="10"/>
    <x v="1"/>
  </r>
  <r>
    <d v="2019-12-16T00:00:00"/>
    <s v="Afip: L520024"/>
    <s v="Cuota Nº8"/>
    <n v="1713.88"/>
    <x v="0"/>
    <d v="2019-12-05T00:00:00"/>
    <m/>
    <x v="2"/>
    <x v="5"/>
    <x v="0"/>
  </r>
  <r>
    <d v="2021-05-16T00:00:00"/>
    <s v="Afip: O203812"/>
    <s v="Cuota Nº6"/>
    <n v="16914.669999999998"/>
    <x v="0"/>
    <d v="2020-11-19T00:00:00"/>
    <m/>
    <x v="2"/>
    <x v="10"/>
    <x v="3"/>
  </r>
  <r>
    <d v="2021-06-16T00:00:00"/>
    <s v="Afip: O203812"/>
    <s v="Cuota Nº7"/>
    <n v="16914.669999999998"/>
    <x v="0"/>
    <d v="2020-11-19T00:00:00"/>
    <m/>
    <x v="2"/>
    <x v="12"/>
    <x v="3"/>
  </r>
  <r>
    <d v="2021-07-16T00:00:00"/>
    <s v="Afip: O203812"/>
    <s v="Cuota Nº8"/>
    <n v="16914.669999999998"/>
    <x v="0"/>
    <d v="2020-11-19T00:00:00"/>
    <m/>
    <x v="2"/>
    <x v="0"/>
    <x v="3"/>
  </r>
  <r>
    <d v="2021-03-16T00:00:00"/>
    <s v="Afip: M618474"/>
    <s v="Cuota Nº9"/>
    <n v="4379"/>
    <x v="2"/>
    <d v="2020-03-02T00:00:00"/>
    <m/>
    <x v="2"/>
    <x v="7"/>
    <x v="3"/>
  </r>
  <r>
    <d v="2020-11-30T00:00:00"/>
    <s v="Maisonave"/>
    <n v="79702867"/>
    <n v="0"/>
    <x v="0"/>
    <d v="2020-12-03T00:00:00"/>
    <n v="82000"/>
    <x v="0"/>
    <x v="4"/>
    <x v="1"/>
  </r>
  <r>
    <d v="2020-12-03T00:00:00"/>
    <s v="Maisonave"/>
    <n v="79702868"/>
    <n v="0"/>
    <x v="0"/>
    <d v="2020-12-03T00:00:00"/>
    <n v="109000"/>
    <x v="27"/>
    <x v="5"/>
    <x v="1"/>
  </r>
  <r>
    <d v="2021-01-22T00:00:00"/>
    <s v="Lipo Mandi"/>
    <n v="79702869"/>
    <n v="12400"/>
    <x v="0"/>
    <d v="2020-12-03T00:00:00"/>
    <m/>
    <x v="8"/>
    <x v="6"/>
    <x v="3"/>
  </r>
  <r>
    <d v="2021-01-30T00:00:00"/>
    <s v="Lipo Mandi"/>
    <n v="79702870"/>
    <n v="12500"/>
    <x v="0"/>
    <d v="2020-12-03T00:00:00"/>
    <m/>
    <x v="0"/>
    <x v="6"/>
    <x v="3"/>
  </r>
  <r>
    <d v="2021-02-08T00:00:00"/>
    <s v="Lipo Mandi"/>
    <n v="79702871"/>
    <n v="12123"/>
    <x v="0"/>
    <d v="2020-12-03T00:00:00"/>
    <m/>
    <x v="3"/>
    <x v="8"/>
    <x v="3"/>
  </r>
  <r>
    <d v="2021-02-16T00:00:00"/>
    <s v="Lipo Mandi"/>
    <n v="79702872"/>
    <n v="12600"/>
    <x v="0"/>
    <d v="2020-12-03T00:00:00"/>
    <m/>
    <x v="2"/>
    <x v="8"/>
    <x v="3"/>
  </r>
  <r>
    <d v="2021-02-22T00:00:00"/>
    <s v="Lipo Mandi"/>
    <n v="79702873"/>
    <n v="12700"/>
    <x v="0"/>
    <d v="2020-12-03T00:00:00"/>
    <m/>
    <x v="8"/>
    <x v="8"/>
    <x v="3"/>
  </r>
  <r>
    <d v="2021-02-28T00:00:00"/>
    <s v="Lipo Mandi"/>
    <n v="79702874"/>
    <n v="12800"/>
    <x v="0"/>
    <d v="2020-12-03T00:00:00"/>
    <m/>
    <x v="24"/>
    <x v="8"/>
    <x v="3"/>
  </r>
  <r>
    <d v="2021-01-16T00:00:00"/>
    <s v="Rontaltex"/>
    <n v="79702875"/>
    <n v="3075.2"/>
    <x v="0"/>
    <d v="2020-12-10T00:00:00"/>
    <m/>
    <x v="2"/>
    <x v="6"/>
    <x v="3"/>
  </r>
  <r>
    <d v="2021-01-16T00:00:00"/>
    <s v="Bouzyk"/>
    <n v="83725576"/>
    <n v="19000"/>
    <x v="0"/>
    <d v="2020-12-10T00:00:00"/>
    <m/>
    <x v="2"/>
    <x v="6"/>
    <x v="3"/>
  </r>
  <r>
    <d v="2021-01-22T00:00:00"/>
    <s v="Bouzyk"/>
    <n v="83725577"/>
    <n v="20000"/>
    <x v="0"/>
    <d v="2020-12-10T00:00:00"/>
    <m/>
    <x v="8"/>
    <x v="6"/>
    <x v="3"/>
  </r>
  <r>
    <d v="2021-01-30T00:00:00"/>
    <s v="Bouzyk"/>
    <n v="83725578"/>
    <n v="21000"/>
    <x v="0"/>
    <d v="2020-12-10T00:00:00"/>
    <m/>
    <x v="0"/>
    <x v="6"/>
    <x v="3"/>
  </r>
  <r>
    <d v="2021-02-16T00:00:00"/>
    <s v="Bouzyk"/>
    <n v="83725579"/>
    <n v="19000"/>
    <x v="0"/>
    <d v="2020-12-10T00:00:00"/>
    <m/>
    <x v="2"/>
    <x v="8"/>
    <x v="3"/>
  </r>
  <r>
    <d v="2021-02-22T00:00:00"/>
    <s v="Bouzyk"/>
    <n v="83725580"/>
    <n v="20000"/>
    <x v="0"/>
    <d v="2020-12-10T00:00:00"/>
    <m/>
    <x v="8"/>
    <x v="8"/>
    <x v="3"/>
  </r>
  <r>
    <d v="2021-02-28T00:00:00"/>
    <s v="Bouzyk"/>
    <n v="83725581"/>
    <n v="21000"/>
    <x v="0"/>
    <d v="2020-12-10T00:00:00"/>
    <m/>
    <x v="24"/>
    <x v="8"/>
    <x v="3"/>
  </r>
  <r>
    <d v="2021-03-08T00:00:00"/>
    <s v="Bouzyk"/>
    <n v="83725582"/>
    <n v="20000"/>
    <x v="0"/>
    <d v="2020-12-10T00:00:00"/>
    <m/>
    <x v="3"/>
    <x v="7"/>
    <x v="3"/>
  </r>
  <r>
    <d v="2021-02-08T00:00:00"/>
    <s v="Veccio"/>
    <n v="83725583"/>
    <n v="6000"/>
    <x v="0"/>
    <d v="2020-12-11T00:00:00"/>
    <m/>
    <x v="3"/>
    <x v="8"/>
    <x v="3"/>
  </r>
  <r>
    <d v="2021-02-16T00:00:00"/>
    <s v="Veccio"/>
    <n v="83725584"/>
    <n v="5000"/>
    <x v="0"/>
    <d v="2020-12-11T00:00:00"/>
    <m/>
    <x v="2"/>
    <x v="8"/>
    <x v="3"/>
  </r>
  <r>
    <d v="2021-02-22T00:00:00"/>
    <s v="Veccio"/>
    <n v="83725585"/>
    <n v="5000"/>
    <x v="0"/>
    <d v="2020-12-11T00:00:00"/>
    <m/>
    <x v="8"/>
    <x v="8"/>
    <x v="3"/>
  </r>
  <r>
    <d v="2021-02-28T00:00:00"/>
    <s v="Veccio"/>
    <n v="83725586"/>
    <n v="4000"/>
    <x v="0"/>
    <d v="2020-12-11T00:00:00"/>
    <m/>
    <x v="24"/>
    <x v="8"/>
    <x v="3"/>
  </r>
  <r>
    <d v="2021-02-08T00:00:00"/>
    <s v="Mandy"/>
    <n v="83725587"/>
    <n v="9000"/>
    <x v="0"/>
    <d v="2020-12-17T00:00:00"/>
    <m/>
    <x v="3"/>
    <x v="8"/>
    <x v="3"/>
  </r>
  <r>
    <d v="2021-02-16T00:00:00"/>
    <s v="Mandy"/>
    <n v="83725588"/>
    <n v="10000"/>
    <x v="0"/>
    <d v="2020-12-17T00:00:00"/>
    <m/>
    <x v="2"/>
    <x v="8"/>
    <x v="3"/>
  </r>
  <r>
    <d v="2021-02-22T00:00:00"/>
    <s v="Mandy"/>
    <n v="83725589"/>
    <n v="10100"/>
    <x v="0"/>
    <d v="2020-12-17T00:00:00"/>
    <m/>
    <x v="8"/>
    <x v="8"/>
    <x v="3"/>
  </r>
  <r>
    <d v="2021-02-28T00:00:00"/>
    <s v="Mandy"/>
    <n v="83725590"/>
    <n v="10007.67"/>
    <x v="0"/>
    <d v="2020-12-17T00:00:00"/>
    <m/>
    <x v="24"/>
    <x v="8"/>
    <x v="3"/>
  </r>
  <r>
    <d v="2021-03-08T00:00:00"/>
    <s v="Mandy"/>
    <n v="83725591"/>
    <n v="11100"/>
    <x v="0"/>
    <d v="2020-12-17T00:00:00"/>
    <m/>
    <x v="3"/>
    <x v="7"/>
    <x v="3"/>
  </r>
  <r>
    <d v="2021-03-16T00:00:00"/>
    <s v="Mandy"/>
    <n v="83725592"/>
    <n v="12000"/>
    <x v="0"/>
    <d v="2020-12-17T00:00:00"/>
    <m/>
    <x v="2"/>
    <x v="7"/>
    <x v="3"/>
  </r>
  <r>
    <d v="2021-01-30T00:00:00"/>
    <s v="Gomeria el pampeano"/>
    <n v="83725593"/>
    <n v="9000"/>
    <x v="0"/>
    <d v="2020-12-17T00:00:00"/>
    <m/>
    <x v="0"/>
    <x v="6"/>
    <x v="3"/>
  </r>
  <r>
    <d v="2021-02-08T00:00:00"/>
    <s v="Gomeria el pampeano"/>
    <n v="83725594"/>
    <n v="10000"/>
    <x v="0"/>
    <d v="2020-12-17T00:00:00"/>
    <m/>
    <x v="3"/>
    <x v="8"/>
    <x v="3"/>
  </r>
  <r>
    <d v="2021-02-16T00:00:00"/>
    <s v="Gomeria el pampeano"/>
    <n v="83725595"/>
    <n v="11000"/>
    <x v="0"/>
    <d v="2020-12-17T00:00:00"/>
    <m/>
    <x v="2"/>
    <x v="8"/>
    <x v="3"/>
  </r>
  <r>
    <d v="2021-02-22T00:00:00"/>
    <s v="Gomeria el pampeano"/>
    <n v="83725596"/>
    <n v="10000"/>
    <x v="0"/>
    <d v="2020-12-17T00:00:00"/>
    <m/>
    <x v="8"/>
    <x v="8"/>
    <x v="3"/>
  </r>
  <r>
    <d v="2020-12-17T00:00:00"/>
    <s v="Yo"/>
    <n v="83725597"/>
    <n v="0"/>
    <x v="0"/>
    <d v="2020-12-17T00:00:00"/>
    <s v="Retiro 200.000$"/>
    <x v="23"/>
    <x v="5"/>
    <x v="1"/>
  </r>
  <r>
    <d v="2021-02-22T00:00:00"/>
    <s v="Melisa y Martin"/>
    <n v="83725598"/>
    <n v="8200"/>
    <x v="0"/>
    <d v="2020-12-19T00:00:00"/>
    <m/>
    <x v="8"/>
    <x v="8"/>
    <x v="3"/>
  </r>
  <r>
    <d v="2021-02-08T00:00:00"/>
    <s v="Melisa y Martin"/>
    <n v="83725599"/>
    <n v="8500"/>
    <x v="0"/>
    <d v="2020-12-19T00:00:00"/>
    <m/>
    <x v="3"/>
    <x v="8"/>
    <x v="3"/>
  </r>
  <r>
    <d v="2021-02-16T00:00:00"/>
    <s v="Melisa y Martin"/>
    <n v="83725600"/>
    <n v="8300"/>
    <x v="0"/>
    <d v="2020-12-19T00:00:00"/>
    <m/>
    <x v="2"/>
    <x v="8"/>
    <x v="3"/>
  </r>
  <r>
    <d v="2020-12-21T00:00:00"/>
    <s v="Yo"/>
    <n v="83725601"/>
    <n v="0"/>
    <x v="0"/>
    <d v="2020-12-19T00:00:00"/>
    <s v="Retiro 200.000$"/>
    <x v="10"/>
    <x v="5"/>
    <x v="1"/>
  </r>
  <r>
    <d v="2020-12-28T00:00:00"/>
    <s v="Yo"/>
    <n v="83725602"/>
    <n v="0"/>
    <x v="0"/>
    <d v="2020-12-28T00:00:00"/>
    <s v="Retiro 130,000$"/>
    <x v="24"/>
    <x v="5"/>
    <x v="1"/>
  </r>
  <r>
    <d v="2021-03-08T00:00:00"/>
    <s v="Bouzyk"/>
    <n v="83725603"/>
    <n v="14000"/>
    <x v="0"/>
    <d v="2021-01-07T00:00:00"/>
    <m/>
    <x v="3"/>
    <x v="7"/>
    <x v="3"/>
  </r>
  <r>
    <d v="2021-03-16T00:00:00"/>
    <s v="Bouzyk"/>
    <n v="83725604"/>
    <n v="14500"/>
    <x v="0"/>
    <d v="2021-01-07T00:00:00"/>
    <m/>
    <x v="2"/>
    <x v="7"/>
    <x v="3"/>
  </r>
  <r>
    <d v="2021-03-22T00:00:00"/>
    <s v="Bouzyk"/>
    <n v="83725605"/>
    <n v="15000"/>
    <x v="0"/>
    <d v="2021-01-07T00:00:00"/>
    <m/>
    <x v="8"/>
    <x v="7"/>
    <x v="3"/>
  </r>
  <r>
    <d v="2021-03-30T00:00:00"/>
    <s v="Bouzyk"/>
    <n v="83725606"/>
    <n v="15500"/>
    <x v="0"/>
    <d v="2021-01-07T00:00:00"/>
    <m/>
    <x v="0"/>
    <x v="7"/>
    <x v="3"/>
  </r>
  <r>
    <d v="2021-04-08T00:00:00"/>
    <s v="Bouzyk"/>
    <n v="83725607"/>
    <n v="16000"/>
    <x v="0"/>
    <d v="2021-01-07T00:00:00"/>
    <m/>
    <x v="3"/>
    <x v="9"/>
    <x v="3"/>
  </r>
  <r>
    <d v="2021-04-16T00:00:00"/>
    <s v="Bouzyk"/>
    <n v="83725608"/>
    <n v="13000"/>
    <x v="0"/>
    <d v="2021-01-07T00:00:00"/>
    <m/>
    <x v="2"/>
    <x v="9"/>
    <x v="3"/>
  </r>
  <r>
    <d v="2021-04-22T00:00:00"/>
    <s v="Bouzyk"/>
    <n v="83725609"/>
    <n v="12000"/>
    <x v="0"/>
    <d v="2021-01-07T00:00:00"/>
    <m/>
    <x v="8"/>
    <x v="9"/>
    <x v="3"/>
  </r>
  <r>
    <d v="2021-03-08T00:00:00"/>
    <s v="Veccio"/>
    <n v="83725610"/>
    <n v="10100"/>
    <x v="0"/>
    <d v="2021-01-12T00:00:00"/>
    <m/>
    <x v="3"/>
    <x v="7"/>
    <x v="3"/>
  </r>
  <r>
    <d v="2021-03-16T00:00:00"/>
    <s v="Veccio"/>
    <n v="83725611"/>
    <n v="10190"/>
    <x v="0"/>
    <d v="2021-01-12T00:00:00"/>
    <m/>
    <x v="2"/>
    <x v="7"/>
    <x v="3"/>
  </r>
  <r>
    <d v="2021-03-22T00:00:00"/>
    <s v="Veccio"/>
    <n v="83725612"/>
    <n v="10108.9"/>
    <x v="0"/>
    <d v="2021-01-12T00:00:00"/>
    <m/>
    <x v="8"/>
    <x v="7"/>
    <x v="3"/>
  </r>
  <r>
    <d v="2021-03-30T00:00:00"/>
    <s v="Veccio"/>
    <n v="83725613"/>
    <n v="10060"/>
    <x v="0"/>
    <d v="2021-01-12T00:00:00"/>
    <m/>
    <x v="0"/>
    <x v="7"/>
    <x v="3"/>
  </r>
  <r>
    <d v="2021-04-08T00:00:00"/>
    <s v="Veccio"/>
    <n v="83725614"/>
    <n v="10040"/>
    <x v="0"/>
    <d v="2021-01-12T00:00:00"/>
    <m/>
    <x v="3"/>
    <x v="9"/>
    <x v="3"/>
  </r>
  <r>
    <d v="2021-01-17T00:00:00"/>
    <s v="Prestamo"/>
    <s v="Cuota Nº1 CAP"/>
    <n v="56666.67"/>
    <x v="0"/>
    <d v="2020-12-17T00:00:00"/>
    <m/>
    <x v="23"/>
    <x v="6"/>
    <x v="3"/>
  </r>
  <r>
    <d v="2021-01-17T00:00:00"/>
    <s v="Prestamo"/>
    <s v="Cuota Nº1 INT"/>
    <n v="19636.16"/>
    <x v="0"/>
    <d v="2020-12-17T00:00:00"/>
    <m/>
    <x v="23"/>
    <x v="6"/>
    <x v="3"/>
  </r>
  <r>
    <d v="2021-02-17T00:00:00"/>
    <s v="Prestamo"/>
    <s v="Cuota Nº2 CAP"/>
    <n v="56666.67"/>
    <x v="0"/>
    <d v="2020-12-17T00:00:00"/>
    <m/>
    <x v="23"/>
    <x v="8"/>
    <x v="3"/>
  </r>
  <r>
    <d v="2021-02-17T00:00:00"/>
    <s v="Prestamo"/>
    <s v="Cuota Nº2 INT"/>
    <n v="17999.810000000001"/>
    <x v="0"/>
    <d v="2020-12-17T00:00:00"/>
    <m/>
    <x v="23"/>
    <x v="8"/>
    <x v="3"/>
  </r>
  <r>
    <d v="2021-03-17T00:00:00"/>
    <s v="Prestamo"/>
    <s v="Cuota Nº3 CAP"/>
    <n v="56666.67"/>
    <x v="0"/>
    <d v="2020-12-17T00:00:00"/>
    <m/>
    <x v="23"/>
    <x v="7"/>
    <x v="3"/>
  </r>
  <r>
    <d v="2021-03-17T00:00:00"/>
    <s v="Prestamo"/>
    <s v="Cuota Nº3 INT"/>
    <n v="14779.9"/>
    <x v="0"/>
    <d v="2020-12-17T00:00:00"/>
    <m/>
    <x v="23"/>
    <x v="7"/>
    <x v="3"/>
  </r>
  <r>
    <d v="2021-04-17T00:00:00"/>
    <s v="Prestamo"/>
    <s v="Cuota Nº4 CAP"/>
    <n v="56666.67"/>
    <x v="0"/>
    <d v="2020-12-17T00:00:00"/>
    <m/>
    <x v="23"/>
    <x v="9"/>
    <x v="3"/>
  </r>
  <r>
    <d v="2021-04-17T00:00:00"/>
    <s v="Prestamo"/>
    <s v="Cuota Nº4 INT"/>
    <n v="14727.12"/>
    <x v="0"/>
    <d v="2020-12-17T00:00:00"/>
    <m/>
    <x v="23"/>
    <x v="9"/>
    <x v="3"/>
  </r>
  <r>
    <d v="2021-05-17T00:00:00"/>
    <s v="Prestamo"/>
    <s v="Cuota Nº5 CAP"/>
    <n v="56666.67"/>
    <x v="0"/>
    <d v="2020-12-17T00:00:00"/>
    <m/>
    <x v="23"/>
    <x v="10"/>
    <x v="3"/>
  </r>
  <r>
    <d v="2021-05-17T00:00:00"/>
    <s v="Prestamo"/>
    <s v="Cuota Nº5 INT"/>
    <n v="12668.49"/>
    <x v="0"/>
    <d v="2020-12-17T00:00:00"/>
    <m/>
    <x v="23"/>
    <x v="10"/>
    <x v="3"/>
  </r>
  <r>
    <d v="2021-06-17T00:00:00"/>
    <s v="Prestamo"/>
    <s v="Cuota Nº6 CAP"/>
    <n v="56666.67"/>
    <x v="0"/>
    <d v="2020-12-17T00:00:00"/>
    <m/>
    <x v="23"/>
    <x v="12"/>
    <x v="3"/>
  </r>
  <r>
    <d v="2021-06-17T00:00:00"/>
    <s v="Prestamo"/>
    <s v="Cuota Nº6 INT"/>
    <n v="11454.42"/>
    <x v="0"/>
    <d v="2020-12-17T00:00:00"/>
    <m/>
    <x v="23"/>
    <x v="12"/>
    <x v="3"/>
  </r>
  <r>
    <d v="2021-07-17T00:00:00"/>
    <s v="Prestamo"/>
    <s v="Cuota Nº7 CAP"/>
    <n v="56666.67"/>
    <x v="0"/>
    <d v="2020-12-17T00:00:00"/>
    <m/>
    <x v="23"/>
    <x v="0"/>
    <x v="3"/>
  </r>
  <r>
    <d v="2021-07-17T00:00:00"/>
    <s v="Prestamo"/>
    <s v="Cuota Nº7 INT"/>
    <n v="9501.36"/>
    <x v="0"/>
    <d v="2020-12-17T00:00:00"/>
    <m/>
    <x v="23"/>
    <x v="0"/>
    <x v="3"/>
  </r>
  <r>
    <d v="2021-08-17T00:00:00"/>
    <s v="Prestamo"/>
    <s v="Cuota Nº8 CAP"/>
    <n v="56666.67"/>
    <x v="0"/>
    <d v="2020-12-17T00:00:00"/>
    <m/>
    <x v="23"/>
    <x v="1"/>
    <x v="3"/>
  </r>
  <r>
    <d v="2021-08-17T00:00:00"/>
    <s v="Prestamo"/>
    <s v="Cuota Nº8 INT"/>
    <n v="8181.73"/>
    <x v="0"/>
    <d v="2020-12-17T00:00:00"/>
    <m/>
    <x v="23"/>
    <x v="1"/>
    <x v="3"/>
  </r>
  <r>
    <d v="2021-09-17T00:00:00"/>
    <s v="Prestamo"/>
    <s v="Cuota Nº9 CAP"/>
    <n v="56666.67"/>
    <x v="0"/>
    <d v="2020-12-17T00:00:00"/>
    <m/>
    <x v="23"/>
    <x v="2"/>
    <x v="3"/>
  </r>
  <r>
    <d v="2021-09-17T00:00:00"/>
    <s v="Prestamo"/>
    <s v="Cuota Nº9 INT"/>
    <n v="6545.38"/>
    <x v="0"/>
    <d v="2020-12-17T00:00:00"/>
    <m/>
    <x v="23"/>
    <x v="2"/>
    <x v="3"/>
  </r>
  <r>
    <d v="2021-10-17T00:00:00"/>
    <s v="Prestamo"/>
    <s v="Cuota Nº10 CAP"/>
    <n v="56666.67"/>
    <x v="0"/>
    <d v="2020-12-17T00:00:00"/>
    <m/>
    <x v="23"/>
    <x v="3"/>
    <x v="3"/>
  </r>
  <r>
    <d v="2021-10-17T00:00:00"/>
    <s v="Prestamo"/>
    <s v="Cuota Nº10 INT"/>
    <n v="4750.68"/>
    <x v="0"/>
    <d v="2020-12-17T00:00:00"/>
    <m/>
    <x v="23"/>
    <x v="3"/>
    <x v="3"/>
  </r>
  <r>
    <d v="2021-11-17T00:00:00"/>
    <s v="Prestamo"/>
    <s v="Cuota Nº11 CAP"/>
    <n v="56666.67"/>
    <x v="4"/>
    <d v="2020-12-17T00:00:00"/>
    <m/>
    <x v="23"/>
    <x v="4"/>
    <x v="3"/>
  </r>
  <r>
    <d v="2021-11-17T00:00:00"/>
    <s v="Prestamo"/>
    <s v="Cuota Nº11 INT"/>
    <n v="3272.69"/>
    <x v="4"/>
    <d v="2020-12-17T00:00:00"/>
    <m/>
    <x v="23"/>
    <x v="4"/>
    <x v="3"/>
  </r>
  <r>
    <d v="2021-12-17T00:00:00"/>
    <s v="Prestamo"/>
    <s v="Cuota Nº12 CAP"/>
    <n v="56666.63"/>
    <x v="4"/>
    <d v="2020-12-17T00:00:00"/>
    <m/>
    <x v="23"/>
    <x v="5"/>
    <x v="3"/>
  </r>
  <r>
    <d v="2021-12-17T00:00:00"/>
    <s v="Prestamo"/>
    <s v="Cuota Nº12 INT"/>
    <n v="1583.56"/>
    <x v="4"/>
    <d v="2020-12-17T00:00:00"/>
    <m/>
    <x v="23"/>
    <x v="5"/>
    <x v="3"/>
  </r>
  <r>
    <d v="2021-03-30T00:00:00"/>
    <s v="Seguro Eco"/>
    <n v="83725615"/>
    <n v="6900"/>
    <x v="0"/>
    <d v="2021-01-15T00:00:00"/>
    <m/>
    <x v="0"/>
    <x v="7"/>
    <x v="3"/>
  </r>
  <r>
    <d v="2021-04-08T00:00:00"/>
    <s v="Seguro Eco"/>
    <n v="83725616"/>
    <n v="7000"/>
    <x v="1"/>
    <d v="2021-01-15T00:00:00"/>
    <s v="Nunca se cobro"/>
    <x v="3"/>
    <x v="9"/>
    <x v="3"/>
  </r>
  <r>
    <d v="2021-04-16T00:00:00"/>
    <s v="Seguro Eco"/>
    <n v="83725617"/>
    <n v="7182"/>
    <x v="0"/>
    <d v="2021-01-15T00:00:00"/>
    <m/>
    <x v="2"/>
    <x v="9"/>
    <x v="3"/>
  </r>
  <r>
    <d v="2021-04-22T00:00:00"/>
    <s v="Seguro Eco"/>
    <n v="83725618"/>
    <n v="7000"/>
    <x v="0"/>
    <d v="2021-01-15T00:00:00"/>
    <m/>
    <x v="8"/>
    <x v="9"/>
    <x v="3"/>
  </r>
  <r>
    <d v="2021-04-30T00:00:00"/>
    <s v="Seguro Eco"/>
    <n v="83725619"/>
    <n v="7100"/>
    <x v="0"/>
    <d v="2021-01-15T00:00:00"/>
    <m/>
    <x v="0"/>
    <x v="9"/>
    <x v="3"/>
  </r>
  <r>
    <d v="2021-03-01T00:00:00"/>
    <s v="IVA"/>
    <d v="2020-12-01T00:00:00"/>
    <n v="184500"/>
    <x v="0"/>
    <d v="2021-01-21T00:00:00"/>
    <m/>
    <x v="28"/>
    <x v="7"/>
    <x v="3"/>
  </r>
  <r>
    <d v="2021-02-16T00:00:00"/>
    <s v="Casa Blanca"/>
    <n v="83725620"/>
    <n v="6000"/>
    <x v="0"/>
    <d v="2021-01-23T00:00:00"/>
    <m/>
    <x v="2"/>
    <x v="8"/>
    <x v="3"/>
  </r>
  <r>
    <d v="2021-02-22T00:00:00"/>
    <s v="Casa Blanca"/>
    <n v="83725621"/>
    <n v="6023.89"/>
    <x v="0"/>
    <d v="2021-01-23T00:00:00"/>
    <m/>
    <x v="8"/>
    <x v="8"/>
    <x v="3"/>
  </r>
  <r>
    <d v="2021-01-31T00:00:00"/>
    <s v="Rontaltex"/>
    <n v="83725622"/>
    <n v="17863.080000000002"/>
    <x v="0"/>
    <d v="2021-01-27T00:00:00"/>
    <m/>
    <x v="5"/>
    <x v="6"/>
    <x v="3"/>
  </r>
  <r>
    <d v="2021-03-08T00:00:00"/>
    <s v="Otranto"/>
    <n v="83725623"/>
    <n v="18000"/>
    <x v="0"/>
    <d v="2021-02-03T00:00:00"/>
    <m/>
    <x v="3"/>
    <x v="7"/>
    <x v="3"/>
  </r>
  <r>
    <d v="2021-03-16T00:00:00"/>
    <s v="Otranto"/>
    <n v="83725624"/>
    <n v="20500"/>
    <x v="0"/>
    <d v="2021-02-03T00:00:00"/>
    <m/>
    <x v="2"/>
    <x v="7"/>
    <x v="3"/>
  </r>
  <r>
    <d v="2021-03-22T00:00:00"/>
    <s v="Otranto"/>
    <n v="83725625"/>
    <n v="22500"/>
    <x v="0"/>
    <d v="2021-02-03T00:00:00"/>
    <m/>
    <x v="8"/>
    <x v="7"/>
    <x v="3"/>
  </r>
  <r>
    <d v="2021-03-30T00:00:00"/>
    <s v="Esteban - Shima"/>
    <n v="84573876"/>
    <n v="9100"/>
    <x v="0"/>
    <d v="2021-02-01T00:00:00"/>
    <m/>
    <x v="0"/>
    <x v="7"/>
    <x v="3"/>
  </r>
  <r>
    <d v="2021-04-08T00:00:00"/>
    <s v="Esteban - Shima"/>
    <n v="84573877"/>
    <n v="9110"/>
    <x v="0"/>
    <d v="2021-02-01T00:00:00"/>
    <m/>
    <x v="3"/>
    <x v="9"/>
    <x v="3"/>
  </r>
  <r>
    <d v="2021-04-16T00:00:00"/>
    <s v="Esteban - Shima"/>
    <n v="84573878"/>
    <n v="9120"/>
    <x v="0"/>
    <d v="2021-02-01T00:00:00"/>
    <m/>
    <x v="2"/>
    <x v="9"/>
    <x v="3"/>
  </r>
  <r>
    <d v="2021-04-22T00:00:00"/>
    <s v="Esteban - Shima"/>
    <n v="84573879"/>
    <n v="9130"/>
    <x v="0"/>
    <d v="2021-02-01T00:00:00"/>
    <m/>
    <x v="8"/>
    <x v="9"/>
    <x v="3"/>
  </r>
  <r>
    <d v="2021-04-30T00:00:00"/>
    <s v="Esteban - Shima"/>
    <n v="84573880"/>
    <n v="9140"/>
    <x v="0"/>
    <d v="2021-02-01T00:00:00"/>
    <m/>
    <x v="0"/>
    <x v="9"/>
    <x v="3"/>
  </r>
  <r>
    <d v="2021-05-08T00:00:00"/>
    <s v="Esteban - Shima"/>
    <n v="84573881"/>
    <n v="9590"/>
    <x v="3"/>
    <d v="2021-02-01T00:00:00"/>
    <m/>
    <x v="3"/>
    <x v="10"/>
    <x v="3"/>
  </r>
  <r>
    <d v="2021-05-16T00:00:00"/>
    <s v="Esteban - Shima"/>
    <n v="84573882"/>
    <n v="9600"/>
    <x v="0"/>
    <d v="2021-02-01T00:00:00"/>
    <m/>
    <x v="2"/>
    <x v="10"/>
    <x v="3"/>
  </r>
  <r>
    <d v="2021-05-22T00:00:00"/>
    <s v="Esteban - Shima"/>
    <n v="84573883"/>
    <n v="9610"/>
    <x v="0"/>
    <d v="2021-02-01T00:00:00"/>
    <m/>
    <x v="8"/>
    <x v="10"/>
    <x v="3"/>
  </r>
  <r>
    <d v="2021-05-30T00:00:00"/>
    <s v="Esteban - Shima"/>
    <n v="84573884"/>
    <n v="9140"/>
    <x v="0"/>
    <d v="2021-02-01T00:00:00"/>
    <m/>
    <x v="0"/>
    <x v="10"/>
    <x v="3"/>
  </r>
  <r>
    <d v="2021-06-08T00:00:00"/>
    <s v="Esteban - Shima"/>
    <n v="84573885"/>
    <n v="9130"/>
    <x v="0"/>
    <d v="2021-02-01T00:00:00"/>
    <m/>
    <x v="3"/>
    <x v="12"/>
    <x v="3"/>
  </r>
  <r>
    <d v="2021-06-16T00:00:00"/>
    <s v="Esteban - Shima"/>
    <n v="84573886"/>
    <n v="9120"/>
    <x v="0"/>
    <d v="2021-02-01T00:00:00"/>
    <m/>
    <x v="2"/>
    <x v="12"/>
    <x v="3"/>
  </r>
  <r>
    <d v="2021-06-22T00:00:00"/>
    <s v="Esteban - Shima"/>
    <n v="84573887"/>
    <n v="9110"/>
    <x v="0"/>
    <d v="2021-02-01T00:00:00"/>
    <m/>
    <x v="8"/>
    <x v="12"/>
    <x v="3"/>
  </r>
  <r>
    <d v="2021-06-30T00:00:00"/>
    <s v="Esteban - Shima"/>
    <n v="84573888"/>
    <n v="9100"/>
    <x v="0"/>
    <d v="2021-02-01T00:00:00"/>
    <m/>
    <x v="0"/>
    <x v="12"/>
    <x v="3"/>
  </r>
  <r>
    <d v="2021-03-30T00:00:00"/>
    <s v="Otranto"/>
    <n v="84573889"/>
    <n v="24010.86"/>
    <x v="0"/>
    <d v="2021-02-03T00:00:00"/>
    <m/>
    <x v="0"/>
    <x v="7"/>
    <x v="3"/>
  </r>
  <r>
    <d v="2021-04-08T00:00:00"/>
    <s v="Otranto"/>
    <n v="84573890"/>
    <n v="23000"/>
    <x v="0"/>
    <d v="2021-02-03T00:00:00"/>
    <m/>
    <x v="3"/>
    <x v="9"/>
    <x v="3"/>
  </r>
  <r>
    <d v="2021-04-16T00:00:00"/>
    <s v="Otranto"/>
    <n v="84573891"/>
    <n v="23500"/>
    <x v="0"/>
    <d v="2021-02-03T00:00:00"/>
    <m/>
    <x v="2"/>
    <x v="9"/>
    <x v="3"/>
  </r>
  <r>
    <d v="2021-03-08T00:00:00"/>
    <s v="Melisa y Martin"/>
    <n v="84573892"/>
    <n v="4000"/>
    <x v="0"/>
    <d v="2021-02-03T00:00:00"/>
    <m/>
    <x v="3"/>
    <x v="7"/>
    <x v="3"/>
  </r>
  <r>
    <d v="2021-03-16T00:00:00"/>
    <s v="Melisa y Martin"/>
    <n v="84573893"/>
    <n v="4000"/>
    <x v="0"/>
    <d v="2021-02-03T00:00:00"/>
    <m/>
    <x v="2"/>
    <x v="7"/>
    <x v="3"/>
  </r>
  <r>
    <d v="2021-04-08T00:00:00"/>
    <s v="Temco"/>
    <n v="84573894"/>
    <n v="12475.1"/>
    <x v="0"/>
    <d v="2021-02-05T00:00:00"/>
    <m/>
    <x v="3"/>
    <x v="9"/>
    <x v="3"/>
  </r>
  <r>
    <d v="2021-04-16T00:00:00"/>
    <s v="Temco"/>
    <n v="84573895"/>
    <n v="7500"/>
    <x v="0"/>
    <d v="2021-02-05T00:00:00"/>
    <m/>
    <x v="2"/>
    <x v="9"/>
    <x v="3"/>
  </r>
  <r>
    <d v="2021-04-22T00:00:00"/>
    <s v="Temco"/>
    <n v="84573896"/>
    <n v="8000"/>
    <x v="0"/>
    <d v="2021-02-05T00:00:00"/>
    <m/>
    <x v="8"/>
    <x v="9"/>
    <x v="3"/>
  </r>
  <r>
    <d v="2021-04-30T00:00:00"/>
    <s v="Temco"/>
    <n v="84573897"/>
    <n v="8500"/>
    <x v="0"/>
    <s v="5/22021"/>
    <m/>
    <x v="0"/>
    <x v="9"/>
    <x v="3"/>
  </r>
  <r>
    <d v="2021-06-16T00:00:00"/>
    <s v="Veccio"/>
    <n v="84573898"/>
    <n v="6360"/>
    <x v="0"/>
    <d v="2021-04-22T00:00:00"/>
    <m/>
    <x v="2"/>
    <x v="12"/>
    <x v="3"/>
  </r>
  <r>
    <d v="2021-03-30T00:00:00"/>
    <s v="Martinez Apolo"/>
    <n v="84573899"/>
    <n v="3980"/>
    <x v="0"/>
    <d v="2021-02-20T00:00:00"/>
    <m/>
    <x v="0"/>
    <x v="7"/>
    <x v="3"/>
  </r>
  <r>
    <d v="2021-04-08T00:00:00"/>
    <s v="Martinez Apolo"/>
    <n v="84573900"/>
    <n v="3972"/>
    <x v="0"/>
    <d v="2021-02-20T00:00:00"/>
    <m/>
    <x v="3"/>
    <x v="9"/>
    <x v="3"/>
  </r>
  <r>
    <d v="2021-05-08T00:00:00"/>
    <s v="Mandy"/>
    <n v="84573901"/>
    <n v="19540"/>
    <x v="0"/>
    <d v="2021-02-20T00:00:00"/>
    <m/>
    <x v="3"/>
    <x v="10"/>
    <x v="3"/>
  </r>
  <r>
    <d v="2021-05-16T00:00:00"/>
    <s v="Mandy"/>
    <n v="84573902"/>
    <n v="19640"/>
    <x v="0"/>
    <d v="2021-02-20T00:00:00"/>
    <m/>
    <x v="2"/>
    <x v="10"/>
    <x v="3"/>
  </r>
  <r>
    <d v="2021-05-22T00:00:00"/>
    <s v="Mandy"/>
    <n v="84573903"/>
    <n v="19746.39"/>
    <x v="0"/>
    <d v="2021-02-20T00:00:00"/>
    <m/>
    <x v="8"/>
    <x v="10"/>
    <x v="3"/>
  </r>
  <r>
    <d v="2021-05-30T00:00:00"/>
    <s v="Mandy"/>
    <n v="84573904"/>
    <n v="19840"/>
    <x v="0"/>
    <d v="2021-02-20T00:00:00"/>
    <m/>
    <x v="0"/>
    <x v="10"/>
    <x v="3"/>
  </r>
  <r>
    <d v="2021-06-08T00:00:00"/>
    <s v="Mandy"/>
    <n v="84573905"/>
    <n v="19940"/>
    <x v="0"/>
    <d v="2021-02-20T00:00:00"/>
    <m/>
    <x v="3"/>
    <x v="12"/>
    <x v="3"/>
  </r>
  <r>
    <d v="2021-04-16T00:00:00"/>
    <s v="Sindicato"/>
    <n v="84573906"/>
    <n v="2500"/>
    <x v="0"/>
    <d v="2021-03-03T00:00:00"/>
    <m/>
    <x v="2"/>
    <x v="9"/>
    <x v="3"/>
  </r>
  <r>
    <d v="2021-04-30T00:00:00"/>
    <s v="Sindicato"/>
    <n v="84573907"/>
    <n v="3098.9"/>
    <x v="0"/>
    <d v="2021-03-03T00:00:00"/>
    <m/>
    <x v="0"/>
    <x v="9"/>
    <x v="3"/>
  </r>
  <r>
    <d v="2021-05-16T00:00:00"/>
    <s v="Sindicato"/>
    <n v="84573908"/>
    <n v="3500"/>
    <x v="0"/>
    <d v="2021-03-03T00:00:00"/>
    <m/>
    <x v="2"/>
    <x v="10"/>
    <x v="3"/>
  </r>
  <r>
    <d v="2021-05-30T00:00:00"/>
    <s v="Sindicato"/>
    <n v="84573909"/>
    <n v="4230.6499999999996"/>
    <x v="0"/>
    <d v="2021-03-03T00:00:00"/>
    <m/>
    <x v="0"/>
    <x v="10"/>
    <x v="3"/>
  </r>
  <r>
    <d v="2021-06-16T00:00:00"/>
    <s v="Sindicato"/>
    <n v="84573910"/>
    <n v="3500"/>
    <x v="0"/>
    <d v="2021-03-03T00:00:00"/>
    <m/>
    <x v="2"/>
    <x v="12"/>
    <x v="3"/>
  </r>
  <r>
    <d v="2021-06-30T00:00:00"/>
    <s v="Sindicato"/>
    <n v="84573911"/>
    <n v="3344.29"/>
    <x v="0"/>
    <d v="2021-03-03T00:00:00"/>
    <m/>
    <x v="0"/>
    <x v="12"/>
    <x v="3"/>
  </r>
  <r>
    <d v="2021-04-30T00:00:00"/>
    <s v="Veccio"/>
    <n v="84573912"/>
    <n v="2800"/>
    <x v="0"/>
    <d v="2021-03-03T00:00:00"/>
    <m/>
    <x v="0"/>
    <x v="9"/>
    <x v="3"/>
  </r>
  <r>
    <d v="2021-05-08T00:00:00"/>
    <s v="Veccio"/>
    <n v="84573913"/>
    <n v="2900"/>
    <x v="0"/>
    <d v="2021-03-03T00:00:00"/>
    <m/>
    <x v="3"/>
    <x v="10"/>
    <x v="3"/>
  </r>
  <r>
    <d v="2021-06-22T00:00:00"/>
    <s v="Veccio"/>
    <n v="84573914"/>
    <n v="3000"/>
    <x v="0"/>
    <d v="2021-03-03T00:00:00"/>
    <m/>
    <x v="8"/>
    <x v="12"/>
    <x v="3"/>
  </r>
  <r>
    <d v="2021-05-08T00:00:00"/>
    <s v="Mandy"/>
    <n v="84573915"/>
    <n v="14000"/>
    <x v="0"/>
    <d v="2021-03-11T00:00:00"/>
    <m/>
    <x v="3"/>
    <x v="10"/>
    <x v="3"/>
  </r>
  <r>
    <d v="2021-05-16T00:00:00"/>
    <s v="Mandy"/>
    <n v="84573916"/>
    <n v="15000"/>
    <x v="0"/>
    <d v="2021-03-11T00:00:00"/>
    <m/>
    <x v="2"/>
    <x v="10"/>
    <x v="3"/>
  </r>
  <r>
    <d v="2021-05-22T00:00:00"/>
    <s v="Mandy"/>
    <n v="84573917"/>
    <n v="16000"/>
    <x v="0"/>
    <d v="2021-03-11T00:00:00"/>
    <m/>
    <x v="8"/>
    <x v="10"/>
    <x v="3"/>
  </r>
  <r>
    <d v="2021-05-30T00:00:00"/>
    <s v="Mandy"/>
    <n v="84573918"/>
    <n v="16510.88"/>
    <x v="0"/>
    <d v="2021-03-11T00:00:00"/>
    <m/>
    <x v="0"/>
    <x v="10"/>
    <x v="3"/>
  </r>
  <r>
    <d v="2021-06-08T00:00:00"/>
    <s v="Mandy"/>
    <n v="84573919"/>
    <n v="16000"/>
    <x v="0"/>
    <d v="2021-03-11T00:00:00"/>
    <m/>
    <x v="3"/>
    <x v="12"/>
    <x v="3"/>
  </r>
  <r>
    <d v="2021-08-16T00:00:00"/>
    <s v="Mandy"/>
    <n v="84573920"/>
    <n v="17000"/>
    <x v="0"/>
    <d v="2021-03-11T00:00:00"/>
    <m/>
    <x v="2"/>
    <x v="1"/>
    <x v="3"/>
  </r>
  <r>
    <d v="2021-06-22T00:00:00"/>
    <s v="Mandy"/>
    <n v="84573921"/>
    <n v="18000"/>
    <x v="0"/>
    <d v="2021-03-11T00:00:00"/>
    <m/>
    <x v="8"/>
    <x v="12"/>
    <x v="3"/>
  </r>
  <r>
    <d v="2021-06-08T00:00:00"/>
    <s v="Mandy"/>
    <n v="84573922"/>
    <n v="14444.2"/>
    <x v="0"/>
    <d v="2021-03-25T00:00:00"/>
    <m/>
    <x v="3"/>
    <x v="12"/>
    <x v="3"/>
  </r>
  <r>
    <d v="2021-06-16T00:00:00"/>
    <s v="Mandy"/>
    <n v="84573923"/>
    <n v="18000"/>
    <x v="0"/>
    <d v="2021-03-25T00:00:00"/>
    <m/>
    <x v="2"/>
    <x v="12"/>
    <x v="3"/>
  </r>
  <r>
    <d v="2021-06-22T00:00:00"/>
    <s v="Mandy"/>
    <n v="84573924"/>
    <n v="19000"/>
    <x v="0"/>
    <d v="2021-03-25T00:00:00"/>
    <m/>
    <x v="8"/>
    <x v="12"/>
    <x v="3"/>
  </r>
  <r>
    <d v="2021-06-30T00:00:00"/>
    <s v="Mandy"/>
    <n v="84573925"/>
    <n v="20000"/>
    <x v="0"/>
    <d v="2021-03-25T00:00:00"/>
    <m/>
    <x v="0"/>
    <x v="12"/>
    <x v="3"/>
  </r>
  <r>
    <d v="2021-07-08T00:00:00"/>
    <s v="Mandy"/>
    <n v="85509976"/>
    <n v="21000"/>
    <x v="0"/>
    <d v="2021-03-25T00:00:00"/>
    <m/>
    <x v="3"/>
    <x v="0"/>
    <x v="3"/>
  </r>
  <r>
    <d v="2021-04-17T00:00:00"/>
    <s v="Bouzyk"/>
    <n v="85509977"/>
    <n v="30000"/>
    <x v="0"/>
    <d v="2021-03-29T00:00:00"/>
    <m/>
    <x v="23"/>
    <x v="9"/>
    <x v="3"/>
  </r>
  <r>
    <d v="2021-05-08T00:00:00"/>
    <s v="Otranto"/>
    <n v="85509978"/>
    <n v="9590"/>
    <x v="0"/>
    <d v="2021-04-30T00:00:00"/>
    <m/>
    <x v="3"/>
    <x v="10"/>
    <x v="3"/>
  </r>
  <r>
    <d v="2021-04-16T00:00:00"/>
    <s v="La pastora"/>
    <n v="85509979"/>
    <n v="6000"/>
    <x v="0"/>
    <d v="2021-04-08T00:00:00"/>
    <m/>
    <x v="2"/>
    <x v="9"/>
    <x v="3"/>
  </r>
  <r>
    <d v="2021-04-22T00:00:00"/>
    <s v="La pastora"/>
    <n v="85509980"/>
    <n v="6807.98"/>
    <x v="0"/>
    <d v="2021-04-08T00:00:00"/>
    <m/>
    <x v="8"/>
    <x v="9"/>
    <x v="3"/>
  </r>
  <r>
    <d v="2021-07-19T00:00:00"/>
    <s v="Veccio"/>
    <n v="85509981"/>
    <n v="2715"/>
    <x v="0"/>
    <d v="2021-04-08T00:00:00"/>
    <s v="No se sabe nada - Estaba re vencido, se cobro el 21/9/2021"/>
    <x v="19"/>
    <x v="0"/>
    <x v="3"/>
  </r>
  <r>
    <d v="2021-04-12T00:00:00"/>
    <s v="Yo"/>
    <n v="85509982"/>
    <n v="0"/>
    <x v="0"/>
    <d v="2021-04-12T00:00:00"/>
    <s v="Retirar 40,000$ p/gober"/>
    <x v="29"/>
    <x v="9"/>
    <x v="3"/>
  </r>
  <r>
    <d v="2021-06-16T00:00:00"/>
    <s v="Mandy"/>
    <n v="85509983"/>
    <n v="16500"/>
    <x v="0"/>
    <d v="2021-04-12T00:00:00"/>
    <m/>
    <x v="2"/>
    <x v="12"/>
    <x v="3"/>
  </r>
  <r>
    <d v="2021-06-22T00:00:00"/>
    <s v="Mandy"/>
    <n v="85509984"/>
    <n v="17000"/>
    <x v="0"/>
    <d v="2021-04-12T00:00:00"/>
    <m/>
    <x v="8"/>
    <x v="12"/>
    <x v="3"/>
  </r>
  <r>
    <d v="2021-06-30T00:00:00"/>
    <s v="Mandy"/>
    <n v="85509985"/>
    <n v="17000"/>
    <x v="0"/>
    <d v="2021-04-12T00:00:00"/>
    <m/>
    <x v="0"/>
    <x v="12"/>
    <x v="3"/>
  </r>
  <r>
    <d v="2021-07-08T00:00:00"/>
    <s v="Mandy"/>
    <n v="85509986"/>
    <n v="18000"/>
    <x v="0"/>
    <d v="2021-04-12T00:00:00"/>
    <m/>
    <x v="3"/>
    <x v="0"/>
    <x v="3"/>
  </r>
  <r>
    <d v="2021-07-16T00:00:00"/>
    <s v="Mandy"/>
    <n v="85509987"/>
    <n v="18826.16"/>
    <x v="0"/>
    <d v="2021-04-12T00:00:00"/>
    <m/>
    <x v="2"/>
    <x v="0"/>
    <x v="3"/>
  </r>
  <r>
    <d v="2021-04-13T00:00:00"/>
    <s v="Yo"/>
    <n v="85509988"/>
    <n v="0"/>
    <x v="0"/>
    <d v="2021-04-12T00:00:00"/>
    <s v="Retirar 40,000$ p/gober"/>
    <x v="16"/>
    <x v="9"/>
    <x v="3"/>
  </r>
  <r>
    <d v="2021-04-15T00:00:00"/>
    <s v="Yo"/>
    <n v="85509989"/>
    <n v="0"/>
    <x v="0"/>
    <d v="2021-04-12T00:00:00"/>
    <s v="Retirar 120,000$ p/gober"/>
    <x v="4"/>
    <x v="9"/>
    <x v="3"/>
  </r>
  <r>
    <d v="2021-04-16T00:00:00"/>
    <s v="Yo"/>
    <n v="85509990"/>
    <n v="0"/>
    <x v="0"/>
    <d v="2021-04-12T00:00:00"/>
    <s v="Retirar 62,000$ p/gober"/>
    <x v="2"/>
    <x v="9"/>
    <x v="3"/>
  </r>
  <r>
    <d v="2021-06-30T00:00:00"/>
    <s v="Bouzyk"/>
    <n v="85509991"/>
    <n v="8800"/>
    <x v="0"/>
    <d v="2021-04-20T00:00:00"/>
    <m/>
    <x v="0"/>
    <x v="12"/>
    <x v="3"/>
  </r>
  <r>
    <d v="2021-06-22T00:00:00"/>
    <s v="Bouzyk"/>
    <n v="85509992"/>
    <n v="8900"/>
    <x v="0"/>
    <d v="2021-04-20T00:00:00"/>
    <m/>
    <x v="8"/>
    <x v="12"/>
    <x v="3"/>
  </r>
  <r>
    <d v="2021-07-08T00:00:00"/>
    <s v="Bouzyk"/>
    <n v="85509993"/>
    <n v="9280"/>
    <x v="0"/>
    <d v="2021-04-20T00:00:00"/>
    <m/>
    <x v="3"/>
    <x v="0"/>
    <x v="3"/>
  </r>
  <r>
    <d v="2021-07-16T00:00:00"/>
    <s v="Bouzyk"/>
    <n v="85509994"/>
    <n v="9100"/>
    <x v="0"/>
    <d v="2021-04-20T00:00:00"/>
    <m/>
    <x v="2"/>
    <x v="0"/>
    <x v="3"/>
  </r>
  <r>
    <d v="2021-07-22T00:00:00"/>
    <s v="Bouzyk"/>
    <n v="85509995"/>
    <n v="9200"/>
    <x v="1"/>
    <d v="2021-04-20T00:00:00"/>
    <s v="No se sabe nada"/>
    <x v="8"/>
    <x v="0"/>
    <x v="3"/>
  </r>
  <r>
    <d v="2021-07-08T00:00:00"/>
    <s v="Expensas gerardo"/>
    <n v="85509996"/>
    <n v="4000"/>
    <x v="0"/>
    <d v="2021-04-21T00:00:00"/>
    <m/>
    <x v="3"/>
    <x v="0"/>
    <x v="3"/>
  </r>
  <r>
    <d v="2021-04-20T00:00:00"/>
    <s v="Yo"/>
    <n v="85509997"/>
    <n v="0"/>
    <x v="0"/>
    <d v="2021-04-21T00:00:00"/>
    <s v="Retirar 69,000$ p/gober"/>
    <x v="18"/>
    <x v="9"/>
    <x v="3"/>
  </r>
  <r>
    <d v="2021-06-16T00:00:00"/>
    <s v="Otranto"/>
    <n v="85509998"/>
    <n v="16000"/>
    <x v="0"/>
    <d v="2021-04-29T00:00:00"/>
    <m/>
    <x v="2"/>
    <x v="12"/>
    <x v="3"/>
  </r>
  <r>
    <d v="2021-05-16T00:00:00"/>
    <s v="Otranto"/>
    <n v="85509999"/>
    <n v="17000"/>
    <x v="0"/>
    <d v="2021-04-29T00:00:00"/>
    <m/>
    <x v="2"/>
    <x v="10"/>
    <x v="3"/>
  </r>
  <r>
    <d v="2021-05-30T00:00:00"/>
    <s v="Otranto"/>
    <n v="85510000"/>
    <n v="17000"/>
    <x v="0"/>
    <d v="2021-04-29T00:00:00"/>
    <m/>
    <x v="0"/>
    <x v="10"/>
    <x v="3"/>
  </r>
  <r>
    <d v="2021-07-08T00:00:00"/>
    <s v="Lipo Mandi"/>
    <n v="85510001"/>
    <n v="16500"/>
    <x v="0"/>
    <d v="2021-04-30T00:00:00"/>
    <m/>
    <x v="3"/>
    <x v="0"/>
    <x v="3"/>
  </r>
  <r>
    <d v="2021-07-16T00:00:00"/>
    <s v="Lipo Mandi"/>
    <n v="85510002"/>
    <n v="17000"/>
    <x v="0"/>
    <d v="2021-04-30T00:00:00"/>
    <m/>
    <x v="2"/>
    <x v="0"/>
    <x v="3"/>
  </r>
  <r>
    <d v="2021-07-22T00:00:00"/>
    <s v="Lipo Mandi"/>
    <n v="85510003"/>
    <n v="17500"/>
    <x v="0"/>
    <d v="2021-04-30T00:00:00"/>
    <m/>
    <x v="8"/>
    <x v="0"/>
    <x v="3"/>
  </r>
  <r>
    <d v="2021-07-30T00:00:00"/>
    <s v="Lipo Mandi"/>
    <n v="85510004"/>
    <n v="18000"/>
    <x v="0"/>
    <d v="2021-04-30T00:00:00"/>
    <m/>
    <x v="0"/>
    <x v="0"/>
    <x v="3"/>
  </r>
  <r>
    <d v="2021-08-08T00:00:00"/>
    <s v="Lipo Mandi"/>
    <n v="85510005"/>
    <n v="19025.66"/>
    <x v="0"/>
    <d v="2021-04-30T00:00:00"/>
    <m/>
    <x v="3"/>
    <x v="1"/>
    <x v="3"/>
  </r>
  <r>
    <d v="2021-08-08T00:00:00"/>
    <s v="Vorrazo"/>
    <n v="85510006"/>
    <n v="2600"/>
    <x v="2"/>
    <d v="2021-04-30T00:00:00"/>
    <m/>
    <x v="3"/>
    <x v="1"/>
    <x v="3"/>
  </r>
  <r>
    <d v="2021-05-21T00:00:00"/>
    <s v="Otranto"/>
    <n v="85510007"/>
    <n v="12010"/>
    <x v="0"/>
    <d v="2021-04-30T00:00:00"/>
    <s v="No se la fecha de pago"/>
    <x v="10"/>
    <x v="10"/>
    <x v="3"/>
  </r>
  <r>
    <d v="2021-05-21T00:00:00"/>
    <s v="Otranto"/>
    <n v="85510008"/>
    <n v="18200"/>
    <x v="0"/>
    <d v="2021-04-30T00:00:00"/>
    <s v="No se la fecha de pago"/>
    <x v="10"/>
    <x v="10"/>
    <x v="3"/>
  </r>
  <r>
    <d v="2021-05-21T00:00:00"/>
    <s v="Otranto"/>
    <n v="85510009"/>
    <n v="19200"/>
    <x v="0"/>
    <d v="2021-04-30T00:00:00"/>
    <s v="No se la fecha de pago"/>
    <x v="10"/>
    <x v="10"/>
    <x v="3"/>
  </r>
  <r>
    <d v="2021-05-21T00:00:00"/>
    <s v="Otranto"/>
    <n v="85510010"/>
    <n v="23700"/>
    <x v="0"/>
    <d v="2021-04-30T00:00:00"/>
    <s v="No se la fecha de pago"/>
    <x v="10"/>
    <x v="10"/>
    <x v="3"/>
  </r>
  <r>
    <d v="2021-06-30T00:00:00"/>
    <s v="San Cristobal Gol"/>
    <n v="85510011"/>
    <n v="4106"/>
    <x v="0"/>
    <d v="2021-05-10T00:00:00"/>
    <m/>
    <x v="0"/>
    <x v="12"/>
    <x v="3"/>
  </r>
  <r>
    <d v="2021-07-16T00:00:00"/>
    <s v="San Cristobal Gol"/>
    <n v="85510012"/>
    <n v="4108"/>
    <x v="0"/>
    <d v="2021-05-10T00:00:00"/>
    <m/>
    <x v="2"/>
    <x v="0"/>
    <x v="3"/>
  </r>
  <r>
    <d v="2021-07-30T00:00:00"/>
    <s v="San Cristobal Gol"/>
    <n v="85510013"/>
    <n v="4200"/>
    <x v="0"/>
    <d v="2021-05-10T00:00:00"/>
    <m/>
    <x v="0"/>
    <x v="0"/>
    <x v="3"/>
  </r>
  <r>
    <d v="2021-08-08T00:00:00"/>
    <s v="San Cristobal Gol"/>
    <n v="85510014"/>
    <n v="4100"/>
    <x v="0"/>
    <d v="2021-05-10T00:00:00"/>
    <m/>
    <x v="3"/>
    <x v="1"/>
    <x v="3"/>
  </r>
  <r>
    <d v="2021-08-16T00:00:00"/>
    <s v="San Cristobal Gol"/>
    <n v="85510015"/>
    <n v="4200"/>
    <x v="0"/>
    <d v="2021-05-10T00:00:00"/>
    <m/>
    <x v="2"/>
    <x v="1"/>
    <x v="3"/>
  </r>
  <r>
    <d v="2021-05-30T00:00:00"/>
    <s v="La pastora"/>
    <n v="85510016"/>
    <n v="8376"/>
    <x v="0"/>
    <d v="2021-05-10T00:00:00"/>
    <m/>
    <x v="0"/>
    <x v="10"/>
    <x v="3"/>
  </r>
  <r>
    <d v="2021-07-30T00:00:00"/>
    <s v="Veccio"/>
    <n v="85510017"/>
    <n v="7432.1"/>
    <x v="0"/>
    <d v="2021-05-10T00:00:00"/>
    <m/>
    <x v="0"/>
    <x v="0"/>
    <x v="3"/>
  </r>
  <r>
    <d v="2021-07-16T00:00:00"/>
    <s v="Expensas gerardo"/>
    <n v="85510018"/>
    <n v="7250"/>
    <x v="0"/>
    <d v="2021-05-12T00:00:00"/>
    <m/>
    <x v="2"/>
    <x v="0"/>
    <x v="3"/>
  </r>
  <r>
    <d v="2021-07-22T00:00:00"/>
    <s v="Expensas gerardo"/>
    <n v="85510019"/>
    <n v="5000"/>
    <x v="0"/>
    <d v="2021-05-12T00:00:00"/>
    <m/>
    <x v="8"/>
    <x v="0"/>
    <x v="3"/>
  </r>
  <r>
    <d v="2021-07-22T00:00:00"/>
    <s v="Mandy"/>
    <n v="85510020"/>
    <n v="10000"/>
    <x v="0"/>
    <d v="2021-05-13T00:00:00"/>
    <m/>
    <x v="8"/>
    <x v="0"/>
    <x v="3"/>
  </r>
  <r>
    <d v="2021-07-30T00:00:00"/>
    <s v="Mandy"/>
    <n v="85510021"/>
    <n v="19548"/>
    <x v="0"/>
    <d v="2021-05-13T00:00:00"/>
    <m/>
    <x v="0"/>
    <x v="0"/>
    <x v="3"/>
  </r>
  <r>
    <d v="2021-08-08T00:00:00"/>
    <s v="Mandy"/>
    <n v="85510022"/>
    <n v="12000"/>
    <x v="0"/>
    <d v="2021-05-13T00:00:00"/>
    <m/>
    <x v="3"/>
    <x v="1"/>
    <x v="3"/>
  </r>
  <r>
    <d v="2021-08-16T00:00:00"/>
    <s v="Mandy"/>
    <n v="85510023"/>
    <n v="16067.44"/>
    <x v="0"/>
    <d v="2021-05-13T00:00:00"/>
    <m/>
    <x v="2"/>
    <x v="1"/>
    <x v="3"/>
  </r>
  <r>
    <d v="2021-08-22T00:00:00"/>
    <s v="Mandy"/>
    <n v="85510024"/>
    <n v="17070"/>
    <x v="0"/>
    <d v="2021-05-13T00:00:00"/>
    <m/>
    <x v="8"/>
    <x v="1"/>
    <x v="3"/>
  </r>
  <r>
    <d v="2021-08-30T00:00:00"/>
    <s v="Mandy"/>
    <n v="85510025"/>
    <n v="18070"/>
    <x v="0"/>
    <d v="2021-05-13T00:00:00"/>
    <m/>
    <x v="0"/>
    <x v="1"/>
    <x v="3"/>
  </r>
  <r>
    <d v="2021-05-30T00:00:00"/>
    <s v="Cambio cheques riabis"/>
    <n v="86943601"/>
    <n v="31548"/>
    <x v="0"/>
    <d v="2021-05-20T00:00:00"/>
    <s v="Cambio cheques de riabis por los de el, para otranto"/>
    <x v="0"/>
    <x v="10"/>
    <x v="3"/>
  </r>
  <r>
    <d v="2021-06-08T00:00:00"/>
    <s v="Otranto"/>
    <n v="86943602"/>
    <n v="32000"/>
    <x v="0"/>
    <d v="2021-05-20T00:00:00"/>
    <m/>
    <x v="3"/>
    <x v="12"/>
    <x v="3"/>
  </r>
  <r>
    <d v="2021-06-16T00:00:00"/>
    <s v="Otranto"/>
    <n v="86943603"/>
    <n v="33704.28"/>
    <x v="0"/>
    <d v="2021-05-20T00:00:00"/>
    <m/>
    <x v="2"/>
    <x v="12"/>
    <x v="3"/>
  </r>
  <r>
    <d v="2021-07-22T00:00:00"/>
    <s v="Bouzyk"/>
    <n v="86943604"/>
    <n v="13000"/>
    <x v="0"/>
    <d v="2021-05-20T00:00:00"/>
    <m/>
    <x v="8"/>
    <x v="0"/>
    <x v="3"/>
  </r>
  <r>
    <d v="2021-07-30T00:00:00"/>
    <s v="Bouzyk"/>
    <n v="86943605"/>
    <n v="14460"/>
    <x v="0"/>
    <d v="2021-05-20T00:00:00"/>
    <m/>
    <x v="0"/>
    <x v="0"/>
    <x v="3"/>
  </r>
  <r>
    <d v="2021-08-08T00:00:00"/>
    <s v="Bouzyk"/>
    <n v="86943606"/>
    <n v="15000"/>
    <x v="0"/>
    <d v="2021-05-20T00:00:00"/>
    <m/>
    <x v="3"/>
    <x v="1"/>
    <x v="3"/>
  </r>
  <r>
    <d v="2021-07-30T00:00:00"/>
    <s v="Bouzyk"/>
    <n v="86943607"/>
    <n v="6073"/>
    <x v="0"/>
    <d v="2021-05-20T00:00:00"/>
    <m/>
    <x v="0"/>
    <x v="0"/>
    <x v="3"/>
  </r>
  <r>
    <d v="2021-08-08T00:00:00"/>
    <s v="Bouzyk"/>
    <n v="86943608"/>
    <n v="6100"/>
    <x v="0"/>
    <d v="2021-05-20T00:00:00"/>
    <m/>
    <x v="3"/>
    <x v="1"/>
    <x v="3"/>
  </r>
  <r>
    <d v="2021-06-01T00:00:00"/>
    <s v="Visa Provincia"/>
    <s v="Cierre 20/5/2021"/>
    <n v="43990.13"/>
    <x v="0"/>
    <d v="2021-05-26T00:00:00"/>
    <m/>
    <x v="28"/>
    <x v="12"/>
    <x v="3"/>
  </r>
  <r>
    <d v="2021-06-01T00:00:00"/>
    <s v="Master Provincia"/>
    <s v="Cierre 20/5/2021"/>
    <n v="17375.169999999998"/>
    <x v="0"/>
    <d v="2021-05-26T00:00:00"/>
    <m/>
    <x v="28"/>
    <x v="12"/>
    <x v="3"/>
  </r>
  <r>
    <d v="2021-12-30T00:00:00"/>
    <s v="Vorrazo"/>
    <n v="86943609"/>
    <n v="2000"/>
    <x v="4"/>
    <d v="2021-10-05T00:00:00"/>
    <m/>
    <x v="0"/>
    <x v="5"/>
    <x v="3"/>
  </r>
  <r>
    <d v="2021-06-08T00:00:00"/>
    <s v="La pastora"/>
    <n v="86943610"/>
    <n v="6023.06"/>
    <x v="0"/>
    <d v="2021-05-26T00:00:00"/>
    <m/>
    <x v="3"/>
    <x v="12"/>
    <x v="3"/>
  </r>
  <r>
    <d v="2021-06-16T00:00:00"/>
    <s v="Panromar"/>
    <n v="86943611"/>
    <n v="10900"/>
    <x v="0"/>
    <d v="2021-05-26T00:00:00"/>
    <m/>
    <x v="2"/>
    <x v="12"/>
    <x v="3"/>
  </r>
  <r>
    <d v="2021-06-22T00:00:00"/>
    <s v="Panromar"/>
    <n v="86943612"/>
    <n v="11000"/>
    <x v="0"/>
    <d v="2021-05-26T00:00:00"/>
    <m/>
    <x v="8"/>
    <x v="12"/>
    <x v="3"/>
  </r>
  <r>
    <d v="2021-06-30T00:00:00"/>
    <s v="Panromar"/>
    <n v="86943613"/>
    <n v="11000"/>
    <x v="0"/>
    <d v="2021-05-26T00:00:00"/>
    <m/>
    <x v="0"/>
    <x v="12"/>
    <x v="3"/>
  </r>
  <r>
    <d v="2021-07-22T00:00:00"/>
    <s v="Veccio"/>
    <n v="86943614"/>
    <n v="5500"/>
    <x v="0"/>
    <d v="2021-05-30T00:00:00"/>
    <m/>
    <x v="8"/>
    <x v="0"/>
    <x v="3"/>
  </r>
  <r>
    <d v="2021-07-30T00:00:00"/>
    <s v="Veccio"/>
    <n v="86943615"/>
    <n v="6000.61"/>
    <x v="0"/>
    <d v="2021-05-30T00:00:00"/>
    <m/>
    <x v="0"/>
    <x v="0"/>
    <x v="3"/>
  </r>
  <r>
    <d v="2021-08-08T00:00:00"/>
    <s v="Veccio"/>
    <n v="86943616"/>
    <n v="6180"/>
    <x v="0"/>
    <d v="2021-05-30T00:00:00"/>
    <m/>
    <x v="3"/>
    <x v="1"/>
    <x v="3"/>
  </r>
  <r>
    <d v="2021-06-30T00:00:00"/>
    <s v="Eco Seguro"/>
    <n v="86943617"/>
    <n v="3000"/>
    <x v="0"/>
    <d v="2021-05-26T00:00:00"/>
    <m/>
    <x v="0"/>
    <x v="12"/>
    <x v="3"/>
  </r>
  <r>
    <d v="2021-07-31T00:00:00"/>
    <s v="Vorrazo"/>
    <n v="86943618"/>
    <n v="4000"/>
    <x v="3"/>
    <d v="2021-05-26T00:00:00"/>
    <m/>
    <x v="5"/>
    <x v="0"/>
    <x v="3"/>
  </r>
  <r>
    <d v="2021-10-31T00:00:00"/>
    <s v="Rus Eco Seguro"/>
    <n v="86943619"/>
    <n v="4000"/>
    <x v="4"/>
    <d v="2021-09-28T00:00:00"/>
    <m/>
    <x v="5"/>
    <x v="3"/>
    <x v="3"/>
  </r>
  <r>
    <d v="2021-07-30T00:00:00"/>
    <s v="Temco"/>
    <n v="86943620"/>
    <n v="13000"/>
    <x v="0"/>
    <d v="2021-06-10T00:00:00"/>
    <m/>
    <x v="0"/>
    <x v="0"/>
    <x v="3"/>
  </r>
  <r>
    <d v="2021-08-08T00:00:00"/>
    <s v="Temco"/>
    <n v="86943621"/>
    <n v="14000"/>
    <x v="0"/>
    <d v="2021-06-10T00:00:00"/>
    <m/>
    <x v="3"/>
    <x v="1"/>
    <x v="3"/>
  </r>
  <r>
    <d v="2021-08-16T00:00:00"/>
    <s v="Temco"/>
    <n v="86943622"/>
    <n v="15000"/>
    <x v="0"/>
    <d v="2021-06-10T00:00:00"/>
    <m/>
    <x v="2"/>
    <x v="1"/>
    <x v="3"/>
  </r>
  <r>
    <d v="2021-08-22T00:00:00"/>
    <s v="Temco"/>
    <n v="86943623"/>
    <n v="15000"/>
    <x v="0"/>
    <d v="2021-06-10T00:00:00"/>
    <m/>
    <x v="8"/>
    <x v="1"/>
    <x v="3"/>
  </r>
  <r>
    <d v="2021-08-30T00:00:00"/>
    <s v="Temco"/>
    <n v="86943624"/>
    <n v="16000"/>
    <x v="0"/>
    <d v="2021-06-10T00:00:00"/>
    <m/>
    <x v="0"/>
    <x v="1"/>
    <x v="3"/>
  </r>
  <r>
    <d v="2021-09-08T00:00:00"/>
    <s v="Temco"/>
    <n v="86943625"/>
    <n v="17000"/>
    <x v="0"/>
    <d v="2021-06-10T00:00:00"/>
    <m/>
    <x v="3"/>
    <x v="2"/>
    <x v="3"/>
  </r>
  <r>
    <d v="2021-08-16T00:00:00"/>
    <s v="Mandy"/>
    <n v="86943626"/>
    <n v="11300"/>
    <x v="0"/>
    <d v="2021-06-15T00:00:00"/>
    <m/>
    <x v="2"/>
    <x v="1"/>
    <x v="3"/>
  </r>
  <r>
    <d v="2021-08-22T00:00:00"/>
    <s v="Mandy"/>
    <n v="86943627"/>
    <n v="12330"/>
    <x v="0"/>
    <d v="2021-06-15T00:00:00"/>
    <m/>
    <x v="8"/>
    <x v="1"/>
    <x v="3"/>
  </r>
  <r>
    <d v="2021-08-30T00:00:00"/>
    <s v="Mandy"/>
    <n v="86943628"/>
    <n v="12405"/>
    <x v="0"/>
    <d v="2021-06-15T00:00:00"/>
    <m/>
    <x v="0"/>
    <x v="1"/>
    <x v="3"/>
  </r>
  <r>
    <d v="2021-09-08T00:00:00"/>
    <s v="Mandy"/>
    <n v="86943629"/>
    <n v="13400"/>
    <x v="0"/>
    <d v="2021-06-15T00:00:00"/>
    <m/>
    <x v="3"/>
    <x v="2"/>
    <x v="3"/>
  </r>
  <r>
    <d v="2021-09-16T00:00:00"/>
    <s v="Mandy"/>
    <n v="86943630"/>
    <n v="0"/>
    <x v="2"/>
    <d v="2021-06-15T00:00:00"/>
    <m/>
    <x v="2"/>
    <x v="2"/>
    <x v="3"/>
  </r>
  <r>
    <d v="2021-09-16T00:00:00"/>
    <s v="Mandy"/>
    <n v="86943631"/>
    <n v="14300.18"/>
    <x v="0"/>
    <d v="2021-06-15T00:00:00"/>
    <m/>
    <x v="2"/>
    <x v="2"/>
    <x v="3"/>
  </r>
  <r>
    <d v="2021-09-22T00:00:00"/>
    <s v="Mandy"/>
    <n v="86943632"/>
    <n v="14400"/>
    <x v="0"/>
    <d v="2021-06-15T00:00:00"/>
    <m/>
    <x v="8"/>
    <x v="2"/>
    <x v="3"/>
  </r>
  <r>
    <d v="2021-09-30T00:00:00"/>
    <s v="Mandy"/>
    <n v="86943633"/>
    <n v="15300"/>
    <x v="0"/>
    <d v="2021-06-15T00:00:00"/>
    <m/>
    <x v="0"/>
    <x v="2"/>
    <x v="3"/>
  </r>
  <r>
    <d v="2021-06-30T00:00:00"/>
    <s v="Panromar"/>
    <n v="86943634"/>
    <n v="13000"/>
    <x v="0"/>
    <d v="2021-06-15T00:00:00"/>
    <m/>
    <x v="0"/>
    <x v="12"/>
    <x v="3"/>
  </r>
  <r>
    <d v="2021-07-22T00:00:00"/>
    <s v="Panromar"/>
    <n v="86943635"/>
    <n v="14000"/>
    <x v="0"/>
    <d v="2021-06-15T00:00:00"/>
    <m/>
    <x v="8"/>
    <x v="0"/>
    <x v="3"/>
  </r>
  <r>
    <d v="2021-07-08T00:00:00"/>
    <s v="Panromar"/>
    <n v="86943636"/>
    <n v="16000"/>
    <x v="0"/>
    <d v="2021-06-15T00:00:00"/>
    <m/>
    <x v="3"/>
    <x v="0"/>
    <x v="3"/>
  </r>
  <r>
    <d v="2021-07-16T00:00:00"/>
    <s v="Panromar"/>
    <n v="86943637"/>
    <n v="15000"/>
    <x v="0"/>
    <d v="2021-06-15T00:00:00"/>
    <m/>
    <x v="2"/>
    <x v="0"/>
    <x v="3"/>
  </r>
  <r>
    <d v="2021-06-28T00:00:00"/>
    <s v="Bouzyk"/>
    <n v="86943638"/>
    <n v="62000"/>
    <x v="1"/>
    <d v="2021-06-17T00:00:00"/>
    <s v="Por Alg 24/3 200kilos - No lo recupero Carlos"/>
    <x v="24"/>
    <x v="12"/>
    <x v="3"/>
  </r>
  <r>
    <d v="2021-06-29T00:00:00"/>
    <s v="Bouzyk"/>
    <n v="86943639"/>
    <n v="63000"/>
    <x v="0"/>
    <d v="2021-06-17T00:00:00"/>
    <s v="Por Alg 24/3 200kilos"/>
    <x v="14"/>
    <x v="12"/>
    <x v="3"/>
  </r>
  <r>
    <d v="2021-06-30T00:00:00"/>
    <s v="Bouzyk"/>
    <n v="86943640"/>
    <n v="65000"/>
    <x v="0"/>
    <d v="2021-06-17T00:00:00"/>
    <s v="Por Alg 24/3 200kilos"/>
    <x v="0"/>
    <x v="12"/>
    <x v="3"/>
  </r>
  <r>
    <d v="2021-07-30T00:00:00"/>
    <s v="Vorrazo"/>
    <n v="86943641"/>
    <n v="8413.84"/>
    <x v="2"/>
    <d v="2021-06-28T00:00:00"/>
    <m/>
    <x v="0"/>
    <x v="0"/>
    <x v="3"/>
  </r>
  <r>
    <d v="2021-11-30T00:00:00"/>
    <s v="Rus Eco Seguro"/>
    <n v="86943642"/>
    <n v="8000"/>
    <x v="4"/>
    <d v="2021-09-28T00:00:00"/>
    <m/>
    <x v="0"/>
    <x v="4"/>
    <x v="3"/>
  </r>
  <r>
    <d v="2021-09-30T00:00:00"/>
    <s v="Vorrazo"/>
    <n v="86943643"/>
    <n v="6000"/>
    <x v="2"/>
    <d v="2021-06-28T00:00:00"/>
    <m/>
    <x v="0"/>
    <x v="2"/>
    <x v="3"/>
  </r>
  <r>
    <d v="2021-08-22T00:00:00"/>
    <s v="Mandy"/>
    <n v="86943644"/>
    <n v="11000"/>
    <x v="0"/>
    <d v="2021-06-29T00:00:00"/>
    <m/>
    <x v="8"/>
    <x v="1"/>
    <x v="3"/>
  </r>
  <r>
    <d v="2021-08-30T00:00:00"/>
    <s v="Mandy"/>
    <n v="86943645"/>
    <n v="12000"/>
    <x v="0"/>
    <d v="2021-06-29T00:00:00"/>
    <m/>
    <x v="0"/>
    <x v="1"/>
    <x v="3"/>
  </r>
  <r>
    <d v="2021-09-22T00:00:00"/>
    <s v="Mandy"/>
    <n v="86943646"/>
    <n v="13400.89"/>
    <x v="0"/>
    <d v="2021-06-29T00:00:00"/>
    <m/>
    <x v="8"/>
    <x v="2"/>
    <x v="3"/>
  </r>
  <r>
    <d v="2021-09-08T00:00:00"/>
    <s v="Mandy"/>
    <n v="86943647"/>
    <n v="13799"/>
    <x v="0"/>
    <d v="2021-06-29T00:00:00"/>
    <m/>
    <x v="3"/>
    <x v="2"/>
    <x v="3"/>
  </r>
  <r>
    <d v="2021-09-16T00:00:00"/>
    <s v="Mandy"/>
    <n v="86943648"/>
    <n v="14000"/>
    <x v="0"/>
    <d v="2021-06-29T00:00:00"/>
    <m/>
    <x v="2"/>
    <x v="2"/>
    <x v="3"/>
  </r>
  <r>
    <d v="2021-09-30T00:00:00"/>
    <s v="Mandy"/>
    <n v="86943649"/>
    <n v="16000"/>
    <x v="0"/>
    <d v="2021-06-29T00:00:00"/>
    <m/>
    <x v="0"/>
    <x v="2"/>
    <x v="3"/>
  </r>
  <r>
    <d v="2021-10-08T00:00:00"/>
    <s v="Mandy"/>
    <n v="86943650"/>
    <n v="17000"/>
    <x v="0"/>
    <d v="2021-06-29T00:00:00"/>
    <m/>
    <x v="3"/>
    <x v="3"/>
    <x v="3"/>
  </r>
  <r>
    <d v="2021-07-28T00:00:00"/>
    <s v="Prestamo"/>
    <s v="Cuota Nº1"/>
    <n v="24657.53"/>
    <x v="0"/>
    <d v="2021-06-29T00:00:00"/>
    <m/>
    <x v="24"/>
    <x v="0"/>
    <x v="3"/>
  </r>
  <r>
    <d v="2021-08-28T00:00:00"/>
    <s v="Prestamo"/>
    <s v="Cuota Nº2"/>
    <n v="25479.45"/>
    <x v="0"/>
    <d v="2021-06-29T00:00:00"/>
    <m/>
    <x v="24"/>
    <x v="1"/>
    <x v="3"/>
  </r>
  <r>
    <d v="2021-09-28T00:00:00"/>
    <s v="Prestamo"/>
    <s v="Cuota Nº3"/>
    <n v="25479.45"/>
    <x v="0"/>
    <d v="2021-06-29T00:00:00"/>
    <m/>
    <x v="24"/>
    <x v="2"/>
    <x v="3"/>
  </r>
  <r>
    <d v="2021-10-28T00:00:00"/>
    <s v="Prestamo"/>
    <s v="Cuota Nº4"/>
    <n v="24657.53"/>
    <x v="4"/>
    <d v="2021-06-29T00:00:00"/>
    <m/>
    <x v="24"/>
    <x v="3"/>
    <x v="3"/>
  </r>
  <r>
    <d v="2021-11-28T00:00:00"/>
    <s v="Prestamo"/>
    <s v="Cuota Nº5"/>
    <n v="25479.45"/>
    <x v="4"/>
    <d v="2021-06-29T00:00:00"/>
    <m/>
    <x v="24"/>
    <x v="4"/>
    <x v="3"/>
  </r>
  <r>
    <d v="2021-12-28T00:00:00"/>
    <s v="Prestamo"/>
    <s v="Cuota Nº6"/>
    <n v="24657.53"/>
    <x v="4"/>
    <d v="2021-06-29T00:00:00"/>
    <m/>
    <x v="24"/>
    <x v="5"/>
    <x v="3"/>
  </r>
  <r>
    <d v="2022-01-28T00:00:00"/>
    <s v="Prestamo"/>
    <s v="Cuota Nº7"/>
    <n v="47701.67"/>
    <x v="4"/>
    <d v="2021-06-29T00:00:00"/>
    <m/>
    <x v="24"/>
    <x v="6"/>
    <x v="4"/>
  </r>
  <r>
    <d v="2022-02-28T00:00:00"/>
    <s v="Prestamo"/>
    <s v="Cuota Nº8"/>
    <n v="47229.83"/>
    <x v="4"/>
    <d v="2021-06-29T00:00:00"/>
    <m/>
    <x v="24"/>
    <x v="8"/>
    <x v="4"/>
  </r>
  <r>
    <d v="2022-03-28T00:00:00"/>
    <s v="Prestamo"/>
    <s v="Cuota Nº9"/>
    <n v="44383.56"/>
    <x v="4"/>
    <d v="2021-06-29T00:00:00"/>
    <m/>
    <x v="24"/>
    <x v="7"/>
    <x v="4"/>
  </r>
  <r>
    <d v="2022-04-28T00:00:00"/>
    <s v="Prestamo"/>
    <s v="Cuota Nº10"/>
    <n v="46286.15"/>
    <x v="4"/>
    <d v="2021-06-29T00:00:00"/>
    <m/>
    <x v="24"/>
    <x v="9"/>
    <x v="4"/>
  </r>
  <r>
    <d v="2022-05-28T00:00:00"/>
    <s v="Prestamo"/>
    <s v="Cuota Nº11"/>
    <n v="45053.27"/>
    <x v="4"/>
    <d v="2021-06-29T00:00:00"/>
    <m/>
    <x v="24"/>
    <x v="10"/>
    <x v="4"/>
  </r>
  <r>
    <d v="2022-06-28T00:00:00"/>
    <s v="Prestamo"/>
    <s v="Cuota Nº12"/>
    <n v="45342.47"/>
    <x v="4"/>
    <d v="2021-06-29T00:00:00"/>
    <m/>
    <x v="24"/>
    <x v="12"/>
    <x v="4"/>
  </r>
  <r>
    <d v="2022-07-28T00:00:00"/>
    <s v="Prestamo"/>
    <s v="Cuota Nº13"/>
    <n v="44140.03"/>
    <x v="4"/>
    <d v="2021-06-29T00:00:00"/>
    <m/>
    <x v="24"/>
    <x v="0"/>
    <x v="4"/>
  </r>
  <r>
    <d v="2022-08-28T00:00:00"/>
    <s v="Prestamo"/>
    <s v="Cuota Nº14"/>
    <n v="44398.78"/>
    <x v="4"/>
    <d v="2021-06-29T00:00:00"/>
    <m/>
    <x v="24"/>
    <x v="1"/>
    <x v="4"/>
  </r>
  <r>
    <d v="2022-09-28T00:00:00"/>
    <s v="Prestamo"/>
    <s v="Cuota Nº15"/>
    <n v="43926.94"/>
    <x v="4"/>
    <d v="2021-06-29T00:00:00"/>
    <m/>
    <x v="24"/>
    <x v="2"/>
    <x v="4"/>
  </r>
  <r>
    <d v="2022-10-28T00:00:00"/>
    <s v="Prestamo"/>
    <s v="Cuota Nº16"/>
    <n v="42770.17"/>
    <x v="4"/>
    <d v="2021-06-29T00:00:00"/>
    <m/>
    <x v="24"/>
    <x v="3"/>
    <x v="4"/>
  </r>
  <r>
    <d v="2022-11-28T00:00:00"/>
    <s v="Prestamo"/>
    <s v="Cuota Nº17"/>
    <n v="42983.26"/>
    <x v="4"/>
    <d v="2021-06-29T00:00:00"/>
    <m/>
    <x v="24"/>
    <x v="4"/>
    <x v="4"/>
  </r>
  <r>
    <d v="2022-12-28T00:00:00"/>
    <s v="Prestamo"/>
    <s v="Cuota Nº18"/>
    <n v="41856.93"/>
    <x v="4"/>
    <d v="2021-06-29T00:00:00"/>
    <m/>
    <x v="24"/>
    <x v="5"/>
    <x v="4"/>
  </r>
  <r>
    <d v="2023-01-28T00:00:00"/>
    <s v="Prestamo"/>
    <s v="Cuota Nº19"/>
    <n v="42039.57"/>
    <x v="4"/>
    <d v="2021-06-29T00:00:00"/>
    <m/>
    <x v="24"/>
    <x v="6"/>
    <x v="5"/>
  </r>
  <r>
    <d v="2023-02-28T00:00:00"/>
    <s v="Prestamo"/>
    <s v="Cuota Nº20"/>
    <n v="41567.730000000003"/>
    <x v="4"/>
    <d v="2021-06-29T00:00:00"/>
    <m/>
    <x v="24"/>
    <x v="8"/>
    <x v="5"/>
  </r>
  <r>
    <d v="2023-03-28T00:00:00"/>
    <s v="Prestamo"/>
    <s v="Cuota Nº21"/>
    <n v="39269.410000000003"/>
    <x v="4"/>
    <d v="2021-06-29T00:00:00"/>
    <m/>
    <x v="24"/>
    <x v="7"/>
    <x v="5"/>
  </r>
  <r>
    <d v="2023-04-28T00:00:00"/>
    <s v="Prestamo"/>
    <s v="Cuota Nº22"/>
    <n v="40624.050000000003"/>
    <x v="4"/>
    <d v="2021-06-29T00:00:00"/>
    <m/>
    <x v="24"/>
    <x v="9"/>
    <x v="5"/>
  </r>
  <r>
    <d v="2023-05-28T00:00:00"/>
    <s v="Prestamo"/>
    <s v="Cuota Nº23"/>
    <n v="39573.82"/>
    <x v="4"/>
    <d v="2021-06-29T00:00:00"/>
    <m/>
    <x v="24"/>
    <x v="10"/>
    <x v="5"/>
  </r>
  <r>
    <d v="2023-06-28T00:00:00"/>
    <s v="Prestamo"/>
    <s v="Cuota Nº24"/>
    <n v="39680.370000000003"/>
    <x v="4"/>
    <d v="2021-06-29T00:00:00"/>
    <m/>
    <x v="24"/>
    <x v="12"/>
    <x v="5"/>
  </r>
  <r>
    <d v="2023-07-28T00:00:00"/>
    <s v="Prestamo"/>
    <s v="Cuota Nº25"/>
    <n v="41948.25"/>
    <x v="4"/>
    <d v="2021-06-29T00:00:00"/>
    <m/>
    <x v="24"/>
    <x v="0"/>
    <x v="5"/>
  </r>
  <r>
    <d v="2023-08-28T00:00:00"/>
    <s v="Prestamo"/>
    <s v="Cuota Nº26"/>
    <n v="42039.57"/>
    <x v="4"/>
    <d v="2021-06-29T00:00:00"/>
    <m/>
    <x v="24"/>
    <x v="1"/>
    <x v="5"/>
  </r>
  <r>
    <d v="2023-09-28T00:00:00"/>
    <s v="Prestamo"/>
    <s v="Cuota Nº27"/>
    <n v="41473.360000000001"/>
    <x v="4"/>
    <d v="2021-06-29T00:00:00"/>
    <m/>
    <x v="24"/>
    <x v="2"/>
    <x v="5"/>
  </r>
  <r>
    <d v="2023-10-28T00:00:00"/>
    <s v="Prestamo"/>
    <s v="Cuota Nº28"/>
    <n v="40304.410000000003"/>
    <x v="4"/>
    <d v="2021-06-29T00:00:00"/>
    <m/>
    <x v="24"/>
    <x v="3"/>
    <x v="5"/>
  </r>
  <r>
    <d v="2023-11-28T00:00:00"/>
    <s v="Prestamo"/>
    <s v="Cuota Nº29"/>
    <n v="40340.94"/>
    <x v="4"/>
    <d v="2021-06-29T00:00:00"/>
    <m/>
    <x v="24"/>
    <x v="4"/>
    <x v="5"/>
  </r>
  <r>
    <d v="2023-12-28T00:00:00"/>
    <s v="Prestamo"/>
    <s v="Cuota Nº30"/>
    <n v="39208.519999999997"/>
    <x v="4"/>
    <d v="2021-06-29T00:00:00"/>
    <m/>
    <x v="24"/>
    <x v="5"/>
    <x v="5"/>
  </r>
  <r>
    <d v="2024-01-28T00:00:00"/>
    <s v="Prestamo"/>
    <s v="Cuota Nº31"/>
    <n v="39208.519999999997"/>
    <x v="4"/>
    <d v="2021-06-29T00:00:00"/>
    <m/>
    <x v="24"/>
    <x v="6"/>
    <x v="6"/>
  </r>
  <r>
    <d v="2024-02-28T00:00:00"/>
    <s v="Prestamo"/>
    <s v="Cuota Nº32"/>
    <n v="38642.31"/>
    <x v="4"/>
    <d v="2021-06-29T00:00:00"/>
    <m/>
    <x v="24"/>
    <x v="8"/>
    <x v="6"/>
  </r>
  <r>
    <d v="2024-03-28T00:00:00"/>
    <s v="Prestamo"/>
    <s v="Cuota Nº33"/>
    <n v="37053.269999999997"/>
    <x v="4"/>
    <d v="2021-06-29T00:00:00"/>
    <m/>
    <x v="24"/>
    <x v="7"/>
    <x v="6"/>
  </r>
  <r>
    <d v="2024-04-28T00:00:00"/>
    <s v="Prestamo"/>
    <s v="Cuota Nº34"/>
    <n v="37509.89"/>
    <x v="4"/>
    <d v="2021-06-29T00:00:00"/>
    <m/>
    <x v="24"/>
    <x v="9"/>
    <x v="6"/>
  </r>
  <r>
    <d v="2024-05-28T00:00:00"/>
    <s v="Prestamo"/>
    <s v="Cuota Nº35"/>
    <n v="36468.800000000003"/>
    <x v="4"/>
    <d v="2021-06-29T00:00:00"/>
    <m/>
    <x v="24"/>
    <x v="10"/>
    <x v="6"/>
  </r>
  <r>
    <d v="2024-06-28T00:00:00"/>
    <s v="Prestamo"/>
    <s v="Cuota Nº36"/>
    <n v="36377.47"/>
    <x v="4"/>
    <d v="2021-06-29T00:00:00"/>
    <m/>
    <x v="24"/>
    <x v="12"/>
    <x v="6"/>
  </r>
  <r>
    <d v="2024-07-28T00:00:00"/>
    <s v="Prestamo"/>
    <s v="Cuota Nº37"/>
    <n v="35372.910000000003"/>
    <x v="4"/>
    <d v="2021-06-29T00:00:00"/>
    <m/>
    <x v="24"/>
    <x v="0"/>
    <x v="6"/>
  </r>
  <r>
    <d v="2024-08-28T00:00:00"/>
    <s v="Prestamo"/>
    <s v="Cuota Nº38"/>
    <n v="35245.050000000003"/>
    <x v="4"/>
    <d v="2021-06-29T00:00:00"/>
    <m/>
    <x v="24"/>
    <x v="1"/>
    <x v="6"/>
  </r>
  <r>
    <d v="2024-09-28T00:00:00"/>
    <s v="Prestamo"/>
    <s v="Cuota Nº39"/>
    <n v="34678.839999999997"/>
    <x v="4"/>
    <d v="2021-06-29T00:00:00"/>
    <m/>
    <x v="24"/>
    <x v="2"/>
    <x v="6"/>
  </r>
  <r>
    <d v="2024-10-28T00:00:00"/>
    <s v="Prestamo"/>
    <s v="Cuota Nº40"/>
    <n v="33729.07"/>
    <x v="4"/>
    <d v="2021-06-29T00:00:00"/>
    <m/>
    <x v="24"/>
    <x v="3"/>
    <x v="6"/>
  </r>
  <r>
    <d v="2024-11-28T00:00:00"/>
    <s v="Prestamo"/>
    <s v="Cuota Nº41"/>
    <n v="33546.42"/>
    <x v="4"/>
    <d v="2021-06-29T00:00:00"/>
    <m/>
    <x v="24"/>
    <x v="4"/>
    <x v="6"/>
  </r>
  <r>
    <d v="2024-12-28T00:00:00"/>
    <s v="Prestamo"/>
    <s v="Cuota Nº42"/>
    <n v="32633.18"/>
    <x v="4"/>
    <d v="2021-06-29T00:00:00"/>
    <m/>
    <x v="24"/>
    <x v="5"/>
    <x v="6"/>
  </r>
  <r>
    <d v="2025-01-28T00:00:00"/>
    <s v="Prestamo"/>
    <s v="Cuota Nº43"/>
    <n v="32414"/>
    <x v="4"/>
    <d v="2021-06-29T00:00:00"/>
    <m/>
    <x v="24"/>
    <x v="6"/>
    <x v="7"/>
  </r>
  <r>
    <d v="2025-02-28T00:00:00"/>
    <s v="Prestamo"/>
    <s v="Cuota Nº44"/>
    <n v="31847.79"/>
    <x v="4"/>
    <d v="2021-06-29T00:00:00"/>
    <m/>
    <x v="24"/>
    <x v="8"/>
    <x v="7"/>
  </r>
  <r>
    <d v="2025-03-28T00:00:00"/>
    <s v="Prestamo"/>
    <s v="Cuota Nº45"/>
    <n v="30404.87"/>
    <x v="4"/>
    <d v="2021-06-29T00:00:00"/>
    <m/>
    <x v="24"/>
    <x v="7"/>
    <x v="7"/>
  </r>
  <r>
    <d v="2025-04-28T00:00:00"/>
    <s v="Prestamo"/>
    <s v="Cuota Nº46"/>
    <n v="30715.37"/>
    <x v="4"/>
    <d v="2021-06-29T00:00:00"/>
    <m/>
    <x v="24"/>
    <x v="9"/>
    <x v="7"/>
  </r>
  <r>
    <d v="2025-05-28T00:00:00"/>
    <s v="Prestamo"/>
    <s v="Cuota Nº47"/>
    <n v="29893.46"/>
    <x v="4"/>
    <d v="2021-06-29T00:00:00"/>
    <m/>
    <x v="24"/>
    <x v="10"/>
    <x v="7"/>
  </r>
  <r>
    <d v="2025-06-28T00:00:00"/>
    <s v="Prestamo"/>
    <s v="Cuota Nº48"/>
    <n v="29582.95"/>
    <x v="4"/>
    <d v="2021-06-29T00:00:00"/>
    <m/>
    <x v="24"/>
    <x v="12"/>
    <x v="7"/>
  </r>
  <r>
    <d v="2025-07-28T00:00:00"/>
    <s v="Prestamo"/>
    <s v="Cuota Nº49"/>
    <n v="28797.56"/>
    <x v="4"/>
    <d v="2021-06-29T00:00:00"/>
    <m/>
    <x v="24"/>
    <x v="0"/>
    <x v="7"/>
  </r>
  <r>
    <d v="2025-08-28T00:00:00"/>
    <s v="Prestamo"/>
    <s v="Cuota Nº50"/>
    <n v="28450.53"/>
    <x v="4"/>
    <d v="2021-06-29T00:00:00"/>
    <m/>
    <x v="24"/>
    <x v="1"/>
    <x v="7"/>
  </r>
  <r>
    <d v="2025-09-28T00:00:00"/>
    <s v="Prestamo"/>
    <s v="Cuota Nº51"/>
    <n v="27884.32"/>
    <x v="4"/>
    <d v="2021-06-29T00:00:00"/>
    <m/>
    <x v="24"/>
    <x v="2"/>
    <x v="7"/>
  </r>
  <r>
    <d v="2025-10-28T00:00:00"/>
    <s v="Prestamo"/>
    <s v="Cuota Nº52"/>
    <n v="27153.73"/>
    <x v="4"/>
    <d v="2021-06-29T00:00:00"/>
    <m/>
    <x v="24"/>
    <x v="3"/>
    <x v="7"/>
  </r>
  <r>
    <d v="2025-11-28T00:00:00"/>
    <s v="Prestamo"/>
    <s v="Cuota Nº53"/>
    <n v="26751.9"/>
    <x v="4"/>
    <d v="2021-06-29T00:00:00"/>
    <m/>
    <x v="24"/>
    <x v="4"/>
    <x v="7"/>
  </r>
  <r>
    <d v="2025-12-28T00:00:00"/>
    <s v="Prestamo"/>
    <s v="Cuota Nº54"/>
    <n v="26057.84"/>
    <x v="4"/>
    <d v="2021-06-29T00:00:00"/>
    <m/>
    <x v="24"/>
    <x v="5"/>
    <x v="7"/>
  </r>
  <r>
    <d v="2026-01-28T00:00:00"/>
    <s v="Prestamo"/>
    <s v="Cuota Nº55"/>
    <n v="25619.48"/>
    <x v="4"/>
    <d v="2021-06-29T00:00:00"/>
    <m/>
    <x v="24"/>
    <x v="6"/>
    <x v="8"/>
  </r>
  <r>
    <d v="2026-02-28T00:00:00"/>
    <s v="Prestamo"/>
    <s v="Cuota Nº56"/>
    <n v="25053.27"/>
    <x v="4"/>
    <d v="2021-06-29T00:00:00"/>
    <m/>
    <x v="24"/>
    <x v="8"/>
    <x v="8"/>
  </r>
  <r>
    <d v="2026-03-28T00:00:00"/>
    <s v="Prestamo"/>
    <s v="Cuota Nº57"/>
    <n v="24267.88"/>
    <x v="4"/>
    <d v="2021-06-29T00:00:00"/>
    <m/>
    <x v="24"/>
    <x v="7"/>
    <x v="8"/>
  </r>
  <r>
    <d v="2026-04-28T00:00:00"/>
    <s v="Prestamo"/>
    <s v="Cuota Nº58"/>
    <n v="23920.85"/>
    <x v="4"/>
    <d v="2021-06-29T00:00:00"/>
    <m/>
    <x v="24"/>
    <x v="9"/>
    <x v="8"/>
  </r>
  <r>
    <d v="2026-05-28T00:00:00"/>
    <s v="Prestamo"/>
    <s v="Cuota Nº59"/>
    <n v="23318.11"/>
    <x v="4"/>
    <d v="2021-06-29T00:00:00"/>
    <m/>
    <x v="24"/>
    <x v="10"/>
    <x v="8"/>
  </r>
  <r>
    <d v="2026-06-28T00:00:00"/>
    <s v="Prestamo"/>
    <s v="Cuota Nº60"/>
    <n v="22788.43"/>
    <x v="4"/>
    <d v="2021-06-29T00:00:00"/>
    <m/>
    <x v="24"/>
    <x v="12"/>
    <x v="8"/>
  </r>
  <r>
    <d v="2021-08-08T00:00:00"/>
    <s v="Eco Seguro"/>
    <n v="87608926"/>
    <n v="6023"/>
    <x v="0"/>
    <d v="2021-07-12T00:00:00"/>
    <m/>
    <x v="3"/>
    <x v="1"/>
    <x v="3"/>
  </r>
  <r>
    <d v="2021-09-08T00:00:00"/>
    <s v="Eco Seguro"/>
    <n v="87608927"/>
    <n v="6400"/>
    <x v="0"/>
    <d v="2021-07-12T00:00:00"/>
    <m/>
    <x v="3"/>
    <x v="2"/>
    <x v="3"/>
  </r>
  <r>
    <d v="2021-09-16T00:00:00"/>
    <s v="Temco"/>
    <n v="87608928"/>
    <n v="20000"/>
    <x v="0"/>
    <d v="2021-07-15T00:00:00"/>
    <m/>
    <x v="2"/>
    <x v="2"/>
    <x v="3"/>
  </r>
  <r>
    <d v="2021-10-16T00:00:00"/>
    <s v="Temco"/>
    <n v="87608929"/>
    <n v="20000"/>
    <x v="0"/>
    <d v="2021-07-15T00:00:00"/>
    <m/>
    <x v="2"/>
    <x v="3"/>
    <x v="3"/>
  </r>
  <r>
    <d v="2021-11-16T00:00:00"/>
    <s v="Temco"/>
    <n v="87608930"/>
    <n v="20000"/>
    <x v="4"/>
    <d v="2021-07-15T00:00:00"/>
    <m/>
    <x v="2"/>
    <x v="4"/>
    <x v="3"/>
  </r>
  <r>
    <d v="2021-08-16T00:00:00"/>
    <s v="Expensas gerardo"/>
    <n v="87608931"/>
    <n v="3900"/>
    <x v="0"/>
    <d v="2021-07-15T00:00:00"/>
    <m/>
    <x v="2"/>
    <x v="1"/>
    <x v="3"/>
  </r>
  <r>
    <d v="2021-09-15T00:00:00"/>
    <s v="Vorrazo"/>
    <n v="87608932"/>
    <n v="2700"/>
    <x v="2"/>
    <d v="2021-07-15T00:00:00"/>
    <m/>
    <x v="4"/>
    <x v="2"/>
    <x v="3"/>
  </r>
  <r>
    <d v="2021-08-22T00:00:00"/>
    <s v="Expensas gerardo"/>
    <n v="87608933"/>
    <n v="6701"/>
    <x v="0"/>
    <d v="2021-07-15T00:00:00"/>
    <m/>
    <x v="8"/>
    <x v="1"/>
    <x v="3"/>
  </r>
  <r>
    <d v="2021-09-08T00:00:00"/>
    <s v="Expensas gerardo"/>
    <n v="87608934"/>
    <n v="7250"/>
    <x v="0"/>
    <d v="2021-07-15T00:00:00"/>
    <s v="O 7250$"/>
    <x v="3"/>
    <x v="2"/>
    <x v="3"/>
  </r>
  <r>
    <d v="2021-08-30T00:00:00"/>
    <s v="Otranto"/>
    <n v="87608935"/>
    <n v="22700"/>
    <x v="0"/>
    <d v="2021-07-28T00:00:00"/>
    <m/>
    <x v="0"/>
    <x v="1"/>
    <x v="3"/>
  </r>
  <r>
    <d v="2021-09-08T00:00:00"/>
    <s v="Otranto"/>
    <n v="87608936"/>
    <n v="23900"/>
    <x v="0"/>
    <d v="2021-07-28T00:00:00"/>
    <m/>
    <x v="3"/>
    <x v="2"/>
    <x v="3"/>
  </r>
  <r>
    <d v="2021-09-16T00:00:00"/>
    <s v="Otranto"/>
    <n v="87608937"/>
    <n v="24627.81"/>
    <x v="0"/>
    <d v="2021-07-28T00:00:00"/>
    <m/>
    <x v="2"/>
    <x v="2"/>
    <x v="3"/>
  </r>
  <r>
    <d v="2021-09-22T00:00:00"/>
    <s v="Otranto"/>
    <n v="87608938"/>
    <n v="25800"/>
    <x v="0"/>
    <d v="2021-07-28T00:00:00"/>
    <m/>
    <x v="8"/>
    <x v="2"/>
    <x v="3"/>
  </r>
  <r>
    <d v="2021-09-30T00:00:00"/>
    <s v="Otranto"/>
    <n v="87608939"/>
    <n v="26900"/>
    <x v="0"/>
    <d v="2021-07-28T00:00:00"/>
    <m/>
    <x v="0"/>
    <x v="2"/>
    <x v="3"/>
  </r>
  <r>
    <d v="2021-10-08T00:00:00"/>
    <s v="Mandy"/>
    <n v="87608940"/>
    <n v="18700"/>
    <x v="4"/>
    <d v="2021-08-02T00:00:00"/>
    <m/>
    <x v="3"/>
    <x v="3"/>
    <x v="3"/>
  </r>
  <r>
    <d v="2021-10-16T00:00:00"/>
    <s v="Mandy"/>
    <n v="87608941"/>
    <n v="20091"/>
    <x v="4"/>
    <d v="2021-08-02T00:00:00"/>
    <m/>
    <x v="2"/>
    <x v="3"/>
    <x v="3"/>
  </r>
  <r>
    <d v="2021-10-22T00:00:00"/>
    <s v="Mandy"/>
    <n v="87608942"/>
    <n v="20300.990000000002"/>
    <x v="4"/>
    <d v="2021-08-02T00:00:00"/>
    <m/>
    <x v="8"/>
    <x v="3"/>
    <x v="3"/>
  </r>
  <r>
    <d v="2021-10-30T00:00:00"/>
    <s v="Mandy"/>
    <n v="87608943"/>
    <n v="21000"/>
    <x v="4"/>
    <d v="2021-08-02T00:00:00"/>
    <m/>
    <x v="0"/>
    <x v="3"/>
    <x v="3"/>
  </r>
  <r>
    <d v="2021-09-15T00:00:00"/>
    <s v="Vorrazo"/>
    <n v="87608944"/>
    <n v="6000"/>
    <x v="2"/>
    <d v="2021-08-04T00:00:00"/>
    <m/>
    <x v="4"/>
    <x v="2"/>
    <x v="3"/>
  </r>
  <r>
    <d v="2021-10-08T00:00:00"/>
    <m/>
    <n v="87608945"/>
    <n v="5543.26"/>
    <x v="3"/>
    <d v="2021-08-04T00:00:00"/>
    <m/>
    <x v="3"/>
    <x v="3"/>
    <x v="3"/>
  </r>
  <r>
    <d v="2021-09-30T00:00:00"/>
    <s v="Veccio"/>
    <n v="87608946"/>
    <n v="5543.2"/>
    <x v="0"/>
    <d v="2021-08-04T00:00:00"/>
    <m/>
    <x v="0"/>
    <x v="2"/>
    <x v="3"/>
  </r>
  <r>
    <d v="2021-10-30T00:00:00"/>
    <s v="Temco"/>
    <n v="87608947"/>
    <n v="10000"/>
    <x v="4"/>
    <d v="2021-08-18T00:00:00"/>
    <m/>
    <x v="0"/>
    <x v="3"/>
    <x v="3"/>
  </r>
  <r>
    <d v="2021-11-08T00:00:00"/>
    <s v="Temco"/>
    <n v="87608948"/>
    <n v="8000"/>
    <x v="4"/>
    <d v="2021-08-18T00:00:00"/>
    <m/>
    <x v="3"/>
    <x v="4"/>
    <x v="3"/>
  </r>
  <r>
    <d v="2021-11-16T00:00:00"/>
    <s v="Temco"/>
    <n v="87608949"/>
    <n v="9000"/>
    <x v="4"/>
    <d v="2021-08-18T00:00:00"/>
    <m/>
    <x v="2"/>
    <x v="4"/>
    <x v="3"/>
  </r>
  <r>
    <d v="2021-11-22T00:00:00"/>
    <s v="Temco"/>
    <n v="87608950"/>
    <n v="10000"/>
    <x v="4"/>
    <d v="2021-08-18T00:00:00"/>
    <m/>
    <x v="8"/>
    <x v="4"/>
    <x v="3"/>
  </r>
  <r>
    <d v="2021-11-30T00:00:00"/>
    <s v="Temco"/>
    <n v="87608951"/>
    <n v="9000"/>
    <x v="4"/>
    <d v="2021-08-18T00:00:00"/>
    <m/>
    <x v="0"/>
    <x v="4"/>
    <x v="3"/>
  </r>
  <r>
    <d v="2021-12-08T00:00:00"/>
    <s v="Temco"/>
    <n v="87608952"/>
    <n v="8000"/>
    <x v="4"/>
    <d v="2021-08-18T00:00:00"/>
    <m/>
    <x v="3"/>
    <x v="5"/>
    <x v="3"/>
  </r>
  <r>
    <d v="2021-12-16T00:00:00"/>
    <s v="Temco"/>
    <n v="87608953"/>
    <n v="10000"/>
    <x v="4"/>
    <d v="2021-08-18T00:00:00"/>
    <m/>
    <x v="2"/>
    <x v="5"/>
    <x v="3"/>
  </r>
  <r>
    <d v="2021-09-22T00:00:00"/>
    <s v="La pastora"/>
    <n v="87608954"/>
    <n v="12121.27"/>
    <x v="0"/>
    <d v="2021-08-18T00:00:00"/>
    <m/>
    <x v="8"/>
    <x v="2"/>
    <x v="3"/>
  </r>
  <r>
    <d v="2021-09-30T00:00:00"/>
    <s v="Panromar"/>
    <n v="87608955"/>
    <n v="12000"/>
    <x v="0"/>
    <d v="2021-08-18T00:00:00"/>
    <m/>
    <x v="0"/>
    <x v="2"/>
    <x v="3"/>
  </r>
  <r>
    <d v="2021-10-08T00:00:00"/>
    <s v="Panromar"/>
    <n v="87608956"/>
    <n v="12000"/>
    <x v="0"/>
    <d v="2021-08-18T00:00:00"/>
    <m/>
    <x v="3"/>
    <x v="3"/>
    <x v="3"/>
  </r>
  <r>
    <d v="2021-10-16T00:00:00"/>
    <s v="Panromar"/>
    <n v="87608957"/>
    <n v="12115"/>
    <x v="0"/>
    <d v="2021-08-18T00:00:00"/>
    <m/>
    <x v="2"/>
    <x v="3"/>
    <x v="3"/>
  </r>
  <r>
    <d v="2021-09-16T00:00:00"/>
    <s v="La pastora"/>
    <n v="87608958"/>
    <n v="6679.1"/>
    <x v="0"/>
    <d v="2021-08-26T00:00:00"/>
    <m/>
    <x v="2"/>
    <x v="2"/>
    <x v="3"/>
  </r>
  <r>
    <d v="2021-09-22T00:00:00"/>
    <s v="La pastora"/>
    <n v="87608959"/>
    <n v="17680"/>
    <x v="0"/>
    <d v="2021-08-26T00:00:00"/>
    <m/>
    <x v="8"/>
    <x v="2"/>
    <x v="3"/>
  </r>
  <r>
    <d v="2021-09-30T00:00:00"/>
    <s v="La pastora"/>
    <n v="87608960"/>
    <n v="17815.419999999998"/>
    <x v="0"/>
    <d v="2021-08-26T00:00:00"/>
    <m/>
    <x v="0"/>
    <x v="2"/>
    <x v="3"/>
  </r>
  <r>
    <d v="2021-09-30T00:00:00"/>
    <s v="Pampeano"/>
    <n v="87608961"/>
    <n v="13500"/>
    <x v="4"/>
    <d v="2021-09-01T00:00:00"/>
    <m/>
    <x v="0"/>
    <x v="2"/>
    <x v="3"/>
  </r>
  <r>
    <d v="2021-10-30T00:00:00"/>
    <s v="Pampeano"/>
    <n v="87608962"/>
    <n v="13500"/>
    <x v="4"/>
    <d v="2021-09-01T00:00:00"/>
    <m/>
    <x v="0"/>
    <x v="3"/>
    <x v="3"/>
  </r>
  <r>
    <d v="2021-10-16T00:00:00"/>
    <s v="AOT"/>
    <n v="87608963"/>
    <n v="8115.17"/>
    <x v="4"/>
    <d v="2021-09-09T00:00:00"/>
    <m/>
    <x v="2"/>
    <x v="3"/>
    <x v="3"/>
  </r>
  <r>
    <d v="2021-10-30T00:00:00"/>
    <s v="AOT"/>
    <n v="87608964"/>
    <n v="15000"/>
    <x v="4"/>
    <d v="2021-09-09T00:00:00"/>
    <m/>
    <x v="0"/>
    <x v="3"/>
    <x v="3"/>
  </r>
  <r>
    <d v="2021-11-30T00:00:00"/>
    <s v="AOT"/>
    <n v="87608965"/>
    <n v="16000"/>
    <x v="4"/>
    <d v="2021-09-09T00:00:00"/>
    <m/>
    <x v="0"/>
    <x v="4"/>
    <x v="3"/>
  </r>
  <r>
    <d v="2021-12-16T00:00:00"/>
    <s v="AOT"/>
    <n v="87608966"/>
    <n v="17141.73"/>
    <x v="4"/>
    <d v="2021-09-09T00:00:00"/>
    <m/>
    <x v="2"/>
    <x v="5"/>
    <x v="3"/>
  </r>
  <r>
    <d v="2021-12-16T00:00:00"/>
    <s v="Rus Eco Seguro"/>
    <n v="87608967"/>
    <n v="4311"/>
    <x v="4"/>
    <d v="2021-09-28T00:00:00"/>
    <m/>
    <x v="2"/>
    <x v="5"/>
    <x v="3"/>
  </r>
  <r>
    <d v="2021-10-22T00:00:00"/>
    <s v="La pastora"/>
    <n v="87608968"/>
    <n v="9509"/>
    <x v="4"/>
    <d v="2021-10-05T00:00:00"/>
    <m/>
    <x v="8"/>
    <x v="3"/>
    <x v="3"/>
  </r>
  <r>
    <d v="2021-10-30T00:00:00"/>
    <s v="La pastora"/>
    <n v="87608969"/>
    <n v="10030.31"/>
    <x v="4"/>
    <d v="2021-10-05T00:00:00"/>
    <m/>
    <x v="0"/>
    <x v="3"/>
    <x v="3"/>
  </r>
  <r>
    <d v="2021-12-30T00:00:00"/>
    <s v="La pastora"/>
    <n v="87608970"/>
    <n v="11400"/>
    <x v="4"/>
    <d v="2021-10-05T00:00:00"/>
    <m/>
    <x v="0"/>
    <x v="5"/>
    <x v="3"/>
  </r>
  <r>
    <d v="2021-11-30T00:00:00"/>
    <s v="Vorrazo"/>
    <n v="87608971"/>
    <n v="2000"/>
    <x v="4"/>
    <d v="2021-10-05T00:00:00"/>
    <m/>
    <x v="0"/>
    <x v="4"/>
    <x v="3"/>
  </r>
  <r>
    <d v="2021-12-15T00:00:00"/>
    <s v="Vorrazo"/>
    <n v="87608972"/>
    <n v="4000"/>
    <x v="4"/>
    <d v="2021-10-05T00:00:00"/>
    <m/>
    <x v="4"/>
    <x v="5"/>
    <x v="3"/>
  </r>
  <r>
    <d v="2021-11-30T00:00:00"/>
    <s v="orca"/>
    <n v="87608973"/>
    <n v="7900"/>
    <x v="4"/>
    <d v="2021-10-05T00:00:00"/>
    <m/>
    <x v="0"/>
    <x v="4"/>
    <x v="3"/>
  </r>
  <r>
    <d v="2021-12-08T00:00:00"/>
    <s v="orca"/>
    <n v="87608974"/>
    <n v="8100"/>
    <x v="4"/>
    <d v="2021-10-05T00:00:00"/>
    <m/>
    <x v="3"/>
    <x v="5"/>
    <x v="3"/>
  </r>
  <r>
    <d v="2021-12-16T00:00:00"/>
    <s v="orca"/>
    <n v="87608975"/>
    <n v="8153.07"/>
    <x v="4"/>
    <d v="2021-10-05T00:00:00"/>
    <m/>
    <x v="2"/>
    <x v="5"/>
    <x v="3"/>
  </r>
  <r>
    <d v="2021-10-16T00:00:00"/>
    <s v="Afip: P232734"/>
    <s v="Cuota Nº1"/>
    <n v="5687.31"/>
    <x v="0"/>
    <d v="2021-09-09T00:00:00"/>
    <m/>
    <x v="2"/>
    <x v="3"/>
    <x v="3"/>
  </r>
  <r>
    <d v="2021-11-16T00:00:00"/>
    <s v="Afip: P232734"/>
    <s v="Cuota Nº2"/>
    <n v="5687.31"/>
    <x v="4"/>
    <d v="2021-09-09T00:00:00"/>
    <m/>
    <x v="2"/>
    <x v="4"/>
    <x v="3"/>
  </r>
  <r>
    <d v="2021-12-16T00:00:00"/>
    <s v="Afip: P232734"/>
    <s v="Cuota Nº3"/>
    <n v="5687.31"/>
    <x v="4"/>
    <d v="2021-09-09T00:00:00"/>
    <m/>
    <x v="2"/>
    <x v="5"/>
    <x v="3"/>
  </r>
  <r>
    <d v="2021-11-08T00:00:00"/>
    <s v="Otranto"/>
    <n v="89033575"/>
    <n v="48000"/>
    <x v="4"/>
    <d v="2021-10-14T00:00:00"/>
    <m/>
    <x v="3"/>
    <x v="4"/>
    <x v="3"/>
  </r>
  <r>
    <d v="2021-11-16T00:00:00"/>
    <s v="Otranto"/>
    <n v="89033576"/>
    <n v="51000"/>
    <x v="4"/>
    <d v="2021-10-14T00:00:00"/>
    <m/>
    <x v="2"/>
    <x v="4"/>
    <x v="3"/>
  </r>
  <r>
    <d v="2021-11-22T00:00:00"/>
    <s v="Otranto"/>
    <n v="89033577"/>
    <n v="53000"/>
    <x v="4"/>
    <d v="2021-10-14T00:00:00"/>
    <m/>
    <x v="8"/>
    <x v="4"/>
    <x v="3"/>
  </r>
  <r>
    <d v="2021-11-30T00:00:00"/>
    <s v="Otranto"/>
    <n v="89033578"/>
    <n v="54125.35"/>
    <x v="4"/>
    <d v="2021-10-14T00:00:00"/>
    <m/>
    <x v="0"/>
    <x v="4"/>
    <x v="3"/>
  </r>
  <r>
    <d v="2021-12-08T00:00:00"/>
    <s v="Otranto"/>
    <n v="89033579"/>
    <n v="57000"/>
    <x v="4"/>
    <d v="2021-10-14T00:00:00"/>
    <m/>
    <x v="3"/>
    <x v="5"/>
    <x v="3"/>
  </r>
  <r>
    <d v="2021-12-16T00:00:00"/>
    <s v="Otranto"/>
    <n v="89033580"/>
    <n v="59000"/>
    <x v="4"/>
    <d v="2021-10-14T00:00:00"/>
    <m/>
    <x v="2"/>
    <x v="5"/>
    <x v="3"/>
  </r>
  <r>
    <d v="2021-12-22T00:00:00"/>
    <s v="Otranto"/>
    <n v="89033581"/>
    <n v="60000"/>
    <x v="4"/>
    <d v="2021-10-14T00:00:00"/>
    <m/>
    <x v="8"/>
    <x v="5"/>
    <x v="3"/>
  </r>
  <r>
    <m/>
    <m/>
    <n v="89033582"/>
    <m/>
    <x v="5"/>
    <m/>
    <m/>
    <x v="30"/>
    <x v="6"/>
    <x v="9"/>
  </r>
  <r>
    <m/>
    <m/>
    <n v="89033583"/>
    <m/>
    <x v="5"/>
    <m/>
    <m/>
    <x v="30"/>
    <x v="6"/>
    <x v="9"/>
  </r>
  <r>
    <m/>
    <m/>
    <n v="89033584"/>
    <m/>
    <x v="5"/>
    <m/>
    <m/>
    <x v="30"/>
    <x v="6"/>
    <x v="9"/>
  </r>
  <r>
    <m/>
    <m/>
    <n v="89033585"/>
    <m/>
    <x v="5"/>
    <m/>
    <m/>
    <x v="30"/>
    <x v="6"/>
    <x v="9"/>
  </r>
  <r>
    <m/>
    <m/>
    <n v="89033586"/>
    <m/>
    <x v="5"/>
    <m/>
    <m/>
    <x v="30"/>
    <x v="6"/>
    <x v="9"/>
  </r>
  <r>
    <m/>
    <m/>
    <n v="89033587"/>
    <m/>
    <x v="5"/>
    <m/>
    <m/>
    <x v="30"/>
    <x v="6"/>
    <x v="9"/>
  </r>
  <r>
    <m/>
    <m/>
    <n v="89033588"/>
    <m/>
    <x v="5"/>
    <m/>
    <m/>
    <x v="30"/>
    <x v="6"/>
    <x v="9"/>
  </r>
  <r>
    <m/>
    <m/>
    <n v="89033589"/>
    <m/>
    <x v="5"/>
    <m/>
    <m/>
    <x v="30"/>
    <x v="6"/>
    <x v="9"/>
  </r>
  <r>
    <m/>
    <m/>
    <n v="89033590"/>
    <m/>
    <x v="5"/>
    <m/>
    <m/>
    <x v="30"/>
    <x v="6"/>
    <x v="9"/>
  </r>
  <r>
    <m/>
    <m/>
    <n v="89033591"/>
    <m/>
    <x v="5"/>
    <m/>
    <m/>
    <x v="30"/>
    <x v="6"/>
    <x v="9"/>
  </r>
  <r>
    <m/>
    <m/>
    <n v="89033592"/>
    <m/>
    <x v="5"/>
    <m/>
    <m/>
    <x v="30"/>
    <x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AH79" firstHeaderRow="1" firstDataRow="3" firstDataCol="1" rowPageCount="2" colPageCount="1"/>
  <pivotFields count="11">
    <pivotField showAll="0"/>
    <pivotField axis="axisPage" multipleItemSelectionAllowed="1" showAll="0">
      <items count="57">
        <item h="1" x="0"/>
        <item h="1" x="42"/>
        <item x="34"/>
        <item x="35"/>
        <item x="29"/>
        <item x="48"/>
        <item x="37"/>
        <item x="44"/>
        <item h="1" x="30"/>
        <item h="1" x="40"/>
        <item h="1" x="46"/>
        <item h="1" x="8"/>
        <item h="1" x="36"/>
        <item h="1" x="38"/>
        <item h="1" x="23"/>
        <item h="1" x="27"/>
        <item h="1" x="28"/>
        <item h="1" x="4"/>
        <item h="1" x="15"/>
        <item h="1" x="5"/>
        <item h="1" x="7"/>
        <item h="1" x="43"/>
        <item h="1" x="20"/>
        <item h="1" x="18"/>
        <item h="1" x="51"/>
        <item h="1" x="6"/>
        <item h="1" x="50"/>
        <item h="1" x="14"/>
        <item h="1" x="9"/>
        <item h="1" x="24"/>
        <item h="1" x="19"/>
        <item h="1" x="41"/>
        <item h="1" x="11"/>
        <item h="1" x="12"/>
        <item h="1" x="22"/>
        <item h="1" x="26"/>
        <item h="1" x="3"/>
        <item h="1" x="13"/>
        <item h="1" x="10"/>
        <item h="1" x="45"/>
        <item h="1" x="21"/>
        <item h="1" x="47"/>
        <item h="1" x="39"/>
        <item h="1" x="31"/>
        <item h="1" x="49"/>
        <item h="1" x="1"/>
        <item h="1" x="16"/>
        <item h="1" x="33"/>
        <item h="1" x="17"/>
        <item h="1" x="2"/>
        <item h="1" x="25"/>
        <item h="1" x="32"/>
        <item x="52"/>
        <item x="53"/>
        <item x="54"/>
        <item h="1" x="55"/>
        <item t="default"/>
      </items>
    </pivotField>
    <pivotField axis="axisRow" showAll="0">
      <items count="4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88"/>
        <item x="189"/>
        <item x="212"/>
        <item x="207"/>
        <item x="187"/>
        <item x="208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7"/>
        <item x="88"/>
        <item x="90"/>
        <item x="91"/>
        <item x="93"/>
        <item x="94"/>
        <item x="128"/>
        <item x="142"/>
        <item x="89"/>
        <item x="92"/>
        <item x="83"/>
        <item x="14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44"/>
        <item x="145"/>
        <item x="146"/>
        <item x="147"/>
        <item x="148"/>
        <item x="150"/>
        <item x="149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9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42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66"/>
        <item x="467"/>
        <item x="468"/>
        <item x="469"/>
        <item m="1" x="492"/>
        <item m="1" x="484"/>
        <item m="1" x="476"/>
        <item m="1" x="489"/>
        <item m="1" x="481"/>
        <item m="1" x="473"/>
        <item m="1" x="486"/>
        <item m="1" x="478"/>
        <item m="1" x="491"/>
        <item m="1" x="483"/>
        <item m="1" x="475"/>
        <item m="1" x="488"/>
        <item m="1" x="480"/>
        <item m="1" x="472"/>
        <item m="1" x="485"/>
        <item m="1" x="477"/>
        <item m="1" x="490"/>
        <item m="1" x="482"/>
        <item m="1" x="474"/>
        <item m="1" x="487"/>
        <item m="1" x="479"/>
        <item m="1" x="471"/>
        <item x="139"/>
        <item x="140"/>
        <item x="141"/>
        <item x="190"/>
        <item x="262"/>
        <item x="162"/>
        <item x="313"/>
        <item x="314"/>
        <item x="315"/>
        <item x="316"/>
        <item x="317"/>
        <item x="318"/>
        <item x="319"/>
        <item x="320"/>
        <item x="321"/>
        <item x="163"/>
        <item x="164"/>
        <item x="165"/>
        <item x="166"/>
        <item x="185"/>
        <item x="186"/>
        <item x="184"/>
        <item x="312"/>
        <item x="470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t="default"/>
      </items>
    </pivotField>
    <pivotField dataField="1" showAll="0"/>
    <pivotField axis="axisPage" multipleItemSelectionAllowed="1" showAll="0">
      <items count="7">
        <item x="3"/>
        <item x="2"/>
        <item x="0"/>
        <item x="4"/>
        <item x="1"/>
        <item x="5"/>
        <item t="default"/>
      </items>
    </pivotField>
    <pivotField showAll="0"/>
    <pivotField showAll="0"/>
    <pivotField showAll="0"/>
    <pivotField axis="axisCol" showAll="0">
      <items count="14">
        <item x="6"/>
        <item x="8"/>
        <item x="7"/>
        <item x="9"/>
        <item x="10"/>
        <item x="12"/>
        <item x="0"/>
        <item x="1"/>
        <item x="2"/>
        <item x="3"/>
        <item x="4"/>
        <item x="5"/>
        <item x="11"/>
        <item t="default"/>
      </items>
    </pivotField>
    <pivotField axis="axisCol" showAll="0">
      <items count="11">
        <item sd="0" x="9"/>
        <item sd="0" x="0"/>
        <item x="1"/>
        <item x="3"/>
        <item x="2"/>
        <item sd="0" x="4"/>
        <item sd="0" x="5"/>
        <item sd="0" x="6"/>
        <item sd="0" x="7"/>
        <item sd="0" x="8"/>
        <item t="default"/>
      </items>
    </pivotField>
    <pivotField showAll="0"/>
  </pivotFields>
  <rowFields count="1">
    <field x="2"/>
  </rowFields>
  <rowItems count="73"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 t="grand">
      <x/>
    </i>
  </rowItems>
  <colFields count="2">
    <field x="9"/>
    <field x="8"/>
  </colFields>
  <colItems count="33">
    <i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1" hier="-1"/>
    <pageField fld="4" hier="-1"/>
  </pageFields>
  <dataFields count="1">
    <dataField name="Suma de Monto" fld="3" baseField="2" baseItem="436" numFmtId="1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chas de Pagos" cacheId="11" applyNumberFormats="0" applyBorderFormats="0" applyFontFormats="0" applyPatternFormats="0" applyAlignmentFormats="0" applyWidthHeightFormats="0" dataCaption="" updatedVersion="6" rowGrandTotals="0" compact="0" compactData="0">
  <location ref="A3:K26" firstHeaderRow="1" firstDataRow="2" firstDataCol="2" rowPageCount="1" colPageCount="1"/>
  <pivotFields count="10">
    <pivotField name="Fecha de Pago" compact="0" outline="0" multipleItemSelectionAllowed="1" showAll="0"/>
    <pivotField name="Proveedor" compact="0" outline="0" multipleItemSelectionAllowed="1" showAll="0"/>
    <pivotField name="Número de Cheque" compact="0" outline="0" multipleItemSelectionAllowed="1" showAll="0"/>
    <pivotField name="Monto" dataField="1" compact="0" outline="0" multipleItemSelectionAllowed="1" showAll="0"/>
    <pivotField name="Estado" axis="axisPage" compact="0" outline="0" multipleItemSelectionAllowed="1" showAll="0">
      <items count="9">
        <item h="1" x="0"/>
        <item x="4"/>
        <item h="1" x="5"/>
        <item h="1" x="3"/>
        <item h="1" m="1" x="7"/>
        <item h="1" m="1" x="6"/>
        <item h="1" x="2"/>
        <item h="1" x="1"/>
        <item t="default"/>
      </items>
    </pivotField>
    <pivotField name="Fecha de Emision" compact="0" outline="0" multipleItemSelectionAllowed="1" showAll="0"/>
    <pivotField name="Observación" compact="0" outline="0" multipleItemSelectionAllowed="1" showAll="0"/>
    <pivotField name="Dia" axis="axisCol" compact="0" outline="0" multipleItemSelectionAllowed="1" showAll="0" sortType="ascending">
      <items count="32">
        <item x="30"/>
        <item x="28"/>
        <item x="27"/>
        <item x="15"/>
        <item x="25"/>
        <item x="7"/>
        <item x="3"/>
        <item x="12"/>
        <item x="6"/>
        <item x="20"/>
        <item x="29"/>
        <item x="16"/>
        <item x="13"/>
        <item x="4"/>
        <item x="2"/>
        <item x="23"/>
        <item x="17"/>
        <item x="19"/>
        <item x="18"/>
        <item x="10"/>
        <item x="8"/>
        <item x="1"/>
        <item x="9"/>
        <item x="26"/>
        <item x="22"/>
        <item x="11"/>
        <item x="24"/>
        <item x="14"/>
        <item x="0"/>
        <item x="5"/>
        <item x="21"/>
        <item t="default"/>
      </items>
    </pivotField>
    <pivotField name="Mes" axis="axisRow" compact="0" outline="0" multipleItemSelectionAllowed="1" showAll="0">
      <items count="14">
        <item x="6"/>
        <item x="8"/>
        <item x="7"/>
        <item x="9"/>
        <item x="10"/>
        <item x="12"/>
        <item x="0"/>
        <item x="1"/>
        <item x="2"/>
        <item x="3"/>
        <item x="4"/>
        <item x="5"/>
        <item x="11"/>
        <item t="default"/>
      </items>
    </pivotField>
    <pivotField name="Año " axis="axisRow" compact="0" outline="0" multipleItemSelectionAllowed="1" showAll="0" sortType="ascending">
      <items count="12">
        <item m="1" x="10"/>
        <item sd="0" x="9"/>
        <item x="0"/>
        <item sd="0" x="1"/>
        <item x="3"/>
        <item x="4"/>
        <item sd="0" x="5"/>
        <item sd="0" x="6"/>
        <item sd="0" x="7"/>
        <item sd="0" x="8"/>
        <item x="2"/>
        <item t="default"/>
      </items>
    </pivotField>
  </pivotFields>
  <rowFields count="2">
    <field x="9"/>
    <field x="8"/>
  </rowFields>
  <rowItems count="22">
    <i>
      <x v="4"/>
      <x v="8"/>
    </i>
    <i r="1">
      <x v="9"/>
    </i>
    <i r="1">
      <x v="10"/>
    </i>
    <i r="1">
      <x v="11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5"/>
    </i>
    <i>
      <x v="6"/>
    </i>
    <i>
      <x v="7"/>
    </i>
    <i>
      <x v="8"/>
    </i>
    <i>
      <x v="9"/>
    </i>
  </rowItems>
  <colFields count="1">
    <field x="7"/>
  </colFields>
  <colItems count="9">
    <i>
      <x v="6"/>
    </i>
    <i>
      <x v="13"/>
    </i>
    <i>
      <x v="14"/>
    </i>
    <i>
      <x v="15"/>
    </i>
    <i>
      <x v="20"/>
    </i>
    <i>
      <x v="26"/>
    </i>
    <i>
      <x v="28"/>
    </i>
    <i>
      <x v="29"/>
    </i>
    <i t="grand">
      <x/>
    </i>
  </colItems>
  <pageFields count="1">
    <pageField fld="4" hier="0"/>
  </pageFields>
  <dataFields count="1">
    <dataField name="SUM of Monto" fld="3" baseField="9" baseItem="1" numFmtId="44"/>
  </dataFields>
  <formats count="125">
    <format dxfId="370">
      <pivotArea dataOnly="0" outline="0" fieldPosition="0">
        <references count="1">
          <reference field="9" count="0" defaultSubtotal="1"/>
        </references>
      </pivotArea>
    </format>
    <format dxfId="369">
      <pivotArea dataOnly="0" outline="0" fieldPosition="0">
        <references count="1">
          <reference field="9" count="1">
            <x v="3"/>
          </reference>
        </references>
      </pivotArea>
    </format>
    <format dxfId="368">
      <pivotArea dataOnly="0" outline="0" fieldPosition="0">
        <references count="1">
          <reference field="9" count="1">
            <x v="4"/>
          </reference>
        </references>
      </pivotArea>
    </format>
    <format dxfId="367">
      <pivotArea dataOnly="0" outline="0" fieldPosition="0">
        <references count="1">
          <reference field="9" count="1">
            <x v="4"/>
          </reference>
        </references>
      </pivotArea>
    </format>
    <format dxfId="366">
      <pivotArea type="all" dataOnly="0" outline="0" fieldPosition="0"/>
    </format>
    <format dxfId="365">
      <pivotArea outline="0" fieldPosition="0"/>
    </format>
    <format dxfId="364">
      <pivotArea type="origin" dataOnly="0" labelOnly="1" outline="0" fieldPosition="0"/>
    </format>
    <format dxfId="363">
      <pivotArea field="7" type="button" dataOnly="0" labelOnly="1" outline="0" axis="axisCol" fieldPosition="0"/>
    </format>
    <format dxfId="362">
      <pivotArea type="topRight" dataOnly="0" labelOnly="1" outline="0" fieldPosition="0"/>
    </format>
    <format dxfId="361">
      <pivotArea field="9" type="button" dataOnly="0" labelOnly="1" outline="0" axis="axisRow" fieldPosition="0"/>
    </format>
    <format dxfId="360">
      <pivotArea field="8" type="button" dataOnly="0" labelOnly="1" outline="0" axis="axisRow" fieldPosition="1"/>
    </format>
    <format dxfId="359">
      <pivotArea dataOnly="0" labelOnly="1" outline="0" fieldPosition="0">
        <references count="1">
          <reference field="9" count="3">
            <x v="1"/>
            <x v="3"/>
            <x v="4"/>
          </reference>
        </references>
      </pivotArea>
    </format>
    <format dxfId="358">
      <pivotArea dataOnly="0" labelOnly="1" outline="0" fieldPosition="0">
        <references count="1">
          <reference field="9" count="3" defaultSubtotal="1">
            <x v="1"/>
            <x v="3"/>
            <x v="4"/>
          </reference>
        </references>
      </pivotArea>
    </format>
    <format dxfId="357">
      <pivotArea dataOnly="0" labelOnly="1" outline="0" fieldPosition="0">
        <references count="2">
          <reference field="8" count="1">
            <x v="0"/>
          </reference>
          <reference field="9" count="1" selected="0">
            <x v="1"/>
          </reference>
        </references>
      </pivotArea>
    </format>
    <format dxfId="356">
      <pivotArea dataOnly="0" labelOnly="1" outline="0" fieldPosition="0">
        <references count="2"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1" selected="0">
            <x v="3"/>
          </reference>
        </references>
      </pivotArea>
    </format>
    <format dxfId="355">
      <pivotArea dataOnly="0" labelOnly="1" outline="0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1" selected="0">
            <x v="4"/>
          </reference>
        </references>
      </pivotArea>
    </format>
    <format dxfId="354">
      <pivotArea dataOnly="0" labelOnly="1" outline="0" fieldPosition="0">
        <references count="1">
          <reference field="7" count="13">
            <x v="0"/>
            <x v="5"/>
            <x v="6"/>
            <x v="11"/>
            <x v="14"/>
            <x v="17"/>
            <x v="18"/>
            <x v="19"/>
            <x v="20"/>
            <x v="21"/>
            <x v="27"/>
            <x v="28"/>
            <x v="29"/>
          </reference>
        </references>
      </pivotArea>
    </format>
    <format dxfId="353">
      <pivotArea dataOnly="0" labelOnly="1" grandCol="1" outline="0" fieldPosition="0"/>
    </format>
    <format dxfId="352">
      <pivotArea dataOnly="0" outline="0" fieldPosition="0">
        <references count="1">
          <reference field="9" count="0" defaultSubtotal="1"/>
        </references>
      </pivotArea>
    </format>
    <format dxfId="351">
      <pivotArea dataOnly="0" outline="0" fieldPosition="0">
        <references count="1">
          <reference field="9" count="0" defaultSubtotal="1"/>
        </references>
      </pivotArea>
    </format>
    <format dxfId="350">
      <pivotArea type="all" dataOnly="0" outline="0" fieldPosition="0"/>
    </format>
    <format dxfId="349">
      <pivotArea outline="0" fieldPosition="0"/>
    </format>
    <format dxfId="348">
      <pivotArea type="origin" dataOnly="0" labelOnly="1" outline="0" fieldPosition="0"/>
    </format>
    <format dxfId="347">
      <pivotArea field="7" type="button" dataOnly="0" labelOnly="1" outline="0" axis="axisCol" fieldPosition="0"/>
    </format>
    <format dxfId="346">
      <pivotArea type="topRight" dataOnly="0" labelOnly="1" outline="0" fieldPosition="0"/>
    </format>
    <format dxfId="345">
      <pivotArea field="9" type="button" dataOnly="0" labelOnly="1" outline="0" axis="axisRow" fieldPosition="0"/>
    </format>
    <format dxfId="344">
      <pivotArea field="8" type="button" dataOnly="0" labelOnly="1" outline="0" axis="axisRow" fieldPosition="1"/>
    </format>
    <format dxfId="343">
      <pivotArea dataOnly="0" labelOnly="1" outline="0" fieldPosition="0">
        <references count="1">
          <reference field="9" count="3">
            <x v="1"/>
            <x v="3"/>
            <x v="4"/>
          </reference>
        </references>
      </pivotArea>
    </format>
    <format dxfId="342">
      <pivotArea dataOnly="0" labelOnly="1" outline="0" fieldPosition="0">
        <references count="1">
          <reference field="9" count="2" defaultSubtotal="1">
            <x v="3"/>
            <x v="4"/>
          </reference>
        </references>
      </pivotArea>
    </format>
    <format dxfId="341">
      <pivotArea dataOnly="0" labelOnly="1" outline="0" fieldPosition="0">
        <references count="2"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1" selected="0">
            <x v="3"/>
          </reference>
        </references>
      </pivotArea>
    </format>
    <format dxfId="340">
      <pivotArea dataOnly="0" labelOnly="1" outline="0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1" selected="0">
            <x v="4"/>
          </reference>
        </references>
      </pivotArea>
    </format>
    <format dxfId="339">
      <pivotArea dataOnly="0" labelOnly="1" outline="0" fieldPosition="0">
        <references count="1">
          <reference field="7" count="13">
            <x v="0"/>
            <x v="5"/>
            <x v="6"/>
            <x v="11"/>
            <x v="14"/>
            <x v="17"/>
            <x v="18"/>
            <x v="19"/>
            <x v="20"/>
            <x v="21"/>
            <x v="27"/>
            <x v="28"/>
            <x v="29"/>
          </reference>
        </references>
      </pivotArea>
    </format>
    <format dxfId="338">
      <pivotArea dataOnly="0" labelOnly="1" grandCol="1" outline="0" fieldPosition="0"/>
    </format>
    <format dxfId="337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36">
      <pivotArea dataOnly="0" labelOnly="1" outline="0" fieldPosition="0">
        <references count="1">
          <reference field="9" count="1">
            <x v="3"/>
          </reference>
        </references>
      </pivotArea>
    </format>
    <format dxfId="335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34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33">
      <pivotArea dataOnly="0" labelOnly="1" outline="0" fieldPosition="0">
        <references count="1">
          <reference field="9" count="1">
            <x v="3"/>
          </reference>
        </references>
      </pivotArea>
    </format>
    <format dxfId="332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31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30">
      <pivotArea dataOnly="0" labelOnly="1" outline="0" fieldPosition="0">
        <references count="1">
          <reference field="9" count="1">
            <x v="3"/>
          </reference>
        </references>
      </pivotArea>
    </format>
    <format dxfId="329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28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27">
      <pivotArea dataOnly="0" labelOnly="1" outline="0" fieldPosition="0">
        <references count="1">
          <reference field="9" count="1">
            <x v="3"/>
          </reference>
        </references>
      </pivotArea>
    </format>
    <format dxfId="326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25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24">
      <pivotArea dataOnly="0" labelOnly="1" outline="0" fieldPosition="0">
        <references count="1">
          <reference field="9" count="1">
            <x v="3"/>
          </reference>
        </references>
      </pivotArea>
    </format>
    <format dxfId="323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22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21">
      <pivotArea dataOnly="0" labelOnly="1" outline="0" fieldPosition="0">
        <references count="1">
          <reference field="9" count="1">
            <x v="3"/>
          </reference>
        </references>
      </pivotArea>
    </format>
    <format dxfId="320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19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18">
      <pivotArea dataOnly="0" labelOnly="1" outline="0" offset="IV1" fieldPosition="0">
        <references count="1">
          <reference field="9" count="1">
            <x v="3"/>
          </reference>
        </references>
      </pivotArea>
    </format>
    <format dxfId="317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16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315">
      <pivotArea dataOnly="0" labelOnly="1" outline="0" offset="IV2" fieldPosition="0">
        <references count="1">
          <reference field="9" count="1">
            <x v="3"/>
          </reference>
        </references>
      </pivotArea>
    </format>
    <format dxfId="314">
      <pivotArea dataOnly="0" labelOnly="1" outline="0" fieldPosition="0">
        <references count="2">
          <reference field="8" count="1">
            <x v="2"/>
          </reference>
          <reference field="9" count="1" selected="0">
            <x v="3"/>
          </reference>
        </references>
      </pivotArea>
    </format>
    <format dxfId="313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312">
      <pivotArea dataOnly="0" labelOnly="1" outline="0" offset="IV3" fieldPosition="0">
        <references count="1">
          <reference field="9" count="1">
            <x v="3"/>
          </reference>
        </references>
      </pivotArea>
    </format>
    <format dxfId="311">
      <pivotArea dataOnly="0" labelOnly="1" outline="0" fieldPosition="0">
        <references count="2">
          <reference field="8" count="1">
            <x v="3"/>
          </reference>
          <reference field="9" count="1" selected="0">
            <x v="3"/>
          </reference>
        </references>
      </pivotArea>
    </format>
    <format dxfId="310">
      <pivotArea outline="0" fieldPosition="0">
        <references count="2">
          <reference field="8" count="1" selected="0">
            <x v="4"/>
          </reference>
          <reference field="9" count="1" selected="0">
            <x v="3"/>
          </reference>
        </references>
      </pivotArea>
    </format>
    <format dxfId="309">
      <pivotArea dataOnly="0" labelOnly="1" outline="0" offset="IV4" fieldPosition="0">
        <references count="1">
          <reference field="9" count="1">
            <x v="3"/>
          </reference>
        </references>
      </pivotArea>
    </format>
    <format dxfId="308">
      <pivotArea dataOnly="0" labelOnly="1" outline="0" fieldPosition="0">
        <references count="2">
          <reference field="8" count="1">
            <x v="4"/>
          </reference>
          <reference field="9" count="1" selected="0">
            <x v="3"/>
          </reference>
        </references>
      </pivotArea>
    </format>
    <format dxfId="307">
      <pivotArea outline="0" fieldPosition="0">
        <references count="1">
          <reference field="4294967294" count="1">
            <x v="0"/>
          </reference>
        </references>
      </pivotArea>
    </format>
    <format dxfId="306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305">
      <pivotArea dataOnly="0" labelOnly="1" outline="0" offset="IV2" fieldPosition="0">
        <references count="1">
          <reference field="9" count="1">
            <x v="3"/>
          </reference>
        </references>
      </pivotArea>
    </format>
    <format dxfId="304">
      <pivotArea dataOnly="0" labelOnly="1" outline="0" fieldPosition="0">
        <references count="2">
          <reference field="8" count="1">
            <x v="2"/>
          </reference>
          <reference field="9" count="1" selected="0">
            <x v="3"/>
          </reference>
        </references>
      </pivotArea>
    </format>
    <format dxfId="303">
      <pivotArea outline="0" fieldPosition="0">
        <references count="2">
          <reference field="8" count="1" selected="0">
            <x v="1"/>
          </reference>
          <reference field="9" count="1" selected="0">
            <x v="3"/>
          </reference>
        </references>
      </pivotArea>
    </format>
    <format dxfId="302">
      <pivotArea dataOnly="0" labelOnly="1" outline="0" offset="IV1" fieldPosition="0">
        <references count="1">
          <reference field="9" count="1">
            <x v="3"/>
          </reference>
        </references>
      </pivotArea>
    </format>
    <format dxfId="301">
      <pivotArea dataOnly="0" labelOnly="1" outline="0" fieldPosition="0">
        <references count="2">
          <reference field="8" count="1">
            <x v="1"/>
          </reference>
          <reference field="9" count="1" selected="0">
            <x v="3"/>
          </reference>
        </references>
      </pivotArea>
    </format>
    <format dxfId="300">
      <pivotArea dataOnly="0" labelOnly="1" outline="0" fieldPosition="0">
        <references count="1">
          <reference field="4" count="0"/>
        </references>
      </pivotArea>
    </format>
    <format dxfId="299">
      <pivotArea dataOnly="0" labelOnly="1" outline="0" fieldPosition="0">
        <references count="1">
          <reference field="4" count="0"/>
        </references>
      </pivotArea>
    </format>
    <format dxfId="298">
      <pivotArea dataOnly="0" labelOnly="1" outline="0" fieldPosition="0">
        <references count="1">
          <reference field="4" count="0"/>
        </references>
      </pivotArea>
    </format>
    <format dxfId="297">
      <pivotArea dataOnly="0" labelOnly="1" outline="0" fieldPosition="0">
        <references count="1">
          <reference field="4" count="0"/>
        </references>
      </pivotArea>
    </format>
    <format dxfId="296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5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4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3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2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1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90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89">
      <pivotArea outline="0" fieldPosition="0">
        <references count="2">
          <reference field="8" count="1" selected="0">
            <x v="2"/>
          </reference>
          <reference field="9" count="1" selected="0">
            <x v="3"/>
          </reference>
        </references>
      </pivotArea>
    </format>
    <format dxfId="288">
      <pivotArea type="all" dataOnly="0" outline="0" fieldPosition="0"/>
    </format>
    <format dxfId="287">
      <pivotArea outline="0" fieldPosition="0"/>
    </format>
    <format dxfId="286">
      <pivotArea type="origin" dataOnly="0" labelOnly="1" outline="0" fieldPosition="0"/>
    </format>
    <format dxfId="285">
      <pivotArea field="7" type="button" dataOnly="0" labelOnly="1" outline="0" axis="axisCol" fieldPosition="0"/>
    </format>
    <format dxfId="284">
      <pivotArea type="topRight" dataOnly="0" labelOnly="1" outline="0" fieldPosition="0"/>
    </format>
    <format dxfId="283">
      <pivotArea field="9" type="button" dataOnly="0" labelOnly="1" outline="0" axis="axisRow" fieldPosition="0"/>
    </format>
    <format dxfId="282">
      <pivotArea field="8" type="button" dataOnly="0" labelOnly="1" outline="0" axis="axisRow" fieldPosition="1"/>
    </format>
    <format dxfId="281">
      <pivotArea dataOnly="0" labelOnly="1" outline="0" fieldPosition="0">
        <references count="1">
          <reference field="9" count="3">
            <x v="1"/>
            <x v="3"/>
            <x v="4"/>
          </reference>
        </references>
      </pivotArea>
    </format>
    <format dxfId="280">
      <pivotArea dataOnly="0" labelOnly="1" outline="0" fieldPosition="0">
        <references count="1">
          <reference field="9" count="1" defaultSubtotal="1">
            <x v="3"/>
          </reference>
        </references>
      </pivotArea>
    </format>
    <format dxfId="279">
      <pivotArea dataOnly="0" labelOnly="1" outline="0" fieldPosition="0">
        <references count="2"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1" selected="0">
            <x v="3"/>
          </reference>
        </references>
      </pivotArea>
    </format>
    <format dxfId="278">
      <pivotArea dataOnly="0" labelOnly="1" outline="0" fieldPosition="0">
        <references count="1">
          <reference field="7" count="11">
            <x v="0"/>
            <x v="5"/>
            <x v="6"/>
            <x v="14"/>
            <x v="18"/>
            <x v="19"/>
            <x v="20"/>
            <x v="21"/>
            <x v="27"/>
            <x v="28"/>
            <x v="29"/>
          </reference>
        </references>
      </pivotArea>
    </format>
    <format dxfId="277">
      <pivotArea dataOnly="0" labelOnly="1" grandCol="1" outline="0" fieldPosition="0"/>
    </format>
    <format dxfId="276">
      <pivotArea outline="0" fieldPosition="0">
        <references count="1">
          <reference field="7" count="1" selected="0">
            <x v="28"/>
          </reference>
        </references>
      </pivotArea>
    </format>
    <format dxfId="275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74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73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72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71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70">
      <pivotArea outline="0" fieldPosition="0">
        <references count="2">
          <reference field="8" count="1" selected="0">
            <x v="4"/>
          </reference>
          <reference field="9" count="1" selected="0">
            <x v="3"/>
          </reference>
        </references>
      </pivotArea>
    </format>
    <format dxfId="269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68">
      <pivotArea outline="0" fieldPosition="0">
        <references count="2">
          <reference field="8" count="1" selected="0">
            <x v="3"/>
          </reference>
          <reference field="9" count="1" selected="0">
            <x v="3"/>
          </reference>
        </references>
      </pivotArea>
    </format>
    <format dxfId="267">
      <pivotArea outline="0" fieldPosition="0">
        <references count="2">
          <reference field="8" count="1" selected="0">
            <x v="5"/>
          </reference>
          <reference field="9" count="1" selected="0">
            <x v="3"/>
          </reference>
        </references>
      </pivotArea>
    </format>
    <format dxfId="266">
      <pivotArea dataOnly="0" labelOnly="1" outline="0" offset="IV5" fieldPosition="0">
        <references count="1">
          <reference field="9" count="1">
            <x v="3"/>
          </reference>
        </references>
      </pivotArea>
    </format>
    <format dxfId="265">
      <pivotArea dataOnly="0" labelOnly="1" outline="0" fieldPosition="0">
        <references count="2">
          <reference field="8" count="1">
            <x v="5"/>
          </reference>
          <reference field="9" count="1" selected="0">
            <x v="3"/>
          </reference>
        </references>
      </pivotArea>
    </format>
    <format dxfId="264">
      <pivotArea outline="0" fieldPosition="0">
        <references count="2">
          <reference field="8" count="1" selected="0">
            <x v="5"/>
          </reference>
          <reference field="9" count="1" selected="0">
            <x v="3"/>
          </reference>
        </references>
      </pivotArea>
    </format>
    <format dxfId="263">
      <pivotArea outline="0" fieldPosition="0">
        <references count="2">
          <reference field="8" count="1" selected="0">
            <x v="5"/>
          </reference>
          <reference field="9" count="1" selected="0">
            <x v="3"/>
          </reference>
        </references>
      </pivotArea>
    </format>
    <format dxfId="262">
      <pivotArea dataOnly="0" labelOnly="1" outline="0" fieldPosition="0">
        <references count="1">
          <reference field="4" count="0"/>
        </references>
      </pivotArea>
    </format>
    <format dxfId="261">
      <pivotArea outline="0" fieldPosition="0">
        <references count="2">
          <reference field="8" count="1" selected="0">
            <x v="5"/>
          </reference>
          <reference field="9" count="1" selected="0">
            <x v="3"/>
          </reference>
        </references>
      </pivotArea>
    </format>
    <format dxfId="260">
      <pivotArea dataOnly="0" labelOnly="1" outline="0" fieldPosition="0">
        <references count="1">
          <reference field="4" count="0"/>
        </references>
      </pivotArea>
    </format>
    <format dxfId="259">
      <pivotArea outline="0" fieldPosition="0">
        <references count="2">
          <reference field="8" count="1" selected="0">
            <x v="6"/>
          </reference>
          <reference field="9" count="1" selected="0">
            <x v="3"/>
          </reference>
        </references>
      </pivotArea>
    </format>
    <format dxfId="258">
      <pivotArea outline="0" fieldPosition="0">
        <references count="2">
          <reference field="8" count="1" selected="0">
            <x v="6"/>
          </reference>
          <reference field="9" count="1" selected="0">
            <x v="3"/>
          </reference>
        </references>
      </pivotArea>
    </format>
    <format dxfId="257">
      <pivotArea outline="0" fieldPosition="0">
        <references count="2">
          <reference field="8" count="1" selected="0">
            <x v="6"/>
          </reference>
          <reference field="9" count="1" selected="0">
            <x v="3"/>
          </reference>
        </references>
      </pivotArea>
    </format>
    <format dxfId="256">
      <pivotArea outline="0" fieldPosition="0">
        <references count="2">
          <reference field="8" count="1" selected="0">
            <x v="6"/>
          </reference>
          <reference field="9" count="1" selected="0">
            <x v="3"/>
          </reference>
        </references>
      </pivotArea>
    </format>
    <format dxfId="255">
      <pivotArea outline="0" fieldPosition="0">
        <references count="2">
          <reference field="8" count="1" selected="0">
            <x v="5"/>
          </reference>
          <reference field="9" count="1" selected="0">
            <x v="3"/>
          </reference>
        </references>
      </pivotArea>
    </format>
    <format dxfId="254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  <format dxfId="253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  <format dxfId="252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  <format dxfId="251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  <format dxfId="250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  <format dxfId="249">
      <pivotArea outline="0" fieldPosition="0">
        <references count="2">
          <reference field="8" count="1" selected="0">
            <x v="9"/>
          </reference>
          <reference field="9" count="1" selected="0">
            <x v="3"/>
          </reference>
        </references>
      </pivotArea>
    </format>
    <format dxfId="248">
      <pivotArea dataOnly="0" labelOnly="1" outline="0" offset="IV5" fieldPosition="0">
        <references count="1">
          <reference field="9" count="1">
            <x v="3"/>
          </reference>
        </references>
      </pivotArea>
    </format>
    <format dxfId="247">
      <pivotArea dataOnly="0" labelOnly="1" outline="0" fieldPosition="0">
        <references count="2">
          <reference field="8" count="1">
            <x v="9"/>
          </reference>
          <reference field="9" count="1" selected="0">
            <x v="3"/>
          </reference>
        </references>
      </pivotArea>
    </format>
    <format dxfId="246">
      <pivotArea outline="0" fieldPosition="0">
        <references count="2">
          <reference field="8" count="1" selected="0">
            <x v="7"/>
          </reference>
          <reference field="9" count="1" selected="0">
            <x v="3"/>
          </reference>
        </references>
      </pivotArea>
    </format>
  </formats>
  <pivotTableStyleInfo showRowHeaders="1" showColHeaders="1" showRowStripes="1" showColStripes="1" showLastColumn="1"/>
</pivotTableDefinition>
</file>

<file path=xl/pivotTables/pivotTable3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4:I38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10">
        <item x="7"/>
        <item x="2"/>
        <item x="0"/>
        <item x="6"/>
        <item x="1"/>
        <item x="5"/>
        <item x="3"/>
        <item x="4"/>
        <item x="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1">
        <item sd="0" x="4"/>
        <item x="2"/>
        <item sd="0" x="7"/>
        <item sd="0" x="9"/>
        <item sd="0" x="3"/>
        <item x="14"/>
        <item sd="0" x="6"/>
        <item x="19"/>
        <item sd="0" x="8"/>
        <item x="17"/>
        <item sd="0" x="10"/>
        <item sd="0" x="11"/>
        <item x="5"/>
        <item x="0"/>
        <item x="18"/>
        <item sd="0" x="1"/>
        <item x="12"/>
        <item x="15"/>
        <item x="16"/>
        <item x="13"/>
        <item t="default"/>
      </items>
    </pivotField>
    <pivotField axis="axisRow" showAll="0">
      <items count="13">
        <item x="6"/>
        <item x="7"/>
        <item x="8"/>
        <item x="9"/>
        <item x="10"/>
        <item x="11"/>
        <item x="4"/>
        <item x="0"/>
        <item x="5"/>
        <item x="1"/>
        <item x="2"/>
        <item x="3"/>
        <item t="default"/>
      </items>
    </pivotField>
    <pivotField axis="axisRow" showAll="0">
      <items count="6">
        <item sd="0" x="3"/>
        <item sd="0" x="0"/>
        <item x="1"/>
        <item x="2"/>
        <item m="1" x="4"/>
        <item t="default"/>
      </items>
    </pivotField>
    <pivotField axis="axisCol" showAll="0">
      <items count="33">
        <item x="31"/>
        <item x="24"/>
        <item x="29"/>
        <item x="30"/>
        <item x="28"/>
        <item x="22"/>
        <item x="27"/>
        <item x="12"/>
        <item x="20"/>
        <item x="1"/>
        <item x="17"/>
        <item x="11"/>
        <item x="0"/>
        <item x="7"/>
        <item x="16"/>
        <item x="14"/>
        <item x="23"/>
        <item x="21"/>
        <item x="9"/>
        <item x="25"/>
        <item x="18"/>
        <item x="15"/>
        <item x="19"/>
        <item x="13"/>
        <item x="6"/>
        <item x="10"/>
        <item x="8"/>
        <item x="26"/>
        <item x="4"/>
        <item x="5"/>
        <item x="2"/>
        <item x="3"/>
        <item t="default"/>
      </items>
    </pivotField>
  </pivotFields>
  <rowFields count="3">
    <field x="16"/>
    <field x="14"/>
    <field x="15"/>
  </rowFields>
  <rowItems count="3">
    <i>
      <x v="3"/>
    </i>
    <i r="1">
      <x v="15"/>
    </i>
    <i t="grand">
      <x/>
    </i>
  </rowItems>
  <colFields count="1">
    <field x="17"/>
  </colFields>
  <colItems count="8">
    <i>
      <x v="5"/>
    </i>
    <i>
      <x v="6"/>
    </i>
    <i>
      <x v="10"/>
    </i>
    <i>
      <x v="20"/>
    </i>
    <i>
      <x v="23"/>
    </i>
    <i>
      <x v="30"/>
    </i>
    <i>
      <x v="31"/>
    </i>
    <i t="grand">
      <x/>
    </i>
  </colItems>
  <pageFields count="1">
    <pageField fld="8" item="0" hier="-1"/>
  </pageFields>
  <dataFields count="1">
    <dataField name="Suma de Monto" fld="7" baseField="14" baseItem="11" numFmtId="1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0:I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 defaultSubtotal="0">
      <items count="9">
        <item x="7"/>
        <item x="2"/>
        <item x="0"/>
        <item x="1"/>
        <item x="5"/>
        <item x="3"/>
        <item x="4"/>
        <item x="8"/>
        <item x="6"/>
      </items>
    </pivotField>
    <pivotField showAll="0"/>
    <pivotField showAll="0"/>
    <pivotField showAll="0"/>
    <pivotField showAll="0"/>
    <pivotField showAll="0"/>
    <pivotField showAll="0"/>
    <pivotField axis="axisRow" showAll="0" defaultSubtotal="0">
      <items count="12">
        <item x="6"/>
        <item x="7"/>
        <item x="8"/>
        <item x="9"/>
        <item x="11"/>
        <item x="4"/>
        <item x="0"/>
        <item x="5"/>
        <item x="1"/>
        <item x="2"/>
        <item x="3"/>
        <item x="10"/>
      </items>
    </pivotField>
    <pivotField axis="axisRow" showAll="0" defaultSubtotal="0">
      <items count="5">
        <item sd="0" x="3"/>
        <item x="0"/>
        <item x="1"/>
        <item x="2"/>
        <item m="1" x="4"/>
      </items>
    </pivotField>
    <pivotField axis="axisCol" showAll="0" defaultSubtotal="0">
      <items count="32">
        <item x="31"/>
        <item x="24"/>
        <item x="29"/>
        <item x="28"/>
        <item x="22"/>
        <item x="27"/>
        <item x="12"/>
        <item x="20"/>
        <item x="1"/>
        <item x="17"/>
        <item x="11"/>
        <item x="0"/>
        <item x="7"/>
        <item x="16"/>
        <item x="14"/>
        <item x="23"/>
        <item x="21"/>
        <item x="9"/>
        <item x="25"/>
        <item x="18"/>
        <item x="15"/>
        <item x="19"/>
        <item x="13"/>
        <item x="6"/>
        <item x="10"/>
        <item x="8"/>
        <item x="26"/>
        <item x="4"/>
        <item x="5"/>
        <item x="2"/>
        <item x="3"/>
        <item x="30"/>
      </items>
    </pivotField>
  </pivotFields>
  <rowFields count="2">
    <field x="16"/>
    <field x="15"/>
  </rowFields>
  <rowItems count="5">
    <i>
      <x v="3"/>
    </i>
    <i r="1">
      <x v="8"/>
    </i>
    <i r="1">
      <x v="9"/>
    </i>
    <i r="1">
      <x v="10"/>
    </i>
    <i t="grand">
      <x/>
    </i>
  </rowItems>
  <colFields count="1">
    <field x="17"/>
  </colFields>
  <colItems count="8">
    <i>
      <x v="4"/>
    </i>
    <i>
      <x v="5"/>
    </i>
    <i>
      <x v="9"/>
    </i>
    <i>
      <x v="19"/>
    </i>
    <i>
      <x v="22"/>
    </i>
    <i>
      <x v="29"/>
    </i>
    <i>
      <x v="30"/>
    </i>
    <i t="grand">
      <x/>
    </i>
  </colItems>
  <pageFields count="1">
    <pageField fld="8" item="0" hier="-1"/>
  </pageFields>
  <dataFields count="1">
    <dataField name="Suma de Monto" fld="7" baseField="16" baseItem="0" numFmtId="44"/>
  </dataFields>
  <formats count="48">
    <format dxfId="245">
      <pivotArea collapsedLevelsAreSubtotals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44">
      <pivotArea dataOnly="0" labelOnly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43">
      <pivotArea collapsedLevelsAreSubtotals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42">
      <pivotArea dataOnly="0" labelOnly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41">
      <pivotArea collapsedLevelsAreSubtotals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40">
      <pivotArea dataOnly="0" labelOnly="1" fieldPosition="0">
        <references count="2">
          <reference field="15" count="1">
            <x v="1"/>
          </reference>
          <reference field="16" count="1" selected="0">
            <x v="2"/>
          </reference>
        </references>
      </pivotArea>
    </format>
    <format dxfId="239">
      <pivotArea collapsedLevelsAreSubtotals="1" fieldPosition="0">
        <references count="2">
          <reference field="15" count="1">
            <x v="2"/>
          </reference>
          <reference field="16" count="1" selected="0">
            <x v="2"/>
          </reference>
        </references>
      </pivotArea>
    </format>
    <format dxfId="238">
      <pivotArea dataOnly="0" labelOnly="1" fieldPosition="0">
        <references count="2">
          <reference field="15" count="1">
            <x v="2"/>
          </reference>
          <reference field="16" count="1" selected="0">
            <x v="2"/>
          </reference>
        </references>
      </pivotArea>
    </format>
    <format dxfId="237">
      <pivotArea collapsedLevelsAreSubtotals="1" fieldPosition="0">
        <references count="2">
          <reference field="15" count="1">
            <x v="2"/>
          </reference>
          <reference field="16" count="1" selected="0">
            <x v="2"/>
          </reference>
        </references>
      </pivotArea>
    </format>
    <format dxfId="236">
      <pivotArea dataOnly="0" labelOnly="1" fieldPosition="0">
        <references count="2">
          <reference field="15" count="1">
            <x v="2"/>
          </reference>
          <reference field="16" count="1" selected="0">
            <x v="2"/>
          </reference>
        </references>
      </pivotArea>
    </format>
    <format dxfId="235">
      <pivotArea collapsedLevelsAreSubtotals="1" fieldPosition="0">
        <references count="2">
          <reference field="15" count="1">
            <x v="3"/>
          </reference>
          <reference field="16" count="1" selected="0">
            <x v="2"/>
          </reference>
        </references>
      </pivotArea>
    </format>
    <format dxfId="234">
      <pivotArea dataOnly="0" labelOnly="1" fieldPosition="0">
        <references count="2">
          <reference field="15" count="1">
            <x v="3"/>
          </reference>
          <reference field="16" count="1" selected="0">
            <x v="2"/>
          </reference>
        </references>
      </pivotArea>
    </format>
    <format dxfId="233">
      <pivotArea collapsedLevelsAreSubtotals="1" fieldPosition="0">
        <references count="2">
          <reference field="15" count="1">
            <x v="3"/>
          </reference>
          <reference field="16" count="1" selected="0">
            <x v="2"/>
          </reference>
        </references>
      </pivotArea>
    </format>
    <format dxfId="232">
      <pivotArea dataOnly="0" labelOnly="1" fieldPosition="0">
        <references count="2">
          <reference field="15" count="1">
            <x v="3"/>
          </reference>
          <reference field="16" count="1" selected="0">
            <x v="2"/>
          </reference>
        </references>
      </pivotArea>
    </format>
    <format dxfId="231">
      <pivotArea collapsedLevelsAreSubtotals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30">
      <pivotArea dataOnly="0" labelOnly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9">
      <pivotArea collapsedLevelsAreSubtotals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8">
      <pivotArea dataOnly="0" labelOnly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7">
      <pivotArea collapsedLevelsAreSubtotals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6">
      <pivotArea dataOnly="0" labelOnly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5">
      <pivotArea collapsedLevelsAreSubtotals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4">
      <pivotArea dataOnly="0" labelOnly="1" fieldPosition="0">
        <references count="2">
          <reference field="15" count="1">
            <x v="5"/>
          </reference>
          <reference field="16" count="1" selected="0">
            <x v="2"/>
          </reference>
        </references>
      </pivotArea>
    </format>
    <format dxfId="223">
      <pivotArea collapsedLevelsAreSubtotals="1" fieldPosition="0">
        <references count="2">
          <reference field="15" count="1">
            <x v="6"/>
          </reference>
          <reference field="16" count="1" selected="0">
            <x v="2"/>
          </reference>
        </references>
      </pivotArea>
    </format>
    <format dxfId="222">
      <pivotArea dataOnly="0" labelOnly="1" fieldPosition="0">
        <references count="2">
          <reference field="15" count="1">
            <x v="6"/>
          </reference>
          <reference field="16" count="1" selected="0">
            <x v="2"/>
          </reference>
        </references>
      </pivotArea>
    </format>
    <format dxfId="221">
      <pivotArea collapsedLevelsAreSubtotals="1" fieldPosition="0">
        <references count="2">
          <reference field="15" count="5">
            <x v="5"/>
            <x v="6"/>
            <x v="7"/>
            <x v="8"/>
            <x v="11"/>
          </reference>
          <reference field="16" count="1" selected="0">
            <x v="2"/>
          </reference>
        </references>
      </pivotArea>
    </format>
    <format dxfId="220">
      <pivotArea grandRow="1" outline="0" collapsedLevelsAreSubtotals="1" fieldPosition="0"/>
    </format>
    <format dxfId="219">
      <pivotArea dataOnly="0" labelOnly="1" grandRow="1" outline="0" fieldPosition="0"/>
    </format>
    <format dxfId="218">
      <pivotArea dataOnly="0" labelOnly="1" fieldPosition="0">
        <references count="2">
          <reference field="15" count="5">
            <x v="5"/>
            <x v="6"/>
            <x v="7"/>
            <x v="8"/>
            <x v="11"/>
          </reference>
          <reference field="16" count="1" selected="0">
            <x v="2"/>
          </reference>
        </references>
      </pivotArea>
    </format>
    <format dxfId="217">
      <pivotArea collapsedLevelsAreSubtotals="1" fieldPosition="0">
        <references count="2">
          <reference field="15" count="2">
            <x v="9"/>
            <x v="10"/>
          </reference>
          <reference field="16" count="1" selected="0">
            <x v="2"/>
          </reference>
        </references>
      </pivotArea>
    </format>
    <format dxfId="216">
      <pivotArea dataOnly="0" labelOnly="1" fieldPosition="0">
        <references count="2">
          <reference field="15" count="2">
            <x v="9"/>
            <x v="10"/>
          </reference>
          <reference field="16" count="1" selected="0">
            <x v="2"/>
          </reference>
        </references>
      </pivotArea>
    </format>
    <format dxfId="215">
      <pivotArea collapsedLevelsAreSubtotals="1" fieldPosition="0">
        <references count="2">
          <reference field="15" count="1">
            <x v="10"/>
          </reference>
          <reference field="16" count="1" selected="0">
            <x v="2"/>
          </reference>
        </references>
      </pivotArea>
    </format>
    <format dxfId="214">
      <pivotArea dataOnly="0" labelOnly="1" fieldPosition="0">
        <references count="2">
          <reference field="15" count="1">
            <x v="10"/>
          </reference>
          <reference field="16" count="1" selected="0">
            <x v="2"/>
          </reference>
        </references>
      </pivotArea>
    </format>
    <format dxfId="213">
      <pivotArea collapsedLevelsAreSubtotals="1" fieldPosition="0">
        <references count="2">
          <reference field="15" count="1">
            <x v="1"/>
          </reference>
          <reference field="16" count="1" selected="0">
            <x v="3"/>
          </reference>
        </references>
      </pivotArea>
    </format>
    <format dxfId="212">
      <pivotArea dataOnly="0" labelOnly="1" fieldPosition="0">
        <references count="2">
          <reference field="15" count="1">
            <x v="1"/>
          </reference>
          <reference field="16" count="1" selected="0">
            <x v="3"/>
          </reference>
        </references>
      </pivotArea>
    </format>
    <format dxfId="211">
      <pivotArea collapsedLevelsAreSubtotals="1" fieldPosition="0">
        <references count="3">
          <reference field="15" count="1">
            <x v="11"/>
          </reference>
          <reference field="16" count="1" selected="0">
            <x v="3"/>
          </reference>
          <reference field="17" count="1" selected="0">
            <x v="29"/>
          </reference>
        </references>
      </pivotArea>
    </format>
    <format dxfId="210">
      <pivotArea collapsedLevelsAreSubtotals="1" fieldPosition="0">
        <references count="3">
          <reference field="15" count="1">
            <x v="5"/>
          </reference>
          <reference field="16" count="1" selected="0">
            <x v="3"/>
          </reference>
          <reference field="17" count="1" selected="0">
            <x v="18"/>
          </reference>
        </references>
      </pivotArea>
    </format>
    <format dxfId="209">
      <pivotArea collapsedLevelsAreSubtotals="1" fieldPosition="0">
        <references count="3">
          <reference field="15" count="1">
            <x v="5"/>
          </reference>
          <reference field="16" count="1" selected="0">
            <x v="3"/>
          </reference>
          <reference field="17" count="1" selected="0">
            <x v="30"/>
          </reference>
        </references>
      </pivotArea>
    </format>
    <format dxfId="208">
      <pivotArea collapsedLevelsAreSubtotals="1" fieldPosition="0">
        <references count="3">
          <reference field="15" count="1">
            <x v="6"/>
          </reference>
          <reference field="16" count="1" selected="0">
            <x v="3"/>
          </reference>
          <reference field="17" count="1" selected="0">
            <x v="30"/>
          </reference>
        </references>
      </pivotArea>
    </format>
    <format dxfId="207">
      <pivotArea collapsedLevelsAreSubtotals="1" fieldPosition="0">
        <references count="3">
          <reference field="15" count="1">
            <x v="3"/>
          </reference>
          <reference field="16" count="1" selected="0">
            <x v="3"/>
          </reference>
          <reference field="17" count="1" selected="0">
            <x v="24"/>
          </reference>
        </references>
      </pivotArea>
    </format>
    <format dxfId="206">
      <pivotArea collapsedLevelsAreSubtotals="1" fieldPosition="0">
        <references count="3">
          <reference field="15" count="1">
            <x v="3"/>
          </reference>
          <reference field="16" count="1" selected="0">
            <x v="3"/>
          </reference>
          <reference field="17" count="1" selected="0">
            <x v="29"/>
          </reference>
        </references>
      </pivotArea>
    </format>
    <format dxfId="205">
      <pivotArea collapsedLevelsAreSubtotals="1" fieldPosition="0">
        <references count="3">
          <reference field="15" count="1">
            <x v="11"/>
          </reference>
          <reference field="16" count="1" selected="0">
            <x v="3"/>
          </reference>
          <reference field="17" count="1" selected="0">
            <x v="2"/>
          </reference>
        </references>
      </pivotArea>
    </format>
    <format dxfId="204">
      <pivotArea collapsedLevelsAreSubtotals="1" fieldPosition="0">
        <references count="3">
          <reference field="15" count="1">
            <x v="11"/>
          </reference>
          <reference field="16" count="1" selected="0">
            <x v="3"/>
          </reference>
          <reference field="17" count="1" selected="0">
            <x v="2"/>
          </reference>
        </references>
      </pivotArea>
    </format>
    <format dxfId="203">
      <pivotArea collapsedLevelsAreSubtotals="1" fieldPosition="0">
        <references count="3">
          <reference field="15" count="1">
            <x v="4"/>
          </reference>
          <reference field="16" count="1" selected="0">
            <x v="3"/>
          </reference>
          <reference field="17" count="1" selected="0">
            <x v="4"/>
          </reference>
        </references>
      </pivotArea>
    </format>
    <format dxfId="202">
      <pivotArea collapsedLevelsAreSubtotals="1" fieldPosition="0">
        <references count="3">
          <reference field="15" count="1">
            <x v="5"/>
          </reference>
          <reference field="16" count="1" selected="0">
            <x v="3"/>
          </reference>
          <reference field="17" count="1" selected="0">
            <x v="31"/>
          </reference>
        </references>
      </pivotArea>
    </format>
    <format dxfId="201">
      <pivotArea collapsedLevelsAreSubtotals="1" fieldPosition="0">
        <references count="3">
          <reference field="15" count="1">
            <x v="3"/>
          </reference>
          <reference field="16" count="1" selected="0">
            <x v="3"/>
          </reference>
          <reference field="17" count="1" selected="0">
            <x v="22"/>
          </reference>
        </references>
      </pivotArea>
    </format>
    <format dxfId="200">
      <pivotArea collapsedLevelsAreSubtotals="1" fieldPosition="0">
        <references count="3">
          <reference field="15" count="1">
            <x v="4"/>
          </reference>
          <reference field="16" count="1" selected="0">
            <x v="3"/>
          </reference>
          <reference field="17" count="1" selected="0">
            <x v="15"/>
          </reference>
        </references>
      </pivotArea>
    </format>
    <format dxfId="199">
      <pivotArea collapsedLevelsAreSubtotals="1" fieldPosition="0">
        <references count="3">
          <reference field="15" count="1">
            <x v="11"/>
          </reference>
          <reference field="16" count="1" selected="0">
            <x v="3"/>
          </reference>
          <reference field="17" count="1" selected="0">
            <x v="21"/>
          </reference>
        </references>
      </pivotArea>
    </format>
    <format dxfId="198">
      <pivotArea collapsedLevelsAreSubtotals="1" fieldPosition="0">
        <references count="3">
          <reference field="15" count="1">
            <x v="6"/>
          </reference>
          <reference field="16" count="1" selected="0">
            <x v="3"/>
          </reference>
          <reference field="17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zoomScale="70" zoomScaleNormal="70" workbookViewId="0">
      <selection activeCell="B45" sqref="B45"/>
    </sheetView>
  </sheetViews>
  <sheetFormatPr baseColWidth="10" defaultRowHeight="12.75" x14ac:dyDescent="0.2"/>
  <cols>
    <col min="1" max="1" width="22" customWidth="1"/>
    <col min="2" max="2" width="27.7109375" bestFit="1" customWidth="1"/>
    <col min="3" max="3" width="12.42578125" customWidth="1"/>
    <col min="4" max="4" width="12.42578125" bestFit="1" customWidth="1"/>
    <col min="5" max="5" width="13.140625" customWidth="1"/>
    <col min="6" max="6" width="13.140625" bestFit="1" customWidth="1"/>
    <col min="7" max="7" width="12.85546875" customWidth="1"/>
    <col min="8" max="9" width="13.140625" customWidth="1"/>
    <col min="10" max="10" width="12.85546875" customWidth="1"/>
    <col min="11" max="12" width="13.140625" customWidth="1"/>
    <col min="13" max="13" width="12.42578125" customWidth="1"/>
    <col min="14" max="14" width="12" bestFit="1" customWidth="1"/>
    <col min="15" max="15" width="14.42578125" bestFit="1" customWidth="1"/>
    <col min="16" max="16" width="12" customWidth="1"/>
    <col min="17" max="17" width="12.42578125" customWidth="1"/>
    <col min="18" max="18" width="12.42578125" bestFit="1" customWidth="1"/>
    <col min="19" max="20" width="12.42578125" customWidth="1"/>
    <col min="21" max="21" width="12.42578125" bestFit="1" customWidth="1"/>
    <col min="22" max="22" width="12.42578125" customWidth="1"/>
    <col min="23" max="24" width="12" bestFit="1" customWidth="1"/>
    <col min="25" max="25" width="12.42578125" customWidth="1"/>
    <col min="26" max="26" width="12" customWidth="1"/>
    <col min="27" max="27" width="12" bestFit="1" customWidth="1"/>
    <col min="28" max="30" width="13.140625" bestFit="1" customWidth="1"/>
    <col min="31" max="31" width="13.5703125" bestFit="1" customWidth="1"/>
    <col min="32" max="32" width="12.85546875" customWidth="1"/>
    <col min="33" max="33" width="13.140625" bestFit="1" customWidth="1"/>
    <col min="34" max="34" width="15.42578125" bestFit="1" customWidth="1"/>
    <col min="35" max="42" width="9.7109375" bestFit="1" customWidth="1"/>
    <col min="43" max="43" width="10.7109375" bestFit="1" customWidth="1"/>
    <col min="44" max="44" width="13.140625" bestFit="1" customWidth="1"/>
    <col min="45" max="54" width="9.7109375" bestFit="1" customWidth="1"/>
    <col min="55" max="55" width="10.7109375" bestFit="1" customWidth="1"/>
    <col min="56" max="56" width="13.140625" bestFit="1" customWidth="1"/>
    <col min="57" max="66" width="9.7109375" bestFit="1" customWidth="1"/>
    <col min="67" max="67" width="10.7109375" bestFit="1" customWidth="1"/>
    <col min="68" max="68" width="13.140625" bestFit="1" customWidth="1"/>
    <col min="69" max="78" width="9.7109375" bestFit="1" customWidth="1"/>
    <col min="79" max="79" width="10.7109375" bestFit="1" customWidth="1"/>
    <col min="80" max="81" width="13.140625" bestFit="1" customWidth="1"/>
    <col min="82" max="89" width="9.7109375" bestFit="1" customWidth="1"/>
    <col min="90" max="90" width="10.7109375" bestFit="1" customWidth="1"/>
    <col min="91" max="91" width="13.140625" bestFit="1" customWidth="1"/>
    <col min="92" max="92" width="8" customWidth="1"/>
    <col min="93" max="94" width="5" customWidth="1"/>
    <col min="95" max="95" width="8" customWidth="1"/>
    <col min="96" max="101" width="5" customWidth="1"/>
    <col min="102" max="102" width="8" customWidth="1"/>
    <col min="103" max="108" width="5" customWidth="1"/>
    <col min="109" max="109" width="8" customWidth="1"/>
    <col min="110" max="113" width="5" customWidth="1"/>
    <col min="114" max="114" width="8" customWidth="1"/>
    <col min="115" max="125" width="5" customWidth="1"/>
    <col min="126" max="126" width="8" customWidth="1"/>
    <col min="127" max="129" width="5" customWidth="1"/>
    <col min="130" max="130" width="8" customWidth="1"/>
    <col min="131" max="131" width="5" customWidth="1"/>
    <col min="132" max="132" width="7" customWidth="1"/>
    <col min="133" max="138" width="5" customWidth="1"/>
    <col min="139" max="139" width="7" customWidth="1"/>
    <col min="140" max="140" width="5" customWidth="1"/>
    <col min="141" max="141" width="7" customWidth="1"/>
    <col min="142" max="149" width="5" customWidth="1"/>
    <col min="150" max="150" width="8" customWidth="1"/>
    <col min="151" max="163" width="5" customWidth="1"/>
    <col min="164" max="164" width="8" customWidth="1"/>
    <col min="165" max="191" width="5" customWidth="1"/>
    <col min="192" max="192" width="8" customWidth="1"/>
    <col min="193" max="204" width="6" customWidth="1"/>
    <col min="205" max="205" width="9" customWidth="1"/>
    <col min="206" max="217" width="6" customWidth="1"/>
    <col min="218" max="218" width="9" customWidth="1"/>
    <col min="219" max="219" width="6" customWidth="1"/>
    <col min="220" max="220" width="9" customWidth="1"/>
    <col min="221" max="224" width="6" customWidth="1"/>
    <col min="225" max="225" width="9" customWidth="1"/>
    <col min="226" max="226" width="6" customWidth="1"/>
    <col min="227" max="227" width="9" customWidth="1"/>
    <col min="228" max="228" width="6" customWidth="1"/>
    <col min="229" max="229" width="9" customWidth="1"/>
    <col min="230" max="230" width="6" customWidth="1"/>
    <col min="231" max="231" width="8" customWidth="1"/>
    <col min="232" max="235" width="6" customWidth="1"/>
    <col min="236" max="236" width="9" customWidth="1"/>
    <col min="237" max="261" width="6" customWidth="1"/>
    <col min="262" max="262" width="9" customWidth="1"/>
    <col min="263" max="264" width="6" customWidth="1"/>
    <col min="265" max="266" width="9" customWidth="1"/>
    <col min="267" max="267" width="6" customWidth="1"/>
    <col min="268" max="271" width="9" customWidth="1"/>
    <col min="272" max="272" width="8" customWidth="1"/>
    <col min="273" max="274" width="9" customWidth="1"/>
    <col min="275" max="275" width="6" customWidth="1"/>
    <col min="276" max="278" width="9" customWidth="1"/>
    <col min="279" max="279" width="8" customWidth="1"/>
    <col min="280" max="280" width="9" customWidth="1"/>
    <col min="281" max="281" width="6" customWidth="1"/>
    <col min="282" max="283" width="9" customWidth="1"/>
    <col min="284" max="284" width="8" customWidth="1"/>
    <col min="285" max="288" width="9" customWidth="1"/>
    <col min="289" max="289" width="6" customWidth="1"/>
    <col min="290" max="293" width="9" customWidth="1"/>
    <col min="294" max="299" width="6" customWidth="1"/>
    <col min="300" max="300" width="7" customWidth="1"/>
    <col min="301" max="301" width="2.7109375" customWidth="1"/>
    <col min="302" max="302" width="3.28515625" customWidth="1"/>
    <col min="303" max="303" width="11.140625" customWidth="1"/>
    <col min="304" max="304" width="13.140625" bestFit="1" customWidth="1"/>
  </cols>
  <sheetData>
    <row r="1" spans="1:34" x14ac:dyDescent="0.2">
      <c r="A1" s="89" t="s">
        <v>2</v>
      </c>
      <c r="B1" s="204" t="s">
        <v>935</v>
      </c>
    </row>
    <row r="2" spans="1:34" x14ac:dyDescent="0.2">
      <c r="A2" s="89" t="s">
        <v>5</v>
      </c>
      <c r="B2" s="204" t="s">
        <v>1063</v>
      </c>
    </row>
    <row r="4" spans="1:34" x14ac:dyDescent="0.2">
      <c r="A4" s="89" t="s">
        <v>753</v>
      </c>
      <c r="B4" s="89" t="s">
        <v>751</v>
      </c>
    </row>
    <row r="5" spans="1:34" x14ac:dyDescent="0.2">
      <c r="B5" s="204">
        <v>2019</v>
      </c>
      <c r="C5" s="204">
        <v>2020</v>
      </c>
      <c r="O5" s="204" t="s">
        <v>740</v>
      </c>
      <c r="P5" s="204">
        <v>2021</v>
      </c>
      <c r="AB5" s="204" t="s">
        <v>1067</v>
      </c>
      <c r="AC5" s="204">
        <v>2022</v>
      </c>
      <c r="AD5" s="204">
        <v>2023</v>
      </c>
      <c r="AE5" s="204">
        <v>2024</v>
      </c>
      <c r="AF5" s="204">
        <v>2025</v>
      </c>
      <c r="AG5" s="204">
        <v>2026</v>
      </c>
      <c r="AH5" s="204" t="s">
        <v>739</v>
      </c>
    </row>
    <row r="6" spans="1:34" x14ac:dyDescent="0.2">
      <c r="A6" s="89" t="s">
        <v>752</v>
      </c>
      <c r="C6" s="204">
        <v>1</v>
      </c>
      <c r="D6" s="204">
        <v>2</v>
      </c>
      <c r="E6" s="204">
        <v>3</v>
      </c>
      <c r="F6" s="204">
        <v>4</v>
      </c>
      <c r="G6" s="204">
        <v>5</v>
      </c>
      <c r="H6" s="204">
        <v>6</v>
      </c>
      <c r="I6" s="204">
        <v>7</v>
      </c>
      <c r="J6" s="204">
        <v>8</v>
      </c>
      <c r="K6" s="204">
        <v>9</v>
      </c>
      <c r="L6" s="204">
        <v>10</v>
      </c>
      <c r="M6" s="204">
        <v>11</v>
      </c>
      <c r="N6" s="204">
        <v>12</v>
      </c>
      <c r="P6" s="204">
        <v>1</v>
      </c>
      <c r="Q6" s="204">
        <v>2</v>
      </c>
      <c r="R6" s="204">
        <v>3</v>
      </c>
      <c r="S6" s="204">
        <v>4</v>
      </c>
      <c r="T6" s="204">
        <v>5</v>
      </c>
      <c r="U6" s="204">
        <v>6</v>
      </c>
      <c r="V6" s="204">
        <v>7</v>
      </c>
      <c r="W6" s="204">
        <v>8</v>
      </c>
      <c r="X6" s="204">
        <v>9</v>
      </c>
      <c r="Y6" s="204">
        <v>10</v>
      </c>
      <c r="Z6" s="204">
        <v>11</v>
      </c>
      <c r="AA6" s="204">
        <v>12</v>
      </c>
    </row>
    <row r="7" spans="1:34" x14ac:dyDescent="0.2">
      <c r="A7" s="90" t="s">
        <v>230</v>
      </c>
      <c r="B7" s="169">
        <v>1153.93</v>
      </c>
      <c r="C7" s="169">
        <v>2970.88</v>
      </c>
      <c r="D7" s="169"/>
      <c r="E7" s="169">
        <v>12412.65</v>
      </c>
      <c r="F7" s="169"/>
      <c r="G7" s="169"/>
      <c r="H7" s="169"/>
      <c r="I7" s="169">
        <v>3621.58</v>
      </c>
      <c r="J7" s="169"/>
      <c r="K7" s="169"/>
      <c r="L7" s="169"/>
      <c r="M7" s="169"/>
      <c r="N7" s="169">
        <v>3192.39</v>
      </c>
      <c r="O7" s="169">
        <v>22197.5</v>
      </c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>
        <v>23351.43</v>
      </c>
    </row>
    <row r="8" spans="1:34" x14ac:dyDescent="0.2">
      <c r="A8" s="90" t="s">
        <v>425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>
        <v>4484.0200000000004</v>
      </c>
      <c r="T8" s="169"/>
      <c r="U8" s="169"/>
      <c r="V8" s="169"/>
      <c r="W8" s="169"/>
      <c r="X8" s="169">
        <v>3742.4300000000003</v>
      </c>
      <c r="Y8" s="169"/>
      <c r="Z8" s="169"/>
      <c r="AA8" s="169"/>
      <c r="AB8" s="169">
        <v>8226.4500000000007</v>
      </c>
      <c r="AC8" s="169"/>
      <c r="AD8" s="169"/>
      <c r="AE8" s="169"/>
      <c r="AF8" s="169"/>
      <c r="AG8" s="169"/>
      <c r="AH8" s="169">
        <v>8226.4500000000007</v>
      </c>
    </row>
    <row r="9" spans="1:34" x14ac:dyDescent="0.2">
      <c r="A9" s="90" t="s">
        <v>427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>
        <v>4576.3100000000004</v>
      </c>
      <c r="U9" s="169"/>
      <c r="V9" s="169"/>
      <c r="W9" s="169"/>
      <c r="X9" s="169"/>
      <c r="Y9" s="169">
        <v>3803.55</v>
      </c>
      <c r="Z9" s="169"/>
      <c r="AA9" s="169"/>
      <c r="AB9" s="169">
        <v>8379.86</v>
      </c>
      <c r="AC9" s="169"/>
      <c r="AD9" s="169"/>
      <c r="AE9" s="169"/>
      <c r="AF9" s="169"/>
      <c r="AG9" s="169"/>
      <c r="AH9" s="169">
        <v>8379.86</v>
      </c>
    </row>
    <row r="10" spans="1:34" x14ac:dyDescent="0.2">
      <c r="A10" s="90" t="s">
        <v>428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>
        <v>4674.96</v>
      </c>
      <c r="V10" s="169"/>
      <c r="W10" s="169"/>
      <c r="X10" s="169"/>
      <c r="Y10" s="169"/>
      <c r="Z10" s="169">
        <v>3864.66</v>
      </c>
      <c r="AA10" s="169"/>
      <c r="AB10" s="169">
        <v>8539.619999999999</v>
      </c>
      <c r="AC10" s="169"/>
      <c r="AD10" s="169"/>
      <c r="AE10" s="169"/>
      <c r="AF10" s="169"/>
      <c r="AG10" s="169"/>
      <c r="AH10" s="169">
        <v>8539.619999999999</v>
      </c>
    </row>
    <row r="11" spans="1:34" x14ac:dyDescent="0.2">
      <c r="A11" s="90" t="s">
        <v>429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>
        <v>4767.25</v>
      </c>
      <c r="W11" s="169"/>
      <c r="X11" s="169"/>
      <c r="Y11" s="169"/>
      <c r="Z11" s="169"/>
      <c r="AA11" s="169">
        <v>3925.79</v>
      </c>
      <c r="AB11" s="169">
        <v>8693.0400000000009</v>
      </c>
      <c r="AC11" s="169"/>
      <c r="AD11" s="169"/>
      <c r="AE11" s="169"/>
      <c r="AF11" s="169"/>
      <c r="AG11" s="169"/>
      <c r="AH11" s="169">
        <v>8693.0400000000009</v>
      </c>
    </row>
    <row r="12" spans="1:34" x14ac:dyDescent="0.2">
      <c r="A12" s="90" t="s">
        <v>430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>
        <v>4865.8999999999996</v>
      </c>
      <c r="X12" s="169"/>
      <c r="Y12" s="169"/>
      <c r="Z12" s="169"/>
      <c r="AA12" s="169"/>
      <c r="AB12" s="169">
        <v>4865.8999999999996</v>
      </c>
      <c r="AC12" s="169">
        <v>3986.9</v>
      </c>
      <c r="AD12" s="169"/>
      <c r="AE12" s="169"/>
      <c r="AF12" s="169"/>
      <c r="AG12" s="169"/>
      <c r="AH12" s="169">
        <v>8852.7999999999993</v>
      </c>
    </row>
    <row r="13" spans="1:34" x14ac:dyDescent="0.2">
      <c r="A13" s="90" t="s">
        <v>431</v>
      </c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>
        <v>4961.38</v>
      </c>
      <c r="Y13" s="169"/>
      <c r="Z13" s="169"/>
      <c r="AA13" s="169"/>
      <c r="AB13" s="169">
        <v>4961.38</v>
      </c>
      <c r="AC13" s="169">
        <v>4048.0200000000004</v>
      </c>
      <c r="AD13" s="169"/>
      <c r="AE13" s="169"/>
      <c r="AF13" s="169"/>
      <c r="AG13" s="169"/>
      <c r="AH13" s="169">
        <v>9009.4000000000015</v>
      </c>
    </row>
    <row r="14" spans="1:34" x14ac:dyDescent="0.2">
      <c r="A14" s="90" t="s">
        <v>432</v>
      </c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>
        <v>5053.67</v>
      </c>
      <c r="Z14" s="169"/>
      <c r="AA14" s="169"/>
      <c r="AB14" s="169">
        <v>5053.67</v>
      </c>
      <c r="AC14" s="169">
        <v>4109.13</v>
      </c>
      <c r="AD14" s="169"/>
      <c r="AE14" s="169"/>
      <c r="AF14" s="169"/>
      <c r="AG14" s="169"/>
      <c r="AH14" s="169">
        <v>9162.7999999999993</v>
      </c>
    </row>
    <row r="15" spans="1:34" x14ac:dyDescent="0.2">
      <c r="A15" s="90" t="s">
        <v>433</v>
      </c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>
        <v>5152.32</v>
      </c>
      <c r="AA15" s="169"/>
      <c r="AB15" s="169">
        <v>5152.32</v>
      </c>
      <c r="AC15" s="169">
        <v>4170.26</v>
      </c>
      <c r="AD15" s="169"/>
      <c r="AE15" s="169"/>
      <c r="AF15" s="169"/>
      <c r="AG15" s="169"/>
      <c r="AH15" s="169">
        <v>9322.58</v>
      </c>
    </row>
    <row r="16" spans="1:34" x14ac:dyDescent="0.2">
      <c r="A16" s="90" t="s">
        <v>434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>
        <v>5244.6</v>
      </c>
      <c r="AB16" s="169">
        <v>5244.6</v>
      </c>
      <c r="AC16" s="169">
        <v>4231.38</v>
      </c>
      <c r="AD16" s="169"/>
      <c r="AE16" s="169"/>
      <c r="AF16" s="169"/>
      <c r="AG16" s="169"/>
      <c r="AH16" s="169">
        <v>9475.98</v>
      </c>
    </row>
    <row r="17" spans="1:34" x14ac:dyDescent="0.2">
      <c r="A17" s="90" t="s">
        <v>231</v>
      </c>
      <c r="B17" s="169"/>
      <c r="C17" s="169">
        <v>1153.93</v>
      </c>
      <c r="D17" s="169">
        <v>2970.88</v>
      </c>
      <c r="E17" s="169"/>
      <c r="F17" s="169">
        <v>12412.65</v>
      </c>
      <c r="G17" s="169"/>
      <c r="H17" s="169"/>
      <c r="I17" s="169"/>
      <c r="J17" s="169">
        <v>3720.24</v>
      </c>
      <c r="K17" s="169"/>
      <c r="L17" s="169"/>
      <c r="M17" s="169"/>
      <c r="N17" s="169"/>
      <c r="O17" s="169">
        <v>20257.699999999997</v>
      </c>
      <c r="P17" s="169">
        <v>3253.49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>
        <v>3253.49</v>
      </c>
      <c r="AC17" s="169"/>
      <c r="AD17" s="169"/>
      <c r="AE17" s="169"/>
      <c r="AF17" s="169"/>
      <c r="AG17" s="169"/>
      <c r="AH17" s="169">
        <v>23511.189999999995</v>
      </c>
    </row>
    <row r="18" spans="1:34" x14ac:dyDescent="0.2">
      <c r="A18" s="90" t="s">
        <v>232</v>
      </c>
      <c r="B18" s="169">
        <v>1684.61</v>
      </c>
      <c r="C18" s="169"/>
      <c r="D18" s="169">
        <v>1153.93</v>
      </c>
      <c r="E18" s="169">
        <v>2970.88</v>
      </c>
      <c r="F18" s="169"/>
      <c r="G18" s="169">
        <v>12412.65</v>
      </c>
      <c r="H18" s="169"/>
      <c r="I18" s="169"/>
      <c r="J18" s="169"/>
      <c r="K18" s="169">
        <v>3815.71</v>
      </c>
      <c r="L18" s="169"/>
      <c r="M18" s="169"/>
      <c r="N18" s="169"/>
      <c r="O18" s="169">
        <v>20353.169999999998</v>
      </c>
      <c r="P18" s="169"/>
      <c r="Q18" s="169">
        <v>3314.6099999999997</v>
      </c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>
        <v>3314.6099999999997</v>
      </c>
      <c r="AC18" s="169"/>
      <c r="AD18" s="169"/>
      <c r="AE18" s="169"/>
      <c r="AF18" s="169"/>
      <c r="AG18" s="169"/>
      <c r="AH18" s="169">
        <v>25352.39</v>
      </c>
    </row>
    <row r="19" spans="1:34" x14ac:dyDescent="0.2">
      <c r="A19" s="90" t="s">
        <v>233</v>
      </c>
      <c r="B19" s="169"/>
      <c r="C19" s="169">
        <v>1684.61</v>
      </c>
      <c r="D19" s="169"/>
      <c r="E19" s="169">
        <v>1153.93</v>
      </c>
      <c r="F19" s="169">
        <v>2995.64</v>
      </c>
      <c r="G19" s="169"/>
      <c r="H19" s="169">
        <v>12412.65</v>
      </c>
      <c r="I19" s="169"/>
      <c r="J19" s="169"/>
      <c r="K19" s="169"/>
      <c r="L19" s="169">
        <v>3908</v>
      </c>
      <c r="M19" s="169"/>
      <c r="N19" s="169"/>
      <c r="O19" s="169">
        <v>22154.83</v>
      </c>
      <c r="P19" s="169"/>
      <c r="Q19" s="169"/>
      <c r="R19" s="169">
        <v>3375.72</v>
      </c>
      <c r="S19" s="169"/>
      <c r="T19" s="169"/>
      <c r="U19" s="169"/>
      <c r="V19" s="169"/>
      <c r="W19" s="169"/>
      <c r="X19" s="169"/>
      <c r="Y19" s="169"/>
      <c r="Z19" s="169"/>
      <c r="AA19" s="169"/>
      <c r="AB19" s="169">
        <v>3375.72</v>
      </c>
      <c r="AC19" s="169"/>
      <c r="AD19" s="169"/>
      <c r="AE19" s="169"/>
      <c r="AF19" s="169"/>
      <c r="AG19" s="169"/>
      <c r="AH19" s="169">
        <v>25530.550000000003</v>
      </c>
    </row>
    <row r="20" spans="1:34" x14ac:dyDescent="0.2">
      <c r="A20" s="90" t="s">
        <v>234</v>
      </c>
      <c r="B20" s="169"/>
      <c r="C20" s="169"/>
      <c r="D20" s="169">
        <v>1684.61</v>
      </c>
      <c r="E20" s="169"/>
      <c r="F20" s="169">
        <v>1153.93</v>
      </c>
      <c r="G20" s="169">
        <v>2970.88</v>
      </c>
      <c r="H20" s="169"/>
      <c r="I20" s="169">
        <v>12412.65</v>
      </c>
      <c r="J20" s="169"/>
      <c r="K20" s="169"/>
      <c r="L20" s="169"/>
      <c r="M20" s="169">
        <v>4006.65</v>
      </c>
      <c r="N20" s="169"/>
      <c r="O20" s="169">
        <v>22228.720000000001</v>
      </c>
      <c r="P20" s="169"/>
      <c r="Q20" s="169"/>
      <c r="R20" s="169"/>
      <c r="S20" s="169">
        <v>3436.8399999999997</v>
      </c>
      <c r="T20" s="169"/>
      <c r="U20" s="169"/>
      <c r="V20" s="169"/>
      <c r="W20" s="169"/>
      <c r="X20" s="169"/>
      <c r="Y20" s="169"/>
      <c r="Z20" s="169"/>
      <c r="AA20" s="169"/>
      <c r="AB20" s="169">
        <v>3436.8399999999997</v>
      </c>
      <c r="AC20" s="169"/>
      <c r="AD20" s="169"/>
      <c r="AE20" s="169"/>
      <c r="AF20" s="169"/>
      <c r="AG20" s="169"/>
      <c r="AH20" s="169">
        <v>25665.56</v>
      </c>
    </row>
    <row r="21" spans="1:34" x14ac:dyDescent="0.2">
      <c r="A21" s="90" t="s">
        <v>268</v>
      </c>
      <c r="B21" s="169"/>
      <c r="C21" s="169"/>
      <c r="D21" s="169"/>
      <c r="E21" s="169">
        <v>1684.61</v>
      </c>
      <c r="F21" s="169"/>
      <c r="G21" s="169"/>
      <c r="H21" s="169">
        <v>2970.88</v>
      </c>
      <c r="I21" s="169"/>
      <c r="J21" s="169">
        <v>12412.65</v>
      </c>
      <c r="K21" s="169"/>
      <c r="L21" s="169"/>
      <c r="M21" s="169"/>
      <c r="N21" s="169">
        <v>4098.9399999999996</v>
      </c>
      <c r="O21" s="169">
        <v>21167.079999999998</v>
      </c>
      <c r="P21" s="169"/>
      <c r="Q21" s="169"/>
      <c r="R21" s="169"/>
      <c r="S21" s="169"/>
      <c r="T21" s="169">
        <v>3497.96</v>
      </c>
      <c r="U21" s="169"/>
      <c r="V21" s="169"/>
      <c r="W21" s="169"/>
      <c r="X21" s="169"/>
      <c r="Y21" s="169"/>
      <c r="Z21" s="169"/>
      <c r="AA21" s="169"/>
      <c r="AB21" s="169">
        <v>3497.96</v>
      </c>
      <c r="AC21" s="169"/>
      <c r="AD21" s="169"/>
      <c r="AE21" s="169"/>
      <c r="AF21" s="169"/>
      <c r="AG21" s="169"/>
      <c r="AH21" s="169">
        <v>24665.039999999997</v>
      </c>
    </row>
    <row r="22" spans="1:34" x14ac:dyDescent="0.2">
      <c r="A22" s="90" t="s">
        <v>269</v>
      </c>
      <c r="B22" s="169"/>
      <c r="C22" s="169"/>
      <c r="D22" s="169"/>
      <c r="E22" s="169"/>
      <c r="F22" s="169">
        <v>1698.65</v>
      </c>
      <c r="G22" s="169"/>
      <c r="H22" s="169"/>
      <c r="I22" s="169"/>
      <c r="J22" s="169"/>
      <c r="K22" s="169">
        <v>12412.65</v>
      </c>
      <c r="L22" s="169"/>
      <c r="M22" s="169"/>
      <c r="N22" s="169"/>
      <c r="O22" s="169">
        <v>14111.3</v>
      </c>
      <c r="P22" s="169">
        <v>4197.6000000000004</v>
      </c>
      <c r="Q22" s="169"/>
      <c r="R22" s="169"/>
      <c r="S22" s="169"/>
      <c r="T22" s="169"/>
      <c r="U22" s="169">
        <v>3559.08</v>
      </c>
      <c r="V22" s="169"/>
      <c r="W22" s="169"/>
      <c r="X22" s="169"/>
      <c r="Y22" s="169"/>
      <c r="Z22" s="169"/>
      <c r="AA22" s="169"/>
      <c r="AB22" s="169">
        <v>7756.68</v>
      </c>
      <c r="AC22" s="169"/>
      <c r="AD22" s="169"/>
      <c r="AE22" s="169"/>
      <c r="AF22" s="169"/>
      <c r="AG22" s="169"/>
      <c r="AH22" s="169">
        <v>21867.980000000003</v>
      </c>
    </row>
    <row r="23" spans="1:34" x14ac:dyDescent="0.2">
      <c r="A23" s="90" t="s">
        <v>263</v>
      </c>
      <c r="B23" s="169">
        <v>1713.88</v>
      </c>
      <c r="C23" s="169"/>
      <c r="D23" s="169"/>
      <c r="E23" s="169"/>
      <c r="F23" s="169"/>
      <c r="G23" s="169">
        <v>1684.61</v>
      </c>
      <c r="H23" s="169"/>
      <c r="I23" s="169"/>
      <c r="J23" s="169"/>
      <c r="K23" s="169"/>
      <c r="L23" s="169">
        <v>12412.65</v>
      </c>
      <c r="M23" s="169"/>
      <c r="N23" s="169"/>
      <c r="O23" s="169">
        <v>14097.26</v>
      </c>
      <c r="P23" s="169"/>
      <c r="Q23" s="169">
        <v>4293.07</v>
      </c>
      <c r="R23" s="169"/>
      <c r="S23" s="169"/>
      <c r="T23" s="169"/>
      <c r="U23" s="169"/>
      <c r="V23" s="169">
        <v>3620.1899999999996</v>
      </c>
      <c r="W23" s="169"/>
      <c r="X23" s="169"/>
      <c r="Y23" s="169"/>
      <c r="Z23" s="169"/>
      <c r="AA23" s="169"/>
      <c r="AB23" s="169">
        <v>7913.2599999999993</v>
      </c>
      <c r="AC23" s="169"/>
      <c r="AD23" s="169"/>
      <c r="AE23" s="169"/>
      <c r="AF23" s="169"/>
      <c r="AG23" s="169"/>
      <c r="AH23" s="169">
        <v>23724.399999999998</v>
      </c>
    </row>
    <row r="24" spans="1:34" x14ac:dyDescent="0.2">
      <c r="A24" s="90" t="s">
        <v>424</v>
      </c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>
        <v>4379</v>
      </c>
      <c r="S24" s="169"/>
      <c r="T24" s="169"/>
      <c r="U24" s="169"/>
      <c r="V24" s="169"/>
      <c r="W24" s="169">
        <v>3681.31</v>
      </c>
      <c r="X24" s="169"/>
      <c r="Y24" s="169"/>
      <c r="Z24" s="169"/>
      <c r="AA24" s="169"/>
      <c r="AB24" s="169">
        <v>8060.3099999999995</v>
      </c>
      <c r="AC24" s="169"/>
      <c r="AD24" s="169"/>
      <c r="AE24" s="169"/>
      <c r="AF24" s="169"/>
      <c r="AG24" s="169"/>
      <c r="AH24" s="169">
        <v>8060.3099999999995</v>
      </c>
    </row>
    <row r="25" spans="1:34" x14ac:dyDescent="0.2">
      <c r="A25" s="90" t="s">
        <v>940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>
        <v>4292.49</v>
      </c>
      <c r="AD25" s="169"/>
      <c r="AE25" s="169"/>
      <c r="AF25" s="169"/>
      <c r="AG25" s="169"/>
      <c r="AH25" s="169">
        <v>4292.49</v>
      </c>
    </row>
    <row r="26" spans="1:34" x14ac:dyDescent="0.2">
      <c r="A26" s="90" t="s">
        <v>941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>
        <v>4353.72</v>
      </c>
      <c r="AD26" s="169"/>
      <c r="AE26" s="169"/>
      <c r="AF26" s="169"/>
      <c r="AG26" s="169"/>
      <c r="AH26" s="169">
        <v>4353.72</v>
      </c>
    </row>
    <row r="27" spans="1:34" x14ac:dyDescent="0.2">
      <c r="A27" s="90" t="s">
        <v>942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>
        <v>2919.25</v>
      </c>
      <c r="AD27" s="169"/>
      <c r="AE27" s="169"/>
      <c r="AF27" s="169"/>
      <c r="AG27" s="169"/>
      <c r="AH27" s="169">
        <v>2919.25</v>
      </c>
    </row>
    <row r="28" spans="1:34" x14ac:dyDescent="0.2">
      <c r="A28" s="90" t="s">
        <v>943</v>
      </c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>
        <v>2959.67</v>
      </c>
      <c r="AD28" s="169"/>
      <c r="AE28" s="169"/>
      <c r="AF28" s="169"/>
      <c r="AG28" s="169"/>
      <c r="AH28" s="169">
        <v>2959.67</v>
      </c>
    </row>
    <row r="29" spans="1:34" x14ac:dyDescent="0.2">
      <c r="A29" s="90" t="s">
        <v>944</v>
      </c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>
        <v>3000.08</v>
      </c>
      <c r="AD29" s="169"/>
      <c r="AE29" s="169"/>
      <c r="AF29" s="169"/>
      <c r="AG29" s="169"/>
      <c r="AH29" s="169">
        <v>3000.08</v>
      </c>
    </row>
    <row r="30" spans="1:34" x14ac:dyDescent="0.2">
      <c r="A30" s="90" t="s">
        <v>945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>
        <v>3040.49</v>
      </c>
      <c r="AD30" s="169"/>
      <c r="AE30" s="169"/>
      <c r="AF30" s="169"/>
      <c r="AG30" s="169"/>
      <c r="AH30" s="169">
        <v>3040.49</v>
      </c>
    </row>
    <row r="31" spans="1:34" x14ac:dyDescent="0.2">
      <c r="A31" s="90" t="s">
        <v>946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>
        <v>3080.91</v>
      </c>
      <c r="AD31" s="169"/>
      <c r="AE31" s="169"/>
      <c r="AF31" s="169"/>
      <c r="AG31" s="169"/>
      <c r="AH31" s="169">
        <v>3080.91</v>
      </c>
    </row>
    <row r="32" spans="1:34" x14ac:dyDescent="0.2">
      <c r="A32" s="90" t="s">
        <v>947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>
        <v>3121.32</v>
      </c>
      <c r="AE32" s="169"/>
      <c r="AF32" s="169"/>
      <c r="AG32" s="169"/>
      <c r="AH32" s="169">
        <v>3121.32</v>
      </c>
    </row>
    <row r="33" spans="1:34" x14ac:dyDescent="0.2">
      <c r="A33" s="90" t="s">
        <v>948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>
        <v>3161.73</v>
      </c>
      <c r="AE33" s="169"/>
      <c r="AF33" s="169"/>
      <c r="AG33" s="169"/>
      <c r="AH33" s="169">
        <v>3161.73</v>
      </c>
    </row>
    <row r="34" spans="1:34" x14ac:dyDescent="0.2">
      <c r="A34" s="90" t="s">
        <v>949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>
        <v>3202.16</v>
      </c>
      <c r="AE34" s="169"/>
      <c r="AF34" s="169"/>
      <c r="AG34" s="169"/>
      <c r="AH34" s="169">
        <v>3202.16</v>
      </c>
    </row>
    <row r="35" spans="1:34" x14ac:dyDescent="0.2">
      <c r="A35" s="90" t="s">
        <v>950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>
        <v>3242.57</v>
      </c>
      <c r="AE35" s="169"/>
      <c r="AF35" s="169"/>
      <c r="AG35" s="169"/>
      <c r="AH35" s="169">
        <v>3242.57</v>
      </c>
    </row>
    <row r="36" spans="1:34" x14ac:dyDescent="0.2">
      <c r="A36" s="90" t="s">
        <v>951</v>
      </c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>
        <v>3282.98</v>
      </c>
      <c r="AE36" s="169"/>
      <c r="AF36" s="169"/>
      <c r="AG36" s="169"/>
      <c r="AH36" s="169">
        <v>3282.98</v>
      </c>
    </row>
    <row r="37" spans="1:34" x14ac:dyDescent="0.2">
      <c r="A37" s="90" t="s">
        <v>952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>
        <v>3323.39</v>
      </c>
      <c r="AE37" s="169"/>
      <c r="AF37" s="169"/>
      <c r="AG37" s="169"/>
      <c r="AH37" s="169">
        <v>3323.39</v>
      </c>
    </row>
    <row r="38" spans="1:34" x14ac:dyDescent="0.2">
      <c r="A38" s="90" t="s">
        <v>953</v>
      </c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>
        <v>3363.81</v>
      </c>
      <c r="AE38" s="169"/>
      <c r="AF38" s="169"/>
      <c r="AG38" s="169"/>
      <c r="AH38" s="169">
        <v>3363.81</v>
      </c>
    </row>
    <row r="39" spans="1:34" x14ac:dyDescent="0.2">
      <c r="A39" s="90" t="s">
        <v>954</v>
      </c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>
        <v>3404.23</v>
      </c>
      <c r="AE39" s="169"/>
      <c r="AF39" s="169"/>
      <c r="AG39" s="169"/>
      <c r="AH39" s="169">
        <v>3404.23</v>
      </c>
    </row>
    <row r="40" spans="1:34" x14ac:dyDescent="0.2">
      <c r="A40" s="90" t="s">
        <v>955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>
        <v>3444.6400000000003</v>
      </c>
      <c r="AE40" s="169"/>
      <c r="AF40" s="169"/>
      <c r="AG40" s="169"/>
      <c r="AH40" s="169">
        <v>3444.6400000000003</v>
      </c>
    </row>
    <row r="41" spans="1:34" x14ac:dyDescent="0.2">
      <c r="A41" s="90" t="s">
        <v>956</v>
      </c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>
        <v>3485.05</v>
      </c>
      <c r="AE41" s="169"/>
      <c r="AF41" s="169"/>
      <c r="AG41" s="169"/>
      <c r="AH41" s="169">
        <v>3485.05</v>
      </c>
    </row>
    <row r="42" spans="1:34" x14ac:dyDescent="0.2">
      <c r="A42" s="90" t="s">
        <v>957</v>
      </c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>
        <v>3525.4700000000003</v>
      </c>
      <c r="AE42" s="169"/>
      <c r="AF42" s="169"/>
      <c r="AG42" s="169"/>
      <c r="AH42" s="169">
        <v>3525.4700000000003</v>
      </c>
    </row>
    <row r="43" spans="1:34" x14ac:dyDescent="0.2">
      <c r="A43" s="90" t="s">
        <v>958</v>
      </c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>
        <v>3565.88</v>
      </c>
      <c r="AE43" s="169"/>
      <c r="AF43" s="169"/>
      <c r="AG43" s="169"/>
      <c r="AH43" s="169">
        <v>3565.88</v>
      </c>
    </row>
    <row r="44" spans="1:34" x14ac:dyDescent="0.2">
      <c r="A44" s="90" t="s">
        <v>959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>
        <v>3606.29</v>
      </c>
      <c r="AF44" s="169"/>
      <c r="AG44" s="169"/>
      <c r="AH44" s="169">
        <v>3606.29</v>
      </c>
    </row>
    <row r="45" spans="1:34" x14ac:dyDescent="0.2">
      <c r="A45" s="90" t="s">
        <v>960</v>
      </c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>
        <v>3646.71</v>
      </c>
      <c r="AF45" s="169"/>
      <c r="AG45" s="169"/>
      <c r="AH45" s="169">
        <v>3646.71</v>
      </c>
    </row>
    <row r="46" spans="1:34" x14ac:dyDescent="0.2">
      <c r="A46" s="90" t="s">
        <v>961</v>
      </c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>
        <v>3687.13</v>
      </c>
      <c r="AF46" s="169"/>
      <c r="AG46" s="169"/>
      <c r="AH46" s="169">
        <v>3687.13</v>
      </c>
    </row>
    <row r="47" spans="1:34" x14ac:dyDescent="0.2">
      <c r="A47" s="90" t="s">
        <v>962</v>
      </c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>
        <v>3727.54</v>
      </c>
      <c r="AF47" s="169"/>
      <c r="AG47" s="169"/>
      <c r="AH47" s="169">
        <v>3727.54</v>
      </c>
    </row>
    <row r="48" spans="1:34" x14ac:dyDescent="0.2">
      <c r="A48" s="90" t="s">
        <v>963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>
        <v>3767.95</v>
      </c>
      <c r="AF48" s="169"/>
      <c r="AG48" s="169"/>
      <c r="AH48" s="169">
        <v>3767.95</v>
      </c>
    </row>
    <row r="49" spans="1:34" x14ac:dyDescent="0.2">
      <c r="A49" s="90" t="s">
        <v>964</v>
      </c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>
        <v>3808.36</v>
      </c>
      <c r="AF49" s="169"/>
      <c r="AG49" s="169"/>
      <c r="AH49" s="169">
        <v>3808.36</v>
      </c>
    </row>
    <row r="50" spans="1:34" x14ac:dyDescent="0.2">
      <c r="A50" s="90" t="s">
        <v>965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>
        <v>3848.79</v>
      </c>
      <c r="AF50" s="169"/>
      <c r="AG50" s="169"/>
      <c r="AH50" s="169">
        <v>3848.79</v>
      </c>
    </row>
    <row r="51" spans="1:34" x14ac:dyDescent="0.2">
      <c r="A51" s="90" t="s">
        <v>966</v>
      </c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>
        <v>3889.2</v>
      </c>
      <c r="AF51" s="169"/>
      <c r="AG51" s="169"/>
      <c r="AH51" s="169">
        <v>3889.2</v>
      </c>
    </row>
    <row r="52" spans="1:34" x14ac:dyDescent="0.2">
      <c r="A52" s="90" t="s">
        <v>967</v>
      </c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  <c r="AC52" s="169"/>
      <c r="AD52" s="169"/>
      <c r="AE52" s="169">
        <v>3929.3500000000004</v>
      </c>
      <c r="AF52" s="169"/>
      <c r="AG52" s="169"/>
      <c r="AH52" s="169">
        <v>3929.3500000000004</v>
      </c>
    </row>
    <row r="53" spans="1:34" x14ac:dyDescent="0.2">
      <c r="A53" s="90" t="s">
        <v>968</v>
      </c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>
        <v>1971.97</v>
      </c>
      <c r="AF53" s="169"/>
      <c r="AG53" s="169"/>
      <c r="AH53" s="169">
        <v>1971.97</v>
      </c>
    </row>
    <row r="54" spans="1:34" x14ac:dyDescent="0.2">
      <c r="A54" s="90" t="s">
        <v>969</v>
      </c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  <c r="AC54" s="169"/>
      <c r="AD54" s="169"/>
      <c r="AE54" s="169">
        <v>1992.05</v>
      </c>
      <c r="AF54" s="169"/>
      <c r="AG54" s="169"/>
      <c r="AH54" s="169">
        <v>1992.05</v>
      </c>
    </row>
    <row r="55" spans="1:34" x14ac:dyDescent="0.2">
      <c r="A55" s="90" t="s">
        <v>970</v>
      </c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  <c r="AC55" s="169"/>
      <c r="AD55" s="169"/>
      <c r="AE55" s="169">
        <v>2012.12</v>
      </c>
      <c r="AF55" s="169"/>
      <c r="AG55" s="169"/>
      <c r="AH55" s="169">
        <v>2012.12</v>
      </c>
    </row>
    <row r="56" spans="1:34" x14ac:dyDescent="0.2">
      <c r="A56" s="90" t="s">
        <v>971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>
        <v>2032.2</v>
      </c>
      <c r="AG56" s="169"/>
      <c r="AH56" s="169">
        <v>2032.2</v>
      </c>
    </row>
    <row r="57" spans="1:34" x14ac:dyDescent="0.2">
      <c r="A57" s="90" t="s">
        <v>972</v>
      </c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>
        <v>2052.2800000000002</v>
      </c>
      <c r="AG57" s="169"/>
      <c r="AH57" s="169">
        <v>2052.2800000000002</v>
      </c>
    </row>
    <row r="58" spans="1:34" x14ac:dyDescent="0.2">
      <c r="A58" s="90" t="s">
        <v>973</v>
      </c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>
        <v>2072.35</v>
      </c>
      <c r="AG58" s="169"/>
      <c r="AH58" s="169">
        <v>2072.35</v>
      </c>
    </row>
    <row r="59" spans="1:34" x14ac:dyDescent="0.2">
      <c r="A59" s="90" t="s">
        <v>974</v>
      </c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>
        <v>2092.42</v>
      </c>
      <c r="AG59" s="169"/>
      <c r="AH59" s="169">
        <v>2092.42</v>
      </c>
    </row>
    <row r="60" spans="1:34" x14ac:dyDescent="0.2">
      <c r="A60" s="90" t="s">
        <v>975</v>
      </c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>
        <v>2112.4899999999998</v>
      </c>
      <c r="AG60" s="169"/>
      <c r="AH60" s="169">
        <v>2112.4899999999998</v>
      </c>
    </row>
    <row r="61" spans="1:34" x14ac:dyDescent="0.2">
      <c r="A61" s="90" t="s">
        <v>976</v>
      </c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>
        <v>2132.5700000000002</v>
      </c>
      <c r="AG61" s="169"/>
      <c r="AH61" s="169">
        <v>2132.5700000000002</v>
      </c>
    </row>
    <row r="62" spans="1:34" x14ac:dyDescent="0.2">
      <c r="A62" s="90" t="s">
        <v>977</v>
      </c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>
        <v>2152.65</v>
      </c>
      <c r="AG62" s="169"/>
      <c r="AH62" s="169">
        <v>2152.65</v>
      </c>
    </row>
    <row r="63" spans="1:34" x14ac:dyDescent="0.2">
      <c r="A63" s="90" t="s">
        <v>978</v>
      </c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>
        <v>2172.7199999999998</v>
      </c>
      <c r="AG63" s="169"/>
      <c r="AH63" s="169">
        <v>2172.7199999999998</v>
      </c>
    </row>
    <row r="64" spans="1:34" x14ac:dyDescent="0.2">
      <c r="A64" s="90" t="s">
        <v>979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>
        <v>2192.79</v>
      </c>
      <c r="AG64" s="169"/>
      <c r="AH64" s="169">
        <v>2192.79</v>
      </c>
    </row>
    <row r="65" spans="1:34" x14ac:dyDescent="0.2">
      <c r="A65" s="90" t="s">
        <v>980</v>
      </c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>
        <v>2212.87</v>
      </c>
      <c r="AG65" s="169"/>
      <c r="AH65" s="169">
        <v>2212.87</v>
      </c>
    </row>
    <row r="66" spans="1:34" x14ac:dyDescent="0.2">
      <c r="A66" s="90" t="s">
        <v>981</v>
      </c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>
        <v>2232.94</v>
      </c>
      <c r="AG66" s="169"/>
      <c r="AH66" s="169">
        <v>2232.94</v>
      </c>
    </row>
    <row r="67" spans="1:34" x14ac:dyDescent="0.2">
      <c r="A67" s="90" t="s">
        <v>982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>
        <v>2253.02</v>
      </c>
      <c r="AG67" s="169"/>
      <c r="AH67" s="169">
        <v>2253.02</v>
      </c>
    </row>
    <row r="68" spans="1:34" x14ac:dyDescent="0.2">
      <c r="A68" s="90" t="s">
        <v>983</v>
      </c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>
        <v>2273.09</v>
      </c>
      <c r="AH68" s="169">
        <v>2273.09</v>
      </c>
    </row>
    <row r="69" spans="1:34" x14ac:dyDescent="0.2">
      <c r="A69" s="90" t="s">
        <v>984</v>
      </c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>
        <v>2293.17</v>
      </c>
      <c r="AH69" s="169">
        <v>2293.17</v>
      </c>
    </row>
    <row r="70" spans="1:34" x14ac:dyDescent="0.2">
      <c r="A70" s="90" t="s">
        <v>985</v>
      </c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>
        <v>2313.2399999999998</v>
      </c>
      <c r="AH70" s="169">
        <v>2313.2399999999998</v>
      </c>
    </row>
    <row r="71" spans="1:34" x14ac:dyDescent="0.2">
      <c r="A71" s="90" t="s">
        <v>986</v>
      </c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>
        <v>2333.31</v>
      </c>
      <c r="AH71" s="169">
        <v>2333.31</v>
      </c>
    </row>
    <row r="72" spans="1:34" x14ac:dyDescent="0.2">
      <c r="A72" s="90" t="s">
        <v>987</v>
      </c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>
        <v>2353.38</v>
      </c>
      <c r="AH72" s="169">
        <v>2353.38</v>
      </c>
    </row>
    <row r="73" spans="1:34" x14ac:dyDescent="0.2">
      <c r="A73" s="90" t="s">
        <v>988</v>
      </c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>
        <v>2373.4699999999998</v>
      </c>
      <c r="AH73" s="169">
        <v>2373.4699999999998</v>
      </c>
    </row>
    <row r="74" spans="1:34" x14ac:dyDescent="0.2">
      <c r="A74" s="90" t="s">
        <v>989</v>
      </c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>
        <v>2393.54</v>
      </c>
      <c r="AH74" s="169">
        <v>2393.54</v>
      </c>
    </row>
    <row r="75" spans="1:34" x14ac:dyDescent="0.2">
      <c r="A75" s="90" t="s">
        <v>990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>
        <v>2413.61</v>
      </c>
      <c r="AH75" s="169">
        <v>2413.61</v>
      </c>
    </row>
    <row r="76" spans="1:34" x14ac:dyDescent="0.2">
      <c r="A76" s="90" t="s">
        <v>991</v>
      </c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>
        <v>2433.6799999999998</v>
      </c>
      <c r="AH76" s="169">
        <v>2433.6799999999998</v>
      </c>
    </row>
    <row r="77" spans="1:34" x14ac:dyDescent="0.2">
      <c r="A77" s="90" t="s">
        <v>992</v>
      </c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>
        <v>2453.7600000000002</v>
      </c>
      <c r="AH77" s="169">
        <v>2453.7600000000002</v>
      </c>
    </row>
    <row r="78" spans="1:34" x14ac:dyDescent="0.2">
      <c r="A78" s="90" t="s">
        <v>993</v>
      </c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>
        <v>2473.5100000000002</v>
      </c>
      <c r="AH78" s="169">
        <v>2473.5100000000002</v>
      </c>
    </row>
    <row r="79" spans="1:34" x14ac:dyDescent="0.2">
      <c r="A79" s="90" t="s">
        <v>739</v>
      </c>
      <c r="B79" s="169">
        <v>4552.42</v>
      </c>
      <c r="C79" s="169">
        <v>5809.42</v>
      </c>
      <c r="D79" s="169">
        <v>5809.42</v>
      </c>
      <c r="E79" s="169">
        <v>18222.07</v>
      </c>
      <c r="F79" s="169">
        <v>18260.87</v>
      </c>
      <c r="G79" s="169">
        <v>17068.14</v>
      </c>
      <c r="H79" s="169">
        <v>15383.529999999999</v>
      </c>
      <c r="I79" s="169">
        <v>16034.23</v>
      </c>
      <c r="J79" s="169">
        <v>16132.89</v>
      </c>
      <c r="K79" s="169">
        <v>16228.36</v>
      </c>
      <c r="L79" s="169">
        <v>16320.65</v>
      </c>
      <c r="M79" s="169">
        <v>4006.65</v>
      </c>
      <c r="N79" s="169">
        <v>7291.33</v>
      </c>
      <c r="O79" s="169">
        <v>156567.56</v>
      </c>
      <c r="P79" s="169">
        <v>7451.09</v>
      </c>
      <c r="Q79" s="169">
        <v>7607.6799999999994</v>
      </c>
      <c r="R79" s="169">
        <v>7754.7199999999993</v>
      </c>
      <c r="S79" s="169">
        <v>7920.8600000000006</v>
      </c>
      <c r="T79" s="169">
        <v>8074.27</v>
      </c>
      <c r="U79" s="169">
        <v>8234.0400000000009</v>
      </c>
      <c r="V79" s="169">
        <v>8387.4399999999987</v>
      </c>
      <c r="W79" s="169">
        <v>8547.2099999999991</v>
      </c>
      <c r="X79" s="169">
        <v>8703.8100000000013</v>
      </c>
      <c r="Y79" s="169">
        <v>8857.2200000000012</v>
      </c>
      <c r="Z79" s="169">
        <v>9016.98</v>
      </c>
      <c r="AA79" s="169">
        <v>9170.39</v>
      </c>
      <c r="AB79" s="169">
        <v>99725.709999999977</v>
      </c>
      <c r="AC79" s="169">
        <v>44192.3</v>
      </c>
      <c r="AD79" s="169">
        <v>40123.229999999996</v>
      </c>
      <c r="AE79" s="169">
        <v>39887.460000000014</v>
      </c>
      <c r="AF79" s="169">
        <v>25711.3</v>
      </c>
      <c r="AG79" s="169">
        <v>26107.760000000002</v>
      </c>
      <c r="AH79" s="169">
        <v>436867.7399999997</v>
      </c>
    </row>
    <row r="82" spans="14:20" x14ac:dyDescent="0.2">
      <c r="N82" s="169">
        <f>GETPIVOTDATA("Monto",$A$4,"Mes",12,"Año ",2020)+GETPIVOTDATA("Monto",$A$4,"Mes",12,"Año ",2020)+SUM(P79:U79)</f>
        <v>61625.319999999992</v>
      </c>
      <c r="T82" s="1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  <pageSetUpPr fitToPage="1"/>
  </sheetPr>
  <dimension ref="A1:Z1040334"/>
  <sheetViews>
    <sheetView tabSelected="1" zoomScaleNormal="100" workbookViewId="0">
      <pane ySplit="1" topLeftCell="A2" activePane="bottomLeft" state="frozen"/>
      <selection sqref="A1:J2"/>
      <selection pane="bottomLeft" activeCell="E3" sqref="E3"/>
    </sheetView>
  </sheetViews>
  <sheetFormatPr baseColWidth="10" defaultColWidth="14.42578125" defaultRowHeight="15.75" customHeight="1" x14ac:dyDescent="0.2"/>
  <cols>
    <col min="1" max="1" width="17.7109375" customWidth="1"/>
    <col min="2" max="2" width="15.7109375" customWidth="1"/>
    <col min="3" max="3" width="21.5703125" customWidth="1"/>
    <col min="4" max="4" width="11.85546875" bestFit="1" customWidth="1"/>
    <col min="5" max="5" width="11.7109375" bestFit="1" customWidth="1"/>
    <col min="6" max="6" width="9.7109375" customWidth="1"/>
    <col min="7" max="7" width="13.140625" customWidth="1"/>
    <col min="8" max="8" width="7" customWidth="1"/>
    <col min="9" max="9" width="7.5703125" customWidth="1"/>
    <col min="10" max="10" width="8.140625" customWidth="1"/>
    <col min="11" max="11" width="19.85546875" style="184" bestFit="1" customWidth="1"/>
    <col min="12" max="12" width="33" bestFit="1" customWidth="1"/>
  </cols>
  <sheetData>
    <row r="1" spans="1:26" ht="12.75" x14ac:dyDescent="0.2">
      <c r="A1" s="2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7" t="s">
        <v>6</v>
      </c>
      <c r="G1" s="4" t="s">
        <v>9</v>
      </c>
      <c r="H1" s="9" t="s">
        <v>10</v>
      </c>
      <c r="I1" s="9" t="s">
        <v>12</v>
      </c>
      <c r="J1" s="121" t="s">
        <v>13</v>
      </c>
      <c r="K1" s="61" t="s">
        <v>765</v>
      </c>
      <c r="L1" s="10"/>
      <c r="M1" s="10" t="s">
        <v>15</v>
      </c>
      <c r="O1" s="6" t="s">
        <v>1153</v>
      </c>
      <c r="P1" s="6" t="s">
        <v>1154</v>
      </c>
      <c r="Q1" s="6" t="s">
        <v>1155</v>
      </c>
      <c r="R1" s="6" t="s">
        <v>1156</v>
      </c>
      <c r="S1" s="6" t="s">
        <v>1157</v>
      </c>
      <c r="T1" s="10" t="s">
        <v>1158</v>
      </c>
      <c r="U1" s="6" t="s">
        <v>1159</v>
      </c>
      <c r="V1" s="6"/>
      <c r="W1" s="6"/>
      <c r="X1" s="6"/>
      <c r="Y1" s="6"/>
      <c r="Z1" s="6"/>
    </row>
    <row r="2" spans="1:26" ht="12.75" x14ac:dyDescent="0.2">
      <c r="A2" s="2">
        <v>43676</v>
      </c>
      <c r="B2" s="13" t="s">
        <v>18</v>
      </c>
      <c r="C2" s="13">
        <v>62889167</v>
      </c>
      <c r="D2" s="11">
        <v>5563</v>
      </c>
      <c r="E2" s="13" t="s">
        <v>22</v>
      </c>
      <c r="F2" s="7">
        <v>43661</v>
      </c>
      <c r="G2" s="15"/>
      <c r="H2" s="16">
        <f t="shared" ref="H2:H33" si="0">DAY(A2)</f>
        <v>30</v>
      </c>
      <c r="I2" s="16">
        <f t="shared" ref="I2:I49" si="1">MONTH(A2)</f>
        <v>7</v>
      </c>
      <c r="J2" s="122">
        <f t="shared" ref="J2:J33" si="2">YEAR(A2)</f>
        <v>2019</v>
      </c>
      <c r="K2" s="64">
        <f t="shared" ref="K2:K65" si="3">A2+60</f>
        <v>43736</v>
      </c>
      <c r="L2" s="10" t="s">
        <v>15</v>
      </c>
      <c r="M2" s="6"/>
      <c r="O2" s="208">
        <v>43647</v>
      </c>
      <c r="P2" s="209">
        <f>+SUMIF($A$2:$A$998,O2,$D$2:$D$998)</f>
        <v>0</v>
      </c>
      <c r="Q2" s="209">
        <f>+SUMIF('A DEPOSITAR'!$D$2:$D$998,(O2-2),'A DEPOSITAR'!$H$2:$H$998)</f>
        <v>5000</v>
      </c>
      <c r="R2" s="210">
        <f>+Q2-P2</f>
        <v>5000</v>
      </c>
      <c r="S2" s="210">
        <f>+R2</f>
        <v>5000</v>
      </c>
      <c r="T2" s="209">
        <f>+SUMIFS($D$2:$D$998,$A$2:$A$998,O2,$E$2:$E$998,"A Pagar")</f>
        <v>0</v>
      </c>
      <c r="U2" s="209">
        <f>+SUMIFS('A DEPOSITAR'!$H$2:$H$998,'A DEPOSITAR'!$D$2:$D$998,(O2-2),'A DEPOSITAR'!$I$2:$I$998,"A Depositar")</f>
        <v>0</v>
      </c>
      <c r="V2" s="6"/>
      <c r="W2" s="6"/>
      <c r="X2" s="6"/>
      <c r="Y2" s="6"/>
      <c r="Z2" s="6"/>
    </row>
    <row r="3" spans="1:26" ht="12.75" x14ac:dyDescent="0.2">
      <c r="A3" s="2">
        <v>43669</v>
      </c>
      <c r="B3" s="13" t="s">
        <v>23</v>
      </c>
      <c r="C3" s="13">
        <v>66126483</v>
      </c>
      <c r="D3" s="11">
        <v>6576</v>
      </c>
      <c r="E3" s="13" t="s">
        <v>22</v>
      </c>
      <c r="F3" s="7">
        <v>43661</v>
      </c>
      <c r="G3" s="15"/>
      <c r="H3" s="16">
        <f t="shared" si="0"/>
        <v>23</v>
      </c>
      <c r="I3" s="16">
        <f t="shared" si="1"/>
        <v>7</v>
      </c>
      <c r="J3" s="122">
        <f t="shared" si="2"/>
        <v>2019</v>
      </c>
      <c r="K3" s="64">
        <f t="shared" si="3"/>
        <v>43729</v>
      </c>
      <c r="L3" s="6"/>
      <c r="M3" s="6"/>
      <c r="O3" s="208">
        <v>43648</v>
      </c>
      <c r="P3" s="209">
        <f t="shared" ref="P3:P66" si="4">+SUMIF($A$2:$A$998,O3,$D$2:$D$998)</f>
        <v>0</v>
      </c>
      <c r="Q3" s="209">
        <f>+SUMIF('A DEPOSITAR'!$D$2:$D$998,(O3-2),'A DEPOSITAR'!$H$2:$H$998)</f>
        <v>10000</v>
      </c>
      <c r="R3" s="210">
        <f t="shared" ref="R3:R66" si="5">+Q3-P3</f>
        <v>10000</v>
      </c>
      <c r="S3" s="210">
        <f>+S2+R3</f>
        <v>15000</v>
      </c>
      <c r="T3" s="209">
        <f t="shared" ref="T3:T66" si="6">+SUMIFS($D$2:$D$998,$A$2:$A$998,O3,$E$2:$E$998,"A Pagar")</f>
        <v>0</v>
      </c>
      <c r="U3" s="209">
        <f>+SUMIFS('A DEPOSITAR'!$H$2:$H$998,'A DEPOSITAR'!$D$2:$D$998,(O3-2),'A DEPOSITAR'!$I$2:$I$998,"A Depositar")</f>
        <v>0</v>
      </c>
      <c r="V3" s="6"/>
      <c r="W3" s="6"/>
      <c r="X3" s="6"/>
      <c r="Y3" s="6"/>
      <c r="Z3" s="6"/>
    </row>
    <row r="4" spans="1:26" ht="12.75" x14ac:dyDescent="0.2">
      <c r="A4" s="2">
        <v>43662</v>
      </c>
      <c r="B4" s="13" t="s">
        <v>24</v>
      </c>
      <c r="C4" s="13">
        <v>66126493</v>
      </c>
      <c r="D4" s="11">
        <v>10120</v>
      </c>
      <c r="E4" s="13" t="s">
        <v>22</v>
      </c>
      <c r="F4" s="7">
        <v>43661</v>
      </c>
      <c r="G4" s="15"/>
      <c r="H4" s="16">
        <f t="shared" si="0"/>
        <v>16</v>
      </c>
      <c r="I4" s="16">
        <f t="shared" si="1"/>
        <v>7</v>
      </c>
      <c r="J4" s="122">
        <f t="shared" si="2"/>
        <v>2019</v>
      </c>
      <c r="K4" s="64">
        <f t="shared" si="3"/>
        <v>43722</v>
      </c>
      <c r="L4" s="6"/>
      <c r="M4" s="6"/>
      <c r="O4" s="208">
        <v>43649</v>
      </c>
      <c r="P4" s="209">
        <f t="shared" si="4"/>
        <v>0</v>
      </c>
      <c r="Q4" s="209">
        <f>+SUMIF('A DEPOSITAR'!$D$2:$D$998,(O4-2),'A DEPOSITAR'!$H$2:$H$998)</f>
        <v>3100</v>
      </c>
      <c r="R4" s="210">
        <f t="shared" si="5"/>
        <v>3100</v>
      </c>
      <c r="S4" s="210">
        <f t="shared" ref="S4:S67" si="7">+S3+R4</f>
        <v>18100</v>
      </c>
      <c r="T4" s="209">
        <f t="shared" si="6"/>
        <v>0</v>
      </c>
      <c r="U4" s="209">
        <f>+SUMIFS('A DEPOSITAR'!$H$2:$H$998,'A DEPOSITAR'!$D$2:$D$998,(O4-2),'A DEPOSITAR'!$I$2:$I$998,"A Depositar")</f>
        <v>0</v>
      </c>
      <c r="V4" s="6"/>
      <c r="W4" s="6"/>
      <c r="X4" s="6"/>
      <c r="Y4" s="6"/>
      <c r="Z4" s="6"/>
    </row>
    <row r="5" spans="1:26" ht="12.75" x14ac:dyDescent="0.2">
      <c r="A5" s="2">
        <v>43669</v>
      </c>
      <c r="B5" s="13" t="s">
        <v>25</v>
      </c>
      <c r="C5" s="13">
        <v>66126494</v>
      </c>
      <c r="D5" s="11">
        <v>3900</v>
      </c>
      <c r="E5" s="13" t="s">
        <v>22</v>
      </c>
      <c r="F5" s="7">
        <v>43661</v>
      </c>
      <c r="G5" s="15"/>
      <c r="H5" s="16">
        <f t="shared" si="0"/>
        <v>23</v>
      </c>
      <c r="I5" s="16">
        <f t="shared" si="1"/>
        <v>7</v>
      </c>
      <c r="J5" s="122">
        <f t="shared" si="2"/>
        <v>2019</v>
      </c>
      <c r="K5" s="64">
        <f t="shared" si="3"/>
        <v>43729</v>
      </c>
      <c r="L5" s="6"/>
      <c r="M5" s="6"/>
      <c r="O5" s="208">
        <v>43650</v>
      </c>
      <c r="P5" s="209">
        <f t="shared" si="4"/>
        <v>0</v>
      </c>
      <c r="Q5" s="209">
        <f>+SUMIF('A DEPOSITAR'!$D$2:$D$998,(O5-2),'A DEPOSITAR'!$H$2:$H$998)</f>
        <v>0</v>
      </c>
      <c r="R5" s="210">
        <f t="shared" si="5"/>
        <v>0</v>
      </c>
      <c r="S5" s="210">
        <f t="shared" si="7"/>
        <v>18100</v>
      </c>
      <c r="T5" s="209">
        <f t="shared" si="6"/>
        <v>0</v>
      </c>
      <c r="U5" s="209">
        <f>+SUMIFS('A DEPOSITAR'!$H$2:$H$998,'A DEPOSITAR'!$D$2:$D$998,(O5-2),'A DEPOSITAR'!$I$2:$I$998,"A Depositar")</f>
        <v>0</v>
      </c>
      <c r="V5" s="6"/>
      <c r="W5" s="6"/>
      <c r="X5" s="6"/>
      <c r="Y5" s="6"/>
      <c r="Z5" s="6"/>
    </row>
    <row r="6" spans="1:26" ht="12.75" x14ac:dyDescent="0.2">
      <c r="A6" s="2">
        <v>43685</v>
      </c>
      <c r="B6" s="13" t="s">
        <v>25</v>
      </c>
      <c r="C6" s="13">
        <v>66126495</v>
      </c>
      <c r="D6" s="11">
        <v>3951</v>
      </c>
      <c r="E6" s="13" t="s">
        <v>22</v>
      </c>
      <c r="F6" s="7">
        <v>43661</v>
      </c>
      <c r="G6" s="15"/>
      <c r="H6" s="16">
        <f t="shared" si="0"/>
        <v>8</v>
      </c>
      <c r="I6" s="16">
        <f t="shared" si="1"/>
        <v>8</v>
      </c>
      <c r="J6" s="122">
        <f t="shared" si="2"/>
        <v>2019</v>
      </c>
      <c r="K6" s="64">
        <f t="shared" si="3"/>
        <v>43745</v>
      </c>
      <c r="L6" s="6"/>
      <c r="M6" s="6"/>
      <c r="O6" s="208">
        <v>43651</v>
      </c>
      <c r="P6" s="209">
        <f t="shared" si="4"/>
        <v>0</v>
      </c>
      <c r="Q6" s="209">
        <f>+SUMIF('A DEPOSITAR'!$D$2:$D$998,(O6-2),'A DEPOSITAR'!$H$2:$H$998)</f>
        <v>0</v>
      </c>
      <c r="R6" s="210">
        <f t="shared" si="5"/>
        <v>0</v>
      </c>
      <c r="S6" s="210">
        <f t="shared" si="7"/>
        <v>18100</v>
      </c>
      <c r="T6" s="209">
        <f t="shared" si="6"/>
        <v>0</v>
      </c>
      <c r="U6" s="209">
        <f>+SUMIFS('A DEPOSITAR'!$H$2:$H$998,'A DEPOSITAR'!$D$2:$D$998,(O6-2),'A DEPOSITAR'!$I$2:$I$998,"A Depositar")</f>
        <v>0</v>
      </c>
      <c r="V6" s="6"/>
      <c r="W6" s="6"/>
      <c r="X6" s="6"/>
      <c r="Y6" s="6"/>
      <c r="Z6" s="6"/>
    </row>
    <row r="7" spans="1:26" ht="12.75" x14ac:dyDescent="0.2">
      <c r="A7" s="2">
        <v>43661</v>
      </c>
      <c r="B7" s="13" t="s">
        <v>27</v>
      </c>
      <c r="C7" s="13">
        <v>66126497</v>
      </c>
      <c r="D7" s="11">
        <v>1700</v>
      </c>
      <c r="E7" s="13" t="s">
        <v>22</v>
      </c>
      <c r="F7" s="7">
        <v>43661</v>
      </c>
      <c r="G7" s="15"/>
      <c r="H7" s="16">
        <f t="shared" si="0"/>
        <v>15</v>
      </c>
      <c r="I7" s="16">
        <f t="shared" si="1"/>
        <v>7</v>
      </c>
      <c r="J7" s="122">
        <f t="shared" si="2"/>
        <v>2019</v>
      </c>
      <c r="K7" s="64">
        <f t="shared" si="3"/>
        <v>43721</v>
      </c>
      <c r="L7" s="6"/>
      <c r="M7" s="6"/>
      <c r="O7" s="208">
        <v>43652</v>
      </c>
      <c r="P7" s="209">
        <f t="shared" si="4"/>
        <v>0</v>
      </c>
      <c r="Q7" s="209">
        <f>+SUMIF('A DEPOSITAR'!$D$2:$D$998,(O7-2),'A DEPOSITAR'!$H$2:$H$998)</f>
        <v>3100</v>
      </c>
      <c r="R7" s="210">
        <f t="shared" si="5"/>
        <v>3100</v>
      </c>
      <c r="S7" s="210">
        <f t="shared" si="7"/>
        <v>21200</v>
      </c>
      <c r="T7" s="209">
        <f t="shared" si="6"/>
        <v>0</v>
      </c>
      <c r="U7" s="209">
        <f>+SUMIFS('A DEPOSITAR'!$H$2:$H$998,'A DEPOSITAR'!$D$2:$D$998,(O7-2),'A DEPOSITAR'!$I$2:$I$998,"A Depositar")</f>
        <v>0</v>
      </c>
      <c r="V7" s="6"/>
      <c r="W7" s="6"/>
      <c r="X7" s="6"/>
      <c r="Y7" s="6"/>
      <c r="Z7" s="6"/>
    </row>
    <row r="8" spans="1:26" ht="12.75" x14ac:dyDescent="0.2">
      <c r="A8" s="2">
        <v>43669</v>
      </c>
      <c r="B8" s="13" t="s">
        <v>27</v>
      </c>
      <c r="C8" s="13">
        <v>66126498</v>
      </c>
      <c r="D8" s="11">
        <v>1800</v>
      </c>
      <c r="E8" s="13" t="s">
        <v>22</v>
      </c>
      <c r="F8" s="7">
        <v>43661</v>
      </c>
      <c r="G8" s="15"/>
      <c r="H8" s="16">
        <f t="shared" si="0"/>
        <v>23</v>
      </c>
      <c r="I8" s="16">
        <f t="shared" si="1"/>
        <v>7</v>
      </c>
      <c r="J8" s="122">
        <f t="shared" si="2"/>
        <v>2019</v>
      </c>
      <c r="K8" s="64">
        <f t="shared" si="3"/>
        <v>43729</v>
      </c>
      <c r="L8" s="6"/>
      <c r="M8" s="6"/>
      <c r="O8" s="208">
        <v>43653</v>
      </c>
      <c r="P8" s="209">
        <f t="shared" si="4"/>
        <v>0</v>
      </c>
      <c r="Q8" s="209">
        <f>+SUMIF('A DEPOSITAR'!$D$2:$D$998,(O8-2),'A DEPOSITAR'!$H$2:$H$998)</f>
        <v>4500</v>
      </c>
      <c r="R8" s="210">
        <f t="shared" si="5"/>
        <v>4500</v>
      </c>
      <c r="S8" s="210">
        <f t="shared" si="7"/>
        <v>25700</v>
      </c>
      <c r="T8" s="209">
        <f t="shared" si="6"/>
        <v>0</v>
      </c>
      <c r="U8" s="209">
        <f>+SUMIFS('A DEPOSITAR'!$H$2:$H$998,'A DEPOSITAR'!$D$2:$D$998,(O8-2),'A DEPOSITAR'!$I$2:$I$998,"A Depositar")</f>
        <v>0</v>
      </c>
      <c r="V8" s="6"/>
      <c r="W8" s="6"/>
      <c r="X8" s="6"/>
      <c r="Y8" s="6"/>
      <c r="Z8" s="6"/>
    </row>
    <row r="9" spans="1:26" ht="12.75" x14ac:dyDescent="0.2">
      <c r="A9" s="2">
        <v>43661</v>
      </c>
      <c r="B9" s="13" t="s">
        <v>28</v>
      </c>
      <c r="C9" s="13">
        <v>66126501</v>
      </c>
      <c r="D9" s="11">
        <v>9100</v>
      </c>
      <c r="E9" s="13" t="s">
        <v>22</v>
      </c>
      <c r="F9" s="7">
        <v>43661</v>
      </c>
      <c r="G9" s="15"/>
      <c r="H9" s="16">
        <f t="shared" si="0"/>
        <v>15</v>
      </c>
      <c r="I9" s="16">
        <f t="shared" si="1"/>
        <v>7</v>
      </c>
      <c r="J9" s="122">
        <f t="shared" si="2"/>
        <v>2019</v>
      </c>
      <c r="K9" s="64">
        <f t="shared" si="3"/>
        <v>43721</v>
      </c>
      <c r="L9" s="6"/>
      <c r="M9" s="6"/>
      <c r="O9" s="208">
        <v>43654</v>
      </c>
      <c r="P9" s="209">
        <f t="shared" si="4"/>
        <v>0</v>
      </c>
      <c r="Q9" s="209">
        <f>+SUMIF('A DEPOSITAR'!$D$2:$D$998,(O9-2),'A DEPOSITAR'!$H$2:$H$998)</f>
        <v>0</v>
      </c>
      <c r="R9" s="210">
        <f t="shared" si="5"/>
        <v>0</v>
      </c>
      <c r="S9" s="210">
        <f t="shared" si="7"/>
        <v>25700</v>
      </c>
      <c r="T9" s="209">
        <f t="shared" si="6"/>
        <v>0</v>
      </c>
      <c r="U9" s="209">
        <f>+SUMIFS('A DEPOSITAR'!$H$2:$H$998,'A DEPOSITAR'!$D$2:$D$998,(O9-2),'A DEPOSITAR'!$I$2:$I$998,"A Depositar")</f>
        <v>0</v>
      </c>
      <c r="V9" s="6"/>
      <c r="W9" s="6"/>
      <c r="X9" s="6"/>
      <c r="Y9" s="6"/>
      <c r="Z9" s="6"/>
    </row>
    <row r="10" spans="1:26" ht="12.75" x14ac:dyDescent="0.2">
      <c r="A10" s="2">
        <v>43669</v>
      </c>
      <c r="B10" s="13" t="s">
        <v>28</v>
      </c>
      <c r="C10" s="13">
        <v>66126502</v>
      </c>
      <c r="D10" s="11">
        <v>9000</v>
      </c>
      <c r="E10" s="13" t="s">
        <v>22</v>
      </c>
      <c r="F10" s="7">
        <v>43661</v>
      </c>
      <c r="G10" s="15"/>
      <c r="H10" s="16">
        <f t="shared" si="0"/>
        <v>23</v>
      </c>
      <c r="I10" s="16">
        <f t="shared" si="1"/>
        <v>7</v>
      </c>
      <c r="J10" s="122">
        <f t="shared" si="2"/>
        <v>2019</v>
      </c>
      <c r="K10" s="64">
        <f t="shared" si="3"/>
        <v>43729</v>
      </c>
      <c r="L10" s="6"/>
      <c r="M10" s="6"/>
      <c r="O10" s="208">
        <v>43655</v>
      </c>
      <c r="P10" s="209">
        <f t="shared" si="4"/>
        <v>0</v>
      </c>
      <c r="Q10" s="209">
        <f>+SUMIF('A DEPOSITAR'!$D$2:$D$998,(O10-2),'A DEPOSITAR'!$H$2:$H$998)</f>
        <v>0</v>
      </c>
      <c r="R10" s="210">
        <f t="shared" si="5"/>
        <v>0</v>
      </c>
      <c r="S10" s="210">
        <f t="shared" si="7"/>
        <v>25700</v>
      </c>
      <c r="T10" s="209">
        <f t="shared" si="6"/>
        <v>0</v>
      </c>
      <c r="U10" s="209">
        <f>+SUMIFS('A DEPOSITAR'!$H$2:$H$998,'A DEPOSITAR'!$D$2:$D$998,(O10-2),'A DEPOSITAR'!$I$2:$I$998,"A Depositar")</f>
        <v>0</v>
      </c>
      <c r="V10" s="6"/>
      <c r="W10" s="6"/>
      <c r="X10" s="6"/>
      <c r="Y10" s="6"/>
      <c r="Z10" s="6"/>
    </row>
    <row r="11" spans="1:26" ht="12.75" x14ac:dyDescent="0.2">
      <c r="A11" s="2">
        <v>43677</v>
      </c>
      <c r="B11" s="13" t="s">
        <v>28</v>
      </c>
      <c r="C11" s="13">
        <v>66126503</v>
      </c>
      <c r="D11" s="11">
        <v>10000</v>
      </c>
      <c r="E11" s="13" t="s">
        <v>22</v>
      </c>
      <c r="F11" s="7">
        <v>43661</v>
      </c>
      <c r="G11" s="15"/>
      <c r="H11" s="16">
        <f t="shared" si="0"/>
        <v>31</v>
      </c>
      <c r="I11" s="16">
        <f t="shared" si="1"/>
        <v>7</v>
      </c>
      <c r="J11" s="122">
        <f t="shared" si="2"/>
        <v>2019</v>
      </c>
      <c r="K11" s="64">
        <f t="shared" si="3"/>
        <v>43737</v>
      </c>
      <c r="L11" s="6"/>
      <c r="M11" s="6"/>
      <c r="O11" s="208">
        <v>43656</v>
      </c>
      <c r="P11" s="209">
        <f t="shared" si="4"/>
        <v>0</v>
      </c>
      <c r="Q11" s="209">
        <f>+SUMIF('A DEPOSITAR'!$D$2:$D$998,(O11-2),'A DEPOSITAR'!$H$2:$H$998)</f>
        <v>3500</v>
      </c>
      <c r="R11" s="210">
        <f t="shared" si="5"/>
        <v>3500</v>
      </c>
      <c r="S11" s="210">
        <f t="shared" si="7"/>
        <v>29200</v>
      </c>
      <c r="T11" s="209">
        <f t="shared" si="6"/>
        <v>0</v>
      </c>
      <c r="U11" s="209">
        <f>+SUMIFS('A DEPOSITAR'!$H$2:$H$998,'A DEPOSITAR'!$D$2:$D$998,(O11-2),'A DEPOSITAR'!$I$2:$I$998,"A Depositar")</f>
        <v>0</v>
      </c>
      <c r="V11" s="6"/>
      <c r="W11" s="6"/>
      <c r="X11" s="6"/>
      <c r="Y11" s="6"/>
      <c r="Z11" s="6"/>
    </row>
    <row r="12" spans="1:26" ht="12.75" x14ac:dyDescent="0.2">
      <c r="A12" s="2">
        <v>43662</v>
      </c>
      <c r="B12" s="13" t="s">
        <v>28</v>
      </c>
      <c r="C12" s="13">
        <v>66126504</v>
      </c>
      <c r="D12" s="11">
        <v>7000</v>
      </c>
      <c r="E12" s="13" t="s">
        <v>22</v>
      </c>
      <c r="F12" s="7">
        <v>43661</v>
      </c>
      <c r="G12" s="15"/>
      <c r="H12" s="16">
        <f t="shared" si="0"/>
        <v>16</v>
      </c>
      <c r="I12" s="16">
        <f t="shared" si="1"/>
        <v>7</v>
      </c>
      <c r="J12" s="122">
        <f t="shared" si="2"/>
        <v>2019</v>
      </c>
      <c r="K12" s="64">
        <f t="shared" si="3"/>
        <v>43722</v>
      </c>
      <c r="L12" s="6"/>
      <c r="M12" s="6"/>
      <c r="O12" s="208">
        <v>43657</v>
      </c>
      <c r="P12" s="209">
        <f t="shared" si="4"/>
        <v>0</v>
      </c>
      <c r="Q12" s="209">
        <f>+SUMIF('A DEPOSITAR'!$D$2:$D$998,(O12-2),'A DEPOSITAR'!$H$2:$H$998)</f>
        <v>0</v>
      </c>
      <c r="R12" s="210">
        <f t="shared" si="5"/>
        <v>0</v>
      </c>
      <c r="S12" s="210">
        <f t="shared" si="7"/>
        <v>29200</v>
      </c>
      <c r="T12" s="209">
        <f t="shared" si="6"/>
        <v>0</v>
      </c>
      <c r="U12" s="209">
        <f>+SUMIFS('A DEPOSITAR'!$H$2:$H$998,'A DEPOSITAR'!$D$2:$D$998,(O12-2),'A DEPOSITAR'!$I$2:$I$998,"A Depositar")</f>
        <v>0</v>
      </c>
      <c r="V12" s="6"/>
      <c r="W12" s="6"/>
      <c r="X12" s="6"/>
      <c r="Y12" s="6"/>
      <c r="Z12" s="6"/>
    </row>
    <row r="13" spans="1:26" ht="12.75" x14ac:dyDescent="0.2">
      <c r="A13" s="2">
        <v>43676</v>
      </c>
      <c r="B13" s="13" t="s">
        <v>28</v>
      </c>
      <c r="C13" s="13">
        <v>66126505</v>
      </c>
      <c r="D13" s="11">
        <v>7000</v>
      </c>
      <c r="E13" s="13" t="s">
        <v>22</v>
      </c>
      <c r="F13" s="7">
        <v>43661</v>
      </c>
      <c r="G13" s="15"/>
      <c r="H13" s="16">
        <f t="shared" si="0"/>
        <v>30</v>
      </c>
      <c r="I13" s="16">
        <f t="shared" si="1"/>
        <v>7</v>
      </c>
      <c r="J13" s="122">
        <f t="shared" si="2"/>
        <v>2019</v>
      </c>
      <c r="K13" s="64">
        <f t="shared" si="3"/>
        <v>43736</v>
      </c>
      <c r="L13" s="6"/>
      <c r="M13" s="6"/>
      <c r="O13" s="208">
        <v>43658</v>
      </c>
      <c r="P13" s="209">
        <f t="shared" si="4"/>
        <v>0</v>
      </c>
      <c r="Q13" s="209">
        <f>+SUMIF('A DEPOSITAR'!$D$2:$D$998,(O13-2),'A DEPOSITAR'!$H$2:$H$998)</f>
        <v>0</v>
      </c>
      <c r="R13" s="210">
        <f t="shared" si="5"/>
        <v>0</v>
      </c>
      <c r="S13" s="210">
        <f t="shared" si="7"/>
        <v>29200</v>
      </c>
      <c r="T13" s="209">
        <f t="shared" si="6"/>
        <v>0</v>
      </c>
      <c r="U13" s="209">
        <f>+SUMIFS('A DEPOSITAR'!$H$2:$H$998,'A DEPOSITAR'!$D$2:$D$998,(O13-2),'A DEPOSITAR'!$I$2:$I$998,"A Depositar")</f>
        <v>0</v>
      </c>
      <c r="V13" s="6"/>
      <c r="W13" s="6"/>
      <c r="X13" s="6"/>
      <c r="Y13" s="6"/>
      <c r="Z13" s="6"/>
    </row>
    <row r="14" spans="1:26" ht="12.75" x14ac:dyDescent="0.2">
      <c r="A14" s="2">
        <v>43685</v>
      </c>
      <c r="B14" s="13" t="s">
        <v>28</v>
      </c>
      <c r="C14" s="13">
        <v>66126506</v>
      </c>
      <c r="D14" s="11">
        <v>6500</v>
      </c>
      <c r="E14" s="13" t="s">
        <v>22</v>
      </c>
      <c r="F14" s="7">
        <v>43661</v>
      </c>
      <c r="G14" s="15"/>
      <c r="H14" s="16">
        <f t="shared" si="0"/>
        <v>8</v>
      </c>
      <c r="I14" s="16">
        <f t="shared" si="1"/>
        <v>8</v>
      </c>
      <c r="J14" s="122">
        <f t="shared" si="2"/>
        <v>2019</v>
      </c>
      <c r="K14" s="64">
        <f t="shared" si="3"/>
        <v>43745</v>
      </c>
      <c r="L14" s="6"/>
      <c r="M14" s="6"/>
      <c r="O14" s="208">
        <v>43659</v>
      </c>
      <c r="P14" s="209">
        <f t="shared" si="4"/>
        <v>0</v>
      </c>
      <c r="Q14" s="209">
        <f>+SUMIF('A DEPOSITAR'!$D$2:$D$998,(O14-2),'A DEPOSITAR'!$H$2:$H$998)</f>
        <v>0</v>
      </c>
      <c r="R14" s="210">
        <f t="shared" si="5"/>
        <v>0</v>
      </c>
      <c r="S14" s="210">
        <f t="shared" si="7"/>
        <v>29200</v>
      </c>
      <c r="T14" s="209">
        <f t="shared" si="6"/>
        <v>0</v>
      </c>
      <c r="U14" s="209">
        <f>+SUMIFS('A DEPOSITAR'!$H$2:$H$998,'A DEPOSITAR'!$D$2:$D$998,(O14-2),'A DEPOSITAR'!$I$2:$I$998,"A Depositar")</f>
        <v>0</v>
      </c>
      <c r="V14" s="6"/>
      <c r="W14" s="6"/>
      <c r="X14" s="6"/>
      <c r="Y14" s="6"/>
      <c r="Z14" s="6"/>
    </row>
    <row r="15" spans="1:26" ht="12.75" x14ac:dyDescent="0.2">
      <c r="A15" s="2">
        <v>43661</v>
      </c>
      <c r="B15" s="13" t="s">
        <v>24</v>
      </c>
      <c r="C15" s="13">
        <v>66126514</v>
      </c>
      <c r="D15" s="11">
        <v>12150</v>
      </c>
      <c r="E15" s="13" t="s">
        <v>22</v>
      </c>
      <c r="F15" s="7">
        <v>43661</v>
      </c>
      <c r="G15" s="15"/>
      <c r="H15" s="16">
        <f t="shared" si="0"/>
        <v>15</v>
      </c>
      <c r="I15" s="16">
        <f t="shared" si="1"/>
        <v>7</v>
      </c>
      <c r="J15" s="122">
        <f t="shared" si="2"/>
        <v>2019</v>
      </c>
      <c r="K15" s="64">
        <f t="shared" si="3"/>
        <v>43721</v>
      </c>
      <c r="L15" s="6"/>
      <c r="M15" s="6"/>
      <c r="O15" s="208">
        <v>43660</v>
      </c>
      <c r="P15" s="209">
        <f t="shared" si="4"/>
        <v>0</v>
      </c>
      <c r="Q15" s="209">
        <f>+SUMIF('A DEPOSITAR'!$D$2:$D$998,(O15-2),'A DEPOSITAR'!$H$2:$H$998)</f>
        <v>8180</v>
      </c>
      <c r="R15" s="210">
        <f t="shared" si="5"/>
        <v>8180</v>
      </c>
      <c r="S15" s="210">
        <f t="shared" si="7"/>
        <v>37380</v>
      </c>
      <c r="T15" s="209">
        <f t="shared" si="6"/>
        <v>0</v>
      </c>
      <c r="U15" s="209">
        <f>+SUMIFS('A DEPOSITAR'!$H$2:$H$998,'A DEPOSITAR'!$D$2:$D$998,(O15-2),'A DEPOSITAR'!$I$2:$I$998,"A Depositar")</f>
        <v>0</v>
      </c>
      <c r="V15" s="6"/>
      <c r="W15" s="6"/>
      <c r="X15" s="6"/>
      <c r="Y15" s="6"/>
      <c r="Z15" s="6"/>
    </row>
    <row r="16" spans="1:26" ht="12.75" x14ac:dyDescent="0.2">
      <c r="A16" s="2">
        <v>43669</v>
      </c>
      <c r="B16" s="13" t="s">
        <v>24</v>
      </c>
      <c r="C16" s="13">
        <v>66126515</v>
      </c>
      <c r="D16" s="11">
        <v>12390</v>
      </c>
      <c r="E16" s="13" t="s">
        <v>22</v>
      </c>
      <c r="F16" s="7">
        <v>43661</v>
      </c>
      <c r="G16" s="15"/>
      <c r="H16" s="16">
        <f t="shared" si="0"/>
        <v>23</v>
      </c>
      <c r="I16" s="16">
        <f t="shared" si="1"/>
        <v>7</v>
      </c>
      <c r="J16" s="122">
        <f t="shared" si="2"/>
        <v>2019</v>
      </c>
      <c r="K16" s="64">
        <f t="shared" si="3"/>
        <v>43729</v>
      </c>
      <c r="L16" s="6"/>
      <c r="M16" s="6"/>
      <c r="O16" s="208">
        <v>43661</v>
      </c>
      <c r="P16" s="209">
        <f t="shared" si="4"/>
        <v>22950</v>
      </c>
      <c r="Q16" s="209">
        <f>+SUMIF('A DEPOSITAR'!$D$2:$D$998,(O16-2),'A DEPOSITAR'!$H$2:$H$998)</f>
        <v>0</v>
      </c>
      <c r="R16" s="210">
        <f t="shared" si="5"/>
        <v>-22950</v>
      </c>
      <c r="S16" s="210">
        <f t="shared" si="7"/>
        <v>14430</v>
      </c>
      <c r="T16" s="209">
        <f t="shared" si="6"/>
        <v>0</v>
      </c>
      <c r="U16" s="209">
        <f>+SUMIFS('A DEPOSITAR'!$H$2:$H$998,'A DEPOSITAR'!$D$2:$D$998,(O16-2),'A DEPOSITAR'!$I$2:$I$998,"A Depositar")</f>
        <v>0</v>
      </c>
      <c r="V16" s="6"/>
      <c r="W16" s="6"/>
      <c r="X16" s="6"/>
      <c r="Y16" s="6"/>
      <c r="Z16" s="6"/>
    </row>
    <row r="17" spans="1:26" ht="12.75" x14ac:dyDescent="0.2">
      <c r="A17" s="2">
        <v>43677</v>
      </c>
      <c r="B17" s="13" t="s">
        <v>24</v>
      </c>
      <c r="C17" s="13">
        <v>66126516</v>
      </c>
      <c r="D17" s="11">
        <v>13510</v>
      </c>
      <c r="E17" s="13" t="s">
        <v>22</v>
      </c>
      <c r="F17" s="7">
        <v>43661</v>
      </c>
      <c r="G17" s="15"/>
      <c r="H17" s="16">
        <f t="shared" si="0"/>
        <v>31</v>
      </c>
      <c r="I17" s="16">
        <f t="shared" si="1"/>
        <v>7</v>
      </c>
      <c r="J17" s="122">
        <f t="shared" si="2"/>
        <v>2019</v>
      </c>
      <c r="K17" s="64">
        <f t="shared" si="3"/>
        <v>43737</v>
      </c>
      <c r="L17" s="6"/>
      <c r="M17" s="6"/>
      <c r="O17" s="208">
        <v>43662</v>
      </c>
      <c r="P17" s="209">
        <f t="shared" si="4"/>
        <v>32922.89</v>
      </c>
      <c r="Q17" s="209">
        <f>+SUMIF('A DEPOSITAR'!$D$2:$D$998,(O17-2),'A DEPOSITAR'!$H$2:$H$998)</f>
        <v>0</v>
      </c>
      <c r="R17" s="210">
        <f t="shared" si="5"/>
        <v>-32922.89</v>
      </c>
      <c r="S17" s="210">
        <f t="shared" si="7"/>
        <v>-18492.89</v>
      </c>
      <c r="T17" s="209">
        <f t="shared" si="6"/>
        <v>0</v>
      </c>
      <c r="U17" s="209">
        <f>+SUMIFS('A DEPOSITAR'!$H$2:$H$998,'A DEPOSITAR'!$D$2:$D$998,(O17-2),'A DEPOSITAR'!$I$2:$I$998,"A Depositar")</f>
        <v>0</v>
      </c>
      <c r="V17" s="6"/>
      <c r="W17" s="6"/>
      <c r="X17" s="6"/>
      <c r="Y17" s="6"/>
      <c r="Z17" s="6"/>
    </row>
    <row r="18" spans="1:26" ht="12.75" x14ac:dyDescent="0.2">
      <c r="A18" s="2">
        <v>43716</v>
      </c>
      <c r="B18" s="13" t="s">
        <v>27</v>
      </c>
      <c r="C18" s="13">
        <v>66126517</v>
      </c>
      <c r="D18" s="11">
        <v>3800</v>
      </c>
      <c r="E18" s="13" t="s">
        <v>22</v>
      </c>
      <c r="F18" s="7">
        <v>43661</v>
      </c>
      <c r="G18" s="15"/>
      <c r="H18" s="16">
        <f t="shared" si="0"/>
        <v>8</v>
      </c>
      <c r="I18" s="16">
        <f t="shared" si="1"/>
        <v>9</v>
      </c>
      <c r="J18" s="122">
        <f t="shared" si="2"/>
        <v>2019</v>
      </c>
      <c r="K18" s="64">
        <f t="shared" si="3"/>
        <v>43776</v>
      </c>
      <c r="L18" s="6"/>
      <c r="M18" s="6"/>
      <c r="O18" s="208">
        <v>43663</v>
      </c>
      <c r="P18" s="209">
        <f t="shared" si="4"/>
        <v>0</v>
      </c>
      <c r="Q18" s="209">
        <f>+SUMIF('A DEPOSITAR'!$D$2:$D$998,(O18-2),'A DEPOSITAR'!$H$2:$H$998)</f>
        <v>0</v>
      </c>
      <c r="R18" s="210">
        <f t="shared" si="5"/>
        <v>0</v>
      </c>
      <c r="S18" s="210">
        <f t="shared" si="7"/>
        <v>-18492.89</v>
      </c>
      <c r="T18" s="209">
        <f t="shared" si="6"/>
        <v>0</v>
      </c>
      <c r="U18" s="209">
        <f>+SUMIFS('A DEPOSITAR'!$H$2:$H$998,'A DEPOSITAR'!$D$2:$D$998,(O18-2),'A DEPOSITAR'!$I$2:$I$998,"A Depositar")</f>
        <v>0</v>
      </c>
      <c r="V18" s="6"/>
      <c r="W18" s="6"/>
      <c r="X18" s="6"/>
      <c r="Y18" s="6"/>
      <c r="Z18" s="6"/>
    </row>
    <row r="19" spans="1:26" ht="12.75" x14ac:dyDescent="0.2">
      <c r="A19" s="2">
        <v>43693</v>
      </c>
      <c r="B19" s="13" t="s">
        <v>24</v>
      </c>
      <c r="C19" s="13">
        <v>66126521</v>
      </c>
      <c r="D19" s="11">
        <v>8000</v>
      </c>
      <c r="E19" s="13" t="s">
        <v>22</v>
      </c>
      <c r="F19" s="7">
        <v>43661</v>
      </c>
      <c r="G19" s="15"/>
      <c r="H19" s="16">
        <f t="shared" si="0"/>
        <v>16</v>
      </c>
      <c r="I19" s="16">
        <f t="shared" si="1"/>
        <v>8</v>
      </c>
      <c r="J19" s="122">
        <f t="shared" si="2"/>
        <v>2019</v>
      </c>
      <c r="K19" s="64">
        <f t="shared" si="3"/>
        <v>43753</v>
      </c>
      <c r="L19" s="6"/>
      <c r="M19" s="6"/>
      <c r="O19" s="208">
        <v>43664</v>
      </c>
      <c r="P19" s="209">
        <f t="shared" si="4"/>
        <v>0</v>
      </c>
      <c r="Q19" s="209">
        <f>+SUMIF('A DEPOSITAR'!$D$2:$D$998,(O19-2),'A DEPOSITAR'!$H$2:$H$998)</f>
        <v>0</v>
      </c>
      <c r="R19" s="210">
        <f t="shared" si="5"/>
        <v>0</v>
      </c>
      <c r="S19" s="210">
        <f t="shared" si="7"/>
        <v>-18492.89</v>
      </c>
      <c r="T19" s="209">
        <f t="shared" si="6"/>
        <v>0</v>
      </c>
      <c r="U19" s="209">
        <f>+SUMIFS('A DEPOSITAR'!$H$2:$H$998,'A DEPOSITAR'!$D$2:$D$998,(O19-2),'A DEPOSITAR'!$I$2:$I$998,"A Depositar")</f>
        <v>0</v>
      </c>
      <c r="V19" s="6"/>
      <c r="W19" s="6"/>
      <c r="X19" s="6"/>
      <c r="Y19" s="6"/>
      <c r="Z19" s="6"/>
    </row>
    <row r="20" spans="1:26" ht="12.75" x14ac:dyDescent="0.2">
      <c r="A20" s="2">
        <v>43700</v>
      </c>
      <c r="B20" s="13" t="s">
        <v>24</v>
      </c>
      <c r="C20" s="13">
        <v>66126522</v>
      </c>
      <c r="D20" s="11">
        <v>12000</v>
      </c>
      <c r="E20" s="13" t="s">
        <v>22</v>
      </c>
      <c r="F20" s="7">
        <v>43661</v>
      </c>
      <c r="G20" s="15"/>
      <c r="H20" s="16">
        <f t="shared" si="0"/>
        <v>23</v>
      </c>
      <c r="I20" s="16">
        <f t="shared" si="1"/>
        <v>8</v>
      </c>
      <c r="J20" s="122">
        <f t="shared" si="2"/>
        <v>2019</v>
      </c>
      <c r="K20" s="64">
        <f t="shared" si="3"/>
        <v>43760</v>
      </c>
      <c r="L20" s="6"/>
      <c r="M20" s="6"/>
      <c r="O20" s="208">
        <v>43665</v>
      </c>
      <c r="P20" s="209">
        <f t="shared" si="4"/>
        <v>0</v>
      </c>
      <c r="Q20" s="209">
        <f>+SUMIF('A DEPOSITAR'!$D$2:$D$998,(O20-2),'A DEPOSITAR'!$H$2:$H$998)</f>
        <v>0</v>
      </c>
      <c r="R20" s="210">
        <f t="shared" si="5"/>
        <v>0</v>
      </c>
      <c r="S20" s="210">
        <f t="shared" si="7"/>
        <v>-18492.89</v>
      </c>
      <c r="T20" s="209">
        <f t="shared" si="6"/>
        <v>0</v>
      </c>
      <c r="U20" s="209">
        <f>+SUMIFS('A DEPOSITAR'!$H$2:$H$998,'A DEPOSITAR'!$D$2:$D$998,(O20-2),'A DEPOSITAR'!$I$2:$I$998,"A Depositar")</f>
        <v>0</v>
      </c>
      <c r="V20" s="6"/>
      <c r="W20" s="6"/>
      <c r="X20" s="6"/>
      <c r="Y20" s="6"/>
      <c r="Z20" s="6"/>
    </row>
    <row r="21" spans="1:26" ht="12.75" x14ac:dyDescent="0.2">
      <c r="A21" s="2">
        <v>43716</v>
      </c>
      <c r="B21" s="13" t="s">
        <v>24</v>
      </c>
      <c r="C21" s="13">
        <v>66126523</v>
      </c>
      <c r="D21" s="11">
        <v>10000</v>
      </c>
      <c r="E21" s="13" t="s">
        <v>22</v>
      </c>
      <c r="F21" s="7">
        <v>43661</v>
      </c>
      <c r="G21" s="15"/>
      <c r="H21" s="16">
        <f t="shared" si="0"/>
        <v>8</v>
      </c>
      <c r="I21" s="16">
        <f t="shared" si="1"/>
        <v>9</v>
      </c>
      <c r="J21" s="122">
        <f t="shared" si="2"/>
        <v>2019</v>
      </c>
      <c r="K21" s="64">
        <f t="shared" si="3"/>
        <v>43776</v>
      </c>
      <c r="L21" s="6"/>
      <c r="M21" s="6"/>
      <c r="O21" s="208">
        <v>43666</v>
      </c>
      <c r="P21" s="209">
        <f t="shared" si="4"/>
        <v>0</v>
      </c>
      <c r="Q21" s="209">
        <f>+SUMIF('A DEPOSITAR'!$D$2:$D$998,(O21-2),'A DEPOSITAR'!$H$2:$H$998)</f>
        <v>0</v>
      </c>
      <c r="R21" s="210">
        <f t="shared" si="5"/>
        <v>0</v>
      </c>
      <c r="S21" s="210">
        <f t="shared" si="7"/>
        <v>-18492.89</v>
      </c>
      <c r="T21" s="209">
        <f t="shared" si="6"/>
        <v>0</v>
      </c>
      <c r="U21" s="209">
        <f>+SUMIFS('A DEPOSITAR'!$H$2:$H$998,'A DEPOSITAR'!$D$2:$D$998,(O21-2),'A DEPOSITAR'!$I$2:$I$998,"A Depositar")</f>
        <v>0</v>
      </c>
      <c r="V21" s="6"/>
      <c r="W21" s="6"/>
      <c r="X21" s="6"/>
      <c r="Y21" s="6"/>
      <c r="Z21" s="6"/>
    </row>
    <row r="22" spans="1:26" ht="12.75" x14ac:dyDescent="0.2">
      <c r="A22" s="2">
        <v>43724</v>
      </c>
      <c r="B22" s="13" t="s">
        <v>24</v>
      </c>
      <c r="C22" s="13">
        <v>66126524</v>
      </c>
      <c r="D22" s="11">
        <v>11000</v>
      </c>
      <c r="E22" s="13" t="s">
        <v>22</v>
      </c>
      <c r="F22" s="7">
        <v>43661</v>
      </c>
      <c r="G22" s="15"/>
      <c r="H22" s="16">
        <f t="shared" si="0"/>
        <v>16</v>
      </c>
      <c r="I22" s="16">
        <f t="shared" si="1"/>
        <v>9</v>
      </c>
      <c r="J22" s="122">
        <f t="shared" si="2"/>
        <v>2019</v>
      </c>
      <c r="K22" s="64">
        <f t="shared" si="3"/>
        <v>43784</v>
      </c>
      <c r="L22" s="6"/>
      <c r="M22" s="6"/>
      <c r="O22" s="208">
        <v>43667</v>
      </c>
      <c r="P22" s="209">
        <f t="shared" si="4"/>
        <v>0</v>
      </c>
      <c r="Q22" s="209">
        <f>+SUMIF('A DEPOSITAR'!$D$2:$D$998,(O22-2),'A DEPOSITAR'!$H$2:$H$998)</f>
        <v>0</v>
      </c>
      <c r="R22" s="210">
        <f t="shared" si="5"/>
        <v>0</v>
      </c>
      <c r="S22" s="210">
        <f t="shared" si="7"/>
        <v>-18492.89</v>
      </c>
      <c r="T22" s="209">
        <f t="shared" si="6"/>
        <v>0</v>
      </c>
      <c r="U22" s="209">
        <f>+SUMIFS('A DEPOSITAR'!$H$2:$H$998,'A DEPOSITAR'!$D$2:$D$998,(O22-2),'A DEPOSITAR'!$I$2:$I$998,"A Depositar")</f>
        <v>0</v>
      </c>
      <c r="V22" s="6"/>
      <c r="W22" s="6"/>
      <c r="X22" s="6"/>
      <c r="Y22" s="6"/>
      <c r="Z22" s="6"/>
    </row>
    <row r="23" spans="1:26" ht="12.75" x14ac:dyDescent="0.2">
      <c r="A23" s="2">
        <v>43731</v>
      </c>
      <c r="B23" s="13" t="s">
        <v>24</v>
      </c>
      <c r="C23" s="13">
        <v>66126525</v>
      </c>
      <c r="D23" s="11">
        <v>9000</v>
      </c>
      <c r="E23" s="13" t="s">
        <v>22</v>
      </c>
      <c r="F23" s="7">
        <v>43661</v>
      </c>
      <c r="G23" s="15"/>
      <c r="H23" s="16">
        <f t="shared" si="0"/>
        <v>23</v>
      </c>
      <c r="I23" s="16">
        <f t="shared" si="1"/>
        <v>9</v>
      </c>
      <c r="J23" s="122">
        <f t="shared" si="2"/>
        <v>2019</v>
      </c>
      <c r="K23" s="64">
        <f t="shared" si="3"/>
        <v>43791</v>
      </c>
      <c r="L23" s="6"/>
      <c r="M23" s="6"/>
      <c r="O23" s="208">
        <v>43668</v>
      </c>
      <c r="P23" s="209">
        <f t="shared" si="4"/>
        <v>0</v>
      </c>
      <c r="Q23" s="209">
        <f>+SUMIF('A DEPOSITAR'!$D$2:$D$998,(O23-2),'A DEPOSITAR'!$H$2:$H$998)</f>
        <v>3911</v>
      </c>
      <c r="R23" s="210">
        <f t="shared" si="5"/>
        <v>3911</v>
      </c>
      <c r="S23" s="210">
        <f t="shared" si="7"/>
        <v>-14581.89</v>
      </c>
      <c r="T23" s="209">
        <f t="shared" si="6"/>
        <v>0</v>
      </c>
      <c r="U23" s="209">
        <f>+SUMIFS('A DEPOSITAR'!$H$2:$H$998,'A DEPOSITAR'!$D$2:$D$998,(O23-2),'A DEPOSITAR'!$I$2:$I$998,"A Depositar")</f>
        <v>0</v>
      </c>
      <c r="V23" s="6"/>
      <c r="W23" s="6"/>
      <c r="X23" s="6"/>
      <c r="Y23" s="6"/>
      <c r="Z23" s="6"/>
    </row>
    <row r="24" spans="1:26" ht="12.75" x14ac:dyDescent="0.2">
      <c r="A24" s="2">
        <v>43669</v>
      </c>
      <c r="B24" s="13" t="s">
        <v>18</v>
      </c>
      <c r="C24" s="13">
        <v>68230252</v>
      </c>
      <c r="D24" s="11">
        <v>5200</v>
      </c>
      <c r="E24" s="13" t="s">
        <v>22</v>
      </c>
      <c r="F24" s="7">
        <v>43658</v>
      </c>
      <c r="G24" s="15"/>
      <c r="H24" s="16">
        <f t="shared" si="0"/>
        <v>23</v>
      </c>
      <c r="I24" s="16">
        <f t="shared" si="1"/>
        <v>7</v>
      </c>
      <c r="J24" s="122">
        <f t="shared" si="2"/>
        <v>2019</v>
      </c>
      <c r="K24" s="64">
        <f t="shared" si="3"/>
        <v>43729</v>
      </c>
      <c r="L24" s="6"/>
      <c r="M24" s="6"/>
      <c r="O24" s="208">
        <v>43669</v>
      </c>
      <c r="P24" s="209">
        <f t="shared" si="4"/>
        <v>55366</v>
      </c>
      <c r="Q24" s="209">
        <f>+SUMIF('A DEPOSITAR'!$D$2:$D$998,(O24-2),'A DEPOSITAR'!$H$2:$H$998)</f>
        <v>0</v>
      </c>
      <c r="R24" s="210">
        <f t="shared" si="5"/>
        <v>-55366</v>
      </c>
      <c r="S24" s="210">
        <f t="shared" si="7"/>
        <v>-69947.89</v>
      </c>
      <c r="T24" s="209">
        <f t="shared" si="6"/>
        <v>0</v>
      </c>
      <c r="U24" s="209">
        <f>+SUMIFS('A DEPOSITAR'!$H$2:$H$998,'A DEPOSITAR'!$D$2:$D$998,(O24-2),'A DEPOSITAR'!$I$2:$I$998,"A Depositar")</f>
        <v>0</v>
      </c>
      <c r="V24" s="6"/>
      <c r="W24" s="6"/>
      <c r="X24" s="6"/>
      <c r="Y24" s="6"/>
      <c r="Z24" s="6"/>
    </row>
    <row r="25" spans="1:26" ht="12.75" x14ac:dyDescent="0.2">
      <c r="A25" s="2">
        <v>43685</v>
      </c>
      <c r="B25" s="13" t="s">
        <v>18</v>
      </c>
      <c r="C25" s="13">
        <v>68230253</v>
      </c>
      <c r="D25" s="11">
        <v>5276.91</v>
      </c>
      <c r="E25" s="13" t="s">
        <v>22</v>
      </c>
      <c r="F25" s="7">
        <v>43658</v>
      </c>
      <c r="G25" s="15"/>
      <c r="H25" s="16">
        <f t="shared" si="0"/>
        <v>8</v>
      </c>
      <c r="I25" s="16">
        <f t="shared" si="1"/>
        <v>8</v>
      </c>
      <c r="J25" s="122">
        <f t="shared" si="2"/>
        <v>2019</v>
      </c>
      <c r="K25" s="64">
        <f t="shared" si="3"/>
        <v>43745</v>
      </c>
      <c r="L25" s="6"/>
      <c r="M25" s="6"/>
      <c r="O25" s="208">
        <v>43670</v>
      </c>
      <c r="P25" s="209">
        <f t="shared" si="4"/>
        <v>0</v>
      </c>
      <c r="Q25" s="209">
        <f>+SUMIF('A DEPOSITAR'!$D$2:$D$998,(O25-2),'A DEPOSITAR'!$H$2:$H$998)</f>
        <v>0</v>
      </c>
      <c r="R25" s="210">
        <f t="shared" si="5"/>
        <v>0</v>
      </c>
      <c r="S25" s="210">
        <f t="shared" si="7"/>
        <v>-69947.89</v>
      </c>
      <c r="T25" s="209">
        <f t="shared" si="6"/>
        <v>0</v>
      </c>
      <c r="U25" s="209">
        <f>+SUMIFS('A DEPOSITAR'!$H$2:$H$998,'A DEPOSITAR'!$D$2:$D$998,(O25-2),'A DEPOSITAR'!$I$2:$I$998,"A Depositar")</f>
        <v>0</v>
      </c>
      <c r="V25" s="6"/>
      <c r="W25" s="6"/>
      <c r="X25" s="6"/>
      <c r="Y25" s="6"/>
      <c r="Z25" s="6"/>
    </row>
    <row r="26" spans="1:26" ht="12.75" x14ac:dyDescent="0.2">
      <c r="A26" s="2">
        <v>43700</v>
      </c>
      <c r="B26" s="13" t="s">
        <v>18</v>
      </c>
      <c r="C26" s="13">
        <v>68230254</v>
      </c>
      <c r="D26" s="11">
        <v>5300</v>
      </c>
      <c r="E26" s="13" t="s">
        <v>22</v>
      </c>
      <c r="F26" s="7">
        <v>43661</v>
      </c>
      <c r="G26" s="15"/>
      <c r="H26" s="16">
        <f t="shared" si="0"/>
        <v>23</v>
      </c>
      <c r="I26" s="16">
        <f t="shared" si="1"/>
        <v>8</v>
      </c>
      <c r="J26" s="122">
        <f t="shared" si="2"/>
        <v>2019</v>
      </c>
      <c r="K26" s="64">
        <f t="shared" si="3"/>
        <v>43760</v>
      </c>
      <c r="L26" s="6"/>
      <c r="M26" s="6"/>
      <c r="O26" s="208">
        <v>43671</v>
      </c>
      <c r="P26" s="209">
        <f t="shared" si="4"/>
        <v>0</v>
      </c>
      <c r="Q26" s="209">
        <f>+SUMIF('A DEPOSITAR'!$D$2:$D$998,(O26-2),'A DEPOSITAR'!$H$2:$H$998)</f>
        <v>0</v>
      </c>
      <c r="R26" s="210">
        <f t="shared" si="5"/>
        <v>0</v>
      </c>
      <c r="S26" s="210">
        <f t="shared" si="7"/>
        <v>-69947.89</v>
      </c>
      <c r="T26" s="209">
        <f t="shared" si="6"/>
        <v>0</v>
      </c>
      <c r="U26" s="209">
        <f>+SUMIFS('A DEPOSITAR'!$H$2:$H$998,'A DEPOSITAR'!$D$2:$D$998,(O26-2),'A DEPOSITAR'!$I$2:$I$998,"A Depositar")</f>
        <v>0</v>
      </c>
      <c r="V26" s="6"/>
      <c r="W26" s="6"/>
      <c r="X26" s="6"/>
      <c r="Y26" s="6"/>
      <c r="Z26" s="6"/>
    </row>
    <row r="27" spans="1:26" ht="12.75" x14ac:dyDescent="0.2">
      <c r="A27" s="2">
        <v>43685</v>
      </c>
      <c r="B27" s="13" t="s">
        <v>56</v>
      </c>
      <c r="C27" s="13">
        <v>68230255</v>
      </c>
      <c r="D27" s="11">
        <v>3133</v>
      </c>
      <c r="E27" s="13" t="s">
        <v>22</v>
      </c>
      <c r="F27" s="7">
        <v>43661</v>
      </c>
      <c r="G27" s="15"/>
      <c r="H27" s="16">
        <f t="shared" si="0"/>
        <v>8</v>
      </c>
      <c r="I27" s="16">
        <f t="shared" si="1"/>
        <v>8</v>
      </c>
      <c r="J27" s="122">
        <f t="shared" si="2"/>
        <v>2019</v>
      </c>
      <c r="K27" s="64">
        <f t="shared" si="3"/>
        <v>43745</v>
      </c>
      <c r="L27" s="6"/>
      <c r="M27" s="6"/>
      <c r="O27" s="208">
        <v>43672</v>
      </c>
      <c r="P27" s="209">
        <f t="shared" si="4"/>
        <v>0</v>
      </c>
      <c r="Q27" s="209">
        <f>+SUMIF('A DEPOSITAR'!$D$2:$D$998,(O27-2),'A DEPOSITAR'!$H$2:$H$998)</f>
        <v>0</v>
      </c>
      <c r="R27" s="210">
        <f t="shared" si="5"/>
        <v>0</v>
      </c>
      <c r="S27" s="210">
        <f t="shared" si="7"/>
        <v>-69947.89</v>
      </c>
      <c r="T27" s="209">
        <f t="shared" si="6"/>
        <v>0</v>
      </c>
      <c r="U27" s="209">
        <f>+SUMIFS('A DEPOSITAR'!$H$2:$H$998,'A DEPOSITAR'!$D$2:$D$998,(O27-2),'A DEPOSITAR'!$I$2:$I$998,"A Depositar")</f>
        <v>0</v>
      </c>
      <c r="V27" s="6"/>
      <c r="W27" s="6"/>
      <c r="X27" s="6"/>
      <c r="Y27" s="6"/>
      <c r="Z27" s="6"/>
    </row>
    <row r="28" spans="1:26" ht="12.75" x14ac:dyDescent="0.2">
      <c r="A28" s="2">
        <v>43700</v>
      </c>
      <c r="B28" s="13" t="s">
        <v>56</v>
      </c>
      <c r="C28" s="13">
        <v>68230256</v>
      </c>
      <c r="D28" s="11">
        <v>3100.62</v>
      </c>
      <c r="E28" s="13" t="s">
        <v>22</v>
      </c>
      <c r="F28" s="7">
        <v>43661</v>
      </c>
      <c r="G28" s="15"/>
      <c r="H28" s="16">
        <f t="shared" si="0"/>
        <v>23</v>
      </c>
      <c r="I28" s="16">
        <f t="shared" si="1"/>
        <v>8</v>
      </c>
      <c r="J28" s="122">
        <f t="shared" si="2"/>
        <v>2019</v>
      </c>
      <c r="K28" s="64">
        <f t="shared" si="3"/>
        <v>43760</v>
      </c>
      <c r="L28" s="6"/>
      <c r="M28" s="6"/>
      <c r="O28" s="208">
        <v>43673</v>
      </c>
      <c r="P28" s="209">
        <f t="shared" si="4"/>
        <v>0</v>
      </c>
      <c r="Q28" s="209">
        <f>+SUMIF('A DEPOSITAR'!$D$2:$D$998,(O28-2),'A DEPOSITAR'!$H$2:$H$998)</f>
        <v>0</v>
      </c>
      <c r="R28" s="210">
        <f t="shared" si="5"/>
        <v>0</v>
      </c>
      <c r="S28" s="210">
        <f t="shared" si="7"/>
        <v>-69947.89</v>
      </c>
      <c r="T28" s="209">
        <f t="shared" si="6"/>
        <v>0</v>
      </c>
      <c r="U28" s="209">
        <f>+SUMIFS('A DEPOSITAR'!$H$2:$H$998,'A DEPOSITAR'!$D$2:$D$998,(O28-2),'A DEPOSITAR'!$I$2:$I$998,"A Depositar")</f>
        <v>0</v>
      </c>
      <c r="V28" s="6"/>
      <c r="W28" s="6"/>
      <c r="X28" s="6"/>
      <c r="Y28" s="6"/>
      <c r="Z28" s="6"/>
    </row>
    <row r="29" spans="1:26" ht="12.75" x14ac:dyDescent="0.2">
      <c r="A29" s="2">
        <v>43662</v>
      </c>
      <c r="B29" s="13" t="s">
        <v>60</v>
      </c>
      <c r="C29" s="13">
        <v>68230261</v>
      </c>
      <c r="D29" s="11">
        <v>6202.89</v>
      </c>
      <c r="E29" s="13" t="s">
        <v>22</v>
      </c>
      <c r="F29" s="7">
        <v>43661</v>
      </c>
      <c r="G29" s="15"/>
      <c r="H29" s="16">
        <f t="shared" si="0"/>
        <v>16</v>
      </c>
      <c r="I29" s="16">
        <f t="shared" si="1"/>
        <v>7</v>
      </c>
      <c r="J29" s="122">
        <f t="shared" si="2"/>
        <v>2019</v>
      </c>
      <c r="K29" s="64">
        <f t="shared" si="3"/>
        <v>43722</v>
      </c>
      <c r="L29" s="6"/>
      <c r="M29" s="6"/>
      <c r="O29" s="208">
        <v>43674</v>
      </c>
      <c r="P29" s="209">
        <f t="shared" si="4"/>
        <v>0</v>
      </c>
      <c r="Q29" s="209">
        <f>+SUMIF('A DEPOSITAR'!$D$2:$D$998,(O29-2),'A DEPOSITAR'!$H$2:$H$998)</f>
        <v>0</v>
      </c>
      <c r="R29" s="210">
        <f t="shared" si="5"/>
        <v>0</v>
      </c>
      <c r="S29" s="210">
        <f t="shared" si="7"/>
        <v>-69947.89</v>
      </c>
      <c r="T29" s="209">
        <f t="shared" si="6"/>
        <v>0</v>
      </c>
      <c r="U29" s="209">
        <f>+SUMIFS('A DEPOSITAR'!$H$2:$H$998,'A DEPOSITAR'!$D$2:$D$998,(O29-2),'A DEPOSITAR'!$I$2:$I$998,"A Depositar")</f>
        <v>0</v>
      </c>
      <c r="V29" s="6"/>
      <c r="W29" s="6"/>
      <c r="X29" s="6"/>
      <c r="Y29" s="6"/>
      <c r="Z29" s="6"/>
    </row>
    <row r="30" spans="1:26" ht="12.75" x14ac:dyDescent="0.2">
      <c r="A30" s="2">
        <v>43685</v>
      </c>
      <c r="B30" s="13" t="s">
        <v>64</v>
      </c>
      <c r="C30" s="13">
        <v>68230262</v>
      </c>
      <c r="D30" s="11">
        <v>7000</v>
      </c>
      <c r="E30" s="13" t="s">
        <v>22</v>
      </c>
      <c r="F30" s="7">
        <v>43661</v>
      </c>
      <c r="G30" s="15"/>
      <c r="H30" s="16">
        <f t="shared" si="0"/>
        <v>8</v>
      </c>
      <c r="I30" s="16">
        <f t="shared" si="1"/>
        <v>8</v>
      </c>
      <c r="J30" s="122">
        <f t="shared" si="2"/>
        <v>2019</v>
      </c>
      <c r="K30" s="64">
        <f t="shared" si="3"/>
        <v>43745</v>
      </c>
      <c r="L30" s="6"/>
      <c r="M30" s="6"/>
      <c r="O30" s="208">
        <v>43675</v>
      </c>
      <c r="P30" s="209">
        <f t="shared" si="4"/>
        <v>0</v>
      </c>
      <c r="Q30" s="209">
        <f>+SUMIF('A DEPOSITAR'!$D$2:$D$998,(O30-2),'A DEPOSITAR'!$H$2:$H$998)</f>
        <v>0</v>
      </c>
      <c r="R30" s="210">
        <f t="shared" si="5"/>
        <v>0</v>
      </c>
      <c r="S30" s="210">
        <f t="shared" si="7"/>
        <v>-69947.89</v>
      </c>
      <c r="T30" s="209">
        <f t="shared" si="6"/>
        <v>0</v>
      </c>
      <c r="U30" s="209">
        <f>+SUMIFS('A DEPOSITAR'!$H$2:$H$998,'A DEPOSITAR'!$D$2:$D$998,(O30-2),'A DEPOSITAR'!$I$2:$I$998,"A Depositar")</f>
        <v>0</v>
      </c>
      <c r="V30" s="6"/>
      <c r="W30" s="6"/>
      <c r="X30" s="6"/>
      <c r="Y30" s="6"/>
      <c r="Z30" s="6"/>
    </row>
    <row r="31" spans="1:26" ht="12.75" x14ac:dyDescent="0.2">
      <c r="A31" s="2">
        <v>43687</v>
      </c>
      <c r="B31" s="13" t="s">
        <v>64</v>
      </c>
      <c r="C31" s="13">
        <v>68230263</v>
      </c>
      <c r="D31" s="11">
        <v>8000</v>
      </c>
      <c r="E31" s="13" t="s">
        <v>22</v>
      </c>
      <c r="F31" s="7">
        <v>43661</v>
      </c>
      <c r="G31" s="15"/>
      <c r="H31" s="16">
        <f t="shared" si="0"/>
        <v>10</v>
      </c>
      <c r="I31" s="16">
        <f t="shared" si="1"/>
        <v>8</v>
      </c>
      <c r="J31" s="122">
        <f t="shared" si="2"/>
        <v>2019</v>
      </c>
      <c r="K31" s="64">
        <f t="shared" si="3"/>
        <v>43747</v>
      </c>
      <c r="L31" s="6"/>
      <c r="M31" s="6"/>
      <c r="O31" s="208">
        <v>43676</v>
      </c>
      <c r="P31" s="209">
        <f t="shared" si="4"/>
        <v>26163</v>
      </c>
      <c r="Q31" s="209">
        <f>+SUMIF('A DEPOSITAR'!$D$2:$D$998,(O31-2),'A DEPOSITAR'!$H$2:$H$998)</f>
        <v>0</v>
      </c>
      <c r="R31" s="210">
        <f t="shared" si="5"/>
        <v>-26163</v>
      </c>
      <c r="S31" s="210">
        <f t="shared" si="7"/>
        <v>-96110.89</v>
      </c>
      <c r="T31" s="209">
        <f t="shared" si="6"/>
        <v>0</v>
      </c>
      <c r="U31" s="209">
        <f>+SUMIFS('A DEPOSITAR'!$H$2:$H$998,'A DEPOSITAR'!$D$2:$D$998,(O31-2),'A DEPOSITAR'!$I$2:$I$998,"A Depositar")</f>
        <v>0</v>
      </c>
      <c r="V31" s="6"/>
      <c r="W31" s="6"/>
      <c r="X31" s="6"/>
      <c r="Y31" s="6"/>
      <c r="Z31" s="6"/>
    </row>
    <row r="32" spans="1:26" ht="12.75" x14ac:dyDescent="0.2">
      <c r="A32" s="2">
        <v>43716</v>
      </c>
      <c r="B32" s="13" t="s">
        <v>64</v>
      </c>
      <c r="C32" s="13">
        <v>68230264</v>
      </c>
      <c r="D32" s="11">
        <v>7500</v>
      </c>
      <c r="E32" s="13" t="s">
        <v>22</v>
      </c>
      <c r="F32" s="7">
        <v>43661</v>
      </c>
      <c r="G32" s="15"/>
      <c r="H32" s="16">
        <f t="shared" si="0"/>
        <v>8</v>
      </c>
      <c r="I32" s="16">
        <f t="shared" si="1"/>
        <v>9</v>
      </c>
      <c r="J32" s="122">
        <f t="shared" si="2"/>
        <v>2019</v>
      </c>
      <c r="K32" s="64">
        <f t="shared" si="3"/>
        <v>43776</v>
      </c>
      <c r="L32" s="6"/>
      <c r="M32" s="6"/>
      <c r="O32" s="208">
        <v>43677</v>
      </c>
      <c r="P32" s="209">
        <f t="shared" si="4"/>
        <v>23510</v>
      </c>
      <c r="Q32" s="209">
        <f>+SUMIF('A DEPOSITAR'!$D$2:$D$998,(O32-2),'A DEPOSITAR'!$H$2:$H$998)</f>
        <v>0</v>
      </c>
      <c r="R32" s="210">
        <f t="shared" si="5"/>
        <v>-23510</v>
      </c>
      <c r="S32" s="210">
        <f t="shared" si="7"/>
        <v>-119620.89</v>
      </c>
      <c r="T32" s="209">
        <f t="shared" si="6"/>
        <v>0</v>
      </c>
      <c r="U32" s="209">
        <f>+SUMIFS('A DEPOSITAR'!$H$2:$H$998,'A DEPOSITAR'!$D$2:$D$998,(O32-2),'A DEPOSITAR'!$I$2:$I$998,"A Depositar")</f>
        <v>0</v>
      </c>
      <c r="V32" s="6"/>
      <c r="W32" s="6"/>
      <c r="X32" s="6"/>
      <c r="Y32" s="6"/>
      <c r="Z32" s="6"/>
    </row>
    <row r="33" spans="1:26" ht="12.75" x14ac:dyDescent="0.2">
      <c r="A33" s="2">
        <v>43718</v>
      </c>
      <c r="B33" s="13" t="s">
        <v>64</v>
      </c>
      <c r="C33" s="13">
        <v>68230265</v>
      </c>
      <c r="D33" s="11">
        <v>8500</v>
      </c>
      <c r="E33" s="13" t="s">
        <v>22</v>
      </c>
      <c r="F33" s="7">
        <v>43661</v>
      </c>
      <c r="G33" s="15"/>
      <c r="H33" s="16">
        <f t="shared" si="0"/>
        <v>10</v>
      </c>
      <c r="I33" s="16">
        <f t="shared" si="1"/>
        <v>9</v>
      </c>
      <c r="J33" s="122">
        <f t="shared" si="2"/>
        <v>2019</v>
      </c>
      <c r="K33" s="64">
        <f t="shared" si="3"/>
        <v>43778</v>
      </c>
      <c r="L33" s="6"/>
      <c r="M33" s="6"/>
      <c r="O33" s="208">
        <v>43678</v>
      </c>
      <c r="P33" s="209">
        <f t="shared" si="4"/>
        <v>0</v>
      </c>
      <c r="Q33" s="209">
        <f>+SUMIF('A DEPOSITAR'!$D$2:$D$998,(O33-2),'A DEPOSITAR'!$H$2:$H$998)</f>
        <v>10000</v>
      </c>
      <c r="R33" s="210">
        <f t="shared" si="5"/>
        <v>10000</v>
      </c>
      <c r="S33" s="210">
        <f t="shared" si="7"/>
        <v>-109620.89</v>
      </c>
      <c r="T33" s="209">
        <f t="shared" si="6"/>
        <v>0</v>
      </c>
      <c r="U33" s="209">
        <f>+SUMIFS('A DEPOSITAR'!$H$2:$H$998,'A DEPOSITAR'!$D$2:$D$998,(O33-2),'A DEPOSITAR'!$I$2:$I$998,"A Depositar")</f>
        <v>0</v>
      </c>
      <c r="V33" s="6"/>
      <c r="W33" s="6"/>
      <c r="X33" s="6"/>
      <c r="Y33" s="6"/>
      <c r="Z33" s="6"/>
    </row>
    <row r="34" spans="1:26" ht="12.75" x14ac:dyDescent="0.2">
      <c r="A34" s="2">
        <v>43662</v>
      </c>
      <c r="B34" s="13" t="s">
        <v>73</v>
      </c>
      <c r="C34" s="13">
        <v>68230267</v>
      </c>
      <c r="D34" s="11">
        <v>9600</v>
      </c>
      <c r="E34" s="13" t="s">
        <v>22</v>
      </c>
      <c r="F34" s="7">
        <v>43661</v>
      </c>
      <c r="G34" s="15"/>
      <c r="H34" s="16">
        <f t="shared" ref="H34:H65" si="8">DAY(A34)</f>
        <v>16</v>
      </c>
      <c r="I34" s="16">
        <f t="shared" si="1"/>
        <v>7</v>
      </c>
      <c r="J34" s="122">
        <f t="shared" ref="J34:J65" si="9">YEAR(A34)</f>
        <v>2019</v>
      </c>
      <c r="K34" s="64">
        <f t="shared" si="3"/>
        <v>43722</v>
      </c>
      <c r="L34" s="6"/>
      <c r="M34" s="6"/>
      <c r="O34" s="208">
        <v>43679</v>
      </c>
      <c r="P34" s="209">
        <f t="shared" si="4"/>
        <v>0</v>
      </c>
      <c r="Q34" s="209">
        <f>+SUMIF('A DEPOSITAR'!$D$2:$D$998,(O34-2),'A DEPOSITAR'!$H$2:$H$998)</f>
        <v>28000</v>
      </c>
      <c r="R34" s="210">
        <f t="shared" si="5"/>
        <v>28000</v>
      </c>
      <c r="S34" s="210">
        <f t="shared" si="7"/>
        <v>-81620.89</v>
      </c>
      <c r="T34" s="209">
        <f t="shared" si="6"/>
        <v>0</v>
      </c>
      <c r="U34" s="209">
        <f>+SUMIFS('A DEPOSITAR'!$H$2:$H$998,'A DEPOSITAR'!$D$2:$D$998,(O34-2),'A DEPOSITAR'!$I$2:$I$998,"A Depositar")</f>
        <v>0</v>
      </c>
      <c r="V34" s="6"/>
      <c r="W34" s="6"/>
      <c r="X34" s="6"/>
      <c r="Y34" s="6"/>
      <c r="Z34" s="6"/>
    </row>
    <row r="35" spans="1:26" ht="12.75" x14ac:dyDescent="0.2">
      <c r="A35" s="2">
        <v>43669</v>
      </c>
      <c r="B35" s="13" t="s">
        <v>73</v>
      </c>
      <c r="C35" s="13">
        <v>68230268</v>
      </c>
      <c r="D35" s="11">
        <v>10500</v>
      </c>
      <c r="E35" s="13" t="s">
        <v>22</v>
      </c>
      <c r="F35" s="7">
        <v>43661</v>
      </c>
      <c r="G35" s="15"/>
      <c r="H35" s="16">
        <f t="shared" si="8"/>
        <v>23</v>
      </c>
      <c r="I35" s="16">
        <f t="shared" si="1"/>
        <v>7</v>
      </c>
      <c r="J35" s="122">
        <f t="shared" si="9"/>
        <v>2019</v>
      </c>
      <c r="K35" s="64">
        <f t="shared" si="3"/>
        <v>43729</v>
      </c>
      <c r="L35" s="6"/>
      <c r="M35" s="6"/>
      <c r="O35" s="208">
        <v>43680</v>
      </c>
      <c r="P35" s="209">
        <f t="shared" si="4"/>
        <v>0</v>
      </c>
      <c r="Q35" s="209">
        <f>+SUMIF('A DEPOSITAR'!$D$2:$D$998,(O35-2),'A DEPOSITAR'!$H$2:$H$998)</f>
        <v>0</v>
      </c>
      <c r="R35" s="210">
        <f t="shared" si="5"/>
        <v>0</v>
      </c>
      <c r="S35" s="210">
        <f t="shared" si="7"/>
        <v>-81620.89</v>
      </c>
      <c r="T35" s="209">
        <f t="shared" si="6"/>
        <v>0</v>
      </c>
      <c r="U35" s="209">
        <f>+SUMIFS('A DEPOSITAR'!$H$2:$H$998,'A DEPOSITAR'!$D$2:$D$998,(O35-2),'A DEPOSITAR'!$I$2:$I$998,"A Depositar")</f>
        <v>0</v>
      </c>
      <c r="V35" s="6"/>
      <c r="W35" s="6"/>
      <c r="X35" s="6"/>
      <c r="Y35" s="6"/>
      <c r="Z35" s="6"/>
    </row>
    <row r="36" spans="1:26" ht="12.75" x14ac:dyDescent="0.2">
      <c r="A36" s="2">
        <v>43676</v>
      </c>
      <c r="B36" s="13" t="s">
        <v>73</v>
      </c>
      <c r="C36" s="13">
        <v>68230269</v>
      </c>
      <c r="D36" s="11">
        <v>10600</v>
      </c>
      <c r="E36" s="13" t="s">
        <v>22</v>
      </c>
      <c r="F36" s="7">
        <v>43661</v>
      </c>
      <c r="G36" s="15"/>
      <c r="H36" s="16">
        <f t="shared" si="8"/>
        <v>30</v>
      </c>
      <c r="I36" s="16">
        <f t="shared" si="1"/>
        <v>7</v>
      </c>
      <c r="J36" s="122">
        <f t="shared" si="9"/>
        <v>2019</v>
      </c>
      <c r="K36" s="64">
        <f t="shared" si="3"/>
        <v>43736</v>
      </c>
      <c r="L36" s="6"/>
      <c r="M36" s="6"/>
      <c r="O36" s="208">
        <v>43681</v>
      </c>
      <c r="P36" s="209">
        <f t="shared" si="4"/>
        <v>0</v>
      </c>
      <c r="Q36" s="209">
        <f>+SUMIF('A DEPOSITAR'!$D$2:$D$998,(O36-2),'A DEPOSITAR'!$H$2:$H$998)</f>
        <v>42872.18</v>
      </c>
      <c r="R36" s="210">
        <f t="shared" si="5"/>
        <v>42872.18</v>
      </c>
      <c r="S36" s="210">
        <f t="shared" si="7"/>
        <v>-38748.71</v>
      </c>
      <c r="T36" s="209">
        <f t="shared" si="6"/>
        <v>0</v>
      </c>
      <c r="U36" s="209">
        <f>+SUMIFS('A DEPOSITAR'!$H$2:$H$998,'A DEPOSITAR'!$D$2:$D$998,(O36-2),'A DEPOSITAR'!$I$2:$I$998,"A Depositar")</f>
        <v>0</v>
      </c>
      <c r="V36" s="6"/>
      <c r="W36" s="6"/>
      <c r="X36" s="6"/>
      <c r="Y36" s="6"/>
      <c r="Z36" s="6"/>
    </row>
    <row r="37" spans="1:26" ht="12.75" x14ac:dyDescent="0.2">
      <c r="A37" s="2">
        <v>43685</v>
      </c>
      <c r="B37" s="13" t="s">
        <v>73</v>
      </c>
      <c r="C37" s="13">
        <v>68230270</v>
      </c>
      <c r="D37" s="11">
        <v>10700</v>
      </c>
      <c r="E37" s="13" t="s">
        <v>22</v>
      </c>
      <c r="F37" s="7">
        <v>43661</v>
      </c>
      <c r="G37" s="15"/>
      <c r="H37" s="16">
        <f t="shared" si="8"/>
        <v>8</v>
      </c>
      <c r="I37" s="16">
        <f t="shared" si="1"/>
        <v>8</v>
      </c>
      <c r="J37" s="122">
        <f t="shared" si="9"/>
        <v>2019</v>
      </c>
      <c r="K37" s="64">
        <f t="shared" si="3"/>
        <v>43745</v>
      </c>
      <c r="L37" s="6"/>
      <c r="M37" s="6"/>
      <c r="O37" s="208">
        <v>43682</v>
      </c>
      <c r="P37" s="209">
        <f t="shared" si="4"/>
        <v>0</v>
      </c>
      <c r="Q37" s="209">
        <f>+SUMIF('A DEPOSITAR'!$D$2:$D$998,(O37-2),'A DEPOSITAR'!$H$2:$H$998)</f>
        <v>0</v>
      </c>
      <c r="R37" s="210">
        <f t="shared" si="5"/>
        <v>0</v>
      </c>
      <c r="S37" s="210">
        <f t="shared" si="7"/>
        <v>-38748.71</v>
      </c>
      <c r="T37" s="209">
        <f t="shared" si="6"/>
        <v>0</v>
      </c>
      <c r="U37" s="209">
        <f>+SUMIFS('A DEPOSITAR'!$H$2:$H$998,'A DEPOSITAR'!$D$2:$D$998,(O37-2),'A DEPOSITAR'!$I$2:$I$998,"A Depositar")</f>
        <v>0</v>
      </c>
      <c r="V37" s="6"/>
      <c r="W37" s="6"/>
      <c r="X37" s="6"/>
      <c r="Y37" s="6"/>
      <c r="Z37" s="6"/>
    </row>
    <row r="38" spans="1:26" ht="12.75" x14ac:dyDescent="0.2">
      <c r="A38" s="2">
        <v>43693</v>
      </c>
      <c r="B38" s="13" t="s">
        <v>73</v>
      </c>
      <c r="C38" s="13">
        <v>68230271</v>
      </c>
      <c r="D38" s="11">
        <v>10800</v>
      </c>
      <c r="E38" s="13" t="s">
        <v>22</v>
      </c>
      <c r="F38" s="7">
        <v>43661</v>
      </c>
      <c r="G38" s="15"/>
      <c r="H38" s="16">
        <f t="shared" si="8"/>
        <v>16</v>
      </c>
      <c r="I38" s="16">
        <f t="shared" si="1"/>
        <v>8</v>
      </c>
      <c r="J38" s="122">
        <f t="shared" si="9"/>
        <v>2019</v>
      </c>
      <c r="K38" s="64">
        <f t="shared" si="3"/>
        <v>43753</v>
      </c>
      <c r="L38" s="6"/>
      <c r="M38" s="6"/>
      <c r="O38" s="208">
        <v>43683</v>
      </c>
      <c r="P38" s="209">
        <f t="shared" si="4"/>
        <v>0</v>
      </c>
      <c r="Q38" s="209">
        <f>+SUMIF('A DEPOSITAR'!$D$2:$D$998,(O38-2),'A DEPOSITAR'!$H$2:$H$998)</f>
        <v>3500</v>
      </c>
      <c r="R38" s="210">
        <f t="shared" si="5"/>
        <v>3500</v>
      </c>
      <c r="S38" s="210">
        <f t="shared" si="7"/>
        <v>-35248.71</v>
      </c>
      <c r="T38" s="209">
        <f t="shared" si="6"/>
        <v>0</v>
      </c>
      <c r="U38" s="209">
        <f>+SUMIFS('A DEPOSITAR'!$H$2:$H$998,'A DEPOSITAR'!$D$2:$D$998,(O38-2),'A DEPOSITAR'!$I$2:$I$998,"A Depositar")</f>
        <v>0</v>
      </c>
      <c r="V38" s="6"/>
      <c r="W38" s="6"/>
      <c r="X38" s="6"/>
      <c r="Y38" s="6"/>
      <c r="Z38" s="6"/>
    </row>
    <row r="39" spans="1:26" ht="12.75" x14ac:dyDescent="0.2">
      <c r="A39" s="2">
        <v>43700</v>
      </c>
      <c r="B39" s="13" t="s">
        <v>73</v>
      </c>
      <c r="C39" s="13">
        <v>68230272</v>
      </c>
      <c r="D39" s="11">
        <v>7800</v>
      </c>
      <c r="E39" s="13" t="s">
        <v>22</v>
      </c>
      <c r="F39" s="7">
        <v>43661</v>
      </c>
      <c r="G39" s="15"/>
      <c r="H39" s="16">
        <f t="shared" si="8"/>
        <v>23</v>
      </c>
      <c r="I39" s="16">
        <f t="shared" si="1"/>
        <v>8</v>
      </c>
      <c r="J39" s="122">
        <f t="shared" si="9"/>
        <v>2019</v>
      </c>
      <c r="K39" s="64">
        <f t="shared" si="3"/>
        <v>43760</v>
      </c>
      <c r="L39" s="6"/>
      <c r="M39" s="6"/>
      <c r="O39" s="208">
        <v>43684</v>
      </c>
      <c r="P39" s="209">
        <f t="shared" si="4"/>
        <v>0</v>
      </c>
      <c r="Q39" s="209">
        <f>+SUMIF('A DEPOSITAR'!$D$2:$D$998,(O39-2),'A DEPOSITAR'!$H$2:$H$998)</f>
        <v>14000</v>
      </c>
      <c r="R39" s="210">
        <f t="shared" si="5"/>
        <v>14000</v>
      </c>
      <c r="S39" s="210">
        <f t="shared" si="7"/>
        <v>-21248.71</v>
      </c>
      <c r="T39" s="209">
        <f t="shared" si="6"/>
        <v>0</v>
      </c>
      <c r="U39" s="209">
        <f>+SUMIFS('A DEPOSITAR'!$H$2:$H$998,'A DEPOSITAR'!$D$2:$D$998,(O39-2),'A DEPOSITAR'!$I$2:$I$998,"A Depositar")</f>
        <v>0</v>
      </c>
      <c r="V39" s="6"/>
      <c r="W39" s="6"/>
      <c r="X39" s="6"/>
      <c r="Y39" s="6"/>
      <c r="Z39" s="6"/>
    </row>
    <row r="40" spans="1:26" ht="12.75" x14ac:dyDescent="0.2">
      <c r="A40" s="2">
        <v>43676</v>
      </c>
      <c r="B40" s="13" t="s">
        <v>28</v>
      </c>
      <c r="C40" s="13">
        <v>68230273</v>
      </c>
      <c r="D40" s="11">
        <v>3000</v>
      </c>
      <c r="E40" s="13" t="s">
        <v>22</v>
      </c>
      <c r="F40" s="7">
        <v>43661</v>
      </c>
      <c r="G40" s="15"/>
      <c r="H40" s="16">
        <f t="shared" si="8"/>
        <v>30</v>
      </c>
      <c r="I40" s="16">
        <f t="shared" si="1"/>
        <v>7</v>
      </c>
      <c r="J40" s="122">
        <f t="shared" si="9"/>
        <v>2019</v>
      </c>
      <c r="K40" s="64">
        <f t="shared" si="3"/>
        <v>43736</v>
      </c>
      <c r="L40" s="6"/>
      <c r="M40" s="6"/>
      <c r="O40" s="208">
        <v>43685</v>
      </c>
      <c r="P40" s="209">
        <f t="shared" si="4"/>
        <v>44560.91</v>
      </c>
      <c r="Q40" s="209">
        <f>+SUMIF('A DEPOSITAR'!$D$2:$D$998,(O40-2),'A DEPOSITAR'!$H$2:$H$998)</f>
        <v>0</v>
      </c>
      <c r="R40" s="210">
        <f t="shared" si="5"/>
        <v>-44560.91</v>
      </c>
      <c r="S40" s="210">
        <f t="shared" si="7"/>
        <v>-65809.62</v>
      </c>
      <c r="T40" s="209">
        <f t="shared" si="6"/>
        <v>0</v>
      </c>
      <c r="U40" s="209">
        <f>+SUMIFS('A DEPOSITAR'!$H$2:$H$998,'A DEPOSITAR'!$D$2:$D$998,(O40-2),'A DEPOSITAR'!$I$2:$I$998,"A Depositar")</f>
        <v>0</v>
      </c>
      <c r="V40" s="6"/>
      <c r="W40" s="6"/>
      <c r="X40" s="6"/>
      <c r="Y40" s="6"/>
      <c r="Z40" s="6"/>
    </row>
    <row r="41" spans="1:26" ht="12.75" x14ac:dyDescent="0.2">
      <c r="A41" s="2">
        <v>43669</v>
      </c>
      <c r="B41" s="13" t="s">
        <v>28</v>
      </c>
      <c r="C41" s="13">
        <v>68230274</v>
      </c>
      <c r="D41" s="11">
        <v>6000</v>
      </c>
      <c r="E41" s="13" t="s">
        <v>22</v>
      </c>
      <c r="F41" s="7">
        <v>43661</v>
      </c>
      <c r="G41" s="15"/>
      <c r="H41" s="16">
        <f t="shared" si="8"/>
        <v>23</v>
      </c>
      <c r="I41" s="16">
        <f t="shared" si="1"/>
        <v>7</v>
      </c>
      <c r="J41" s="122">
        <f t="shared" si="9"/>
        <v>2019</v>
      </c>
      <c r="K41" s="64">
        <f t="shared" si="3"/>
        <v>43729</v>
      </c>
      <c r="L41" s="6"/>
      <c r="M41" s="6"/>
      <c r="O41" s="208">
        <v>43686</v>
      </c>
      <c r="P41" s="209">
        <f t="shared" si="4"/>
        <v>0</v>
      </c>
      <c r="Q41" s="209">
        <f>+SUMIF('A DEPOSITAR'!$D$2:$D$998,(O41-2),'A DEPOSITAR'!$H$2:$H$998)</f>
        <v>0</v>
      </c>
      <c r="R41" s="210">
        <f t="shared" si="5"/>
        <v>0</v>
      </c>
      <c r="S41" s="210">
        <f t="shared" si="7"/>
        <v>-65809.62</v>
      </c>
      <c r="T41" s="209">
        <f t="shared" si="6"/>
        <v>0</v>
      </c>
      <c r="U41" s="209">
        <f>+SUMIFS('A DEPOSITAR'!$H$2:$H$998,'A DEPOSITAR'!$D$2:$D$998,(O41-2),'A DEPOSITAR'!$I$2:$I$998,"A Depositar")</f>
        <v>0</v>
      </c>
      <c r="V41" s="6"/>
      <c r="W41" s="6"/>
      <c r="X41" s="6"/>
      <c r="Y41" s="6"/>
      <c r="Z41" s="6"/>
    </row>
    <row r="42" spans="1:26" ht="12.75" x14ac:dyDescent="0.2">
      <c r="A42" s="2">
        <v>43715</v>
      </c>
      <c r="B42" s="13" t="s">
        <v>28</v>
      </c>
      <c r="C42" s="13">
        <v>68230275</v>
      </c>
      <c r="D42" s="11">
        <v>6010</v>
      </c>
      <c r="E42" s="13" t="s">
        <v>22</v>
      </c>
      <c r="F42" s="7">
        <v>43661</v>
      </c>
      <c r="G42" s="15"/>
      <c r="H42" s="16">
        <f t="shared" si="8"/>
        <v>7</v>
      </c>
      <c r="I42" s="16">
        <f t="shared" si="1"/>
        <v>9</v>
      </c>
      <c r="J42" s="122">
        <f t="shared" si="9"/>
        <v>2019</v>
      </c>
      <c r="K42" s="64">
        <f t="shared" si="3"/>
        <v>43775</v>
      </c>
      <c r="L42" s="6"/>
      <c r="M42" s="6"/>
      <c r="O42" s="208">
        <v>43687</v>
      </c>
      <c r="P42" s="209">
        <f t="shared" si="4"/>
        <v>10320.049999999999</v>
      </c>
      <c r="Q42" s="209">
        <f>+SUMIF('A DEPOSITAR'!$D$2:$D$998,(O42-2),'A DEPOSITAR'!$H$2:$H$998)</f>
        <v>0</v>
      </c>
      <c r="R42" s="210">
        <f t="shared" si="5"/>
        <v>-10320.049999999999</v>
      </c>
      <c r="S42" s="210">
        <f t="shared" si="7"/>
        <v>-76129.67</v>
      </c>
      <c r="T42" s="209">
        <f t="shared" si="6"/>
        <v>0</v>
      </c>
      <c r="U42" s="209">
        <f>+SUMIFS('A DEPOSITAR'!$H$2:$H$998,'A DEPOSITAR'!$D$2:$D$998,(O42-2),'A DEPOSITAR'!$I$2:$I$998,"A Depositar")</f>
        <v>0</v>
      </c>
      <c r="V42" s="6"/>
      <c r="W42" s="6"/>
      <c r="X42" s="6"/>
      <c r="Y42" s="6"/>
      <c r="Z42" s="6"/>
    </row>
    <row r="43" spans="1:26" ht="12.75" x14ac:dyDescent="0.2">
      <c r="A43" s="2">
        <v>43730</v>
      </c>
      <c r="B43" s="13" t="s">
        <v>28</v>
      </c>
      <c r="C43" s="13">
        <v>68230276</v>
      </c>
      <c r="D43" s="11">
        <v>6050</v>
      </c>
      <c r="E43" s="13" t="s">
        <v>22</v>
      </c>
      <c r="F43" s="7">
        <v>43661</v>
      </c>
      <c r="G43" s="15"/>
      <c r="H43" s="16">
        <f t="shared" si="8"/>
        <v>22</v>
      </c>
      <c r="I43" s="16">
        <f t="shared" si="1"/>
        <v>9</v>
      </c>
      <c r="J43" s="122">
        <f t="shared" si="9"/>
        <v>2019</v>
      </c>
      <c r="K43" s="64">
        <f t="shared" si="3"/>
        <v>43790</v>
      </c>
      <c r="L43" s="6"/>
      <c r="M43" s="6"/>
      <c r="O43" s="208">
        <v>43688</v>
      </c>
      <c r="P43" s="209">
        <f t="shared" si="4"/>
        <v>0</v>
      </c>
      <c r="Q43" s="209">
        <f>+SUMIF('A DEPOSITAR'!$D$2:$D$998,(O43-2),'A DEPOSITAR'!$H$2:$H$998)</f>
        <v>21500</v>
      </c>
      <c r="R43" s="210">
        <f t="shared" si="5"/>
        <v>21500</v>
      </c>
      <c r="S43" s="210">
        <f t="shared" si="7"/>
        <v>-54629.67</v>
      </c>
      <c r="T43" s="209">
        <f t="shared" si="6"/>
        <v>0</v>
      </c>
      <c r="U43" s="209">
        <f>+SUMIFS('A DEPOSITAR'!$H$2:$H$998,'A DEPOSITAR'!$D$2:$D$998,(O43-2),'A DEPOSITAR'!$I$2:$I$998,"A Depositar")</f>
        <v>0</v>
      </c>
      <c r="V43" s="6"/>
      <c r="W43" s="6"/>
      <c r="X43" s="6"/>
      <c r="Y43" s="6"/>
      <c r="Z43" s="6"/>
    </row>
    <row r="44" spans="1:26" ht="12.75" x14ac:dyDescent="0.2">
      <c r="A44" s="2">
        <v>43738</v>
      </c>
      <c r="B44" s="13" t="s">
        <v>28</v>
      </c>
      <c r="C44" s="13">
        <v>68230277</v>
      </c>
      <c r="D44" s="11">
        <v>6300</v>
      </c>
      <c r="E44" s="13" t="s">
        <v>22</v>
      </c>
      <c r="F44" s="7">
        <v>43661</v>
      </c>
      <c r="G44" s="15"/>
      <c r="H44" s="16">
        <f t="shared" si="8"/>
        <v>30</v>
      </c>
      <c r="I44" s="16">
        <f t="shared" si="1"/>
        <v>9</v>
      </c>
      <c r="J44" s="122">
        <f t="shared" si="9"/>
        <v>2019</v>
      </c>
      <c r="K44" s="64">
        <f t="shared" si="3"/>
        <v>43798</v>
      </c>
      <c r="L44" s="6"/>
      <c r="M44" s="6"/>
      <c r="O44" s="208">
        <v>43689</v>
      </c>
      <c r="P44" s="209">
        <f t="shared" si="4"/>
        <v>0</v>
      </c>
      <c r="Q44" s="209">
        <f>+SUMIF('A DEPOSITAR'!$D$2:$D$998,(O44-2),'A DEPOSITAR'!$H$2:$H$998)</f>
        <v>7990</v>
      </c>
      <c r="R44" s="210">
        <f t="shared" si="5"/>
        <v>7990</v>
      </c>
      <c r="S44" s="210">
        <f t="shared" si="7"/>
        <v>-46639.67</v>
      </c>
      <c r="T44" s="209">
        <f t="shared" si="6"/>
        <v>0</v>
      </c>
      <c r="U44" s="209">
        <f>+SUMIFS('A DEPOSITAR'!$H$2:$H$998,'A DEPOSITAR'!$D$2:$D$998,(O44-2),'A DEPOSITAR'!$I$2:$I$998,"A Depositar")</f>
        <v>0</v>
      </c>
      <c r="V44" s="6"/>
      <c r="W44" s="6"/>
      <c r="X44" s="6"/>
      <c r="Y44" s="6"/>
      <c r="Z44" s="6"/>
    </row>
    <row r="45" spans="1:26" ht="12.75" x14ac:dyDescent="0.2">
      <c r="A45" s="2">
        <v>43716</v>
      </c>
      <c r="B45" s="13" t="s">
        <v>25</v>
      </c>
      <c r="C45" s="13">
        <v>68230278</v>
      </c>
      <c r="D45" s="11">
        <v>7500</v>
      </c>
      <c r="E45" s="13" t="s">
        <v>22</v>
      </c>
      <c r="F45" s="7">
        <v>43661</v>
      </c>
      <c r="G45" s="15"/>
      <c r="H45" s="16">
        <f t="shared" si="8"/>
        <v>8</v>
      </c>
      <c r="I45" s="16">
        <f t="shared" si="1"/>
        <v>9</v>
      </c>
      <c r="J45" s="122">
        <f t="shared" si="9"/>
        <v>2019</v>
      </c>
      <c r="K45" s="64">
        <f t="shared" si="3"/>
        <v>43776</v>
      </c>
      <c r="L45" s="6"/>
      <c r="M45" s="6"/>
      <c r="O45" s="208">
        <v>43690</v>
      </c>
      <c r="P45" s="209">
        <f t="shared" si="4"/>
        <v>22215.52</v>
      </c>
      <c r="Q45" s="209">
        <f>+SUMIF('A DEPOSITAR'!$D$2:$D$998,(O45-2),'A DEPOSITAR'!$H$2:$H$998)</f>
        <v>0</v>
      </c>
      <c r="R45" s="210">
        <f t="shared" si="5"/>
        <v>-22215.52</v>
      </c>
      <c r="S45" s="210">
        <f t="shared" si="7"/>
        <v>-68855.19</v>
      </c>
      <c r="T45" s="209">
        <f t="shared" si="6"/>
        <v>0</v>
      </c>
      <c r="U45" s="209">
        <f>+SUMIFS('A DEPOSITAR'!$H$2:$H$998,'A DEPOSITAR'!$D$2:$D$998,(O45-2),'A DEPOSITAR'!$I$2:$I$998,"A Depositar")</f>
        <v>0</v>
      </c>
      <c r="V45" s="6"/>
      <c r="W45" s="6"/>
      <c r="X45" s="6"/>
      <c r="Y45" s="6"/>
      <c r="Z45" s="6"/>
    </row>
    <row r="46" spans="1:26" ht="12.75" x14ac:dyDescent="0.2">
      <c r="A46" s="2">
        <v>43730</v>
      </c>
      <c r="B46" s="13" t="s">
        <v>25</v>
      </c>
      <c r="C46" s="13">
        <v>68230279</v>
      </c>
      <c r="D46" s="11">
        <v>7500</v>
      </c>
      <c r="E46" s="13" t="s">
        <v>22</v>
      </c>
      <c r="F46" s="7">
        <v>43661</v>
      </c>
      <c r="G46" s="15"/>
      <c r="H46" s="16">
        <f t="shared" si="8"/>
        <v>22</v>
      </c>
      <c r="I46" s="16">
        <f t="shared" si="1"/>
        <v>9</v>
      </c>
      <c r="J46" s="122">
        <f t="shared" si="9"/>
        <v>2019</v>
      </c>
      <c r="K46" s="64">
        <f t="shared" si="3"/>
        <v>43790</v>
      </c>
      <c r="L46" s="6"/>
      <c r="M46" s="6"/>
      <c r="O46" s="208">
        <v>43691</v>
      </c>
      <c r="P46" s="209">
        <f t="shared" si="4"/>
        <v>0</v>
      </c>
      <c r="Q46" s="209">
        <f>+SUMIF('A DEPOSITAR'!$D$2:$D$998,(O46-2),'A DEPOSITAR'!$H$2:$H$998)</f>
        <v>24120.83</v>
      </c>
      <c r="R46" s="210">
        <f t="shared" si="5"/>
        <v>24120.83</v>
      </c>
      <c r="S46" s="210">
        <f t="shared" si="7"/>
        <v>-44734.36</v>
      </c>
      <c r="T46" s="209">
        <f t="shared" si="6"/>
        <v>0</v>
      </c>
      <c r="U46" s="209">
        <f>+SUMIFS('A DEPOSITAR'!$H$2:$H$998,'A DEPOSITAR'!$D$2:$D$998,(O46-2),'A DEPOSITAR'!$I$2:$I$998,"A Depositar")</f>
        <v>0</v>
      </c>
      <c r="V46" s="6"/>
      <c r="W46" s="6"/>
      <c r="X46" s="6"/>
      <c r="Y46" s="6"/>
      <c r="Z46" s="6"/>
    </row>
    <row r="47" spans="1:26" ht="12.75" x14ac:dyDescent="0.2">
      <c r="A47" s="2">
        <v>43738</v>
      </c>
      <c r="B47" s="13" t="s">
        <v>25</v>
      </c>
      <c r="C47" s="13">
        <v>68230280</v>
      </c>
      <c r="D47" s="11">
        <v>7500</v>
      </c>
      <c r="E47" s="13" t="s">
        <v>22</v>
      </c>
      <c r="F47" s="7">
        <v>43661</v>
      </c>
      <c r="G47" s="15"/>
      <c r="H47" s="16">
        <f t="shared" si="8"/>
        <v>30</v>
      </c>
      <c r="I47" s="16">
        <f t="shared" si="1"/>
        <v>9</v>
      </c>
      <c r="J47" s="122">
        <f t="shared" si="9"/>
        <v>2019</v>
      </c>
      <c r="K47" s="64">
        <f t="shared" si="3"/>
        <v>43798</v>
      </c>
      <c r="L47" s="6"/>
      <c r="M47" s="6"/>
      <c r="O47" s="208">
        <v>43692</v>
      </c>
      <c r="P47" s="209">
        <f t="shared" si="4"/>
        <v>15000</v>
      </c>
      <c r="Q47" s="209">
        <f>+SUMIF('A DEPOSITAR'!$D$2:$D$998,(O47-2),'A DEPOSITAR'!$H$2:$H$998)</f>
        <v>0</v>
      </c>
      <c r="R47" s="210">
        <f t="shared" si="5"/>
        <v>-15000</v>
      </c>
      <c r="S47" s="210">
        <f t="shared" si="7"/>
        <v>-59734.36</v>
      </c>
      <c r="T47" s="209">
        <f t="shared" si="6"/>
        <v>0</v>
      </c>
      <c r="U47" s="209">
        <f>+SUMIFS('A DEPOSITAR'!$H$2:$H$998,'A DEPOSITAR'!$D$2:$D$998,(O47-2),'A DEPOSITAR'!$I$2:$I$998,"A Depositar")</f>
        <v>0</v>
      </c>
      <c r="V47" s="6"/>
      <c r="W47" s="6"/>
      <c r="X47" s="6"/>
      <c r="Y47" s="6"/>
      <c r="Z47" s="6"/>
    </row>
    <row r="48" spans="1:26" ht="12.75" x14ac:dyDescent="0.2">
      <c r="A48" s="2">
        <v>43746</v>
      </c>
      <c r="B48" s="13" t="s">
        <v>25</v>
      </c>
      <c r="C48" s="13">
        <v>68230281</v>
      </c>
      <c r="D48" s="11">
        <v>7500</v>
      </c>
      <c r="E48" s="13" t="s">
        <v>22</v>
      </c>
      <c r="F48" s="7">
        <v>43661</v>
      </c>
      <c r="G48" s="15"/>
      <c r="H48" s="16">
        <f t="shared" si="8"/>
        <v>8</v>
      </c>
      <c r="I48" s="16">
        <f t="shared" si="1"/>
        <v>10</v>
      </c>
      <c r="J48" s="122">
        <f t="shared" si="9"/>
        <v>2019</v>
      </c>
      <c r="K48" s="64">
        <f t="shared" si="3"/>
        <v>43806</v>
      </c>
      <c r="L48" s="6"/>
      <c r="M48" s="6"/>
      <c r="O48" s="208">
        <v>43693</v>
      </c>
      <c r="P48" s="209">
        <f t="shared" si="4"/>
        <v>26482.400000000001</v>
      </c>
      <c r="Q48" s="209">
        <f>+SUMIF('A DEPOSITAR'!$D$2:$D$998,(O48-2),'A DEPOSITAR'!$H$2:$H$998)</f>
        <v>0</v>
      </c>
      <c r="R48" s="210">
        <f t="shared" si="5"/>
        <v>-26482.400000000001</v>
      </c>
      <c r="S48" s="210">
        <f t="shared" si="7"/>
        <v>-86216.760000000009</v>
      </c>
      <c r="T48" s="209">
        <f t="shared" si="6"/>
        <v>0</v>
      </c>
      <c r="U48" s="209">
        <f>+SUMIFS('A DEPOSITAR'!$H$2:$H$998,'A DEPOSITAR'!$D$2:$D$998,(O48-2),'A DEPOSITAR'!$I$2:$I$998,"A Depositar")</f>
        <v>0</v>
      </c>
      <c r="V48" s="6"/>
      <c r="W48" s="6"/>
      <c r="X48" s="6"/>
      <c r="Y48" s="6"/>
      <c r="Z48" s="6"/>
    </row>
    <row r="49" spans="1:26" ht="12.75" x14ac:dyDescent="0.2">
      <c r="A49" s="2">
        <v>43760</v>
      </c>
      <c r="B49" s="13" t="s">
        <v>25</v>
      </c>
      <c r="C49" s="13">
        <v>68230282</v>
      </c>
      <c r="D49" s="11">
        <v>7500</v>
      </c>
      <c r="E49" s="13" t="s">
        <v>22</v>
      </c>
      <c r="F49" s="7">
        <v>43661</v>
      </c>
      <c r="G49" s="15"/>
      <c r="H49" s="16">
        <f t="shared" si="8"/>
        <v>22</v>
      </c>
      <c r="I49" s="16">
        <f t="shared" si="1"/>
        <v>10</v>
      </c>
      <c r="J49" s="122">
        <f t="shared" si="9"/>
        <v>2019</v>
      </c>
      <c r="K49" s="64">
        <f t="shared" si="3"/>
        <v>43820</v>
      </c>
      <c r="L49" s="6"/>
      <c r="M49" s="6"/>
      <c r="O49" s="208">
        <v>43694</v>
      </c>
      <c r="P49" s="209">
        <f t="shared" si="4"/>
        <v>0</v>
      </c>
      <c r="Q49" s="209">
        <f>+SUMIF('A DEPOSITAR'!$D$2:$D$998,(O49-2),'A DEPOSITAR'!$H$2:$H$998)</f>
        <v>22436.25</v>
      </c>
      <c r="R49" s="210">
        <f t="shared" si="5"/>
        <v>22436.25</v>
      </c>
      <c r="S49" s="210">
        <f t="shared" si="7"/>
        <v>-63780.510000000009</v>
      </c>
      <c r="T49" s="209">
        <f t="shared" si="6"/>
        <v>0</v>
      </c>
      <c r="U49" s="209">
        <f>+SUMIFS('A DEPOSITAR'!$H$2:$H$998,'A DEPOSITAR'!$D$2:$D$998,(O49-2),'A DEPOSITAR'!$I$2:$I$998,"A Depositar")</f>
        <v>0</v>
      </c>
      <c r="V49" s="6"/>
      <c r="W49" s="6"/>
      <c r="X49" s="6"/>
      <c r="Y49" s="6"/>
      <c r="Z49" s="6"/>
    </row>
    <row r="50" spans="1:26" ht="12.75" x14ac:dyDescent="0.2">
      <c r="A50" s="2">
        <v>43768</v>
      </c>
      <c r="B50" s="13" t="s">
        <v>25</v>
      </c>
      <c r="C50" s="13">
        <v>68230283</v>
      </c>
      <c r="D50" s="11">
        <v>7818</v>
      </c>
      <c r="E50" s="13" t="s">
        <v>22</v>
      </c>
      <c r="F50" s="7">
        <v>43661</v>
      </c>
      <c r="G50" s="15"/>
      <c r="H50" s="16">
        <f t="shared" si="8"/>
        <v>30</v>
      </c>
      <c r="I50" s="9">
        <v>11</v>
      </c>
      <c r="J50" s="122">
        <f t="shared" si="9"/>
        <v>2019</v>
      </c>
      <c r="K50" s="64">
        <f t="shared" si="3"/>
        <v>43828</v>
      </c>
      <c r="L50" s="6"/>
      <c r="M50" s="6"/>
      <c r="O50" s="208">
        <v>43695</v>
      </c>
      <c r="P50" s="209">
        <f t="shared" si="4"/>
        <v>0</v>
      </c>
      <c r="Q50" s="209">
        <f>+SUMIF('A DEPOSITAR'!$D$2:$D$998,(O50-2),'A DEPOSITAR'!$H$2:$H$998)</f>
        <v>15438.16</v>
      </c>
      <c r="R50" s="210">
        <f t="shared" si="5"/>
        <v>15438.16</v>
      </c>
      <c r="S50" s="210">
        <f t="shared" si="7"/>
        <v>-48342.350000000006</v>
      </c>
      <c r="T50" s="209">
        <f t="shared" si="6"/>
        <v>0</v>
      </c>
      <c r="U50" s="209">
        <f>+SUMIFS('A DEPOSITAR'!$H$2:$H$998,'A DEPOSITAR'!$D$2:$D$998,(O50-2),'A DEPOSITAR'!$I$2:$I$998,"A Depositar")</f>
        <v>0</v>
      </c>
      <c r="V50" s="6"/>
      <c r="W50" s="6"/>
      <c r="X50" s="6"/>
      <c r="Y50" s="6"/>
      <c r="Z50" s="6"/>
    </row>
    <row r="51" spans="1:26" ht="12.75" x14ac:dyDescent="0.2">
      <c r="A51" s="2">
        <v>43701</v>
      </c>
      <c r="B51" s="13" t="s">
        <v>94</v>
      </c>
      <c r="C51" s="13">
        <v>68230284</v>
      </c>
      <c r="D51" s="11">
        <v>1700</v>
      </c>
      <c r="E51" s="13" t="s">
        <v>22</v>
      </c>
      <c r="F51" s="7">
        <v>43661</v>
      </c>
      <c r="G51" s="15"/>
      <c r="H51" s="16">
        <f t="shared" si="8"/>
        <v>24</v>
      </c>
      <c r="I51" s="16">
        <f t="shared" ref="I51:I82" si="10">MONTH(A51)</f>
        <v>8</v>
      </c>
      <c r="J51" s="122">
        <f t="shared" si="9"/>
        <v>2019</v>
      </c>
      <c r="K51" s="64">
        <f t="shared" si="3"/>
        <v>43761</v>
      </c>
      <c r="L51" s="6"/>
      <c r="M51" s="6"/>
      <c r="O51" s="208">
        <v>43696</v>
      </c>
      <c r="P51" s="209">
        <f t="shared" si="4"/>
        <v>0</v>
      </c>
      <c r="Q51" s="209">
        <f>+SUMIF('A DEPOSITAR'!$D$2:$D$998,(O51-2),'A DEPOSITAR'!$H$2:$H$998)</f>
        <v>4150</v>
      </c>
      <c r="R51" s="210">
        <f t="shared" si="5"/>
        <v>4150</v>
      </c>
      <c r="S51" s="210">
        <f t="shared" si="7"/>
        <v>-44192.350000000006</v>
      </c>
      <c r="T51" s="209">
        <f t="shared" si="6"/>
        <v>0</v>
      </c>
      <c r="U51" s="209">
        <f>+SUMIFS('A DEPOSITAR'!$H$2:$H$998,'A DEPOSITAR'!$D$2:$D$998,(O51-2),'A DEPOSITAR'!$I$2:$I$998,"A Depositar")</f>
        <v>0</v>
      </c>
      <c r="V51" s="6"/>
      <c r="W51" s="6"/>
      <c r="X51" s="6"/>
      <c r="Y51" s="6"/>
      <c r="Z51" s="6"/>
    </row>
    <row r="52" spans="1:26" ht="12.75" x14ac:dyDescent="0.2">
      <c r="A52" s="2">
        <v>43687</v>
      </c>
      <c r="B52" s="13" t="s">
        <v>96</v>
      </c>
      <c r="C52" s="13">
        <v>68230285</v>
      </c>
      <c r="D52" s="11">
        <v>2320.0500000000002</v>
      </c>
      <c r="E52" s="13" t="s">
        <v>22</v>
      </c>
      <c r="F52" s="7">
        <v>43661</v>
      </c>
      <c r="G52" s="15"/>
      <c r="H52" s="16">
        <f t="shared" si="8"/>
        <v>10</v>
      </c>
      <c r="I52" s="16">
        <f t="shared" si="10"/>
        <v>8</v>
      </c>
      <c r="J52" s="122">
        <f t="shared" si="9"/>
        <v>2019</v>
      </c>
      <c r="K52" s="64">
        <f t="shared" si="3"/>
        <v>43747</v>
      </c>
      <c r="L52" s="6"/>
      <c r="M52" s="6"/>
      <c r="O52" s="208">
        <v>43697</v>
      </c>
      <c r="P52" s="209">
        <f t="shared" si="4"/>
        <v>0</v>
      </c>
      <c r="Q52" s="209">
        <f>+SUMIF('A DEPOSITAR'!$D$2:$D$998,(O52-2),'A DEPOSITAR'!$H$2:$H$998)</f>
        <v>10000</v>
      </c>
      <c r="R52" s="210">
        <f t="shared" si="5"/>
        <v>10000</v>
      </c>
      <c r="S52" s="210">
        <f t="shared" si="7"/>
        <v>-34192.350000000006</v>
      </c>
      <c r="T52" s="209">
        <f t="shared" si="6"/>
        <v>0</v>
      </c>
      <c r="U52" s="209">
        <f>+SUMIFS('A DEPOSITAR'!$H$2:$H$998,'A DEPOSITAR'!$D$2:$D$998,(O52-2),'A DEPOSITAR'!$I$2:$I$998,"A Depositar")</f>
        <v>0</v>
      </c>
      <c r="V52" s="6"/>
      <c r="W52" s="6"/>
      <c r="X52" s="6"/>
      <c r="Y52" s="6"/>
      <c r="Z52" s="6"/>
    </row>
    <row r="53" spans="1:26" ht="12.75" x14ac:dyDescent="0.2">
      <c r="A53" s="2">
        <v>43693</v>
      </c>
      <c r="B53" s="13" t="s">
        <v>98</v>
      </c>
      <c r="C53" s="13">
        <v>68230286</v>
      </c>
      <c r="D53" s="11">
        <v>4867.3999999999996</v>
      </c>
      <c r="E53" s="13" t="s">
        <v>22</v>
      </c>
      <c r="F53" s="7">
        <v>43661</v>
      </c>
      <c r="G53" s="15"/>
      <c r="H53" s="16">
        <f t="shared" si="8"/>
        <v>16</v>
      </c>
      <c r="I53" s="16">
        <f t="shared" si="10"/>
        <v>8</v>
      </c>
      <c r="J53" s="122">
        <f t="shared" si="9"/>
        <v>2019</v>
      </c>
      <c r="K53" s="64">
        <f t="shared" si="3"/>
        <v>43753</v>
      </c>
      <c r="L53" s="6"/>
      <c r="M53" s="6"/>
      <c r="O53" s="208">
        <v>43698</v>
      </c>
      <c r="P53" s="209">
        <f t="shared" si="4"/>
        <v>0</v>
      </c>
      <c r="Q53" s="209">
        <f>+SUMIF('A DEPOSITAR'!$D$2:$D$998,(O53-2),'A DEPOSITAR'!$H$2:$H$998)</f>
        <v>0</v>
      </c>
      <c r="R53" s="210">
        <f t="shared" si="5"/>
        <v>0</v>
      </c>
      <c r="S53" s="210">
        <f t="shared" si="7"/>
        <v>-34192.350000000006</v>
      </c>
      <c r="T53" s="209">
        <f t="shared" si="6"/>
        <v>0</v>
      </c>
      <c r="U53" s="209">
        <f>+SUMIFS('A DEPOSITAR'!$H$2:$H$998,'A DEPOSITAR'!$D$2:$D$998,(O53-2),'A DEPOSITAR'!$I$2:$I$998,"A Depositar")</f>
        <v>0</v>
      </c>
      <c r="V53" s="6"/>
      <c r="W53" s="6"/>
      <c r="X53" s="6"/>
      <c r="Y53" s="6"/>
      <c r="Z53" s="6"/>
    </row>
    <row r="54" spans="1:26" ht="12.75" x14ac:dyDescent="0.2">
      <c r="A54" s="2">
        <v>43700</v>
      </c>
      <c r="B54" s="13" t="s">
        <v>99</v>
      </c>
      <c r="C54" s="13">
        <v>68230287</v>
      </c>
      <c r="D54" s="11">
        <v>4800</v>
      </c>
      <c r="E54" s="13" t="s">
        <v>22</v>
      </c>
      <c r="F54" s="7">
        <v>43661</v>
      </c>
      <c r="G54" s="15"/>
      <c r="H54" s="16">
        <f t="shared" si="8"/>
        <v>23</v>
      </c>
      <c r="I54" s="16">
        <f t="shared" si="10"/>
        <v>8</v>
      </c>
      <c r="J54" s="122">
        <f t="shared" si="9"/>
        <v>2019</v>
      </c>
      <c r="K54" s="64">
        <f t="shared" si="3"/>
        <v>43760</v>
      </c>
      <c r="L54" s="6"/>
      <c r="M54" s="6"/>
      <c r="O54" s="208">
        <v>43699</v>
      </c>
      <c r="P54" s="209">
        <f t="shared" si="4"/>
        <v>14000</v>
      </c>
      <c r="Q54" s="209">
        <f>+SUMIF('A DEPOSITAR'!$D$2:$D$998,(O54-2),'A DEPOSITAR'!$H$2:$H$998)</f>
        <v>5847.25</v>
      </c>
      <c r="R54" s="210">
        <f t="shared" si="5"/>
        <v>-8152.75</v>
      </c>
      <c r="S54" s="210">
        <f t="shared" si="7"/>
        <v>-42345.100000000006</v>
      </c>
      <c r="T54" s="209">
        <f t="shared" si="6"/>
        <v>0</v>
      </c>
      <c r="U54" s="209">
        <f>+SUMIFS('A DEPOSITAR'!$H$2:$H$998,'A DEPOSITAR'!$D$2:$D$998,(O54-2),'A DEPOSITAR'!$I$2:$I$998,"A Depositar")</f>
        <v>0</v>
      </c>
      <c r="V54" s="6"/>
      <c r="W54" s="6"/>
      <c r="X54" s="6"/>
      <c r="Y54" s="6"/>
      <c r="Z54" s="6"/>
    </row>
    <row r="55" spans="1:26" ht="12.75" x14ac:dyDescent="0.2">
      <c r="A55" s="2">
        <v>43707</v>
      </c>
      <c r="B55" s="13" t="s">
        <v>99</v>
      </c>
      <c r="C55" s="13">
        <v>68230288</v>
      </c>
      <c r="D55" s="11">
        <v>4800</v>
      </c>
      <c r="E55" s="13" t="s">
        <v>22</v>
      </c>
      <c r="F55" s="7">
        <v>43661</v>
      </c>
      <c r="G55" s="15"/>
      <c r="H55" s="16">
        <f t="shared" si="8"/>
        <v>30</v>
      </c>
      <c r="I55" s="16">
        <f t="shared" si="10"/>
        <v>8</v>
      </c>
      <c r="J55" s="122">
        <f t="shared" si="9"/>
        <v>2019</v>
      </c>
      <c r="K55" s="64">
        <f t="shared" si="3"/>
        <v>43767</v>
      </c>
      <c r="L55" s="6"/>
      <c r="M55" s="6"/>
      <c r="O55" s="208">
        <v>43700</v>
      </c>
      <c r="P55" s="209">
        <f t="shared" si="4"/>
        <v>33000.619999999995</v>
      </c>
      <c r="Q55" s="209">
        <f>+SUMIF('A DEPOSITAR'!$D$2:$D$998,(O55-2),'A DEPOSITAR'!$H$2:$H$998)</f>
        <v>0</v>
      </c>
      <c r="R55" s="210">
        <f t="shared" si="5"/>
        <v>-33000.619999999995</v>
      </c>
      <c r="S55" s="210">
        <f t="shared" si="7"/>
        <v>-75345.72</v>
      </c>
      <c r="T55" s="209">
        <f t="shared" si="6"/>
        <v>0</v>
      </c>
      <c r="U55" s="209">
        <f>+SUMIFS('A DEPOSITAR'!$H$2:$H$998,'A DEPOSITAR'!$D$2:$D$998,(O55-2),'A DEPOSITAR'!$I$2:$I$998,"A Depositar")</f>
        <v>0</v>
      </c>
      <c r="V55" s="6"/>
      <c r="W55" s="6"/>
      <c r="X55" s="6"/>
      <c r="Y55" s="6"/>
      <c r="Z55" s="6"/>
    </row>
    <row r="56" spans="1:26" ht="12.75" x14ac:dyDescent="0.2">
      <c r="A56" s="2">
        <v>43685</v>
      </c>
      <c r="B56" s="13" t="s">
        <v>103</v>
      </c>
      <c r="C56" s="13">
        <v>68230289</v>
      </c>
      <c r="D56" s="11">
        <v>8000</v>
      </c>
      <c r="E56" s="13" t="s">
        <v>22</v>
      </c>
      <c r="F56" s="7">
        <v>43661</v>
      </c>
      <c r="G56" s="15"/>
      <c r="H56" s="16">
        <f t="shared" si="8"/>
        <v>8</v>
      </c>
      <c r="I56" s="16">
        <f t="shared" si="10"/>
        <v>8</v>
      </c>
      <c r="J56" s="122">
        <f t="shared" si="9"/>
        <v>2019</v>
      </c>
      <c r="K56" s="64">
        <f t="shared" si="3"/>
        <v>43745</v>
      </c>
      <c r="L56" s="6"/>
      <c r="M56" s="6"/>
      <c r="O56" s="208">
        <v>43701</v>
      </c>
      <c r="P56" s="209">
        <f t="shared" si="4"/>
        <v>1700</v>
      </c>
      <c r="Q56" s="209">
        <f>+SUMIF('A DEPOSITAR'!$D$2:$D$998,(O56-2),'A DEPOSITAR'!$H$2:$H$998)</f>
        <v>15000</v>
      </c>
      <c r="R56" s="210">
        <f t="shared" si="5"/>
        <v>13300</v>
      </c>
      <c r="S56" s="210">
        <f t="shared" si="7"/>
        <v>-62045.72</v>
      </c>
      <c r="T56" s="209">
        <f t="shared" si="6"/>
        <v>0</v>
      </c>
      <c r="U56" s="209">
        <f>+SUMIFS('A DEPOSITAR'!$H$2:$H$998,'A DEPOSITAR'!$D$2:$D$998,(O56-2),'A DEPOSITAR'!$I$2:$I$998,"A Depositar")</f>
        <v>0</v>
      </c>
      <c r="V56" s="6"/>
      <c r="W56" s="6"/>
      <c r="X56" s="6"/>
      <c r="Y56" s="6"/>
      <c r="Z56" s="6"/>
    </row>
    <row r="57" spans="1:26" ht="12.75" x14ac:dyDescent="0.2">
      <c r="A57" s="2">
        <v>43715</v>
      </c>
      <c r="B57" s="13" t="s">
        <v>103</v>
      </c>
      <c r="C57" s="13">
        <v>68230290</v>
      </c>
      <c r="D57" s="11">
        <v>7300</v>
      </c>
      <c r="E57" s="13" t="s">
        <v>22</v>
      </c>
      <c r="F57" s="7">
        <v>43664</v>
      </c>
      <c r="G57" s="15"/>
      <c r="H57" s="16">
        <f t="shared" si="8"/>
        <v>7</v>
      </c>
      <c r="I57" s="16">
        <f t="shared" si="10"/>
        <v>9</v>
      </c>
      <c r="J57" s="122">
        <f t="shared" si="9"/>
        <v>2019</v>
      </c>
      <c r="K57" s="64">
        <f t="shared" si="3"/>
        <v>43775</v>
      </c>
      <c r="L57" s="6"/>
      <c r="M57" s="6"/>
      <c r="O57" s="208">
        <v>43702</v>
      </c>
      <c r="P57" s="209">
        <f t="shared" si="4"/>
        <v>0</v>
      </c>
      <c r="Q57" s="209">
        <f>+SUMIF('A DEPOSITAR'!$D$2:$D$998,(O57-2),'A DEPOSITAR'!$H$2:$H$998)</f>
        <v>0</v>
      </c>
      <c r="R57" s="210">
        <f t="shared" si="5"/>
        <v>0</v>
      </c>
      <c r="S57" s="210">
        <f t="shared" si="7"/>
        <v>-62045.72</v>
      </c>
      <c r="T57" s="209">
        <f t="shared" si="6"/>
        <v>0</v>
      </c>
      <c r="U57" s="209">
        <f>+SUMIFS('A DEPOSITAR'!$H$2:$H$998,'A DEPOSITAR'!$D$2:$D$998,(O57-2),'A DEPOSITAR'!$I$2:$I$998,"A Depositar")</f>
        <v>0</v>
      </c>
      <c r="V57" s="6"/>
      <c r="W57" s="6"/>
      <c r="X57" s="6"/>
      <c r="Y57" s="6"/>
      <c r="Z57" s="6"/>
    </row>
    <row r="58" spans="1:26" ht="12.75" x14ac:dyDescent="0.2">
      <c r="A58" s="2">
        <v>43724</v>
      </c>
      <c r="B58" s="13" t="s">
        <v>103</v>
      </c>
      <c r="C58" s="13">
        <v>68230291</v>
      </c>
      <c r="D58" s="11">
        <v>7480</v>
      </c>
      <c r="E58" s="13" t="s">
        <v>22</v>
      </c>
      <c r="F58" s="7">
        <v>43664</v>
      </c>
      <c r="G58" s="15"/>
      <c r="H58" s="16">
        <f t="shared" si="8"/>
        <v>16</v>
      </c>
      <c r="I58" s="16">
        <f t="shared" si="10"/>
        <v>9</v>
      </c>
      <c r="J58" s="122">
        <f t="shared" si="9"/>
        <v>2019</v>
      </c>
      <c r="K58" s="64">
        <f t="shared" si="3"/>
        <v>43784</v>
      </c>
      <c r="L58" s="6"/>
      <c r="M58" s="6"/>
      <c r="O58" s="208">
        <v>43703</v>
      </c>
      <c r="P58" s="209">
        <f t="shared" si="4"/>
        <v>14039.38</v>
      </c>
      <c r="Q58" s="209">
        <f>+SUMIF('A DEPOSITAR'!$D$2:$D$998,(O58-2),'A DEPOSITAR'!$H$2:$H$998)</f>
        <v>0</v>
      </c>
      <c r="R58" s="210">
        <f t="shared" si="5"/>
        <v>-14039.38</v>
      </c>
      <c r="S58" s="210">
        <f t="shared" si="7"/>
        <v>-76085.100000000006</v>
      </c>
      <c r="T58" s="209">
        <f t="shared" si="6"/>
        <v>0</v>
      </c>
      <c r="U58" s="209">
        <f>+SUMIFS('A DEPOSITAR'!$H$2:$H$998,'A DEPOSITAR'!$D$2:$D$998,(O58-2),'A DEPOSITAR'!$I$2:$I$998,"A Depositar")</f>
        <v>0</v>
      </c>
      <c r="V58" s="6"/>
      <c r="W58" s="6"/>
      <c r="X58" s="6"/>
      <c r="Y58" s="6"/>
      <c r="Z58" s="6"/>
    </row>
    <row r="59" spans="1:26" ht="12.75" x14ac:dyDescent="0.2">
      <c r="A59" s="2">
        <v>43729</v>
      </c>
      <c r="B59" s="13" t="s">
        <v>103</v>
      </c>
      <c r="C59" s="13">
        <v>68230292</v>
      </c>
      <c r="D59" s="11">
        <v>7600</v>
      </c>
      <c r="E59" s="13" t="s">
        <v>22</v>
      </c>
      <c r="F59" s="7">
        <v>43664</v>
      </c>
      <c r="G59" s="15"/>
      <c r="H59" s="16">
        <f t="shared" si="8"/>
        <v>21</v>
      </c>
      <c r="I59" s="16">
        <f t="shared" si="10"/>
        <v>9</v>
      </c>
      <c r="J59" s="122">
        <f t="shared" si="9"/>
        <v>2019</v>
      </c>
      <c r="K59" s="64">
        <f t="shared" si="3"/>
        <v>43789</v>
      </c>
      <c r="L59" s="6"/>
      <c r="M59" s="6"/>
      <c r="O59" s="208">
        <v>43704</v>
      </c>
      <c r="P59" s="209">
        <f t="shared" si="4"/>
        <v>0</v>
      </c>
      <c r="Q59" s="209">
        <f>+SUMIF('A DEPOSITAR'!$D$2:$D$998,(O59-2),'A DEPOSITAR'!$H$2:$H$998)</f>
        <v>0</v>
      </c>
      <c r="R59" s="210">
        <f t="shared" si="5"/>
        <v>0</v>
      </c>
      <c r="S59" s="210">
        <f t="shared" si="7"/>
        <v>-76085.100000000006</v>
      </c>
      <c r="T59" s="209">
        <f t="shared" si="6"/>
        <v>0</v>
      </c>
      <c r="U59" s="209">
        <f>+SUMIFS('A DEPOSITAR'!$H$2:$H$998,'A DEPOSITAR'!$D$2:$D$998,(O59-2),'A DEPOSITAR'!$I$2:$I$998,"A Depositar")</f>
        <v>0</v>
      </c>
      <c r="V59" s="6"/>
      <c r="W59" s="6"/>
      <c r="X59" s="6"/>
      <c r="Y59" s="6"/>
      <c r="Z59" s="6"/>
    </row>
    <row r="60" spans="1:26" ht="12.75" x14ac:dyDescent="0.2">
      <c r="A60" s="2">
        <v>43738</v>
      </c>
      <c r="B60" s="13" t="s">
        <v>103</v>
      </c>
      <c r="C60" s="13">
        <v>68230293</v>
      </c>
      <c r="D60" s="11">
        <v>7700</v>
      </c>
      <c r="E60" s="13" t="s">
        <v>22</v>
      </c>
      <c r="F60" s="7">
        <v>43664</v>
      </c>
      <c r="G60" s="15"/>
      <c r="H60" s="16">
        <f t="shared" si="8"/>
        <v>30</v>
      </c>
      <c r="I60" s="16">
        <f t="shared" si="10"/>
        <v>9</v>
      </c>
      <c r="J60" s="122">
        <f t="shared" si="9"/>
        <v>2019</v>
      </c>
      <c r="K60" s="64">
        <f t="shared" si="3"/>
        <v>43798</v>
      </c>
      <c r="L60" s="6"/>
      <c r="M60" s="6"/>
      <c r="O60" s="208">
        <v>43705</v>
      </c>
      <c r="P60" s="209">
        <f t="shared" si="4"/>
        <v>0</v>
      </c>
      <c r="Q60" s="209">
        <f>+SUMIF('A DEPOSITAR'!$D$2:$D$998,(O60-2),'A DEPOSITAR'!$H$2:$H$998)</f>
        <v>0</v>
      </c>
      <c r="R60" s="210">
        <f t="shared" si="5"/>
        <v>0</v>
      </c>
      <c r="S60" s="210">
        <f t="shared" si="7"/>
        <v>-76085.100000000006</v>
      </c>
      <c r="T60" s="209">
        <f t="shared" si="6"/>
        <v>0</v>
      </c>
      <c r="U60" s="209">
        <f>+SUMIFS('A DEPOSITAR'!$H$2:$H$998,'A DEPOSITAR'!$D$2:$D$998,(O60-2),'A DEPOSITAR'!$I$2:$I$998,"A Depositar")</f>
        <v>0</v>
      </c>
      <c r="V60" s="6"/>
      <c r="W60" s="6"/>
      <c r="X60" s="6"/>
      <c r="Y60" s="6"/>
      <c r="Z60" s="6"/>
    </row>
    <row r="61" spans="1:26" ht="12.75" x14ac:dyDescent="0.2">
      <c r="A61" s="2">
        <v>43735</v>
      </c>
      <c r="B61" s="13" t="s">
        <v>103</v>
      </c>
      <c r="C61" s="13">
        <v>68230294</v>
      </c>
      <c r="D61" s="11">
        <v>7800</v>
      </c>
      <c r="E61" s="13" t="s">
        <v>22</v>
      </c>
      <c r="F61" s="7">
        <v>43664</v>
      </c>
      <c r="G61" s="15"/>
      <c r="H61" s="16">
        <f t="shared" si="8"/>
        <v>27</v>
      </c>
      <c r="I61" s="16">
        <f t="shared" si="10"/>
        <v>9</v>
      </c>
      <c r="J61" s="122">
        <f t="shared" si="9"/>
        <v>2019</v>
      </c>
      <c r="K61" s="64">
        <f t="shared" si="3"/>
        <v>43795</v>
      </c>
      <c r="L61" s="6"/>
      <c r="M61" s="6"/>
      <c r="O61" s="208">
        <v>43706</v>
      </c>
      <c r="P61" s="209">
        <f t="shared" si="4"/>
        <v>7000</v>
      </c>
      <c r="Q61" s="209">
        <f>+SUMIF('A DEPOSITAR'!$D$2:$D$998,(O61-2),'A DEPOSITAR'!$H$2:$H$998)</f>
        <v>0</v>
      </c>
      <c r="R61" s="210">
        <f t="shared" si="5"/>
        <v>-7000</v>
      </c>
      <c r="S61" s="210">
        <f t="shared" si="7"/>
        <v>-83085.100000000006</v>
      </c>
      <c r="T61" s="209">
        <f t="shared" si="6"/>
        <v>0</v>
      </c>
      <c r="U61" s="209">
        <f>+SUMIFS('A DEPOSITAR'!$H$2:$H$998,'A DEPOSITAR'!$D$2:$D$998,(O61-2),'A DEPOSITAR'!$I$2:$I$998,"A Depositar")</f>
        <v>0</v>
      </c>
      <c r="V61" s="6"/>
      <c r="W61" s="6"/>
      <c r="X61" s="6"/>
      <c r="Y61" s="6"/>
      <c r="Z61" s="6"/>
    </row>
    <row r="62" spans="1:26" ht="12.75" x14ac:dyDescent="0.2">
      <c r="A62" s="2">
        <v>43760</v>
      </c>
      <c r="B62" s="13" t="s">
        <v>27</v>
      </c>
      <c r="C62" s="13">
        <v>68230295</v>
      </c>
      <c r="D62" s="11">
        <v>3000</v>
      </c>
      <c r="E62" s="13" t="s">
        <v>22</v>
      </c>
      <c r="F62" s="7">
        <v>43666</v>
      </c>
      <c r="G62" s="15"/>
      <c r="H62" s="16">
        <f t="shared" si="8"/>
        <v>22</v>
      </c>
      <c r="I62" s="16">
        <f t="shared" si="10"/>
        <v>10</v>
      </c>
      <c r="J62" s="122">
        <f t="shared" si="9"/>
        <v>2019</v>
      </c>
      <c r="K62" s="64">
        <f t="shared" si="3"/>
        <v>43820</v>
      </c>
      <c r="L62" s="6"/>
      <c r="M62" s="6"/>
      <c r="O62" s="208">
        <v>43707</v>
      </c>
      <c r="P62" s="209">
        <f t="shared" si="4"/>
        <v>7637</v>
      </c>
      <c r="Q62" s="209">
        <f>+SUMIF('A DEPOSITAR'!$D$2:$D$998,(O62-2),'A DEPOSITAR'!$H$2:$H$998)</f>
        <v>0</v>
      </c>
      <c r="R62" s="210">
        <f t="shared" si="5"/>
        <v>-7637</v>
      </c>
      <c r="S62" s="210">
        <f t="shared" si="7"/>
        <v>-90722.1</v>
      </c>
      <c r="T62" s="209">
        <f t="shared" si="6"/>
        <v>0</v>
      </c>
      <c r="U62" s="209">
        <f>+SUMIFS('A DEPOSITAR'!$H$2:$H$998,'A DEPOSITAR'!$D$2:$D$998,(O62-2),'A DEPOSITAR'!$I$2:$I$998,"A Depositar")</f>
        <v>0</v>
      </c>
      <c r="V62" s="6"/>
      <c r="W62" s="6"/>
      <c r="X62" s="6"/>
      <c r="Y62" s="6"/>
      <c r="Z62" s="6"/>
    </row>
    <row r="63" spans="1:26" ht="12.75" x14ac:dyDescent="0.2">
      <c r="A63" s="2">
        <v>43693</v>
      </c>
      <c r="B63" s="13" t="s">
        <v>110</v>
      </c>
      <c r="C63" s="13">
        <v>68230296</v>
      </c>
      <c r="D63" s="11">
        <v>2815</v>
      </c>
      <c r="E63" s="13" t="s">
        <v>22</v>
      </c>
      <c r="F63" s="7">
        <v>43671</v>
      </c>
      <c r="G63" s="15"/>
      <c r="H63" s="16">
        <f t="shared" si="8"/>
        <v>16</v>
      </c>
      <c r="I63" s="16">
        <f t="shared" si="10"/>
        <v>8</v>
      </c>
      <c r="J63" s="122">
        <f t="shared" si="9"/>
        <v>2019</v>
      </c>
      <c r="K63" s="64">
        <f t="shared" si="3"/>
        <v>43753</v>
      </c>
      <c r="L63" s="6"/>
      <c r="M63" s="6"/>
      <c r="O63" s="208">
        <v>43708</v>
      </c>
      <c r="P63" s="209">
        <f t="shared" si="4"/>
        <v>0</v>
      </c>
      <c r="Q63" s="209">
        <f>+SUMIF('A DEPOSITAR'!$D$2:$D$998,(O63-2),'A DEPOSITAR'!$H$2:$H$998)</f>
        <v>6000</v>
      </c>
      <c r="R63" s="210">
        <f t="shared" si="5"/>
        <v>6000</v>
      </c>
      <c r="S63" s="210">
        <f t="shared" si="7"/>
        <v>-84722.1</v>
      </c>
      <c r="T63" s="209">
        <f t="shared" si="6"/>
        <v>0</v>
      </c>
      <c r="U63" s="209">
        <f>+SUMIFS('A DEPOSITAR'!$H$2:$H$998,'A DEPOSITAR'!$D$2:$D$998,(O63-2),'A DEPOSITAR'!$I$2:$I$998,"A Depositar")</f>
        <v>0</v>
      </c>
      <c r="V63" s="6"/>
      <c r="W63" s="6"/>
      <c r="X63" s="6"/>
      <c r="Y63" s="6"/>
      <c r="Z63" s="6"/>
    </row>
    <row r="64" spans="1:26" ht="12.75" x14ac:dyDescent="0.2">
      <c r="A64" s="2">
        <v>43707</v>
      </c>
      <c r="B64" s="13" t="s">
        <v>110</v>
      </c>
      <c r="C64" s="13">
        <v>68230297</v>
      </c>
      <c r="D64" s="11">
        <v>2837</v>
      </c>
      <c r="E64" s="13" t="s">
        <v>22</v>
      </c>
      <c r="F64" s="7">
        <v>43671</v>
      </c>
      <c r="G64" s="15"/>
      <c r="H64" s="16">
        <f t="shared" si="8"/>
        <v>30</v>
      </c>
      <c r="I64" s="16">
        <f t="shared" si="10"/>
        <v>8</v>
      </c>
      <c r="J64" s="122">
        <f t="shared" si="9"/>
        <v>2019</v>
      </c>
      <c r="K64" s="64">
        <f t="shared" si="3"/>
        <v>43767</v>
      </c>
      <c r="L64" s="6"/>
      <c r="M64" s="6"/>
      <c r="O64" s="208">
        <v>43709</v>
      </c>
      <c r="P64" s="209">
        <f t="shared" si="4"/>
        <v>0</v>
      </c>
      <c r="Q64" s="209">
        <f>+SUMIF('A DEPOSITAR'!$D$2:$D$998,(O64-2),'A DEPOSITAR'!$H$2:$H$998)</f>
        <v>14500</v>
      </c>
      <c r="R64" s="210">
        <f t="shared" si="5"/>
        <v>14500</v>
      </c>
      <c r="S64" s="210">
        <f t="shared" si="7"/>
        <v>-70222.100000000006</v>
      </c>
      <c r="T64" s="209">
        <f t="shared" si="6"/>
        <v>0</v>
      </c>
      <c r="U64" s="209">
        <f>+SUMIFS('A DEPOSITAR'!$H$2:$H$998,'A DEPOSITAR'!$D$2:$D$998,(O64-2),'A DEPOSITAR'!$I$2:$I$998,"A Depositar")</f>
        <v>0</v>
      </c>
      <c r="V64" s="6"/>
      <c r="W64" s="6"/>
      <c r="X64" s="6"/>
      <c r="Y64" s="6"/>
      <c r="Z64" s="6"/>
    </row>
    <row r="65" spans="1:26" ht="12.75" x14ac:dyDescent="0.2">
      <c r="A65" s="31">
        <v>43792</v>
      </c>
      <c r="B65" s="29" t="s">
        <v>271</v>
      </c>
      <c r="C65" s="29">
        <v>68230298</v>
      </c>
      <c r="D65" s="30">
        <v>8600</v>
      </c>
      <c r="E65" s="29" t="s">
        <v>22</v>
      </c>
      <c r="F65" s="7">
        <v>43671</v>
      </c>
      <c r="G65" s="18"/>
      <c r="H65" s="16">
        <f t="shared" si="8"/>
        <v>23</v>
      </c>
      <c r="I65" s="16">
        <f t="shared" si="10"/>
        <v>11</v>
      </c>
      <c r="J65" s="122">
        <f t="shared" si="9"/>
        <v>2019</v>
      </c>
      <c r="K65" s="64">
        <f t="shared" si="3"/>
        <v>43852</v>
      </c>
      <c r="L65" s="6"/>
      <c r="M65" s="6"/>
      <c r="O65" s="208">
        <v>43710</v>
      </c>
      <c r="P65" s="209">
        <f t="shared" si="4"/>
        <v>0</v>
      </c>
      <c r="Q65" s="209">
        <f>+SUMIF('A DEPOSITAR'!$D$2:$D$998,(O65-2),'A DEPOSITAR'!$H$2:$H$998)</f>
        <v>33150</v>
      </c>
      <c r="R65" s="210">
        <f t="shared" si="5"/>
        <v>33150</v>
      </c>
      <c r="S65" s="210">
        <f t="shared" si="7"/>
        <v>-37072.100000000006</v>
      </c>
      <c r="T65" s="209">
        <f t="shared" si="6"/>
        <v>0</v>
      </c>
      <c r="U65" s="209">
        <f>+SUMIFS('A DEPOSITAR'!$H$2:$H$998,'A DEPOSITAR'!$D$2:$D$998,(O65-2),'A DEPOSITAR'!$I$2:$I$998,"A Depositar")</f>
        <v>0</v>
      </c>
      <c r="V65" s="6"/>
      <c r="W65" s="6"/>
      <c r="X65" s="6"/>
      <c r="Y65" s="6"/>
      <c r="Z65" s="6"/>
    </row>
    <row r="66" spans="1:26" ht="12.75" x14ac:dyDescent="0.2">
      <c r="A66" s="31">
        <v>43792</v>
      </c>
      <c r="B66" s="29" t="s">
        <v>271</v>
      </c>
      <c r="C66" s="29">
        <v>68230299</v>
      </c>
      <c r="D66" s="30">
        <v>8700</v>
      </c>
      <c r="E66" s="29" t="s">
        <v>22</v>
      </c>
      <c r="F66" s="7">
        <v>43671</v>
      </c>
      <c r="G66" s="18"/>
      <c r="H66" s="16">
        <f t="shared" ref="H66:H97" si="11">DAY(A66)</f>
        <v>23</v>
      </c>
      <c r="I66" s="16">
        <f t="shared" si="10"/>
        <v>11</v>
      </c>
      <c r="J66" s="122">
        <f t="shared" ref="J66:J97" si="12">YEAR(A66)</f>
        <v>2019</v>
      </c>
      <c r="K66" s="64">
        <f t="shared" ref="K66:K129" si="13">A66+60</f>
        <v>43852</v>
      </c>
      <c r="L66" s="6"/>
      <c r="M66" s="6"/>
      <c r="O66" s="208">
        <v>43711</v>
      </c>
      <c r="P66" s="209">
        <f t="shared" si="4"/>
        <v>0</v>
      </c>
      <c r="Q66" s="209">
        <f>+SUMIF('A DEPOSITAR'!$D$2:$D$998,(O66-2),'A DEPOSITAR'!$H$2:$H$998)</f>
        <v>0</v>
      </c>
      <c r="R66" s="210">
        <f t="shared" si="5"/>
        <v>0</v>
      </c>
      <c r="S66" s="210">
        <f t="shared" si="7"/>
        <v>-37072.100000000006</v>
      </c>
      <c r="T66" s="209">
        <f t="shared" si="6"/>
        <v>0</v>
      </c>
      <c r="U66" s="209">
        <f>+SUMIFS('A DEPOSITAR'!$H$2:$H$998,'A DEPOSITAR'!$D$2:$D$998,(O66-2),'A DEPOSITAR'!$I$2:$I$998,"A Depositar")</f>
        <v>0</v>
      </c>
      <c r="V66" s="6"/>
      <c r="W66" s="6"/>
      <c r="X66" s="6"/>
      <c r="Y66" s="6"/>
      <c r="Z66" s="6"/>
    </row>
    <row r="67" spans="1:26" ht="12.75" x14ac:dyDescent="0.2">
      <c r="A67" s="31">
        <v>43807</v>
      </c>
      <c r="B67" s="29" t="s">
        <v>222</v>
      </c>
      <c r="C67" s="29">
        <v>68230300</v>
      </c>
      <c r="D67" s="30">
        <v>8800</v>
      </c>
      <c r="E67" s="29" t="s">
        <v>22</v>
      </c>
      <c r="F67" s="7">
        <v>43671</v>
      </c>
      <c r="G67" s="18"/>
      <c r="H67" s="16">
        <f t="shared" si="11"/>
        <v>8</v>
      </c>
      <c r="I67" s="16">
        <f t="shared" si="10"/>
        <v>12</v>
      </c>
      <c r="J67" s="122">
        <f t="shared" si="12"/>
        <v>2019</v>
      </c>
      <c r="K67" s="64">
        <f t="shared" si="13"/>
        <v>43867</v>
      </c>
      <c r="L67" s="6"/>
      <c r="M67" s="6"/>
      <c r="O67" s="208">
        <v>43712</v>
      </c>
      <c r="P67" s="209">
        <f t="shared" ref="P67:P130" si="14">+SUMIF($A$2:$A$998,O67,$D$2:$D$998)</f>
        <v>9000</v>
      </c>
      <c r="Q67" s="209">
        <f>+SUMIF('A DEPOSITAR'!$D$2:$D$998,(O67-2),'A DEPOSITAR'!$H$2:$H$998)</f>
        <v>0</v>
      </c>
      <c r="R67" s="210">
        <f t="shared" ref="R67:R130" si="15">+Q67-P67</f>
        <v>-9000</v>
      </c>
      <c r="S67" s="210">
        <f t="shared" si="7"/>
        <v>-46072.100000000006</v>
      </c>
      <c r="T67" s="209">
        <f t="shared" ref="T67:T130" si="16">+SUMIFS($D$2:$D$998,$A$2:$A$998,O67,$E$2:$E$998,"A Pagar")</f>
        <v>0</v>
      </c>
      <c r="U67" s="209">
        <f>+SUMIFS('A DEPOSITAR'!$H$2:$H$998,'A DEPOSITAR'!$D$2:$D$998,(O67-2),'A DEPOSITAR'!$I$2:$I$998,"A Depositar")</f>
        <v>0</v>
      </c>
      <c r="V67" s="6"/>
      <c r="W67" s="6"/>
      <c r="X67" s="6"/>
      <c r="Y67" s="6"/>
      <c r="Z67" s="6"/>
    </row>
    <row r="68" spans="1:26" ht="12.75" x14ac:dyDescent="0.2">
      <c r="A68" s="31">
        <v>43799</v>
      </c>
      <c r="B68" s="29" t="s">
        <v>132</v>
      </c>
      <c r="C68" s="29">
        <v>70455976</v>
      </c>
      <c r="D68" s="30">
        <v>4600</v>
      </c>
      <c r="E68" s="29" t="s">
        <v>22</v>
      </c>
      <c r="F68" s="7">
        <v>43682</v>
      </c>
      <c r="G68" s="18"/>
      <c r="H68" s="16">
        <f t="shared" si="11"/>
        <v>30</v>
      </c>
      <c r="I68" s="16">
        <f t="shared" si="10"/>
        <v>11</v>
      </c>
      <c r="J68" s="122">
        <f t="shared" si="12"/>
        <v>2019</v>
      </c>
      <c r="K68" s="64">
        <f t="shared" si="13"/>
        <v>43859</v>
      </c>
      <c r="L68" s="6"/>
      <c r="M68" s="6"/>
      <c r="O68" s="208">
        <v>43713</v>
      </c>
      <c r="P68" s="209">
        <f t="shared" si="14"/>
        <v>0</v>
      </c>
      <c r="Q68" s="209">
        <f>+SUMIF('A DEPOSITAR'!$D$2:$D$998,(O68-2),'A DEPOSITAR'!$H$2:$H$998)</f>
        <v>0</v>
      </c>
      <c r="R68" s="210">
        <f t="shared" si="15"/>
        <v>0</v>
      </c>
      <c r="S68" s="210">
        <f t="shared" ref="S68:S131" si="17">+S67+R68</f>
        <v>-46072.100000000006</v>
      </c>
      <c r="T68" s="209">
        <f t="shared" si="16"/>
        <v>0</v>
      </c>
      <c r="U68" s="209">
        <f>+SUMIFS('A DEPOSITAR'!$H$2:$H$998,'A DEPOSITAR'!$D$2:$D$998,(O68-2),'A DEPOSITAR'!$I$2:$I$998,"A Depositar")</f>
        <v>0</v>
      </c>
      <c r="V68" s="6"/>
      <c r="W68" s="6"/>
      <c r="X68" s="6"/>
      <c r="Y68" s="6"/>
      <c r="Z68" s="6"/>
    </row>
    <row r="69" spans="1:26" ht="12.75" x14ac:dyDescent="0.2">
      <c r="A69" s="31">
        <v>43791</v>
      </c>
      <c r="B69" s="29" t="s">
        <v>132</v>
      </c>
      <c r="C69" s="29">
        <v>70455977</v>
      </c>
      <c r="D69" s="30">
        <v>4700</v>
      </c>
      <c r="E69" s="29" t="s">
        <v>22</v>
      </c>
      <c r="F69" s="7">
        <v>43682</v>
      </c>
      <c r="G69" s="18"/>
      <c r="H69" s="16">
        <f t="shared" si="11"/>
        <v>22</v>
      </c>
      <c r="I69" s="16">
        <f t="shared" si="10"/>
        <v>11</v>
      </c>
      <c r="J69" s="122">
        <f t="shared" si="12"/>
        <v>2019</v>
      </c>
      <c r="K69" s="64">
        <f t="shared" si="13"/>
        <v>43851</v>
      </c>
      <c r="L69" s="6"/>
      <c r="M69" s="6"/>
      <c r="O69" s="208">
        <v>43714</v>
      </c>
      <c r="P69" s="209">
        <f t="shared" si="14"/>
        <v>0</v>
      </c>
      <c r="Q69" s="209">
        <f>+SUMIF('A DEPOSITAR'!$D$2:$D$998,(O69-2),'A DEPOSITAR'!$H$2:$H$998)</f>
        <v>0</v>
      </c>
      <c r="R69" s="210">
        <f t="shared" si="15"/>
        <v>0</v>
      </c>
      <c r="S69" s="210">
        <f t="shared" si="17"/>
        <v>-46072.100000000006</v>
      </c>
      <c r="T69" s="209">
        <f t="shared" si="16"/>
        <v>0</v>
      </c>
      <c r="U69" s="209">
        <f>+SUMIFS('A DEPOSITAR'!$H$2:$H$998,'A DEPOSITAR'!$D$2:$D$998,(O69-2),'A DEPOSITAR'!$I$2:$I$998,"A Depositar")</f>
        <v>0</v>
      </c>
      <c r="V69" s="6"/>
      <c r="W69" s="6"/>
      <c r="X69" s="6"/>
      <c r="Y69" s="6"/>
      <c r="Z69" s="6"/>
    </row>
    <row r="70" spans="1:26" ht="12.75" x14ac:dyDescent="0.2">
      <c r="A70" s="31">
        <v>43806</v>
      </c>
      <c r="B70" s="29" t="s">
        <v>132</v>
      </c>
      <c r="C70" s="29">
        <v>70455978</v>
      </c>
      <c r="D70" s="30">
        <v>4627</v>
      </c>
      <c r="E70" s="29" t="s">
        <v>22</v>
      </c>
      <c r="F70" s="7">
        <v>43682</v>
      </c>
      <c r="G70" s="18"/>
      <c r="H70" s="16">
        <f t="shared" si="11"/>
        <v>7</v>
      </c>
      <c r="I70" s="16">
        <f t="shared" si="10"/>
        <v>12</v>
      </c>
      <c r="J70" s="122">
        <f t="shared" si="12"/>
        <v>2019</v>
      </c>
      <c r="K70" s="64">
        <f t="shared" si="13"/>
        <v>43866</v>
      </c>
      <c r="L70" s="6"/>
      <c r="M70" s="6"/>
      <c r="O70" s="208">
        <v>43715</v>
      </c>
      <c r="P70" s="209">
        <f t="shared" si="14"/>
        <v>17910</v>
      </c>
      <c r="Q70" s="209">
        <f>+SUMIF('A DEPOSITAR'!$D$2:$D$998,(O70-2),'A DEPOSITAR'!$H$2:$H$998)</f>
        <v>0</v>
      </c>
      <c r="R70" s="210">
        <f t="shared" si="15"/>
        <v>-17910</v>
      </c>
      <c r="S70" s="210">
        <f t="shared" si="17"/>
        <v>-63982.100000000006</v>
      </c>
      <c r="T70" s="209">
        <f t="shared" si="16"/>
        <v>0</v>
      </c>
      <c r="U70" s="209">
        <f>+SUMIFS('A DEPOSITAR'!$H$2:$H$998,'A DEPOSITAR'!$D$2:$D$998,(O70-2),'A DEPOSITAR'!$I$2:$I$998,"A Depositar")</f>
        <v>0</v>
      </c>
      <c r="V70" s="6"/>
      <c r="W70" s="6"/>
      <c r="X70" s="6"/>
      <c r="Y70" s="6"/>
      <c r="Z70" s="6"/>
    </row>
    <row r="71" spans="1:26" ht="12.75" x14ac:dyDescent="0.2">
      <c r="A71" s="31">
        <v>43730</v>
      </c>
      <c r="B71" s="29" t="s">
        <v>60</v>
      </c>
      <c r="C71" s="29">
        <v>70455980</v>
      </c>
      <c r="D71" s="30">
        <v>2361.25</v>
      </c>
      <c r="E71" s="29" t="s">
        <v>22</v>
      </c>
      <c r="F71" s="7">
        <v>43689</v>
      </c>
      <c r="G71" s="18"/>
      <c r="H71" s="16">
        <f t="shared" si="11"/>
        <v>22</v>
      </c>
      <c r="I71" s="16">
        <f t="shared" si="10"/>
        <v>9</v>
      </c>
      <c r="J71" s="122">
        <f t="shared" si="12"/>
        <v>2019</v>
      </c>
      <c r="K71" s="64">
        <f t="shared" si="13"/>
        <v>43790</v>
      </c>
      <c r="L71" s="6"/>
      <c r="M71" s="6"/>
      <c r="O71" s="208">
        <v>43716</v>
      </c>
      <c r="P71" s="209">
        <f t="shared" si="14"/>
        <v>28800</v>
      </c>
      <c r="Q71" s="209">
        <f>+SUMIF('A DEPOSITAR'!$D$2:$D$998,(O71-2),'A DEPOSITAR'!$H$2:$H$998)</f>
        <v>0</v>
      </c>
      <c r="R71" s="210">
        <f t="shared" si="15"/>
        <v>-28800</v>
      </c>
      <c r="S71" s="210">
        <f t="shared" si="17"/>
        <v>-92782.1</v>
      </c>
      <c r="T71" s="209">
        <f t="shared" si="16"/>
        <v>0</v>
      </c>
      <c r="U71" s="209">
        <f>+SUMIFS('A DEPOSITAR'!$H$2:$H$998,'A DEPOSITAR'!$D$2:$D$998,(O71-2),'A DEPOSITAR'!$I$2:$I$998,"A Depositar")</f>
        <v>0</v>
      </c>
      <c r="V71" s="6"/>
      <c r="W71" s="6"/>
      <c r="X71" s="6"/>
      <c r="Y71" s="6"/>
      <c r="Z71" s="6"/>
    </row>
    <row r="72" spans="1:26" ht="12.75" x14ac:dyDescent="0.2">
      <c r="A72" s="31">
        <v>43715</v>
      </c>
      <c r="B72" s="29" t="s">
        <v>117</v>
      </c>
      <c r="C72" s="29">
        <v>70455981</v>
      </c>
      <c r="D72" s="30">
        <v>4600</v>
      </c>
      <c r="E72" s="29" t="s">
        <v>22</v>
      </c>
      <c r="F72" s="7">
        <v>43689</v>
      </c>
      <c r="G72" s="18"/>
      <c r="H72" s="16">
        <f t="shared" si="11"/>
        <v>7</v>
      </c>
      <c r="I72" s="16">
        <f t="shared" si="10"/>
        <v>9</v>
      </c>
      <c r="J72" s="122">
        <f t="shared" si="12"/>
        <v>2019</v>
      </c>
      <c r="K72" s="64">
        <f t="shared" si="13"/>
        <v>43775</v>
      </c>
      <c r="L72" s="6"/>
      <c r="M72" s="6"/>
      <c r="O72" s="208">
        <v>43717</v>
      </c>
      <c r="P72" s="209">
        <f t="shared" si="14"/>
        <v>0</v>
      </c>
      <c r="Q72" s="209">
        <f>+SUMIF('A DEPOSITAR'!$D$2:$D$998,(O72-2),'A DEPOSITAR'!$H$2:$H$998)</f>
        <v>23460</v>
      </c>
      <c r="R72" s="210">
        <f t="shared" si="15"/>
        <v>23460</v>
      </c>
      <c r="S72" s="210">
        <f t="shared" si="17"/>
        <v>-69322.100000000006</v>
      </c>
      <c r="T72" s="209">
        <f t="shared" si="16"/>
        <v>0</v>
      </c>
      <c r="U72" s="209">
        <f>+SUMIFS('A DEPOSITAR'!$H$2:$H$998,'A DEPOSITAR'!$D$2:$D$998,(O72-2),'A DEPOSITAR'!$I$2:$I$998,"A Depositar")</f>
        <v>0</v>
      </c>
      <c r="V72" s="6"/>
      <c r="W72" s="6"/>
      <c r="X72" s="6"/>
      <c r="Y72" s="6"/>
      <c r="Z72" s="6"/>
    </row>
    <row r="73" spans="1:26" ht="12.75" x14ac:dyDescent="0.2">
      <c r="A73" s="31">
        <v>43730</v>
      </c>
      <c r="B73" s="29" t="s">
        <v>117</v>
      </c>
      <c r="C73" s="29">
        <v>70455982</v>
      </c>
      <c r="D73" s="30">
        <v>4700</v>
      </c>
      <c r="E73" s="29" t="s">
        <v>22</v>
      </c>
      <c r="F73" s="7">
        <v>43689</v>
      </c>
      <c r="G73" s="18"/>
      <c r="H73" s="16">
        <f t="shared" si="11"/>
        <v>22</v>
      </c>
      <c r="I73" s="16">
        <f t="shared" si="10"/>
        <v>9</v>
      </c>
      <c r="J73" s="122">
        <f t="shared" si="12"/>
        <v>2019</v>
      </c>
      <c r="K73" s="64">
        <f t="shared" si="13"/>
        <v>43790</v>
      </c>
      <c r="L73" s="6"/>
      <c r="M73" s="6"/>
      <c r="O73" s="208">
        <v>43718</v>
      </c>
      <c r="P73" s="209">
        <f t="shared" si="14"/>
        <v>8500</v>
      </c>
      <c r="Q73" s="209">
        <f>+SUMIF('A DEPOSITAR'!$D$2:$D$998,(O73-2),'A DEPOSITAR'!$H$2:$H$998)</f>
        <v>4500</v>
      </c>
      <c r="R73" s="210">
        <f t="shared" si="15"/>
        <v>-4000</v>
      </c>
      <c r="S73" s="210">
        <f t="shared" si="17"/>
        <v>-73322.100000000006</v>
      </c>
      <c r="T73" s="209">
        <f t="shared" si="16"/>
        <v>0</v>
      </c>
      <c r="U73" s="209">
        <f>+SUMIFS('A DEPOSITAR'!$H$2:$H$998,'A DEPOSITAR'!$D$2:$D$998,(O73-2),'A DEPOSITAR'!$I$2:$I$998,"A Depositar")</f>
        <v>0</v>
      </c>
      <c r="V73" s="6"/>
      <c r="W73" s="6"/>
      <c r="X73" s="6"/>
      <c r="Y73" s="6"/>
      <c r="Z73" s="6"/>
    </row>
    <row r="74" spans="1:26" ht="12.75" x14ac:dyDescent="0.2">
      <c r="A74" s="31">
        <v>43745</v>
      </c>
      <c r="B74" s="29" t="s">
        <v>117</v>
      </c>
      <c r="C74" s="29">
        <v>70455983</v>
      </c>
      <c r="D74" s="30">
        <v>4810</v>
      </c>
      <c r="E74" s="29" t="s">
        <v>22</v>
      </c>
      <c r="F74" s="7">
        <v>43689</v>
      </c>
      <c r="G74" s="18"/>
      <c r="H74" s="16">
        <f t="shared" si="11"/>
        <v>7</v>
      </c>
      <c r="I74" s="16">
        <f t="shared" si="10"/>
        <v>10</v>
      </c>
      <c r="J74" s="122">
        <f t="shared" si="12"/>
        <v>2019</v>
      </c>
      <c r="K74" s="64">
        <f t="shared" si="13"/>
        <v>43805</v>
      </c>
      <c r="L74" s="6"/>
      <c r="M74" s="6"/>
      <c r="O74" s="208">
        <v>43719</v>
      </c>
      <c r="P74" s="209">
        <f t="shared" si="14"/>
        <v>0</v>
      </c>
      <c r="Q74" s="209">
        <f>+SUMIF('A DEPOSITAR'!$D$2:$D$998,(O74-2),'A DEPOSITAR'!$H$2:$H$998)</f>
        <v>5000</v>
      </c>
      <c r="R74" s="210">
        <f t="shared" si="15"/>
        <v>5000</v>
      </c>
      <c r="S74" s="210">
        <f t="shared" si="17"/>
        <v>-68322.100000000006</v>
      </c>
      <c r="T74" s="209">
        <f t="shared" si="16"/>
        <v>0</v>
      </c>
      <c r="U74" s="209">
        <f>+SUMIFS('A DEPOSITAR'!$H$2:$H$998,'A DEPOSITAR'!$D$2:$D$998,(O74-2),'A DEPOSITAR'!$I$2:$I$998,"A Depositar")</f>
        <v>0</v>
      </c>
      <c r="V74" s="6"/>
      <c r="W74" s="6"/>
      <c r="X74" s="6"/>
      <c r="Y74" s="6"/>
      <c r="Z74" s="6"/>
    </row>
    <row r="75" spans="1:26" ht="12.75" x14ac:dyDescent="0.2">
      <c r="A75" s="31">
        <v>43760</v>
      </c>
      <c r="B75" s="29" t="s">
        <v>23</v>
      </c>
      <c r="C75" s="29">
        <v>70455984</v>
      </c>
      <c r="D75" s="30">
        <v>4800</v>
      </c>
      <c r="E75" s="29" t="s">
        <v>22</v>
      </c>
      <c r="F75" s="7">
        <v>43689</v>
      </c>
      <c r="G75" s="18"/>
      <c r="H75" s="16">
        <f t="shared" si="11"/>
        <v>22</v>
      </c>
      <c r="I75" s="16">
        <f t="shared" si="10"/>
        <v>10</v>
      </c>
      <c r="J75" s="122">
        <f t="shared" si="12"/>
        <v>2019</v>
      </c>
      <c r="K75" s="64">
        <f t="shared" si="13"/>
        <v>43820</v>
      </c>
      <c r="L75" s="6"/>
      <c r="M75" s="6"/>
      <c r="O75" s="208">
        <v>43720</v>
      </c>
      <c r="P75" s="209">
        <f t="shared" si="14"/>
        <v>0</v>
      </c>
      <c r="Q75" s="209">
        <f>+SUMIF('A DEPOSITAR'!$D$2:$D$998,(O75-2),'A DEPOSITAR'!$H$2:$H$998)</f>
        <v>30072.25</v>
      </c>
      <c r="R75" s="210">
        <f t="shared" si="15"/>
        <v>30072.25</v>
      </c>
      <c r="S75" s="210">
        <f t="shared" si="17"/>
        <v>-38249.850000000006</v>
      </c>
      <c r="T75" s="209">
        <f t="shared" si="16"/>
        <v>0</v>
      </c>
      <c r="U75" s="209">
        <f>+SUMIFS('A DEPOSITAR'!$H$2:$H$998,'A DEPOSITAR'!$D$2:$D$998,(O75-2),'A DEPOSITAR'!$I$2:$I$998,"A Depositar")</f>
        <v>0</v>
      </c>
      <c r="V75" s="6"/>
      <c r="W75" s="6"/>
      <c r="X75" s="6"/>
      <c r="Y75" s="6"/>
      <c r="Z75" s="6"/>
    </row>
    <row r="76" spans="1:26" ht="12.75" x14ac:dyDescent="0.2">
      <c r="A76" s="31">
        <v>43692</v>
      </c>
      <c r="B76" s="29" t="s">
        <v>122</v>
      </c>
      <c r="C76" s="29">
        <v>70455985</v>
      </c>
      <c r="D76" s="30">
        <v>15000</v>
      </c>
      <c r="E76" s="29" t="s">
        <v>22</v>
      </c>
      <c r="F76" s="7">
        <v>43689</v>
      </c>
      <c r="G76" s="18"/>
      <c r="H76" s="16">
        <f t="shared" si="11"/>
        <v>15</v>
      </c>
      <c r="I76" s="16">
        <f t="shared" si="10"/>
        <v>8</v>
      </c>
      <c r="J76" s="122">
        <f t="shared" si="12"/>
        <v>2019</v>
      </c>
      <c r="K76" s="64">
        <f t="shared" si="13"/>
        <v>43752</v>
      </c>
      <c r="L76" s="6"/>
      <c r="M76" s="6"/>
      <c r="O76" s="208">
        <v>43721</v>
      </c>
      <c r="P76" s="209">
        <f t="shared" si="14"/>
        <v>32651.93</v>
      </c>
      <c r="Q76" s="209">
        <f>+SUMIF('A DEPOSITAR'!$D$2:$D$998,(O76-2),'A DEPOSITAR'!$H$2:$H$998)</f>
        <v>20929.8</v>
      </c>
      <c r="R76" s="210">
        <f t="shared" si="15"/>
        <v>-11722.130000000001</v>
      </c>
      <c r="S76" s="210">
        <f t="shared" si="17"/>
        <v>-49971.98000000001</v>
      </c>
      <c r="T76" s="209">
        <f t="shared" si="16"/>
        <v>0</v>
      </c>
      <c r="U76" s="209">
        <f>+SUMIFS('A DEPOSITAR'!$H$2:$H$998,'A DEPOSITAR'!$D$2:$D$998,(O76-2),'A DEPOSITAR'!$I$2:$I$998,"A Depositar")</f>
        <v>0</v>
      </c>
      <c r="V76" s="6"/>
      <c r="W76" s="6"/>
      <c r="X76" s="6"/>
      <c r="Y76" s="6"/>
      <c r="Z76" s="6"/>
    </row>
    <row r="77" spans="1:26" ht="12.75" x14ac:dyDescent="0.2">
      <c r="A77" s="31">
        <v>43730</v>
      </c>
      <c r="B77" s="29" t="s">
        <v>23</v>
      </c>
      <c r="C77" s="29">
        <v>70455986</v>
      </c>
      <c r="D77" s="30">
        <v>3400</v>
      </c>
      <c r="E77" s="29" t="s">
        <v>22</v>
      </c>
      <c r="F77" s="7">
        <v>43699</v>
      </c>
      <c r="G77" s="18"/>
      <c r="H77" s="16">
        <f t="shared" si="11"/>
        <v>22</v>
      </c>
      <c r="I77" s="16">
        <f t="shared" si="10"/>
        <v>9</v>
      </c>
      <c r="J77" s="122">
        <f t="shared" si="12"/>
        <v>2019</v>
      </c>
      <c r="K77" s="64">
        <f t="shared" si="13"/>
        <v>43790</v>
      </c>
      <c r="L77" s="6"/>
      <c r="M77" s="6"/>
      <c r="O77" s="208">
        <v>43722</v>
      </c>
      <c r="P77" s="209">
        <f t="shared" si="14"/>
        <v>0</v>
      </c>
      <c r="Q77" s="209">
        <f>+SUMIF('A DEPOSITAR'!$D$2:$D$998,(O77-2),'A DEPOSITAR'!$H$2:$H$998)</f>
        <v>0</v>
      </c>
      <c r="R77" s="210">
        <f t="shared" si="15"/>
        <v>0</v>
      </c>
      <c r="S77" s="210">
        <f t="shared" si="17"/>
        <v>-49971.98000000001</v>
      </c>
      <c r="T77" s="209">
        <f t="shared" si="16"/>
        <v>0</v>
      </c>
      <c r="U77" s="209">
        <f>+SUMIFS('A DEPOSITAR'!$H$2:$H$998,'A DEPOSITAR'!$D$2:$D$998,(O77-2),'A DEPOSITAR'!$I$2:$I$998,"A Depositar")</f>
        <v>0</v>
      </c>
      <c r="V77" s="6"/>
      <c r="W77" s="6"/>
      <c r="X77" s="6"/>
      <c r="Y77" s="6"/>
      <c r="Z77" s="6"/>
    </row>
    <row r="78" spans="1:26" ht="12.75" x14ac:dyDescent="0.2">
      <c r="A78" s="31">
        <v>43730</v>
      </c>
      <c r="B78" s="29" t="s">
        <v>23</v>
      </c>
      <c r="C78" s="29">
        <v>70455987</v>
      </c>
      <c r="D78" s="30">
        <v>3500</v>
      </c>
      <c r="E78" s="29" t="s">
        <v>22</v>
      </c>
      <c r="F78" s="7">
        <v>43699</v>
      </c>
      <c r="G78" s="29"/>
      <c r="H78" s="16">
        <f t="shared" si="11"/>
        <v>22</v>
      </c>
      <c r="I78" s="16">
        <f t="shared" si="10"/>
        <v>9</v>
      </c>
      <c r="J78" s="122">
        <f t="shared" si="12"/>
        <v>2019</v>
      </c>
      <c r="K78" s="64">
        <f t="shared" si="13"/>
        <v>43790</v>
      </c>
      <c r="L78" s="6"/>
      <c r="M78" s="6"/>
      <c r="O78" s="208">
        <v>43723</v>
      </c>
      <c r="P78" s="209">
        <f t="shared" si="14"/>
        <v>0</v>
      </c>
      <c r="Q78" s="209">
        <f>+SUMIF('A DEPOSITAR'!$D$2:$D$998,(O78-2),'A DEPOSITAR'!$H$2:$H$998)</f>
        <v>14919.93</v>
      </c>
      <c r="R78" s="210">
        <f t="shared" si="15"/>
        <v>14919.93</v>
      </c>
      <c r="S78" s="210">
        <f t="shared" si="17"/>
        <v>-35052.05000000001</v>
      </c>
      <c r="T78" s="209">
        <f t="shared" si="16"/>
        <v>0</v>
      </c>
      <c r="U78" s="209">
        <f>+SUMIFS('A DEPOSITAR'!$H$2:$H$998,'A DEPOSITAR'!$D$2:$D$998,(O78-2),'A DEPOSITAR'!$I$2:$I$998,"A Depositar")</f>
        <v>0</v>
      </c>
      <c r="V78" s="6"/>
      <c r="W78" s="6"/>
      <c r="X78" s="6"/>
      <c r="Y78" s="6"/>
      <c r="Z78" s="6"/>
    </row>
    <row r="79" spans="1:26" ht="12.75" x14ac:dyDescent="0.2">
      <c r="A79" s="31">
        <v>43760</v>
      </c>
      <c r="B79" s="29" t="s">
        <v>23</v>
      </c>
      <c r="C79" s="29">
        <v>70455988</v>
      </c>
      <c r="D79" s="30">
        <v>3642</v>
      </c>
      <c r="E79" s="29" t="s">
        <v>22</v>
      </c>
      <c r="F79" s="7">
        <v>43699</v>
      </c>
      <c r="G79" s="18"/>
      <c r="H79" s="16">
        <f t="shared" si="11"/>
        <v>22</v>
      </c>
      <c r="I79" s="16">
        <f t="shared" si="10"/>
        <v>10</v>
      </c>
      <c r="J79" s="122">
        <f t="shared" si="12"/>
        <v>2019</v>
      </c>
      <c r="K79" s="64">
        <f t="shared" si="13"/>
        <v>43820</v>
      </c>
      <c r="L79" s="6"/>
      <c r="M79" s="6"/>
      <c r="O79" s="208">
        <v>43724</v>
      </c>
      <c r="P79" s="209">
        <f t="shared" si="14"/>
        <v>18480</v>
      </c>
      <c r="Q79" s="209">
        <f>+SUMIF('A DEPOSITAR'!$D$2:$D$998,(O79-2),'A DEPOSITAR'!$H$2:$H$998)</f>
        <v>9610</v>
      </c>
      <c r="R79" s="210">
        <f t="shared" si="15"/>
        <v>-8870</v>
      </c>
      <c r="S79" s="210">
        <f t="shared" si="17"/>
        <v>-43922.05000000001</v>
      </c>
      <c r="T79" s="209">
        <f t="shared" si="16"/>
        <v>0</v>
      </c>
      <c r="U79" s="209">
        <f>+SUMIFS('A DEPOSITAR'!$H$2:$H$998,'A DEPOSITAR'!$D$2:$D$998,(O79-2),'A DEPOSITAR'!$I$2:$I$998,"A Depositar")</f>
        <v>0</v>
      </c>
      <c r="V79" s="6"/>
      <c r="W79" s="6"/>
      <c r="X79" s="6"/>
      <c r="Y79" s="6"/>
      <c r="Z79" s="6"/>
    </row>
    <row r="80" spans="1:26" ht="12.75" x14ac:dyDescent="0.2">
      <c r="A80" s="31">
        <v>43776</v>
      </c>
      <c r="B80" s="29" t="s">
        <v>23</v>
      </c>
      <c r="C80" s="29">
        <v>70455989</v>
      </c>
      <c r="D80" s="30">
        <v>3700</v>
      </c>
      <c r="E80" s="29" t="s">
        <v>22</v>
      </c>
      <c r="F80" s="7">
        <v>43699</v>
      </c>
      <c r="G80" s="18"/>
      <c r="H80" s="16">
        <f t="shared" si="11"/>
        <v>7</v>
      </c>
      <c r="I80" s="16">
        <f t="shared" si="10"/>
        <v>11</v>
      </c>
      <c r="J80" s="122">
        <f t="shared" si="12"/>
        <v>2019</v>
      </c>
      <c r="K80" s="64">
        <f t="shared" si="13"/>
        <v>43836</v>
      </c>
      <c r="L80" s="6"/>
      <c r="M80" s="6"/>
      <c r="O80" s="208">
        <v>43725</v>
      </c>
      <c r="P80" s="209">
        <f t="shared" si="14"/>
        <v>0</v>
      </c>
      <c r="Q80" s="209">
        <f>+SUMIF('A DEPOSITAR'!$D$2:$D$998,(O80-2),'A DEPOSITAR'!$H$2:$H$998)</f>
        <v>12500</v>
      </c>
      <c r="R80" s="210">
        <f t="shared" si="15"/>
        <v>12500</v>
      </c>
      <c r="S80" s="210">
        <f t="shared" si="17"/>
        <v>-31422.05000000001</v>
      </c>
      <c r="T80" s="209">
        <f t="shared" si="16"/>
        <v>0</v>
      </c>
      <c r="U80" s="209">
        <f>+SUMIFS('A DEPOSITAR'!$H$2:$H$998,'A DEPOSITAR'!$D$2:$D$998,(O80-2),'A DEPOSITAR'!$I$2:$I$998,"A Depositar")</f>
        <v>0</v>
      </c>
      <c r="V80" s="6"/>
      <c r="W80" s="6"/>
      <c r="X80" s="6"/>
      <c r="Y80" s="6"/>
      <c r="Z80" s="6"/>
    </row>
    <row r="81" spans="1:26" ht="12.75" x14ac:dyDescent="0.2">
      <c r="A81" s="31">
        <v>43791</v>
      </c>
      <c r="B81" s="29" t="s">
        <v>23</v>
      </c>
      <c r="C81" s="29">
        <v>70455990</v>
      </c>
      <c r="D81" s="30">
        <v>3800</v>
      </c>
      <c r="E81" s="29" t="s">
        <v>22</v>
      </c>
      <c r="F81" s="7">
        <v>43699</v>
      </c>
      <c r="G81" s="18"/>
      <c r="H81" s="16">
        <f t="shared" si="11"/>
        <v>22</v>
      </c>
      <c r="I81" s="16">
        <f t="shared" si="10"/>
        <v>11</v>
      </c>
      <c r="J81" s="122">
        <f t="shared" si="12"/>
        <v>2019</v>
      </c>
      <c r="K81" s="64">
        <f t="shared" si="13"/>
        <v>43851</v>
      </c>
      <c r="L81" s="6"/>
      <c r="M81" s="6"/>
      <c r="O81" s="208">
        <v>43726</v>
      </c>
      <c r="P81" s="209">
        <f t="shared" si="14"/>
        <v>15000</v>
      </c>
      <c r="Q81" s="209">
        <f>+SUMIF('A DEPOSITAR'!$D$2:$D$998,(O81-2),'A DEPOSITAR'!$H$2:$H$998)</f>
        <v>11301.68</v>
      </c>
      <c r="R81" s="210">
        <f t="shared" si="15"/>
        <v>-3698.3199999999997</v>
      </c>
      <c r="S81" s="210">
        <f t="shared" si="17"/>
        <v>-35120.37000000001</v>
      </c>
      <c r="T81" s="209">
        <f t="shared" si="16"/>
        <v>0</v>
      </c>
      <c r="U81" s="209">
        <f>+SUMIFS('A DEPOSITAR'!$H$2:$H$998,'A DEPOSITAR'!$D$2:$D$998,(O81-2),'A DEPOSITAR'!$I$2:$I$998,"A Depositar")</f>
        <v>0</v>
      </c>
      <c r="V81" s="6"/>
      <c r="W81" s="6"/>
      <c r="X81" s="6"/>
      <c r="Y81" s="6"/>
      <c r="Z81" s="6"/>
    </row>
    <row r="82" spans="1:26" ht="12.75" x14ac:dyDescent="0.2">
      <c r="A82" s="31">
        <v>43799</v>
      </c>
      <c r="B82" s="29" t="s">
        <v>27</v>
      </c>
      <c r="C82" s="29">
        <v>70455991</v>
      </c>
      <c r="D82" s="30">
        <v>4408</v>
      </c>
      <c r="E82" s="29" t="s">
        <v>22</v>
      </c>
      <c r="F82" s="7">
        <v>43699</v>
      </c>
      <c r="G82" s="18"/>
      <c r="H82" s="16">
        <f t="shared" si="11"/>
        <v>30</v>
      </c>
      <c r="I82" s="16">
        <f t="shared" si="10"/>
        <v>11</v>
      </c>
      <c r="J82" s="122">
        <f t="shared" si="12"/>
        <v>2019</v>
      </c>
      <c r="K82" s="64">
        <f t="shared" si="13"/>
        <v>43859</v>
      </c>
      <c r="L82" s="6"/>
      <c r="M82" s="6"/>
      <c r="O82" s="208">
        <v>43727</v>
      </c>
      <c r="P82" s="209">
        <f t="shared" si="14"/>
        <v>0</v>
      </c>
      <c r="Q82" s="209">
        <f>+SUMIF('A DEPOSITAR'!$D$2:$D$998,(O82-2),'A DEPOSITAR'!$H$2:$H$998)</f>
        <v>0</v>
      </c>
      <c r="R82" s="210">
        <f t="shared" si="15"/>
        <v>0</v>
      </c>
      <c r="S82" s="210">
        <f t="shared" si="17"/>
        <v>-35120.37000000001</v>
      </c>
      <c r="T82" s="209">
        <f t="shared" si="16"/>
        <v>0</v>
      </c>
      <c r="U82" s="209">
        <f>+SUMIFS('A DEPOSITAR'!$H$2:$H$998,'A DEPOSITAR'!$D$2:$D$998,(O82-2),'A DEPOSITAR'!$I$2:$I$998,"A Depositar")</f>
        <v>0</v>
      </c>
      <c r="V82" s="6"/>
      <c r="W82" s="6"/>
      <c r="X82" s="6"/>
      <c r="Y82" s="6"/>
      <c r="Z82" s="6"/>
    </row>
    <row r="83" spans="1:26" ht="12.75" x14ac:dyDescent="0.2">
      <c r="A83" s="31">
        <v>43806</v>
      </c>
      <c r="B83" s="29" t="s">
        <v>132</v>
      </c>
      <c r="C83" s="29">
        <v>70455992</v>
      </c>
      <c r="D83" s="30">
        <v>4900</v>
      </c>
      <c r="E83" s="29" t="s">
        <v>22</v>
      </c>
      <c r="F83" s="7">
        <v>43699</v>
      </c>
      <c r="G83" s="29"/>
      <c r="H83" s="16">
        <f t="shared" si="11"/>
        <v>7</v>
      </c>
      <c r="I83" s="16">
        <f t="shared" ref="I83:I114" si="18">MONTH(A83)</f>
        <v>12</v>
      </c>
      <c r="J83" s="122">
        <f t="shared" si="12"/>
        <v>2019</v>
      </c>
      <c r="K83" s="64">
        <f t="shared" si="13"/>
        <v>43866</v>
      </c>
      <c r="L83" s="6"/>
      <c r="M83" s="6"/>
      <c r="O83" s="208">
        <v>43728</v>
      </c>
      <c r="P83" s="209">
        <f t="shared" si="14"/>
        <v>10000</v>
      </c>
      <c r="Q83" s="209">
        <f>+SUMIF('A DEPOSITAR'!$D$2:$D$998,(O83-2),'A DEPOSITAR'!$H$2:$H$998)</f>
        <v>2743</v>
      </c>
      <c r="R83" s="210">
        <f t="shared" si="15"/>
        <v>-7257</v>
      </c>
      <c r="S83" s="210">
        <f t="shared" si="17"/>
        <v>-42377.37000000001</v>
      </c>
      <c r="T83" s="209">
        <f t="shared" si="16"/>
        <v>0</v>
      </c>
      <c r="U83" s="209">
        <f>+SUMIFS('A DEPOSITAR'!$H$2:$H$998,'A DEPOSITAR'!$D$2:$D$998,(O83-2),'A DEPOSITAR'!$I$2:$I$998,"A Depositar")</f>
        <v>0</v>
      </c>
      <c r="V83" s="6"/>
      <c r="W83" s="6"/>
      <c r="X83" s="6"/>
      <c r="Y83" s="6"/>
      <c r="Z83" s="6"/>
    </row>
    <row r="84" spans="1:26" ht="12.75" x14ac:dyDescent="0.2">
      <c r="A84" s="31">
        <v>43760</v>
      </c>
      <c r="B84" s="29" t="s">
        <v>25</v>
      </c>
      <c r="C84" s="29">
        <v>70455993</v>
      </c>
      <c r="D84" s="30">
        <v>5000</v>
      </c>
      <c r="E84" s="29" t="s">
        <v>22</v>
      </c>
      <c r="F84" s="7">
        <v>43699</v>
      </c>
      <c r="G84" s="18" t="s">
        <v>133</v>
      </c>
      <c r="H84" s="16">
        <f t="shared" si="11"/>
        <v>22</v>
      </c>
      <c r="I84" s="16">
        <f t="shared" si="18"/>
        <v>10</v>
      </c>
      <c r="J84" s="122">
        <f t="shared" si="12"/>
        <v>2019</v>
      </c>
      <c r="K84" s="64">
        <f t="shared" si="13"/>
        <v>43820</v>
      </c>
      <c r="L84" s="6"/>
      <c r="M84" s="6"/>
      <c r="O84" s="208">
        <v>43729</v>
      </c>
      <c r="P84" s="209">
        <f t="shared" si="14"/>
        <v>7600</v>
      </c>
      <c r="Q84" s="209">
        <f>+SUMIF('A DEPOSITAR'!$D$2:$D$998,(O84-2),'A DEPOSITAR'!$H$2:$H$998)</f>
        <v>0</v>
      </c>
      <c r="R84" s="210">
        <f t="shared" si="15"/>
        <v>-7600</v>
      </c>
      <c r="S84" s="210">
        <f t="shared" si="17"/>
        <v>-49977.37000000001</v>
      </c>
      <c r="T84" s="209">
        <f t="shared" si="16"/>
        <v>0</v>
      </c>
      <c r="U84" s="209">
        <f>+SUMIFS('A DEPOSITAR'!$H$2:$H$998,'A DEPOSITAR'!$D$2:$D$998,(O84-2),'A DEPOSITAR'!$I$2:$I$998,"A Depositar")</f>
        <v>0</v>
      </c>
      <c r="V84" s="6"/>
      <c r="W84" s="6"/>
      <c r="X84" s="6"/>
      <c r="Y84" s="6"/>
      <c r="Z84" s="6"/>
    </row>
    <row r="85" spans="1:26" ht="12.75" x14ac:dyDescent="0.2">
      <c r="A85" s="31">
        <v>43776</v>
      </c>
      <c r="B85" s="29" t="s">
        <v>25</v>
      </c>
      <c r="C85" s="29">
        <v>70455994</v>
      </c>
      <c r="D85" s="30">
        <v>5500</v>
      </c>
      <c r="E85" s="29" t="s">
        <v>22</v>
      </c>
      <c r="F85" s="7">
        <v>43699</v>
      </c>
      <c r="G85" s="18"/>
      <c r="H85" s="16">
        <f t="shared" si="11"/>
        <v>7</v>
      </c>
      <c r="I85" s="16">
        <f t="shared" si="18"/>
        <v>11</v>
      </c>
      <c r="J85" s="122">
        <f t="shared" si="12"/>
        <v>2019</v>
      </c>
      <c r="K85" s="64">
        <f t="shared" si="13"/>
        <v>43836</v>
      </c>
      <c r="L85" s="6"/>
      <c r="M85" s="6"/>
      <c r="O85" s="208">
        <v>43730</v>
      </c>
      <c r="P85" s="209">
        <f t="shared" si="14"/>
        <v>27511.25</v>
      </c>
      <c r="Q85" s="209">
        <f>+SUMIF('A DEPOSITAR'!$D$2:$D$998,(O85-2),'A DEPOSITAR'!$H$2:$H$998)</f>
        <v>24993.25</v>
      </c>
      <c r="R85" s="210">
        <f t="shared" si="15"/>
        <v>-2518</v>
      </c>
      <c r="S85" s="210">
        <f t="shared" si="17"/>
        <v>-52495.37000000001</v>
      </c>
      <c r="T85" s="209">
        <f t="shared" si="16"/>
        <v>0</v>
      </c>
      <c r="U85" s="209">
        <f>+SUMIFS('A DEPOSITAR'!$H$2:$H$998,'A DEPOSITAR'!$D$2:$D$998,(O85-2),'A DEPOSITAR'!$I$2:$I$998,"A Depositar")</f>
        <v>0</v>
      </c>
      <c r="V85" s="6"/>
      <c r="W85" s="6"/>
      <c r="X85" s="6"/>
      <c r="Y85" s="6"/>
      <c r="Z85" s="6"/>
    </row>
    <row r="86" spans="1:26" ht="12.75" x14ac:dyDescent="0.2">
      <c r="A86" s="31">
        <v>43852</v>
      </c>
      <c r="B86" s="29" t="s">
        <v>23</v>
      </c>
      <c r="C86" s="29">
        <v>70455995</v>
      </c>
      <c r="D86" s="30">
        <v>6000</v>
      </c>
      <c r="E86" s="29" t="s">
        <v>22</v>
      </c>
      <c r="F86" s="7">
        <v>43699</v>
      </c>
      <c r="G86" s="18"/>
      <c r="H86" s="16">
        <f t="shared" si="11"/>
        <v>22</v>
      </c>
      <c r="I86" s="16">
        <f t="shared" si="18"/>
        <v>1</v>
      </c>
      <c r="J86" s="122">
        <f t="shared" si="12"/>
        <v>2020</v>
      </c>
      <c r="K86" s="64">
        <f t="shared" si="13"/>
        <v>43912</v>
      </c>
      <c r="L86" s="6"/>
      <c r="M86" s="6"/>
      <c r="O86" s="208">
        <v>43731</v>
      </c>
      <c r="P86" s="209">
        <f t="shared" si="14"/>
        <v>9000</v>
      </c>
      <c r="Q86" s="209">
        <f>+SUMIF('A DEPOSITAR'!$D$2:$D$998,(O86-2),'A DEPOSITAR'!$H$2:$H$998)</f>
        <v>10810</v>
      </c>
      <c r="R86" s="210">
        <f t="shared" si="15"/>
        <v>1810</v>
      </c>
      <c r="S86" s="210">
        <f t="shared" si="17"/>
        <v>-50685.37000000001</v>
      </c>
      <c r="T86" s="209">
        <f t="shared" si="16"/>
        <v>0</v>
      </c>
      <c r="U86" s="209">
        <f>+SUMIFS('A DEPOSITAR'!$H$2:$H$998,'A DEPOSITAR'!$D$2:$D$998,(O86-2),'A DEPOSITAR'!$I$2:$I$998,"A Depositar")</f>
        <v>0</v>
      </c>
      <c r="V86" s="6"/>
      <c r="W86" s="6"/>
      <c r="X86" s="6"/>
      <c r="Y86" s="6"/>
      <c r="Z86" s="6"/>
    </row>
    <row r="87" spans="1:26" ht="12.75" x14ac:dyDescent="0.2">
      <c r="A87" s="31">
        <v>43821</v>
      </c>
      <c r="B87" s="29" t="s">
        <v>25</v>
      </c>
      <c r="C87" s="29">
        <v>70455996</v>
      </c>
      <c r="D87" s="30">
        <v>6000</v>
      </c>
      <c r="E87" s="29" t="s">
        <v>22</v>
      </c>
      <c r="F87" s="7">
        <v>43699</v>
      </c>
      <c r="G87" s="18"/>
      <c r="H87" s="16">
        <f t="shared" si="11"/>
        <v>22</v>
      </c>
      <c r="I87" s="16">
        <f t="shared" si="18"/>
        <v>12</v>
      </c>
      <c r="J87" s="122">
        <f t="shared" si="12"/>
        <v>2019</v>
      </c>
      <c r="K87" s="64">
        <f t="shared" si="13"/>
        <v>43881</v>
      </c>
      <c r="L87" s="6"/>
      <c r="M87" s="6"/>
      <c r="O87" s="208">
        <v>43732</v>
      </c>
      <c r="P87" s="209">
        <f t="shared" si="14"/>
        <v>0</v>
      </c>
      <c r="Q87" s="209">
        <f>+SUMIF('A DEPOSITAR'!$D$2:$D$998,(O87-2),'A DEPOSITAR'!$H$2:$H$998)</f>
        <v>15000</v>
      </c>
      <c r="R87" s="210">
        <f t="shared" si="15"/>
        <v>15000</v>
      </c>
      <c r="S87" s="210">
        <f t="shared" si="17"/>
        <v>-35685.37000000001</v>
      </c>
      <c r="T87" s="209">
        <f t="shared" si="16"/>
        <v>0</v>
      </c>
      <c r="U87" s="209">
        <f>+SUMIFS('A DEPOSITAR'!$H$2:$H$998,'A DEPOSITAR'!$D$2:$D$998,(O87-2),'A DEPOSITAR'!$I$2:$I$998,"A Depositar")</f>
        <v>0</v>
      </c>
      <c r="V87" s="6"/>
      <c r="W87" s="6"/>
      <c r="X87" s="6"/>
      <c r="Y87" s="6"/>
      <c r="Z87" s="6"/>
    </row>
    <row r="88" spans="1:26" ht="12.75" x14ac:dyDescent="0.2">
      <c r="A88" s="31">
        <v>43921</v>
      </c>
      <c r="B88" s="29" t="s">
        <v>23</v>
      </c>
      <c r="C88" s="29">
        <v>70455997</v>
      </c>
      <c r="D88" s="30">
        <v>6100</v>
      </c>
      <c r="E88" s="29" t="s">
        <v>22</v>
      </c>
      <c r="F88" s="7">
        <v>43699</v>
      </c>
      <c r="G88" s="18"/>
      <c r="H88" s="16">
        <f t="shared" si="11"/>
        <v>31</v>
      </c>
      <c r="I88" s="16">
        <f t="shared" si="18"/>
        <v>3</v>
      </c>
      <c r="J88" s="122">
        <f t="shared" si="12"/>
        <v>2020</v>
      </c>
      <c r="K88" s="64">
        <f t="shared" si="13"/>
        <v>43981</v>
      </c>
      <c r="L88" s="6"/>
      <c r="M88" s="6"/>
      <c r="O88" s="208">
        <v>43733</v>
      </c>
      <c r="P88" s="209">
        <f t="shared" si="14"/>
        <v>0</v>
      </c>
      <c r="Q88" s="209">
        <f>+SUMIF('A DEPOSITAR'!$D$2:$D$998,(O88-2),'A DEPOSITAR'!$H$2:$H$998)</f>
        <v>5000</v>
      </c>
      <c r="R88" s="210">
        <f t="shared" si="15"/>
        <v>5000</v>
      </c>
      <c r="S88" s="210">
        <f t="shared" si="17"/>
        <v>-30685.37000000001</v>
      </c>
      <c r="T88" s="209">
        <f t="shared" si="16"/>
        <v>0</v>
      </c>
      <c r="U88" s="209">
        <f>+SUMIFS('A DEPOSITAR'!$H$2:$H$998,'A DEPOSITAR'!$D$2:$D$998,(O88-2),'A DEPOSITAR'!$I$2:$I$998,"A Depositar")</f>
        <v>0</v>
      </c>
      <c r="V88" s="6"/>
      <c r="W88" s="6"/>
      <c r="X88" s="6"/>
      <c r="Y88" s="6"/>
      <c r="Z88" s="6"/>
    </row>
    <row r="89" spans="1:26" ht="12.75" x14ac:dyDescent="0.2">
      <c r="A89" s="31">
        <v>43806</v>
      </c>
      <c r="B89" s="29" t="s">
        <v>25</v>
      </c>
      <c r="C89" s="29">
        <v>70455998</v>
      </c>
      <c r="D89" s="30">
        <v>6000</v>
      </c>
      <c r="E89" s="29" t="s">
        <v>22</v>
      </c>
      <c r="F89" s="7">
        <v>43699</v>
      </c>
      <c r="G89" s="18" t="s">
        <v>133</v>
      </c>
      <c r="H89" s="16">
        <f t="shared" si="11"/>
        <v>7</v>
      </c>
      <c r="I89" s="16">
        <f t="shared" si="18"/>
        <v>12</v>
      </c>
      <c r="J89" s="122">
        <f t="shared" si="12"/>
        <v>2019</v>
      </c>
      <c r="K89" s="64">
        <f t="shared" si="13"/>
        <v>43866</v>
      </c>
      <c r="L89" s="6"/>
      <c r="M89" s="6"/>
      <c r="O89" s="208">
        <v>43734</v>
      </c>
      <c r="P89" s="209">
        <f t="shared" si="14"/>
        <v>13731.5</v>
      </c>
      <c r="Q89" s="209">
        <f>+SUMIF('A DEPOSITAR'!$D$2:$D$998,(O89-2),'A DEPOSITAR'!$H$2:$H$998)</f>
        <v>0</v>
      </c>
      <c r="R89" s="210">
        <f t="shared" si="15"/>
        <v>-13731.5</v>
      </c>
      <c r="S89" s="210">
        <f t="shared" si="17"/>
        <v>-44416.87000000001</v>
      </c>
      <c r="T89" s="209">
        <f t="shared" si="16"/>
        <v>0</v>
      </c>
      <c r="U89" s="209">
        <f>+SUMIFS('A DEPOSITAR'!$H$2:$H$998,'A DEPOSITAR'!$D$2:$D$998,(O89-2),'A DEPOSITAR'!$I$2:$I$998,"A Depositar")</f>
        <v>0</v>
      </c>
      <c r="V89" s="6"/>
      <c r="W89" s="6"/>
      <c r="X89" s="6"/>
      <c r="Y89" s="6"/>
      <c r="Z89" s="6"/>
    </row>
    <row r="90" spans="1:26" ht="12.75" x14ac:dyDescent="0.2">
      <c r="A90" s="31">
        <v>43699</v>
      </c>
      <c r="B90" s="29" t="s">
        <v>122</v>
      </c>
      <c r="C90" s="29">
        <v>70455999</v>
      </c>
      <c r="D90" s="30">
        <v>14000</v>
      </c>
      <c r="E90" s="29" t="s">
        <v>22</v>
      </c>
      <c r="F90" s="7">
        <v>43699</v>
      </c>
      <c r="G90" s="18"/>
      <c r="H90" s="16">
        <f t="shared" si="11"/>
        <v>22</v>
      </c>
      <c r="I90" s="16">
        <f t="shared" si="18"/>
        <v>8</v>
      </c>
      <c r="J90" s="122">
        <f t="shared" si="12"/>
        <v>2019</v>
      </c>
      <c r="K90" s="64">
        <f t="shared" si="13"/>
        <v>43759</v>
      </c>
      <c r="L90" s="6"/>
      <c r="M90" s="6"/>
      <c r="O90" s="208">
        <v>43735</v>
      </c>
      <c r="P90" s="209">
        <f t="shared" si="14"/>
        <v>7800</v>
      </c>
      <c r="Q90" s="209">
        <f>+SUMIF('A DEPOSITAR'!$D$2:$D$998,(O90-2),'A DEPOSITAR'!$H$2:$H$998)</f>
        <v>4500</v>
      </c>
      <c r="R90" s="210">
        <f t="shared" si="15"/>
        <v>-3300</v>
      </c>
      <c r="S90" s="210">
        <f t="shared" si="17"/>
        <v>-47716.87000000001</v>
      </c>
      <c r="T90" s="209">
        <f t="shared" si="16"/>
        <v>0</v>
      </c>
      <c r="U90" s="209">
        <f>+SUMIFS('A DEPOSITAR'!$H$2:$H$998,'A DEPOSITAR'!$D$2:$D$998,(O90-2),'A DEPOSITAR'!$I$2:$I$998,"A Depositar")</f>
        <v>0</v>
      </c>
      <c r="V90" s="6"/>
      <c r="W90" s="6"/>
      <c r="X90" s="6"/>
      <c r="Y90" s="6"/>
      <c r="Z90" s="6"/>
    </row>
    <row r="91" spans="1:26" ht="12.75" x14ac:dyDescent="0.2">
      <c r="A91" s="31">
        <v>43776</v>
      </c>
      <c r="B91" s="29" t="s">
        <v>27</v>
      </c>
      <c r="C91" s="29">
        <v>70456000</v>
      </c>
      <c r="D91" s="30">
        <v>3000</v>
      </c>
      <c r="E91" s="29" t="s">
        <v>22</v>
      </c>
      <c r="F91" s="7">
        <v>43703</v>
      </c>
      <c r="G91" s="18"/>
      <c r="H91" s="16">
        <f t="shared" si="11"/>
        <v>7</v>
      </c>
      <c r="I91" s="16">
        <f t="shared" si="18"/>
        <v>11</v>
      </c>
      <c r="J91" s="122">
        <f t="shared" si="12"/>
        <v>2019</v>
      </c>
      <c r="K91" s="64">
        <f t="shared" si="13"/>
        <v>43836</v>
      </c>
      <c r="L91" s="6"/>
      <c r="M91" s="6"/>
      <c r="O91" s="208">
        <v>43736</v>
      </c>
      <c r="P91" s="209">
        <f t="shared" si="14"/>
        <v>0</v>
      </c>
      <c r="Q91" s="209">
        <f>+SUMIF('A DEPOSITAR'!$D$2:$D$998,(O91-2),'A DEPOSITAR'!$H$2:$H$998)</f>
        <v>3296</v>
      </c>
      <c r="R91" s="210">
        <f t="shared" si="15"/>
        <v>3296</v>
      </c>
      <c r="S91" s="210">
        <f t="shared" si="17"/>
        <v>-44420.87000000001</v>
      </c>
      <c r="T91" s="209">
        <f t="shared" si="16"/>
        <v>0</v>
      </c>
      <c r="U91" s="209">
        <f>+SUMIFS('A DEPOSITAR'!$H$2:$H$998,'A DEPOSITAR'!$D$2:$D$998,(O91-2),'A DEPOSITAR'!$I$2:$I$998,"A Depositar")</f>
        <v>0</v>
      </c>
      <c r="V91" s="6"/>
      <c r="W91" s="6"/>
      <c r="X91" s="6"/>
      <c r="Y91" s="6"/>
      <c r="Z91" s="6"/>
    </row>
    <row r="92" spans="1:26" ht="12.75" x14ac:dyDescent="0.2">
      <c r="A92" s="31">
        <v>43791</v>
      </c>
      <c r="B92" s="29" t="s">
        <v>27</v>
      </c>
      <c r="C92" s="29">
        <v>70456001</v>
      </c>
      <c r="D92" s="30">
        <v>2950</v>
      </c>
      <c r="E92" s="29" t="s">
        <v>22</v>
      </c>
      <c r="F92" s="7">
        <v>43703</v>
      </c>
      <c r="G92" s="18"/>
      <c r="H92" s="16">
        <f t="shared" si="11"/>
        <v>22</v>
      </c>
      <c r="I92" s="16">
        <f t="shared" si="18"/>
        <v>11</v>
      </c>
      <c r="J92" s="122">
        <f t="shared" si="12"/>
        <v>2019</v>
      </c>
      <c r="K92" s="64">
        <f t="shared" si="13"/>
        <v>43851</v>
      </c>
      <c r="L92" s="6"/>
      <c r="M92" s="6"/>
      <c r="O92" s="208">
        <v>43737</v>
      </c>
      <c r="P92" s="209">
        <f t="shared" si="14"/>
        <v>0</v>
      </c>
      <c r="Q92" s="209">
        <f>+SUMIF('A DEPOSITAR'!$D$2:$D$998,(O92-2),'A DEPOSITAR'!$H$2:$H$998)</f>
        <v>17500</v>
      </c>
      <c r="R92" s="210">
        <f t="shared" si="15"/>
        <v>17500</v>
      </c>
      <c r="S92" s="210">
        <f t="shared" si="17"/>
        <v>-26920.87000000001</v>
      </c>
      <c r="T92" s="209">
        <f t="shared" si="16"/>
        <v>0</v>
      </c>
      <c r="U92" s="209">
        <f>+SUMIFS('A DEPOSITAR'!$H$2:$H$998,'A DEPOSITAR'!$D$2:$D$998,(O92-2),'A DEPOSITAR'!$I$2:$I$998,"A Depositar")</f>
        <v>0</v>
      </c>
      <c r="V92" s="6"/>
      <c r="W92" s="6"/>
      <c r="X92" s="6"/>
      <c r="Y92" s="6"/>
      <c r="Z92" s="6"/>
    </row>
    <row r="93" spans="1:26" ht="12.75" x14ac:dyDescent="0.2">
      <c r="A93" s="31">
        <v>43776</v>
      </c>
      <c r="B93" s="29" t="s">
        <v>24</v>
      </c>
      <c r="C93" s="29">
        <v>70456002</v>
      </c>
      <c r="D93" s="30">
        <v>8100</v>
      </c>
      <c r="E93" s="29" t="s">
        <v>22</v>
      </c>
      <c r="F93" s="7">
        <v>43703</v>
      </c>
      <c r="G93" s="18"/>
      <c r="H93" s="16">
        <f t="shared" si="11"/>
        <v>7</v>
      </c>
      <c r="I93" s="16">
        <f t="shared" si="18"/>
        <v>11</v>
      </c>
      <c r="J93" s="122">
        <f t="shared" si="12"/>
        <v>2019</v>
      </c>
      <c r="K93" s="64">
        <f t="shared" si="13"/>
        <v>43836</v>
      </c>
      <c r="L93" s="6"/>
      <c r="M93" s="6"/>
      <c r="O93" s="208">
        <v>43738</v>
      </c>
      <c r="P93" s="209">
        <f t="shared" si="14"/>
        <v>21500</v>
      </c>
      <c r="Q93" s="209">
        <f>+SUMIF('A DEPOSITAR'!$D$2:$D$998,(O93-2),'A DEPOSITAR'!$H$2:$H$998)</f>
        <v>72196</v>
      </c>
      <c r="R93" s="210">
        <f t="shared" si="15"/>
        <v>50696</v>
      </c>
      <c r="S93" s="210">
        <f t="shared" si="17"/>
        <v>23775.12999999999</v>
      </c>
      <c r="T93" s="209">
        <f t="shared" si="16"/>
        <v>0</v>
      </c>
      <c r="U93" s="209">
        <f>+SUMIFS('A DEPOSITAR'!$H$2:$H$998,'A DEPOSITAR'!$D$2:$D$998,(O93-2),'A DEPOSITAR'!$I$2:$I$998,"A Depositar")</f>
        <v>0</v>
      </c>
      <c r="V93" s="6"/>
      <c r="W93" s="6"/>
      <c r="X93" s="6"/>
      <c r="Y93" s="6"/>
      <c r="Z93" s="6"/>
    </row>
    <row r="94" spans="1:26" ht="12.75" x14ac:dyDescent="0.2">
      <c r="A94" s="31">
        <v>43785</v>
      </c>
      <c r="B94" s="29" t="s">
        <v>24</v>
      </c>
      <c r="C94" s="29">
        <v>70456003</v>
      </c>
      <c r="D94" s="30">
        <v>8150</v>
      </c>
      <c r="E94" s="29" t="s">
        <v>22</v>
      </c>
      <c r="F94" s="7">
        <v>43703</v>
      </c>
      <c r="G94" s="18"/>
      <c r="H94" s="16">
        <f t="shared" si="11"/>
        <v>16</v>
      </c>
      <c r="I94" s="16">
        <f t="shared" si="18"/>
        <v>11</v>
      </c>
      <c r="J94" s="122">
        <f t="shared" si="12"/>
        <v>2019</v>
      </c>
      <c r="K94" s="64">
        <f t="shared" si="13"/>
        <v>43845</v>
      </c>
      <c r="L94" s="6"/>
      <c r="M94" s="6"/>
      <c r="O94" s="208">
        <v>43739</v>
      </c>
      <c r="P94" s="209">
        <f t="shared" si="14"/>
        <v>0</v>
      </c>
      <c r="Q94" s="209">
        <f>+SUMIF('A DEPOSITAR'!$D$2:$D$998,(O94-2),'A DEPOSITAR'!$H$2:$H$998)</f>
        <v>52654</v>
      </c>
      <c r="R94" s="210">
        <f t="shared" si="15"/>
        <v>52654</v>
      </c>
      <c r="S94" s="210">
        <f t="shared" si="17"/>
        <v>76429.12999999999</v>
      </c>
      <c r="T94" s="209">
        <f t="shared" si="16"/>
        <v>0</v>
      </c>
      <c r="U94" s="209">
        <f>+SUMIFS('A DEPOSITAR'!$H$2:$H$998,'A DEPOSITAR'!$D$2:$D$998,(O94-2),'A DEPOSITAR'!$I$2:$I$998,"A Depositar")</f>
        <v>0</v>
      </c>
      <c r="V94" s="6"/>
      <c r="W94" s="6"/>
      <c r="X94" s="6"/>
      <c r="Y94" s="6"/>
      <c r="Z94" s="6"/>
    </row>
    <row r="95" spans="1:26" ht="12.75" x14ac:dyDescent="0.2">
      <c r="A95" s="31">
        <v>43791</v>
      </c>
      <c r="B95" s="29" t="s">
        <v>24</v>
      </c>
      <c r="C95" s="29">
        <v>70456004</v>
      </c>
      <c r="D95" s="30">
        <v>8250</v>
      </c>
      <c r="E95" s="29" t="s">
        <v>22</v>
      </c>
      <c r="F95" s="7">
        <v>43703</v>
      </c>
      <c r="G95" s="18"/>
      <c r="H95" s="16">
        <f t="shared" si="11"/>
        <v>22</v>
      </c>
      <c r="I95" s="16">
        <f t="shared" si="18"/>
        <v>11</v>
      </c>
      <c r="J95" s="122">
        <f t="shared" si="12"/>
        <v>2019</v>
      </c>
      <c r="K95" s="64">
        <f t="shared" si="13"/>
        <v>43851</v>
      </c>
      <c r="L95" s="6"/>
      <c r="M95" s="6"/>
      <c r="O95" s="208">
        <v>43740</v>
      </c>
      <c r="P95" s="209">
        <f t="shared" si="14"/>
        <v>0</v>
      </c>
      <c r="Q95" s="209">
        <f>+SUMIF('A DEPOSITAR'!$D$2:$D$998,(O95-2),'A DEPOSITAR'!$H$2:$H$998)</f>
        <v>113137.92</v>
      </c>
      <c r="R95" s="210">
        <f t="shared" si="15"/>
        <v>113137.92</v>
      </c>
      <c r="S95" s="210">
        <f t="shared" si="17"/>
        <v>189567.05</v>
      </c>
      <c r="T95" s="209">
        <f t="shared" si="16"/>
        <v>0</v>
      </c>
      <c r="U95" s="209">
        <f>+SUMIFS('A DEPOSITAR'!$H$2:$H$998,'A DEPOSITAR'!$D$2:$D$998,(O95-2),'A DEPOSITAR'!$I$2:$I$998,"A Depositar")</f>
        <v>0</v>
      </c>
      <c r="V95" s="6"/>
      <c r="W95" s="6"/>
      <c r="X95" s="6"/>
      <c r="Y95" s="6"/>
      <c r="Z95" s="6"/>
    </row>
    <row r="96" spans="1:26" ht="12.75" x14ac:dyDescent="0.2">
      <c r="A96" s="31">
        <v>43799</v>
      </c>
      <c r="B96" s="29" t="s">
        <v>24</v>
      </c>
      <c r="C96" s="29">
        <v>70456005</v>
      </c>
      <c r="D96" s="30">
        <v>8400</v>
      </c>
      <c r="E96" s="29" t="s">
        <v>22</v>
      </c>
      <c r="F96" s="7">
        <v>43703</v>
      </c>
      <c r="G96" s="18"/>
      <c r="H96" s="16">
        <f t="shared" si="11"/>
        <v>30</v>
      </c>
      <c r="I96" s="16">
        <f t="shared" si="18"/>
        <v>11</v>
      </c>
      <c r="J96" s="122">
        <f t="shared" si="12"/>
        <v>2019</v>
      </c>
      <c r="K96" s="64">
        <f t="shared" si="13"/>
        <v>43859</v>
      </c>
      <c r="L96" s="6"/>
      <c r="M96" s="6"/>
      <c r="O96" s="208">
        <v>43741</v>
      </c>
      <c r="P96" s="209">
        <f t="shared" si="14"/>
        <v>0</v>
      </c>
      <c r="Q96" s="209">
        <f>+SUMIF('A DEPOSITAR'!$D$2:$D$998,(O96-2),'A DEPOSITAR'!$H$2:$H$998)</f>
        <v>0</v>
      </c>
      <c r="R96" s="210">
        <f t="shared" si="15"/>
        <v>0</v>
      </c>
      <c r="S96" s="210">
        <f t="shared" si="17"/>
        <v>189567.05</v>
      </c>
      <c r="T96" s="209">
        <f t="shared" si="16"/>
        <v>0</v>
      </c>
      <c r="U96" s="209">
        <f>+SUMIFS('A DEPOSITAR'!$H$2:$H$998,'A DEPOSITAR'!$D$2:$D$998,(O96-2),'A DEPOSITAR'!$I$2:$I$998,"A Depositar")</f>
        <v>0</v>
      </c>
      <c r="V96" s="6"/>
      <c r="W96" s="6"/>
      <c r="X96" s="6"/>
      <c r="Y96" s="6"/>
      <c r="Z96" s="6"/>
    </row>
    <row r="97" spans="1:26" ht="12.75" x14ac:dyDescent="0.2">
      <c r="A97" s="31">
        <v>43769</v>
      </c>
      <c r="B97" s="29" t="s">
        <v>24</v>
      </c>
      <c r="C97" s="29">
        <v>70456006</v>
      </c>
      <c r="D97" s="30">
        <v>8500</v>
      </c>
      <c r="E97" s="29" t="s">
        <v>22</v>
      </c>
      <c r="F97" s="7">
        <v>43703</v>
      </c>
      <c r="G97" s="18"/>
      <c r="H97" s="16">
        <f t="shared" si="11"/>
        <v>31</v>
      </c>
      <c r="I97" s="16">
        <f t="shared" si="18"/>
        <v>10</v>
      </c>
      <c r="J97" s="122">
        <f t="shared" si="12"/>
        <v>2019</v>
      </c>
      <c r="K97" s="64">
        <f t="shared" si="13"/>
        <v>43829</v>
      </c>
      <c r="L97" s="6"/>
      <c r="M97" s="6"/>
      <c r="O97" s="208">
        <v>43742</v>
      </c>
      <c r="P97" s="209">
        <f t="shared" si="14"/>
        <v>0</v>
      </c>
      <c r="Q97" s="209">
        <f>+SUMIF('A DEPOSITAR'!$D$2:$D$998,(O97-2),'A DEPOSITAR'!$H$2:$H$998)</f>
        <v>0</v>
      </c>
      <c r="R97" s="210">
        <f t="shared" si="15"/>
        <v>0</v>
      </c>
      <c r="S97" s="210">
        <f t="shared" si="17"/>
        <v>189567.05</v>
      </c>
      <c r="T97" s="209">
        <f t="shared" si="16"/>
        <v>0</v>
      </c>
      <c r="U97" s="209">
        <f>+SUMIFS('A DEPOSITAR'!$H$2:$H$998,'A DEPOSITAR'!$D$2:$D$998,(O97-2),'A DEPOSITAR'!$I$2:$I$998,"A Depositar")</f>
        <v>0</v>
      </c>
      <c r="V97" s="6"/>
      <c r="W97" s="6"/>
      <c r="X97" s="6"/>
      <c r="Y97" s="6"/>
      <c r="Z97" s="6"/>
    </row>
    <row r="98" spans="1:26" ht="12.75" x14ac:dyDescent="0.2">
      <c r="A98" s="31">
        <v>43765</v>
      </c>
      <c r="B98" s="29" t="s">
        <v>24</v>
      </c>
      <c r="C98" s="29">
        <v>70456007</v>
      </c>
      <c r="D98" s="30">
        <v>8600</v>
      </c>
      <c r="E98" s="29" t="s">
        <v>22</v>
      </c>
      <c r="F98" s="7">
        <v>43703</v>
      </c>
      <c r="G98" s="18"/>
      <c r="H98" s="16">
        <f t="shared" ref="H98:H129" si="19">DAY(A98)</f>
        <v>27</v>
      </c>
      <c r="I98" s="16">
        <f t="shared" si="18"/>
        <v>10</v>
      </c>
      <c r="J98" s="122">
        <f t="shared" ref="J98:J129" si="20">YEAR(A98)</f>
        <v>2019</v>
      </c>
      <c r="K98" s="64">
        <f t="shared" si="13"/>
        <v>43825</v>
      </c>
      <c r="L98" s="6"/>
      <c r="M98" s="6"/>
      <c r="O98" s="208">
        <v>43743</v>
      </c>
      <c r="P98" s="209">
        <f t="shared" si="14"/>
        <v>0</v>
      </c>
      <c r="Q98" s="209">
        <f>+SUMIF('A DEPOSITAR'!$D$2:$D$998,(O98-2),'A DEPOSITAR'!$H$2:$H$998)</f>
        <v>0</v>
      </c>
      <c r="R98" s="210">
        <f t="shared" si="15"/>
        <v>0</v>
      </c>
      <c r="S98" s="210">
        <f t="shared" si="17"/>
        <v>189567.05</v>
      </c>
      <c r="T98" s="209">
        <f t="shared" si="16"/>
        <v>0</v>
      </c>
      <c r="U98" s="209">
        <f>+SUMIFS('A DEPOSITAR'!$H$2:$H$998,'A DEPOSITAR'!$D$2:$D$998,(O98-2),'A DEPOSITAR'!$I$2:$I$998,"A Depositar")</f>
        <v>0</v>
      </c>
      <c r="V98" s="6"/>
      <c r="W98" s="6"/>
      <c r="X98" s="6"/>
      <c r="Y98" s="6"/>
      <c r="Z98" s="6"/>
    </row>
    <row r="99" spans="1:26" ht="12.75" x14ac:dyDescent="0.2">
      <c r="A99" s="31">
        <v>43768</v>
      </c>
      <c r="B99" s="29" t="s">
        <v>139</v>
      </c>
      <c r="C99" s="29">
        <v>70456008</v>
      </c>
      <c r="D99" s="30">
        <v>4850</v>
      </c>
      <c r="E99" s="29" t="s">
        <v>22</v>
      </c>
      <c r="F99" s="7">
        <v>43706</v>
      </c>
      <c r="G99" s="18"/>
      <c r="H99" s="16">
        <f t="shared" si="19"/>
        <v>30</v>
      </c>
      <c r="I99" s="16">
        <f t="shared" si="18"/>
        <v>10</v>
      </c>
      <c r="J99" s="122">
        <f t="shared" si="20"/>
        <v>2019</v>
      </c>
      <c r="K99" s="64">
        <f t="shared" si="13"/>
        <v>43828</v>
      </c>
      <c r="L99" s="6"/>
      <c r="M99" s="6"/>
      <c r="O99" s="208">
        <v>43744</v>
      </c>
      <c r="P99" s="209">
        <f t="shared" si="14"/>
        <v>0</v>
      </c>
      <c r="Q99" s="209">
        <f>+SUMIF('A DEPOSITAR'!$D$2:$D$998,(O99-2),'A DEPOSITAR'!$H$2:$H$998)</f>
        <v>0</v>
      </c>
      <c r="R99" s="210">
        <f t="shared" si="15"/>
        <v>0</v>
      </c>
      <c r="S99" s="210">
        <f t="shared" si="17"/>
        <v>189567.05</v>
      </c>
      <c r="T99" s="209">
        <f t="shared" si="16"/>
        <v>0</v>
      </c>
      <c r="U99" s="209">
        <f>+SUMIFS('A DEPOSITAR'!$H$2:$H$998,'A DEPOSITAR'!$D$2:$D$998,(O99-2),'A DEPOSITAR'!$I$2:$I$998,"A Depositar")</f>
        <v>0</v>
      </c>
      <c r="V99" s="6"/>
      <c r="W99" s="6"/>
      <c r="X99" s="6"/>
      <c r="Y99" s="6"/>
      <c r="Z99" s="6"/>
    </row>
    <row r="100" spans="1:26" ht="12.75" x14ac:dyDescent="0.2">
      <c r="A100" s="31">
        <v>43778</v>
      </c>
      <c r="B100" s="29" t="s">
        <v>139</v>
      </c>
      <c r="C100" s="29">
        <v>70456009</v>
      </c>
      <c r="D100" s="30">
        <v>4950</v>
      </c>
      <c r="E100" s="29" t="s">
        <v>22</v>
      </c>
      <c r="F100" s="7">
        <v>43706</v>
      </c>
      <c r="G100" s="18"/>
      <c r="H100" s="16">
        <f t="shared" si="19"/>
        <v>9</v>
      </c>
      <c r="I100" s="16">
        <f t="shared" si="18"/>
        <v>11</v>
      </c>
      <c r="J100" s="122">
        <f t="shared" si="20"/>
        <v>2019</v>
      </c>
      <c r="K100" s="64">
        <f t="shared" si="13"/>
        <v>43838</v>
      </c>
      <c r="L100" s="6"/>
      <c r="M100" s="6"/>
      <c r="O100" s="208">
        <v>43745</v>
      </c>
      <c r="P100" s="209">
        <f t="shared" si="14"/>
        <v>4810</v>
      </c>
      <c r="Q100" s="209">
        <f>+SUMIF('A DEPOSITAR'!$D$2:$D$998,(O100-2),'A DEPOSITAR'!$H$2:$H$998)</f>
        <v>0</v>
      </c>
      <c r="R100" s="210">
        <f t="shared" si="15"/>
        <v>-4810</v>
      </c>
      <c r="S100" s="210">
        <f t="shared" si="17"/>
        <v>184757.05</v>
      </c>
      <c r="T100" s="209">
        <f t="shared" si="16"/>
        <v>0</v>
      </c>
      <c r="U100" s="209">
        <f>+SUMIFS('A DEPOSITAR'!$H$2:$H$998,'A DEPOSITAR'!$D$2:$D$998,(O100-2),'A DEPOSITAR'!$I$2:$I$998,"A Depositar")</f>
        <v>0</v>
      </c>
      <c r="V100" s="6"/>
      <c r="W100" s="6"/>
      <c r="X100" s="6"/>
      <c r="Y100" s="6"/>
      <c r="Z100" s="6"/>
    </row>
    <row r="101" spans="1:26" ht="12.75" x14ac:dyDescent="0.2">
      <c r="A101" s="31">
        <v>43783</v>
      </c>
      <c r="B101" s="29" t="s">
        <v>139</v>
      </c>
      <c r="C101" s="29">
        <v>70456010</v>
      </c>
      <c r="D101" s="30">
        <v>5050</v>
      </c>
      <c r="E101" s="29" t="s">
        <v>22</v>
      </c>
      <c r="F101" s="7">
        <v>43706</v>
      </c>
      <c r="G101" s="18"/>
      <c r="H101" s="16">
        <f t="shared" si="19"/>
        <v>14</v>
      </c>
      <c r="I101" s="16">
        <f t="shared" si="18"/>
        <v>11</v>
      </c>
      <c r="J101" s="122">
        <f t="shared" si="20"/>
        <v>2019</v>
      </c>
      <c r="K101" s="64">
        <f t="shared" si="13"/>
        <v>43843</v>
      </c>
      <c r="L101" s="6"/>
      <c r="M101" s="6"/>
      <c r="O101" s="208">
        <v>43746</v>
      </c>
      <c r="P101" s="209">
        <f t="shared" si="14"/>
        <v>16134</v>
      </c>
      <c r="Q101" s="209">
        <f>+SUMIF('A DEPOSITAR'!$D$2:$D$998,(O101-2),'A DEPOSITAR'!$H$2:$H$998)</f>
        <v>0</v>
      </c>
      <c r="R101" s="210">
        <f t="shared" si="15"/>
        <v>-16134</v>
      </c>
      <c r="S101" s="210">
        <f t="shared" si="17"/>
        <v>168623.05</v>
      </c>
      <c r="T101" s="209">
        <f t="shared" si="16"/>
        <v>0</v>
      </c>
      <c r="U101" s="209">
        <f>+SUMIFS('A DEPOSITAR'!$H$2:$H$998,'A DEPOSITAR'!$D$2:$D$998,(O101-2),'A DEPOSITAR'!$I$2:$I$998,"A Depositar")</f>
        <v>0</v>
      </c>
      <c r="V101" s="6"/>
      <c r="W101" s="6"/>
      <c r="X101" s="6"/>
      <c r="Y101" s="6"/>
      <c r="Z101" s="6"/>
    </row>
    <row r="102" spans="1:26" ht="12.75" x14ac:dyDescent="0.2">
      <c r="A102" s="31">
        <v>43791</v>
      </c>
      <c r="B102" s="29" t="s">
        <v>139</v>
      </c>
      <c r="C102" s="29">
        <v>70456011</v>
      </c>
      <c r="D102" s="30">
        <v>5164.12</v>
      </c>
      <c r="E102" s="29" t="s">
        <v>22</v>
      </c>
      <c r="F102" s="7">
        <v>43706</v>
      </c>
      <c r="G102" s="18"/>
      <c r="H102" s="16">
        <f t="shared" si="19"/>
        <v>22</v>
      </c>
      <c r="I102" s="16">
        <f t="shared" si="18"/>
        <v>11</v>
      </c>
      <c r="J102" s="122">
        <f t="shared" si="20"/>
        <v>2019</v>
      </c>
      <c r="K102" s="64">
        <f t="shared" si="13"/>
        <v>43851</v>
      </c>
      <c r="L102" s="6"/>
      <c r="M102" s="6"/>
      <c r="O102" s="208">
        <v>43747</v>
      </c>
      <c r="P102" s="209">
        <f t="shared" si="14"/>
        <v>0</v>
      </c>
      <c r="Q102" s="209">
        <f>+SUMIF('A DEPOSITAR'!$D$2:$D$998,(O102-2),'A DEPOSITAR'!$H$2:$H$998)</f>
        <v>0</v>
      </c>
      <c r="R102" s="210">
        <f t="shared" si="15"/>
        <v>0</v>
      </c>
      <c r="S102" s="210">
        <f t="shared" si="17"/>
        <v>168623.05</v>
      </c>
      <c r="T102" s="209">
        <f t="shared" si="16"/>
        <v>0</v>
      </c>
      <c r="U102" s="209">
        <f>+SUMIFS('A DEPOSITAR'!$H$2:$H$998,'A DEPOSITAR'!$D$2:$D$998,(O102-2),'A DEPOSITAR'!$I$2:$I$998,"A Depositar")</f>
        <v>0</v>
      </c>
      <c r="V102" s="6"/>
      <c r="W102" s="6"/>
      <c r="X102" s="6"/>
      <c r="Y102" s="6"/>
      <c r="Z102" s="6"/>
    </row>
    <row r="103" spans="1:26" ht="12.75" x14ac:dyDescent="0.2">
      <c r="A103" s="31">
        <v>43799</v>
      </c>
      <c r="B103" s="29" t="s">
        <v>139</v>
      </c>
      <c r="C103" s="29">
        <v>70456012</v>
      </c>
      <c r="D103" s="30">
        <v>5250</v>
      </c>
      <c r="E103" s="29" t="s">
        <v>22</v>
      </c>
      <c r="F103" s="7">
        <v>43706</v>
      </c>
      <c r="G103" s="18"/>
      <c r="H103" s="16">
        <f t="shared" si="19"/>
        <v>30</v>
      </c>
      <c r="I103" s="16">
        <f t="shared" si="18"/>
        <v>11</v>
      </c>
      <c r="J103" s="122">
        <f t="shared" si="20"/>
        <v>2019</v>
      </c>
      <c r="K103" s="64">
        <f t="shared" si="13"/>
        <v>43859</v>
      </c>
      <c r="L103" s="6"/>
      <c r="M103" s="6"/>
      <c r="O103" s="208">
        <v>43748</v>
      </c>
      <c r="P103" s="209">
        <f t="shared" si="14"/>
        <v>4900</v>
      </c>
      <c r="Q103" s="209">
        <f>+SUMIF('A DEPOSITAR'!$D$2:$D$998,(O103-2),'A DEPOSITAR'!$H$2:$H$998)</f>
        <v>0</v>
      </c>
      <c r="R103" s="210">
        <f t="shared" si="15"/>
        <v>-4900</v>
      </c>
      <c r="S103" s="210">
        <f t="shared" si="17"/>
        <v>163723.04999999999</v>
      </c>
      <c r="T103" s="209">
        <f t="shared" si="16"/>
        <v>0</v>
      </c>
      <c r="U103" s="209">
        <f>+SUMIFS('A DEPOSITAR'!$H$2:$H$998,'A DEPOSITAR'!$D$2:$D$998,(O103-2),'A DEPOSITAR'!$I$2:$I$998,"A Depositar")</f>
        <v>0</v>
      </c>
      <c r="V103" s="6"/>
      <c r="W103" s="6"/>
      <c r="X103" s="6"/>
      <c r="Y103" s="6"/>
      <c r="Z103" s="6"/>
    </row>
    <row r="104" spans="1:26" ht="12.75" x14ac:dyDescent="0.2">
      <c r="A104" s="31">
        <v>43806</v>
      </c>
      <c r="B104" s="29" t="s">
        <v>139</v>
      </c>
      <c r="C104" s="29">
        <v>70456013</v>
      </c>
      <c r="D104" s="30">
        <v>5350</v>
      </c>
      <c r="E104" s="29" t="s">
        <v>22</v>
      </c>
      <c r="F104" s="7">
        <v>43706</v>
      </c>
      <c r="G104" s="18"/>
      <c r="H104" s="16">
        <f t="shared" si="19"/>
        <v>7</v>
      </c>
      <c r="I104" s="16">
        <f t="shared" si="18"/>
        <v>12</v>
      </c>
      <c r="J104" s="122">
        <f t="shared" si="20"/>
        <v>2019</v>
      </c>
      <c r="K104" s="64">
        <f t="shared" si="13"/>
        <v>43866</v>
      </c>
      <c r="L104" s="6"/>
      <c r="M104" s="6"/>
      <c r="O104" s="208">
        <v>43749</v>
      </c>
      <c r="P104" s="209">
        <f t="shared" si="14"/>
        <v>20000</v>
      </c>
      <c r="Q104" s="209">
        <f>+SUMIF('A DEPOSITAR'!$D$2:$D$998,(O104-2),'A DEPOSITAR'!$H$2:$H$998)</f>
        <v>2000</v>
      </c>
      <c r="R104" s="210">
        <f t="shared" si="15"/>
        <v>-18000</v>
      </c>
      <c r="S104" s="210">
        <f t="shared" si="17"/>
        <v>145723.04999999999</v>
      </c>
      <c r="T104" s="209">
        <f t="shared" si="16"/>
        <v>0</v>
      </c>
      <c r="U104" s="209">
        <f>+SUMIFS('A DEPOSITAR'!$H$2:$H$998,'A DEPOSITAR'!$D$2:$D$998,(O104-2),'A DEPOSITAR'!$I$2:$I$998,"A Depositar")</f>
        <v>0</v>
      </c>
      <c r="V104" s="6"/>
      <c r="W104" s="6"/>
      <c r="X104" s="6"/>
      <c r="Y104" s="6"/>
      <c r="Z104" s="6"/>
    </row>
    <row r="105" spans="1:26" ht="12.75" x14ac:dyDescent="0.2">
      <c r="A105" s="31">
        <v>43813</v>
      </c>
      <c r="B105" s="29" t="s">
        <v>139</v>
      </c>
      <c r="C105" s="29">
        <v>70456014</v>
      </c>
      <c r="D105" s="30">
        <v>5450</v>
      </c>
      <c r="E105" s="29" t="s">
        <v>22</v>
      </c>
      <c r="F105" s="7">
        <v>43706</v>
      </c>
      <c r="G105" s="18"/>
      <c r="H105" s="16">
        <f t="shared" si="19"/>
        <v>14</v>
      </c>
      <c r="I105" s="16">
        <f t="shared" si="18"/>
        <v>12</v>
      </c>
      <c r="J105" s="122">
        <f t="shared" si="20"/>
        <v>2019</v>
      </c>
      <c r="K105" s="64">
        <f t="shared" si="13"/>
        <v>43873</v>
      </c>
      <c r="L105" s="6"/>
      <c r="M105" s="6"/>
      <c r="O105" s="208">
        <v>43750</v>
      </c>
      <c r="P105" s="209">
        <f t="shared" si="14"/>
        <v>0</v>
      </c>
      <c r="Q105" s="209">
        <f>+SUMIF('A DEPOSITAR'!$D$2:$D$998,(O105-2),'A DEPOSITAR'!$H$2:$H$998)</f>
        <v>0</v>
      </c>
      <c r="R105" s="210">
        <f t="shared" si="15"/>
        <v>0</v>
      </c>
      <c r="S105" s="210">
        <f t="shared" si="17"/>
        <v>145723.04999999999</v>
      </c>
      <c r="T105" s="209">
        <f t="shared" si="16"/>
        <v>0</v>
      </c>
      <c r="U105" s="209">
        <f>+SUMIFS('A DEPOSITAR'!$H$2:$H$998,'A DEPOSITAR'!$D$2:$D$998,(O105-2),'A DEPOSITAR'!$I$2:$I$998,"A Depositar")</f>
        <v>0</v>
      </c>
      <c r="V105" s="6"/>
      <c r="W105" s="6"/>
      <c r="X105" s="6"/>
      <c r="Y105" s="6"/>
      <c r="Z105" s="6"/>
    </row>
    <row r="106" spans="1:26" ht="12.75" x14ac:dyDescent="0.2">
      <c r="A106" s="31">
        <v>43821</v>
      </c>
      <c r="B106" s="29" t="s">
        <v>147</v>
      </c>
      <c r="C106" s="29">
        <v>70456015</v>
      </c>
      <c r="D106" s="30">
        <v>3587.74</v>
      </c>
      <c r="E106" s="29" t="s">
        <v>22</v>
      </c>
      <c r="F106" s="7">
        <v>43706</v>
      </c>
      <c r="G106" s="18"/>
      <c r="H106" s="16">
        <f t="shared" si="19"/>
        <v>22</v>
      </c>
      <c r="I106" s="16">
        <f t="shared" si="18"/>
        <v>12</v>
      </c>
      <c r="J106" s="122">
        <f t="shared" si="20"/>
        <v>2019</v>
      </c>
      <c r="K106" s="64">
        <f t="shared" si="13"/>
        <v>43881</v>
      </c>
      <c r="L106" s="6"/>
      <c r="M106" s="6"/>
      <c r="O106" s="208">
        <v>43751</v>
      </c>
      <c r="P106" s="209">
        <f t="shared" si="14"/>
        <v>20639.27</v>
      </c>
      <c r="Q106" s="209">
        <f>+SUMIF('A DEPOSITAR'!$D$2:$D$998,(O106-2),'A DEPOSITAR'!$H$2:$H$998)</f>
        <v>0</v>
      </c>
      <c r="R106" s="210">
        <f t="shared" si="15"/>
        <v>-20639.27</v>
      </c>
      <c r="S106" s="210">
        <f t="shared" si="17"/>
        <v>125083.77999999998</v>
      </c>
      <c r="T106" s="209">
        <f t="shared" si="16"/>
        <v>0</v>
      </c>
      <c r="U106" s="209">
        <f>+SUMIFS('A DEPOSITAR'!$H$2:$H$998,'A DEPOSITAR'!$D$2:$D$998,(O106-2),'A DEPOSITAR'!$I$2:$I$998,"A Depositar")</f>
        <v>0</v>
      </c>
      <c r="V106" s="6"/>
      <c r="W106" s="6"/>
      <c r="X106" s="6"/>
      <c r="Y106" s="6"/>
      <c r="Z106" s="6"/>
    </row>
    <row r="107" spans="1:26" ht="12.75" x14ac:dyDescent="0.2">
      <c r="A107" s="31">
        <v>43776</v>
      </c>
      <c r="B107" s="29" t="s">
        <v>103</v>
      </c>
      <c r="C107" s="29">
        <v>70456016</v>
      </c>
      <c r="D107" s="30">
        <v>4595</v>
      </c>
      <c r="E107" s="29" t="s">
        <v>22</v>
      </c>
      <c r="F107" s="7">
        <v>43706</v>
      </c>
      <c r="G107" s="29"/>
      <c r="H107" s="16">
        <f t="shared" si="19"/>
        <v>7</v>
      </c>
      <c r="I107" s="16">
        <f t="shared" si="18"/>
        <v>11</v>
      </c>
      <c r="J107" s="122">
        <f t="shared" si="20"/>
        <v>2019</v>
      </c>
      <c r="K107" s="64">
        <f t="shared" si="13"/>
        <v>43836</v>
      </c>
      <c r="L107" s="6"/>
      <c r="M107" s="6"/>
      <c r="O107" s="208">
        <v>43752</v>
      </c>
      <c r="P107" s="209">
        <f t="shared" si="14"/>
        <v>0</v>
      </c>
      <c r="Q107" s="209">
        <f>+SUMIF('A DEPOSITAR'!$D$2:$D$998,(O107-2),'A DEPOSITAR'!$H$2:$H$998)</f>
        <v>22016.7</v>
      </c>
      <c r="R107" s="210">
        <f t="shared" si="15"/>
        <v>22016.7</v>
      </c>
      <c r="S107" s="210">
        <f t="shared" si="17"/>
        <v>147100.47999999998</v>
      </c>
      <c r="T107" s="209">
        <f t="shared" si="16"/>
        <v>0</v>
      </c>
      <c r="U107" s="209">
        <f>+SUMIFS('A DEPOSITAR'!$H$2:$H$998,'A DEPOSITAR'!$D$2:$D$998,(O107-2),'A DEPOSITAR'!$I$2:$I$998,"A Depositar")</f>
        <v>0</v>
      </c>
      <c r="V107" s="6"/>
      <c r="W107" s="6"/>
      <c r="X107" s="6"/>
      <c r="Y107" s="6"/>
      <c r="Z107" s="6"/>
    </row>
    <row r="108" spans="1:26" ht="12.75" x14ac:dyDescent="0.2">
      <c r="A108" s="31">
        <v>43785</v>
      </c>
      <c r="B108" s="29" t="s">
        <v>103</v>
      </c>
      <c r="C108" s="29">
        <v>70456017</v>
      </c>
      <c r="D108" s="30">
        <v>4594</v>
      </c>
      <c r="E108" s="29" t="s">
        <v>22</v>
      </c>
      <c r="F108" s="7">
        <v>43706</v>
      </c>
      <c r="G108" s="18"/>
      <c r="H108" s="16">
        <f t="shared" si="19"/>
        <v>16</v>
      </c>
      <c r="I108" s="16">
        <f t="shared" si="18"/>
        <v>11</v>
      </c>
      <c r="J108" s="122">
        <f t="shared" si="20"/>
        <v>2019</v>
      </c>
      <c r="K108" s="64">
        <f t="shared" si="13"/>
        <v>43845</v>
      </c>
      <c r="L108" s="6"/>
      <c r="M108" s="6"/>
      <c r="O108" s="208">
        <v>43753</v>
      </c>
      <c r="P108" s="209">
        <f t="shared" si="14"/>
        <v>0</v>
      </c>
      <c r="Q108" s="209">
        <f>+SUMIF('A DEPOSITAR'!$D$2:$D$998,(O108-2),'A DEPOSITAR'!$H$2:$H$998)</f>
        <v>0</v>
      </c>
      <c r="R108" s="210">
        <f t="shared" si="15"/>
        <v>0</v>
      </c>
      <c r="S108" s="210">
        <f t="shared" si="17"/>
        <v>147100.47999999998</v>
      </c>
      <c r="T108" s="209">
        <f t="shared" si="16"/>
        <v>0</v>
      </c>
      <c r="U108" s="209">
        <f>+SUMIFS('A DEPOSITAR'!$H$2:$H$998,'A DEPOSITAR'!$D$2:$D$998,(O108-2),'A DEPOSITAR'!$I$2:$I$998,"A Depositar")</f>
        <v>0</v>
      </c>
      <c r="V108" s="6"/>
      <c r="W108" s="6"/>
      <c r="X108" s="6"/>
      <c r="Y108" s="6"/>
      <c r="Z108" s="6"/>
    </row>
    <row r="109" spans="1:26" ht="12.75" x14ac:dyDescent="0.2">
      <c r="A109" s="31">
        <v>43776</v>
      </c>
      <c r="B109" s="29" t="s">
        <v>103</v>
      </c>
      <c r="C109" s="29">
        <v>70456018</v>
      </c>
      <c r="D109" s="30">
        <v>6380</v>
      </c>
      <c r="E109" s="29" t="s">
        <v>22</v>
      </c>
      <c r="F109" s="7">
        <v>43706</v>
      </c>
      <c r="G109" s="18"/>
      <c r="H109" s="16">
        <f t="shared" si="19"/>
        <v>7</v>
      </c>
      <c r="I109" s="16">
        <f t="shared" si="18"/>
        <v>11</v>
      </c>
      <c r="J109" s="122">
        <f t="shared" si="20"/>
        <v>2019</v>
      </c>
      <c r="K109" s="64">
        <f t="shared" si="13"/>
        <v>43836</v>
      </c>
      <c r="L109" s="6"/>
      <c r="M109" s="6"/>
      <c r="O109" s="208">
        <v>43754</v>
      </c>
      <c r="P109" s="209">
        <f t="shared" si="14"/>
        <v>15000</v>
      </c>
      <c r="Q109" s="209">
        <f>+SUMIF('A DEPOSITAR'!$D$2:$D$998,(O109-2),'A DEPOSITAR'!$H$2:$H$998)</f>
        <v>3400</v>
      </c>
      <c r="R109" s="210">
        <f t="shared" si="15"/>
        <v>-11600</v>
      </c>
      <c r="S109" s="210">
        <f t="shared" si="17"/>
        <v>135500.47999999998</v>
      </c>
      <c r="T109" s="209">
        <f t="shared" si="16"/>
        <v>0</v>
      </c>
      <c r="U109" s="209">
        <f>+SUMIFS('A DEPOSITAR'!$H$2:$H$998,'A DEPOSITAR'!$D$2:$D$998,(O109-2),'A DEPOSITAR'!$I$2:$I$998,"A Depositar")</f>
        <v>0</v>
      </c>
      <c r="V109" s="6"/>
      <c r="W109" s="6"/>
      <c r="X109" s="6"/>
      <c r="Y109" s="6"/>
      <c r="Z109" s="6"/>
    </row>
    <row r="110" spans="1:26" ht="12.75" x14ac:dyDescent="0.2">
      <c r="A110" s="31">
        <v>43785</v>
      </c>
      <c r="B110" s="29" t="s">
        <v>103</v>
      </c>
      <c r="C110" s="29">
        <v>70456019</v>
      </c>
      <c r="D110" s="30">
        <v>6290</v>
      </c>
      <c r="E110" s="29" t="s">
        <v>22</v>
      </c>
      <c r="F110" s="7">
        <v>43706</v>
      </c>
      <c r="G110" s="18"/>
      <c r="H110" s="16">
        <f t="shared" si="19"/>
        <v>16</v>
      </c>
      <c r="I110" s="16">
        <f t="shared" si="18"/>
        <v>11</v>
      </c>
      <c r="J110" s="122">
        <f t="shared" si="20"/>
        <v>2019</v>
      </c>
      <c r="K110" s="64">
        <f t="shared" si="13"/>
        <v>43845</v>
      </c>
      <c r="L110" s="6"/>
      <c r="M110" s="6"/>
      <c r="O110" s="208">
        <v>43755</v>
      </c>
      <c r="P110" s="209">
        <f t="shared" si="14"/>
        <v>0</v>
      </c>
      <c r="Q110" s="209">
        <f>+SUMIF('A DEPOSITAR'!$D$2:$D$998,(O110-2),'A DEPOSITAR'!$H$2:$H$998)</f>
        <v>7168</v>
      </c>
      <c r="R110" s="210">
        <f t="shared" si="15"/>
        <v>7168</v>
      </c>
      <c r="S110" s="210">
        <f t="shared" si="17"/>
        <v>142668.47999999998</v>
      </c>
      <c r="T110" s="209">
        <f t="shared" si="16"/>
        <v>0</v>
      </c>
      <c r="U110" s="209">
        <f>+SUMIFS('A DEPOSITAR'!$H$2:$H$998,'A DEPOSITAR'!$D$2:$D$998,(O110-2),'A DEPOSITAR'!$I$2:$I$998,"A Depositar")</f>
        <v>0</v>
      </c>
      <c r="V110" s="6"/>
      <c r="W110" s="6"/>
      <c r="X110" s="6"/>
      <c r="Y110" s="6"/>
      <c r="Z110" s="6"/>
    </row>
    <row r="111" spans="1:26" ht="12.75" x14ac:dyDescent="0.2">
      <c r="A111" s="31">
        <v>43706</v>
      </c>
      <c r="B111" s="29" t="s">
        <v>122</v>
      </c>
      <c r="C111" s="29">
        <v>70456020</v>
      </c>
      <c r="D111" s="30">
        <v>7000</v>
      </c>
      <c r="E111" s="29" t="s">
        <v>22</v>
      </c>
      <c r="F111" s="7">
        <v>43706</v>
      </c>
      <c r="G111" s="18"/>
      <c r="H111" s="16">
        <f t="shared" si="19"/>
        <v>29</v>
      </c>
      <c r="I111" s="16">
        <f t="shared" si="18"/>
        <v>8</v>
      </c>
      <c r="J111" s="122">
        <f t="shared" si="20"/>
        <v>2019</v>
      </c>
      <c r="K111" s="64">
        <f t="shared" si="13"/>
        <v>43766</v>
      </c>
      <c r="L111" s="6"/>
      <c r="M111" s="6"/>
      <c r="O111" s="208">
        <v>43756</v>
      </c>
      <c r="P111" s="209">
        <f t="shared" si="14"/>
        <v>21000</v>
      </c>
      <c r="Q111" s="209">
        <f>+SUMIF('A DEPOSITAR'!$D$2:$D$998,(O111-2),'A DEPOSITAR'!$H$2:$H$998)</f>
        <v>2536</v>
      </c>
      <c r="R111" s="210">
        <f t="shared" si="15"/>
        <v>-18464</v>
      </c>
      <c r="S111" s="210">
        <f t="shared" si="17"/>
        <v>124204.47999999998</v>
      </c>
      <c r="T111" s="209">
        <f t="shared" si="16"/>
        <v>0</v>
      </c>
      <c r="U111" s="209">
        <f>+SUMIFS('A DEPOSITAR'!$H$2:$H$998,'A DEPOSITAR'!$D$2:$D$998,(O111-2),'A DEPOSITAR'!$I$2:$I$998,"A Depositar")</f>
        <v>0</v>
      </c>
      <c r="V111" s="6"/>
      <c r="W111" s="6"/>
      <c r="X111" s="6"/>
      <c r="Y111" s="6"/>
      <c r="Z111" s="6"/>
    </row>
    <row r="112" spans="1:26" ht="12.75" x14ac:dyDescent="0.2">
      <c r="A112" s="31">
        <v>43760</v>
      </c>
      <c r="B112" s="29" t="s">
        <v>94</v>
      </c>
      <c r="C112" s="29">
        <v>70456021</v>
      </c>
      <c r="D112" s="30">
        <v>1380.64</v>
      </c>
      <c r="E112" s="29" t="s">
        <v>22</v>
      </c>
      <c r="F112" s="7">
        <v>43710</v>
      </c>
      <c r="G112" s="18"/>
      <c r="H112" s="16">
        <f t="shared" si="19"/>
        <v>22</v>
      </c>
      <c r="I112" s="16">
        <f t="shared" si="18"/>
        <v>10</v>
      </c>
      <c r="J112" s="122">
        <f t="shared" si="20"/>
        <v>2019</v>
      </c>
      <c r="K112" s="64">
        <f t="shared" si="13"/>
        <v>43820</v>
      </c>
      <c r="L112" s="6"/>
      <c r="M112" s="6"/>
      <c r="O112" s="208">
        <v>43757</v>
      </c>
      <c r="P112" s="209">
        <f t="shared" si="14"/>
        <v>0</v>
      </c>
      <c r="Q112" s="209">
        <f>+SUMIF('A DEPOSITAR'!$D$2:$D$998,(O112-2),'A DEPOSITAR'!$H$2:$H$998)</f>
        <v>0</v>
      </c>
      <c r="R112" s="210">
        <f t="shared" si="15"/>
        <v>0</v>
      </c>
      <c r="S112" s="210">
        <f t="shared" si="17"/>
        <v>124204.47999999998</v>
      </c>
      <c r="T112" s="209">
        <f t="shared" si="16"/>
        <v>0</v>
      </c>
      <c r="U112" s="209">
        <f>+SUMIFS('A DEPOSITAR'!$H$2:$H$998,'A DEPOSITAR'!$D$2:$D$998,(O112-2),'A DEPOSITAR'!$I$2:$I$998,"A Depositar")</f>
        <v>0</v>
      </c>
      <c r="V112" s="6"/>
      <c r="W112" s="6"/>
      <c r="X112" s="6"/>
      <c r="Y112" s="6"/>
      <c r="Z112" s="6"/>
    </row>
    <row r="113" spans="1:26" ht="12.75" x14ac:dyDescent="0.2">
      <c r="A113" s="31">
        <v>43712</v>
      </c>
      <c r="B113" s="29" t="s">
        <v>122</v>
      </c>
      <c r="C113" s="29">
        <v>70456022</v>
      </c>
      <c r="D113" s="30">
        <v>9000</v>
      </c>
      <c r="E113" s="29" t="s">
        <v>22</v>
      </c>
      <c r="F113" s="7">
        <v>43710</v>
      </c>
      <c r="G113" s="18"/>
      <c r="H113" s="16">
        <f t="shared" si="19"/>
        <v>4</v>
      </c>
      <c r="I113" s="16">
        <f t="shared" si="18"/>
        <v>9</v>
      </c>
      <c r="J113" s="122">
        <f t="shared" si="20"/>
        <v>2019</v>
      </c>
      <c r="K113" s="64">
        <f t="shared" si="13"/>
        <v>43772</v>
      </c>
      <c r="L113" s="6"/>
      <c r="M113" s="6"/>
      <c r="O113" s="208">
        <v>43758</v>
      </c>
      <c r="P113" s="209">
        <f t="shared" si="14"/>
        <v>0</v>
      </c>
      <c r="Q113" s="209">
        <f>+SUMIF('A DEPOSITAR'!$D$2:$D$998,(O113-2),'A DEPOSITAR'!$H$2:$H$998)</f>
        <v>9160</v>
      </c>
      <c r="R113" s="210">
        <f t="shared" si="15"/>
        <v>9160</v>
      </c>
      <c r="S113" s="210">
        <f t="shared" si="17"/>
        <v>133364.47999999998</v>
      </c>
      <c r="T113" s="209">
        <f t="shared" si="16"/>
        <v>0</v>
      </c>
      <c r="U113" s="209">
        <f>+SUMIFS('A DEPOSITAR'!$H$2:$H$998,'A DEPOSITAR'!$D$2:$D$998,(O113-2),'A DEPOSITAR'!$I$2:$I$998,"A Depositar")</f>
        <v>0</v>
      </c>
      <c r="V113" s="6"/>
      <c r="W113" s="6"/>
      <c r="X113" s="6"/>
      <c r="Y113" s="6"/>
      <c r="Z113" s="6"/>
    </row>
    <row r="114" spans="1:26" ht="12.75" x14ac:dyDescent="0.2">
      <c r="A114" s="31">
        <v>43776</v>
      </c>
      <c r="B114" s="29" t="s">
        <v>157</v>
      </c>
      <c r="C114" s="29">
        <v>70456023</v>
      </c>
      <c r="D114" s="30">
        <v>2255</v>
      </c>
      <c r="E114" s="29" t="s">
        <v>22</v>
      </c>
      <c r="F114" s="7">
        <v>43710</v>
      </c>
      <c r="G114" s="18"/>
      <c r="H114" s="16">
        <f t="shared" si="19"/>
        <v>7</v>
      </c>
      <c r="I114" s="16">
        <f t="shared" si="18"/>
        <v>11</v>
      </c>
      <c r="J114" s="122">
        <f t="shared" si="20"/>
        <v>2019</v>
      </c>
      <c r="K114" s="64">
        <f t="shared" si="13"/>
        <v>43836</v>
      </c>
      <c r="L114" s="6"/>
      <c r="M114" s="6"/>
      <c r="O114" s="208">
        <v>43759</v>
      </c>
      <c r="P114" s="209">
        <f t="shared" si="14"/>
        <v>0</v>
      </c>
      <c r="Q114" s="209">
        <f>+SUMIF('A DEPOSITAR'!$D$2:$D$998,(O114-2),'A DEPOSITAR'!$H$2:$H$998)</f>
        <v>0</v>
      </c>
      <c r="R114" s="210">
        <f t="shared" si="15"/>
        <v>0</v>
      </c>
      <c r="S114" s="210">
        <f t="shared" si="17"/>
        <v>133364.47999999998</v>
      </c>
      <c r="T114" s="209">
        <f t="shared" si="16"/>
        <v>0</v>
      </c>
      <c r="U114" s="209">
        <f>+SUMIFS('A DEPOSITAR'!$H$2:$H$998,'A DEPOSITAR'!$D$2:$D$998,(O114-2),'A DEPOSITAR'!$I$2:$I$998,"A Depositar")</f>
        <v>0</v>
      </c>
      <c r="V114" s="6"/>
      <c r="W114" s="6"/>
      <c r="X114" s="6"/>
      <c r="Y114" s="6"/>
      <c r="Z114" s="6"/>
    </row>
    <row r="115" spans="1:26" ht="12.75" x14ac:dyDescent="0.2">
      <c r="A115" s="31">
        <v>43721</v>
      </c>
      <c r="B115" s="29" t="s">
        <v>122</v>
      </c>
      <c r="C115" s="29">
        <v>70456024</v>
      </c>
      <c r="D115" s="30">
        <v>11000</v>
      </c>
      <c r="E115" s="29" t="s">
        <v>22</v>
      </c>
      <c r="F115" s="7">
        <v>43721</v>
      </c>
      <c r="G115" s="18"/>
      <c r="H115" s="16">
        <f t="shared" si="19"/>
        <v>13</v>
      </c>
      <c r="I115" s="16">
        <f t="shared" ref="I115:I146" si="21">MONTH(A115)</f>
        <v>9</v>
      </c>
      <c r="J115" s="122">
        <f t="shared" si="20"/>
        <v>2019</v>
      </c>
      <c r="K115" s="64">
        <f t="shared" si="13"/>
        <v>43781</v>
      </c>
      <c r="L115" s="6"/>
      <c r="M115" s="6"/>
      <c r="O115" s="208">
        <v>43760</v>
      </c>
      <c r="P115" s="209">
        <f t="shared" si="14"/>
        <v>25322.639999999999</v>
      </c>
      <c r="Q115" s="209">
        <f>+SUMIF('A DEPOSITAR'!$D$2:$D$998,(O115-2),'A DEPOSITAR'!$H$2:$H$998)</f>
        <v>0</v>
      </c>
      <c r="R115" s="210">
        <f t="shared" si="15"/>
        <v>-25322.639999999999</v>
      </c>
      <c r="S115" s="210">
        <f t="shared" si="17"/>
        <v>108041.83999999998</v>
      </c>
      <c r="T115" s="209">
        <f t="shared" si="16"/>
        <v>0</v>
      </c>
      <c r="U115" s="209">
        <f>+SUMIFS('A DEPOSITAR'!$H$2:$H$998,'A DEPOSITAR'!$D$2:$D$998,(O115-2),'A DEPOSITAR'!$I$2:$I$998,"A Depositar")</f>
        <v>0</v>
      </c>
      <c r="V115" s="6"/>
      <c r="W115" s="6"/>
      <c r="X115" s="6"/>
      <c r="Y115" s="6"/>
      <c r="Z115" s="6"/>
    </row>
    <row r="116" spans="1:26" ht="12.75" x14ac:dyDescent="0.2">
      <c r="A116" s="31">
        <v>43746</v>
      </c>
      <c r="B116" s="29" t="s">
        <v>103</v>
      </c>
      <c r="C116" s="29">
        <v>70456025</v>
      </c>
      <c r="D116" s="30">
        <v>8634</v>
      </c>
      <c r="E116" s="29" t="s">
        <v>22</v>
      </c>
      <c r="F116" s="7">
        <v>43752</v>
      </c>
      <c r="G116" s="18"/>
      <c r="H116" s="16">
        <f t="shared" si="19"/>
        <v>8</v>
      </c>
      <c r="I116" s="16">
        <f t="shared" si="21"/>
        <v>10</v>
      </c>
      <c r="J116" s="122">
        <f t="shared" si="20"/>
        <v>2019</v>
      </c>
      <c r="K116" s="64">
        <f t="shared" si="13"/>
        <v>43806</v>
      </c>
      <c r="L116" s="6"/>
      <c r="M116" s="6"/>
      <c r="O116" s="208">
        <v>43761</v>
      </c>
      <c r="P116" s="209">
        <f t="shared" si="14"/>
        <v>0</v>
      </c>
      <c r="Q116" s="209">
        <f>+SUMIF('A DEPOSITAR'!$D$2:$D$998,(O116-2),'A DEPOSITAR'!$H$2:$H$998)</f>
        <v>29640</v>
      </c>
      <c r="R116" s="210">
        <f t="shared" si="15"/>
        <v>29640</v>
      </c>
      <c r="S116" s="210">
        <f t="shared" si="17"/>
        <v>137681.83999999997</v>
      </c>
      <c r="T116" s="209">
        <f t="shared" si="16"/>
        <v>0</v>
      </c>
      <c r="U116" s="209">
        <f>+SUMIFS('A DEPOSITAR'!$H$2:$H$998,'A DEPOSITAR'!$D$2:$D$998,(O116-2),'A DEPOSITAR'!$I$2:$I$998,"A Depositar")</f>
        <v>0</v>
      </c>
      <c r="V116" s="6"/>
      <c r="W116" s="6"/>
      <c r="X116" s="6"/>
      <c r="Y116" s="6"/>
      <c r="Z116" s="6"/>
    </row>
    <row r="117" spans="1:26" ht="12.75" x14ac:dyDescent="0.2">
      <c r="A117" s="31">
        <v>43726</v>
      </c>
      <c r="B117" s="29" t="s">
        <v>122</v>
      </c>
      <c r="C117" s="29">
        <v>72178301</v>
      </c>
      <c r="D117" s="30">
        <v>15000</v>
      </c>
      <c r="E117" s="29" t="s">
        <v>22</v>
      </c>
      <c r="F117" s="7">
        <v>43726</v>
      </c>
      <c r="G117" s="18"/>
      <c r="H117" s="16">
        <f t="shared" si="19"/>
        <v>18</v>
      </c>
      <c r="I117" s="16">
        <f t="shared" si="21"/>
        <v>9</v>
      </c>
      <c r="J117" s="122">
        <f t="shared" si="20"/>
        <v>2019</v>
      </c>
      <c r="K117" s="64">
        <f t="shared" si="13"/>
        <v>43786</v>
      </c>
      <c r="L117" s="6"/>
      <c r="M117" s="6"/>
      <c r="O117" s="208">
        <v>43762</v>
      </c>
      <c r="P117" s="209">
        <f t="shared" si="14"/>
        <v>0</v>
      </c>
      <c r="Q117" s="209">
        <f>+SUMIF('A DEPOSITAR'!$D$2:$D$998,(O117-2),'A DEPOSITAR'!$H$2:$H$998)</f>
        <v>20000</v>
      </c>
      <c r="R117" s="210">
        <f t="shared" si="15"/>
        <v>20000</v>
      </c>
      <c r="S117" s="210">
        <f t="shared" si="17"/>
        <v>157681.83999999997</v>
      </c>
      <c r="T117" s="209">
        <f t="shared" si="16"/>
        <v>0</v>
      </c>
      <c r="U117" s="209">
        <f>+SUMIFS('A DEPOSITAR'!$H$2:$H$998,'A DEPOSITAR'!$D$2:$D$998,(O117-2),'A DEPOSITAR'!$I$2:$I$998,"A Depositar")</f>
        <v>0</v>
      </c>
      <c r="V117" s="6"/>
      <c r="W117" s="6"/>
      <c r="X117" s="6"/>
      <c r="Y117" s="6"/>
      <c r="Z117" s="6"/>
    </row>
    <row r="118" spans="1:26" ht="12.75" x14ac:dyDescent="0.2">
      <c r="A118" s="31">
        <v>43728</v>
      </c>
      <c r="B118" s="29" t="s">
        <v>122</v>
      </c>
      <c r="C118" s="29">
        <v>72178302</v>
      </c>
      <c r="D118" s="30">
        <v>10000</v>
      </c>
      <c r="E118" s="29" t="s">
        <v>22</v>
      </c>
      <c r="F118" s="7">
        <v>43728</v>
      </c>
      <c r="G118" s="18"/>
      <c r="H118" s="16">
        <f t="shared" si="19"/>
        <v>20</v>
      </c>
      <c r="I118" s="16">
        <f t="shared" si="21"/>
        <v>9</v>
      </c>
      <c r="J118" s="122">
        <f t="shared" si="20"/>
        <v>2019</v>
      </c>
      <c r="K118" s="64">
        <f t="shared" si="13"/>
        <v>43788</v>
      </c>
      <c r="L118" s="6"/>
      <c r="M118" s="6"/>
      <c r="O118" s="208">
        <v>43763</v>
      </c>
      <c r="P118" s="209">
        <f t="shared" si="14"/>
        <v>0</v>
      </c>
      <c r="Q118" s="209">
        <f>+SUMIF('A DEPOSITAR'!$D$2:$D$998,(O118-2),'A DEPOSITAR'!$H$2:$H$998)</f>
        <v>3700</v>
      </c>
      <c r="R118" s="210">
        <f t="shared" si="15"/>
        <v>3700</v>
      </c>
      <c r="S118" s="210">
        <f t="shared" si="17"/>
        <v>161381.83999999997</v>
      </c>
      <c r="T118" s="209">
        <f t="shared" si="16"/>
        <v>0</v>
      </c>
      <c r="U118" s="209">
        <f>+SUMIFS('A DEPOSITAR'!$H$2:$H$998,'A DEPOSITAR'!$D$2:$D$998,(O118-2),'A DEPOSITAR'!$I$2:$I$998,"A Depositar")</f>
        <v>0</v>
      </c>
      <c r="V118" s="6"/>
      <c r="W118" s="6"/>
      <c r="X118" s="6"/>
      <c r="Y118" s="6"/>
      <c r="Z118" s="6"/>
    </row>
    <row r="119" spans="1:26" ht="12.75" x14ac:dyDescent="0.2">
      <c r="A119" s="31">
        <v>43777</v>
      </c>
      <c r="B119" s="29" t="s">
        <v>103</v>
      </c>
      <c r="C119" s="29">
        <v>72178303</v>
      </c>
      <c r="D119" s="30">
        <v>6000</v>
      </c>
      <c r="E119" s="29" t="s">
        <v>22</v>
      </c>
      <c r="F119" s="7">
        <v>43728</v>
      </c>
      <c r="G119" s="18"/>
      <c r="H119" s="16">
        <f t="shared" si="19"/>
        <v>8</v>
      </c>
      <c r="I119" s="16">
        <f t="shared" si="21"/>
        <v>11</v>
      </c>
      <c r="J119" s="122">
        <f t="shared" si="20"/>
        <v>2019</v>
      </c>
      <c r="K119" s="64">
        <f t="shared" si="13"/>
        <v>43837</v>
      </c>
      <c r="L119" s="6"/>
      <c r="M119" s="6"/>
      <c r="O119" s="208">
        <v>43764</v>
      </c>
      <c r="P119" s="209">
        <f t="shared" si="14"/>
        <v>13393.83</v>
      </c>
      <c r="Q119" s="209">
        <f>+SUMIF('A DEPOSITAR'!$D$2:$D$998,(O119-2),'A DEPOSITAR'!$H$2:$H$998)</f>
        <v>3730</v>
      </c>
      <c r="R119" s="210">
        <f t="shared" si="15"/>
        <v>-9663.83</v>
      </c>
      <c r="S119" s="210">
        <f t="shared" si="17"/>
        <v>151718.00999999998</v>
      </c>
      <c r="T119" s="209">
        <f t="shared" si="16"/>
        <v>0</v>
      </c>
      <c r="U119" s="209">
        <f>+SUMIFS('A DEPOSITAR'!$H$2:$H$998,'A DEPOSITAR'!$D$2:$D$998,(O119-2),'A DEPOSITAR'!$I$2:$I$998,"A Depositar")</f>
        <v>0</v>
      </c>
      <c r="V119" s="6"/>
      <c r="W119" s="6"/>
      <c r="X119" s="6"/>
      <c r="Y119" s="6"/>
      <c r="Z119" s="6"/>
    </row>
    <row r="120" spans="1:26" ht="12.75" x14ac:dyDescent="0.2">
      <c r="A120" s="31">
        <v>43792</v>
      </c>
      <c r="B120" s="29" t="s">
        <v>103</v>
      </c>
      <c r="C120" s="29">
        <v>72178304</v>
      </c>
      <c r="D120" s="30">
        <v>6000</v>
      </c>
      <c r="E120" s="29" t="s">
        <v>22</v>
      </c>
      <c r="F120" s="7">
        <v>43728</v>
      </c>
      <c r="G120" s="18"/>
      <c r="H120" s="16">
        <f t="shared" si="19"/>
        <v>23</v>
      </c>
      <c r="I120" s="16">
        <f t="shared" si="21"/>
        <v>11</v>
      </c>
      <c r="J120" s="122">
        <f t="shared" si="20"/>
        <v>2019</v>
      </c>
      <c r="K120" s="64">
        <f t="shared" si="13"/>
        <v>43852</v>
      </c>
      <c r="L120" s="6"/>
      <c r="M120" s="6"/>
      <c r="O120" s="208">
        <v>43765</v>
      </c>
      <c r="P120" s="209">
        <f t="shared" si="14"/>
        <v>8600</v>
      </c>
      <c r="Q120" s="209">
        <f>+SUMIF('A DEPOSITAR'!$D$2:$D$998,(O120-2),'A DEPOSITAR'!$H$2:$H$998)</f>
        <v>4500</v>
      </c>
      <c r="R120" s="210">
        <f t="shared" si="15"/>
        <v>-4100</v>
      </c>
      <c r="S120" s="210">
        <f t="shared" si="17"/>
        <v>147618.00999999998</v>
      </c>
      <c r="T120" s="209">
        <f t="shared" si="16"/>
        <v>0</v>
      </c>
      <c r="U120" s="209">
        <f>+SUMIFS('A DEPOSITAR'!$H$2:$H$998,'A DEPOSITAR'!$D$2:$D$998,(O120-2),'A DEPOSITAR'!$I$2:$I$998,"A Depositar")</f>
        <v>0</v>
      </c>
      <c r="V120" s="6"/>
      <c r="W120" s="6"/>
      <c r="X120" s="6"/>
      <c r="Y120" s="6"/>
      <c r="Z120" s="6"/>
    </row>
    <row r="121" spans="1:26" ht="12.75" x14ac:dyDescent="0.2">
      <c r="A121" s="31">
        <v>43799</v>
      </c>
      <c r="B121" s="29" t="s">
        <v>103</v>
      </c>
      <c r="C121" s="29">
        <v>72178305</v>
      </c>
      <c r="D121" s="30">
        <v>7717</v>
      </c>
      <c r="E121" s="29" t="s">
        <v>22</v>
      </c>
      <c r="F121" s="7">
        <v>43728</v>
      </c>
      <c r="G121" s="18"/>
      <c r="H121" s="16">
        <f t="shared" si="19"/>
        <v>30</v>
      </c>
      <c r="I121" s="16">
        <f t="shared" si="21"/>
        <v>11</v>
      </c>
      <c r="J121" s="122">
        <f t="shared" si="20"/>
        <v>2019</v>
      </c>
      <c r="K121" s="64">
        <f t="shared" si="13"/>
        <v>43859</v>
      </c>
      <c r="L121" s="6"/>
      <c r="M121" s="6"/>
      <c r="O121" s="208">
        <v>43766</v>
      </c>
      <c r="P121" s="209">
        <f t="shared" si="14"/>
        <v>0</v>
      </c>
      <c r="Q121" s="209">
        <f>+SUMIF('A DEPOSITAR'!$D$2:$D$998,(O121-2),'A DEPOSITAR'!$H$2:$H$998)</f>
        <v>14020</v>
      </c>
      <c r="R121" s="210">
        <f t="shared" si="15"/>
        <v>14020</v>
      </c>
      <c r="S121" s="210">
        <f t="shared" si="17"/>
        <v>161638.00999999998</v>
      </c>
      <c r="T121" s="209">
        <f t="shared" si="16"/>
        <v>0</v>
      </c>
      <c r="U121" s="209">
        <f>+SUMIFS('A DEPOSITAR'!$H$2:$H$998,'A DEPOSITAR'!$D$2:$D$998,(O121-2),'A DEPOSITAR'!$I$2:$I$998,"A Depositar")</f>
        <v>0</v>
      </c>
      <c r="V121" s="6"/>
      <c r="W121" s="6"/>
      <c r="X121" s="6"/>
      <c r="Y121" s="6"/>
      <c r="Z121" s="6"/>
    </row>
    <row r="122" spans="1:26" ht="12.75" x14ac:dyDescent="0.2">
      <c r="A122" s="31">
        <v>43880</v>
      </c>
      <c r="B122" s="29" t="s">
        <v>94</v>
      </c>
      <c r="C122" s="29">
        <v>72178306</v>
      </c>
      <c r="D122" s="30">
        <v>6000</v>
      </c>
      <c r="E122" s="29" t="s">
        <v>22</v>
      </c>
      <c r="F122" s="7">
        <v>43734</v>
      </c>
      <c r="G122" s="18"/>
      <c r="H122" s="16">
        <f t="shared" si="19"/>
        <v>19</v>
      </c>
      <c r="I122" s="16">
        <f t="shared" si="21"/>
        <v>2</v>
      </c>
      <c r="J122" s="122">
        <f t="shared" si="20"/>
        <v>2020</v>
      </c>
      <c r="K122" s="64">
        <f t="shared" si="13"/>
        <v>43940</v>
      </c>
      <c r="L122" s="6"/>
      <c r="M122" s="6"/>
      <c r="O122" s="208">
        <v>43767</v>
      </c>
      <c r="P122" s="209">
        <f t="shared" si="14"/>
        <v>0</v>
      </c>
      <c r="Q122" s="209">
        <f>+SUMIF('A DEPOSITAR'!$D$2:$D$998,(O122-2),'A DEPOSITAR'!$H$2:$H$998)</f>
        <v>7094</v>
      </c>
      <c r="R122" s="210">
        <f t="shared" si="15"/>
        <v>7094</v>
      </c>
      <c r="S122" s="210">
        <f t="shared" si="17"/>
        <v>168732.00999999998</v>
      </c>
      <c r="T122" s="209">
        <f t="shared" si="16"/>
        <v>0</v>
      </c>
      <c r="U122" s="209">
        <f>+SUMIFS('A DEPOSITAR'!$H$2:$H$998,'A DEPOSITAR'!$D$2:$D$998,(O122-2),'A DEPOSITAR'!$I$2:$I$998,"A Depositar")</f>
        <v>0</v>
      </c>
      <c r="V122" s="6"/>
      <c r="W122" s="6"/>
      <c r="X122" s="6"/>
      <c r="Y122" s="6"/>
      <c r="Z122" s="6"/>
    </row>
    <row r="123" spans="1:26" ht="12.75" x14ac:dyDescent="0.2">
      <c r="A123" s="31">
        <v>43898</v>
      </c>
      <c r="B123" s="29" t="s">
        <v>23</v>
      </c>
      <c r="C123" s="29">
        <v>72178307</v>
      </c>
      <c r="D123" s="30">
        <v>5542</v>
      </c>
      <c r="E123" s="29" t="s">
        <v>22</v>
      </c>
      <c r="F123" s="7">
        <v>43734</v>
      </c>
      <c r="G123" s="18"/>
      <c r="H123" s="16">
        <f t="shared" si="19"/>
        <v>8</v>
      </c>
      <c r="I123" s="16">
        <f t="shared" si="21"/>
        <v>3</v>
      </c>
      <c r="J123" s="122">
        <f t="shared" si="20"/>
        <v>2020</v>
      </c>
      <c r="K123" s="64">
        <f t="shared" si="13"/>
        <v>43958</v>
      </c>
      <c r="L123" s="6"/>
      <c r="M123" s="6"/>
      <c r="O123" s="208">
        <v>43768</v>
      </c>
      <c r="P123" s="209">
        <f t="shared" si="14"/>
        <v>12668</v>
      </c>
      <c r="Q123" s="209">
        <f>+SUMIF('A DEPOSITAR'!$D$2:$D$998,(O123-2),'A DEPOSITAR'!$H$2:$H$998)</f>
        <v>1669</v>
      </c>
      <c r="R123" s="210">
        <f t="shared" si="15"/>
        <v>-10999</v>
      </c>
      <c r="S123" s="210">
        <f t="shared" si="17"/>
        <v>157733.00999999998</v>
      </c>
      <c r="T123" s="209">
        <f t="shared" si="16"/>
        <v>0</v>
      </c>
      <c r="U123" s="209">
        <f>+SUMIFS('A DEPOSITAR'!$H$2:$H$998,'A DEPOSITAR'!$D$2:$D$998,(O123-2),'A DEPOSITAR'!$I$2:$I$998,"A Depositar")</f>
        <v>0</v>
      </c>
      <c r="V123" s="6"/>
      <c r="W123" s="6"/>
      <c r="X123" s="6"/>
      <c r="Y123" s="6"/>
      <c r="Z123" s="6"/>
    </row>
    <row r="124" spans="1:26" ht="12.75" x14ac:dyDescent="0.2">
      <c r="A124" s="31">
        <v>43791</v>
      </c>
      <c r="B124" s="29" t="s">
        <v>163</v>
      </c>
      <c r="C124" s="29">
        <v>72178308</v>
      </c>
      <c r="D124" s="30">
        <v>3417</v>
      </c>
      <c r="E124" s="29" t="s">
        <v>22</v>
      </c>
      <c r="F124" s="7">
        <v>43734</v>
      </c>
      <c r="G124" s="18"/>
      <c r="H124" s="16">
        <f t="shared" si="19"/>
        <v>22</v>
      </c>
      <c r="I124" s="16">
        <f t="shared" si="21"/>
        <v>11</v>
      </c>
      <c r="J124" s="122">
        <f t="shared" si="20"/>
        <v>2019</v>
      </c>
      <c r="K124" s="64">
        <f t="shared" si="13"/>
        <v>43851</v>
      </c>
      <c r="L124" s="6"/>
      <c r="M124" s="6"/>
      <c r="O124" s="208">
        <v>43769</v>
      </c>
      <c r="P124" s="209">
        <f t="shared" si="14"/>
        <v>8500</v>
      </c>
      <c r="Q124" s="209">
        <f>+SUMIF('A DEPOSITAR'!$D$2:$D$998,(O124-2),'A DEPOSITAR'!$H$2:$H$998)</f>
        <v>30000</v>
      </c>
      <c r="R124" s="210">
        <f t="shared" si="15"/>
        <v>21500</v>
      </c>
      <c r="S124" s="210">
        <f t="shared" si="17"/>
        <v>179233.00999999998</v>
      </c>
      <c r="T124" s="209">
        <f t="shared" si="16"/>
        <v>0</v>
      </c>
      <c r="U124" s="209">
        <f>+SUMIFS('A DEPOSITAR'!$H$2:$H$998,'A DEPOSITAR'!$D$2:$D$998,(O124-2),'A DEPOSITAR'!$I$2:$I$998,"A Depositar")</f>
        <v>0</v>
      </c>
      <c r="V124" s="6"/>
      <c r="W124" s="6"/>
      <c r="X124" s="6"/>
      <c r="Y124" s="6"/>
      <c r="Z124" s="6"/>
    </row>
    <row r="125" spans="1:26" ht="12.75" x14ac:dyDescent="0.2">
      <c r="A125" s="31">
        <v>43791</v>
      </c>
      <c r="B125" s="29" t="s">
        <v>103</v>
      </c>
      <c r="C125" s="29">
        <v>72178309</v>
      </c>
      <c r="D125" s="30">
        <v>2027</v>
      </c>
      <c r="E125" s="29" t="s">
        <v>22</v>
      </c>
      <c r="F125" s="7">
        <v>43735</v>
      </c>
      <c r="G125" s="18"/>
      <c r="H125" s="16">
        <f t="shared" si="19"/>
        <v>22</v>
      </c>
      <c r="I125" s="16">
        <f t="shared" si="21"/>
        <v>11</v>
      </c>
      <c r="J125" s="122">
        <f t="shared" si="20"/>
        <v>2019</v>
      </c>
      <c r="K125" s="64">
        <f t="shared" si="13"/>
        <v>43851</v>
      </c>
      <c r="L125" s="6"/>
      <c r="M125" s="6"/>
      <c r="O125" s="208">
        <v>43770</v>
      </c>
      <c r="P125" s="209">
        <f t="shared" si="14"/>
        <v>0</v>
      </c>
      <c r="Q125" s="209">
        <f>+SUMIF('A DEPOSITAR'!$D$2:$D$998,(O125-2),'A DEPOSITAR'!$H$2:$H$998)</f>
        <v>48500</v>
      </c>
      <c r="R125" s="210">
        <f t="shared" si="15"/>
        <v>48500</v>
      </c>
      <c r="S125" s="210">
        <f t="shared" si="17"/>
        <v>227733.00999999998</v>
      </c>
      <c r="T125" s="209">
        <f t="shared" si="16"/>
        <v>0</v>
      </c>
      <c r="U125" s="209">
        <f>+SUMIFS('A DEPOSITAR'!$H$2:$H$998,'A DEPOSITAR'!$D$2:$D$998,(O125-2),'A DEPOSITAR'!$I$2:$I$998,"A Depositar")</f>
        <v>0</v>
      </c>
      <c r="V125" s="6"/>
      <c r="W125" s="6"/>
      <c r="X125" s="6"/>
      <c r="Y125" s="6"/>
      <c r="Z125" s="6"/>
    </row>
    <row r="126" spans="1:26" ht="12.75" x14ac:dyDescent="0.2">
      <c r="A126" s="31">
        <v>43791</v>
      </c>
      <c r="B126" s="29" t="s">
        <v>166</v>
      </c>
      <c r="C126" s="29">
        <v>72178310</v>
      </c>
      <c r="D126" s="30">
        <v>11600</v>
      </c>
      <c r="E126" s="29" t="s">
        <v>22</v>
      </c>
      <c r="F126" s="7">
        <v>43735</v>
      </c>
      <c r="G126" s="18"/>
      <c r="H126" s="16">
        <f t="shared" si="19"/>
        <v>22</v>
      </c>
      <c r="I126" s="16">
        <f t="shared" si="21"/>
        <v>11</v>
      </c>
      <c r="J126" s="122">
        <f t="shared" si="20"/>
        <v>2019</v>
      </c>
      <c r="K126" s="64">
        <f t="shared" si="13"/>
        <v>43851</v>
      </c>
      <c r="L126" s="6"/>
      <c r="M126" s="6"/>
      <c r="O126" s="208">
        <v>43771</v>
      </c>
      <c r="P126" s="209">
        <f t="shared" si="14"/>
        <v>0</v>
      </c>
      <c r="Q126" s="209">
        <f>+SUMIF('A DEPOSITAR'!$D$2:$D$998,(O126-2),'A DEPOSITAR'!$H$2:$H$998)</f>
        <v>100694</v>
      </c>
      <c r="R126" s="210">
        <f t="shared" si="15"/>
        <v>100694</v>
      </c>
      <c r="S126" s="210">
        <f t="shared" si="17"/>
        <v>328427.01</v>
      </c>
      <c r="T126" s="209">
        <f t="shared" si="16"/>
        <v>0</v>
      </c>
      <c r="U126" s="209">
        <f>+SUMIFS('A DEPOSITAR'!$H$2:$H$998,'A DEPOSITAR'!$D$2:$D$998,(O126-2),'A DEPOSITAR'!$I$2:$I$998,"A Depositar")</f>
        <v>0</v>
      </c>
      <c r="V126" s="6"/>
      <c r="W126" s="6"/>
      <c r="X126" s="6"/>
      <c r="Y126" s="6"/>
      <c r="Z126" s="6"/>
    </row>
    <row r="127" spans="1:26" ht="12.75" x14ac:dyDescent="0.2">
      <c r="A127" s="31">
        <v>43799</v>
      </c>
      <c r="B127" s="29" t="s">
        <v>166</v>
      </c>
      <c r="C127" s="29">
        <v>72178311</v>
      </c>
      <c r="D127" s="30">
        <v>11800</v>
      </c>
      <c r="E127" s="29" t="s">
        <v>22</v>
      </c>
      <c r="F127" s="7">
        <v>43735</v>
      </c>
      <c r="G127" s="18"/>
      <c r="H127" s="16">
        <f t="shared" si="19"/>
        <v>30</v>
      </c>
      <c r="I127" s="16">
        <f t="shared" si="21"/>
        <v>11</v>
      </c>
      <c r="J127" s="122">
        <f t="shared" si="20"/>
        <v>2019</v>
      </c>
      <c r="K127" s="64">
        <f t="shared" si="13"/>
        <v>43859</v>
      </c>
      <c r="L127" s="6"/>
      <c r="M127" s="6"/>
      <c r="O127" s="208">
        <v>43772</v>
      </c>
      <c r="P127" s="209">
        <f t="shared" si="14"/>
        <v>0</v>
      </c>
      <c r="Q127" s="209">
        <f>+SUMIF('A DEPOSITAR'!$D$2:$D$998,(O127-2),'A DEPOSITAR'!$H$2:$H$998)</f>
        <v>0</v>
      </c>
      <c r="R127" s="210">
        <f t="shared" si="15"/>
        <v>0</v>
      </c>
      <c r="S127" s="210">
        <f t="shared" si="17"/>
        <v>328427.01</v>
      </c>
      <c r="T127" s="209">
        <f t="shared" si="16"/>
        <v>0</v>
      </c>
      <c r="U127" s="209">
        <f>+SUMIFS('A DEPOSITAR'!$H$2:$H$998,'A DEPOSITAR'!$D$2:$D$998,(O127-2),'A DEPOSITAR'!$I$2:$I$998,"A Depositar")</f>
        <v>0</v>
      </c>
      <c r="V127" s="6"/>
      <c r="W127" s="6"/>
      <c r="X127" s="6"/>
      <c r="Y127" s="6"/>
      <c r="Z127" s="6"/>
    </row>
    <row r="128" spans="1:26" ht="12.75" x14ac:dyDescent="0.2">
      <c r="A128" s="31">
        <v>43807</v>
      </c>
      <c r="B128" s="29" t="s">
        <v>166</v>
      </c>
      <c r="C128" s="29">
        <v>72178312</v>
      </c>
      <c r="D128" s="30">
        <v>12000</v>
      </c>
      <c r="E128" s="29" t="s">
        <v>22</v>
      </c>
      <c r="F128" s="7">
        <v>43735</v>
      </c>
      <c r="G128" s="18"/>
      <c r="H128" s="16">
        <f t="shared" si="19"/>
        <v>8</v>
      </c>
      <c r="I128" s="16">
        <f t="shared" si="21"/>
        <v>12</v>
      </c>
      <c r="J128" s="122">
        <f t="shared" si="20"/>
        <v>2019</v>
      </c>
      <c r="K128" s="64">
        <f t="shared" si="13"/>
        <v>43867</v>
      </c>
      <c r="L128" s="6"/>
      <c r="M128" s="6"/>
      <c r="O128" s="208">
        <v>43773</v>
      </c>
      <c r="P128" s="209">
        <f t="shared" si="14"/>
        <v>0</v>
      </c>
      <c r="Q128" s="209">
        <f>+SUMIF('A DEPOSITAR'!$D$2:$D$998,(O128-2),'A DEPOSITAR'!$H$2:$H$998)</f>
        <v>7308</v>
      </c>
      <c r="R128" s="210">
        <f t="shared" si="15"/>
        <v>7308</v>
      </c>
      <c r="S128" s="210">
        <f t="shared" si="17"/>
        <v>335735.01</v>
      </c>
      <c r="T128" s="209">
        <f t="shared" si="16"/>
        <v>0</v>
      </c>
      <c r="U128" s="209">
        <f>+SUMIFS('A DEPOSITAR'!$H$2:$H$998,'A DEPOSITAR'!$D$2:$D$998,(O128-2),'A DEPOSITAR'!$I$2:$I$998,"A Depositar")</f>
        <v>0</v>
      </c>
      <c r="V128" s="6"/>
      <c r="W128" s="6"/>
      <c r="X128" s="6"/>
      <c r="Y128" s="6"/>
      <c r="Z128" s="6"/>
    </row>
    <row r="129" spans="1:26" ht="12.75" x14ac:dyDescent="0.2">
      <c r="A129" s="31">
        <v>43821</v>
      </c>
      <c r="B129" s="29" t="s">
        <v>166</v>
      </c>
      <c r="C129" s="29">
        <v>72178313</v>
      </c>
      <c r="D129" s="30">
        <v>12200</v>
      </c>
      <c r="E129" s="29" t="s">
        <v>22</v>
      </c>
      <c r="F129" s="7">
        <v>43735</v>
      </c>
      <c r="G129" s="18"/>
      <c r="H129" s="16">
        <f t="shared" si="19"/>
        <v>22</v>
      </c>
      <c r="I129" s="16">
        <f t="shared" si="21"/>
        <v>12</v>
      </c>
      <c r="J129" s="122">
        <f t="shared" si="20"/>
        <v>2019</v>
      </c>
      <c r="K129" s="64">
        <f t="shared" si="13"/>
        <v>43881</v>
      </c>
      <c r="L129" s="6"/>
      <c r="M129" s="6"/>
      <c r="O129" s="208">
        <v>43774</v>
      </c>
      <c r="P129" s="209">
        <f t="shared" si="14"/>
        <v>0</v>
      </c>
      <c r="Q129" s="209">
        <f>+SUMIF('A DEPOSITAR'!$D$2:$D$998,(O129-2),'A DEPOSITAR'!$H$2:$H$998)</f>
        <v>0</v>
      </c>
      <c r="R129" s="210">
        <f t="shared" si="15"/>
        <v>0</v>
      </c>
      <c r="S129" s="210">
        <f t="shared" si="17"/>
        <v>335735.01</v>
      </c>
      <c r="T129" s="209">
        <f t="shared" si="16"/>
        <v>0</v>
      </c>
      <c r="U129" s="209">
        <f>+SUMIFS('A DEPOSITAR'!$H$2:$H$998,'A DEPOSITAR'!$D$2:$D$998,(O129-2),'A DEPOSITAR'!$I$2:$I$998,"A Depositar")</f>
        <v>0</v>
      </c>
      <c r="V129" s="6"/>
      <c r="W129" s="6"/>
      <c r="X129" s="6"/>
      <c r="Y129" s="6"/>
      <c r="Z129" s="6"/>
    </row>
    <row r="130" spans="1:26" ht="12.75" x14ac:dyDescent="0.2">
      <c r="A130" s="31">
        <v>43815</v>
      </c>
      <c r="B130" s="29" t="s">
        <v>166</v>
      </c>
      <c r="C130" s="29">
        <v>72178314</v>
      </c>
      <c r="D130" s="30">
        <v>12200</v>
      </c>
      <c r="E130" s="29" t="s">
        <v>22</v>
      </c>
      <c r="F130" s="7">
        <v>43735</v>
      </c>
      <c r="G130" s="18"/>
      <c r="H130" s="16">
        <f t="shared" ref="H130:H161" si="22">DAY(A130)</f>
        <v>16</v>
      </c>
      <c r="I130" s="16">
        <f t="shared" si="21"/>
        <v>12</v>
      </c>
      <c r="J130" s="122">
        <f t="shared" ref="J130:J161" si="23">YEAR(A130)</f>
        <v>2019</v>
      </c>
      <c r="K130" s="64">
        <f t="shared" ref="K130:K193" si="24">A130+60</f>
        <v>43875</v>
      </c>
      <c r="L130" s="6"/>
      <c r="M130" s="6"/>
      <c r="O130" s="208">
        <v>43775</v>
      </c>
      <c r="P130" s="209">
        <f t="shared" si="14"/>
        <v>0</v>
      </c>
      <c r="Q130" s="209">
        <f>+SUMIF('A DEPOSITAR'!$D$2:$D$998,(O130-2),'A DEPOSITAR'!$H$2:$H$998)</f>
        <v>0</v>
      </c>
      <c r="R130" s="210">
        <f t="shared" si="15"/>
        <v>0</v>
      </c>
      <c r="S130" s="210">
        <f t="shared" si="17"/>
        <v>335735.01</v>
      </c>
      <c r="T130" s="209">
        <f t="shared" si="16"/>
        <v>0</v>
      </c>
      <c r="U130" s="209">
        <f>+SUMIFS('A DEPOSITAR'!$H$2:$H$998,'A DEPOSITAR'!$D$2:$D$998,(O130-2),'A DEPOSITAR'!$I$2:$I$998,"A Depositar")</f>
        <v>0</v>
      </c>
      <c r="V130" s="6"/>
      <c r="W130" s="6"/>
      <c r="X130" s="6"/>
      <c r="Y130" s="6"/>
      <c r="Z130" s="6"/>
    </row>
    <row r="131" spans="1:26" ht="12.75" x14ac:dyDescent="0.2">
      <c r="A131" s="31">
        <v>43799</v>
      </c>
      <c r="B131" s="29" t="s">
        <v>103</v>
      </c>
      <c r="C131" s="29">
        <v>72178315</v>
      </c>
      <c r="D131" s="30">
        <v>5900</v>
      </c>
      <c r="E131" s="29" t="s">
        <v>22</v>
      </c>
      <c r="F131" s="7">
        <v>43735</v>
      </c>
      <c r="G131" s="18"/>
      <c r="H131" s="16">
        <f t="shared" si="22"/>
        <v>30</v>
      </c>
      <c r="I131" s="16">
        <f t="shared" si="21"/>
        <v>11</v>
      </c>
      <c r="J131" s="122">
        <f t="shared" si="23"/>
        <v>2019</v>
      </c>
      <c r="K131" s="64">
        <f t="shared" si="24"/>
        <v>43859</v>
      </c>
      <c r="L131" s="6"/>
      <c r="M131" s="6"/>
      <c r="O131" s="208">
        <v>43776</v>
      </c>
      <c r="P131" s="209">
        <f t="shared" ref="P131:P194" si="25">+SUMIF($A$2:$A$998,O131,$D$2:$D$998)</f>
        <v>33530</v>
      </c>
      <c r="Q131" s="209">
        <f>+SUMIF('A DEPOSITAR'!$D$2:$D$998,(O131-2),'A DEPOSITAR'!$H$2:$H$998)</f>
        <v>20000</v>
      </c>
      <c r="R131" s="210">
        <f t="shared" ref="R131:R194" si="26">+Q131-P131</f>
        <v>-13530</v>
      </c>
      <c r="S131" s="210">
        <f t="shared" si="17"/>
        <v>322205.01</v>
      </c>
      <c r="T131" s="209">
        <f t="shared" ref="T131:T194" si="27">+SUMIFS($D$2:$D$998,$A$2:$A$998,O131,$E$2:$E$998,"A Pagar")</f>
        <v>0</v>
      </c>
      <c r="U131" s="209">
        <f>+SUMIFS('A DEPOSITAR'!$H$2:$H$998,'A DEPOSITAR'!$D$2:$D$998,(O131-2),'A DEPOSITAR'!$I$2:$I$998,"A Depositar")</f>
        <v>0</v>
      </c>
      <c r="V131" s="6"/>
      <c r="W131" s="6"/>
      <c r="X131" s="6"/>
      <c r="Y131" s="6"/>
      <c r="Z131" s="6"/>
    </row>
    <row r="132" spans="1:26" ht="12.75" x14ac:dyDescent="0.2">
      <c r="A132" s="31">
        <v>43807</v>
      </c>
      <c r="B132" s="29" t="s">
        <v>103</v>
      </c>
      <c r="C132" s="29">
        <v>72178316</v>
      </c>
      <c r="D132" s="30">
        <v>6100</v>
      </c>
      <c r="E132" s="29" t="s">
        <v>22</v>
      </c>
      <c r="F132" s="7">
        <v>43735</v>
      </c>
      <c r="G132" s="18"/>
      <c r="H132" s="16">
        <f t="shared" si="22"/>
        <v>8</v>
      </c>
      <c r="I132" s="16">
        <f t="shared" si="21"/>
        <v>12</v>
      </c>
      <c r="J132" s="122">
        <f t="shared" si="23"/>
        <v>2019</v>
      </c>
      <c r="K132" s="64">
        <f t="shared" si="24"/>
        <v>43867</v>
      </c>
      <c r="L132" s="6"/>
      <c r="M132" s="6"/>
      <c r="O132" s="208">
        <v>43777</v>
      </c>
      <c r="P132" s="209">
        <f t="shared" si="25"/>
        <v>13800</v>
      </c>
      <c r="Q132" s="209">
        <f>+SUMIF('A DEPOSITAR'!$D$2:$D$998,(O132-2),'A DEPOSITAR'!$H$2:$H$998)</f>
        <v>0</v>
      </c>
      <c r="R132" s="210">
        <f t="shared" si="26"/>
        <v>-13800</v>
      </c>
      <c r="S132" s="210">
        <f t="shared" ref="S132:S195" si="28">+S131+R132</f>
        <v>308405.01</v>
      </c>
      <c r="T132" s="209">
        <f t="shared" si="27"/>
        <v>0</v>
      </c>
      <c r="U132" s="209">
        <f>+SUMIFS('A DEPOSITAR'!$H$2:$H$998,'A DEPOSITAR'!$D$2:$D$998,(O132-2),'A DEPOSITAR'!$I$2:$I$998,"A Depositar")</f>
        <v>0</v>
      </c>
      <c r="V132" s="6"/>
      <c r="W132" s="6"/>
      <c r="X132" s="6"/>
      <c r="Y132" s="6"/>
      <c r="Z132" s="6"/>
    </row>
    <row r="133" spans="1:26" ht="12.75" x14ac:dyDescent="0.2">
      <c r="A133" s="31">
        <v>43791</v>
      </c>
      <c r="B133" s="29" t="s">
        <v>103</v>
      </c>
      <c r="C133" s="29">
        <v>72178317</v>
      </c>
      <c r="D133" s="30">
        <v>8540</v>
      </c>
      <c r="E133" s="29" t="s">
        <v>22</v>
      </c>
      <c r="F133" s="7">
        <v>43752</v>
      </c>
      <c r="G133" s="18"/>
      <c r="H133" s="16">
        <f t="shared" si="22"/>
        <v>22</v>
      </c>
      <c r="I133" s="16">
        <f t="shared" si="21"/>
        <v>11</v>
      </c>
      <c r="J133" s="122">
        <f t="shared" si="23"/>
        <v>2019</v>
      </c>
      <c r="K133" s="64">
        <f t="shared" si="24"/>
        <v>43851</v>
      </c>
      <c r="L133" s="6"/>
      <c r="M133" s="6"/>
      <c r="O133" s="208">
        <v>43778</v>
      </c>
      <c r="P133" s="209">
        <f t="shared" si="25"/>
        <v>4950</v>
      </c>
      <c r="Q133" s="209">
        <f>+SUMIF('A DEPOSITAR'!$D$2:$D$998,(O133-2),'A DEPOSITAR'!$H$2:$H$998)</f>
        <v>3820</v>
      </c>
      <c r="R133" s="210">
        <f t="shared" si="26"/>
        <v>-1130</v>
      </c>
      <c r="S133" s="210">
        <f t="shared" si="28"/>
        <v>307275.01</v>
      </c>
      <c r="T133" s="209">
        <f t="shared" si="27"/>
        <v>0</v>
      </c>
      <c r="U133" s="209">
        <f>+SUMIFS('A DEPOSITAR'!$H$2:$H$998,'A DEPOSITAR'!$D$2:$D$998,(O133-2),'A DEPOSITAR'!$I$2:$I$998,"A Depositar")</f>
        <v>0</v>
      </c>
      <c r="V133" s="6"/>
      <c r="W133" s="6"/>
      <c r="X133" s="6"/>
      <c r="Y133" s="6"/>
      <c r="Z133" s="6"/>
    </row>
    <row r="134" spans="1:26" ht="12.75" x14ac:dyDescent="0.2">
      <c r="A134" s="31">
        <v>43799</v>
      </c>
      <c r="B134" s="29" t="s">
        <v>103</v>
      </c>
      <c r="C134" s="29">
        <v>72178318</v>
      </c>
      <c r="D134" s="30">
        <v>9540</v>
      </c>
      <c r="E134" s="29" t="s">
        <v>22</v>
      </c>
      <c r="F134" s="7">
        <v>43752</v>
      </c>
      <c r="G134" s="18"/>
      <c r="H134" s="16">
        <f t="shared" si="22"/>
        <v>30</v>
      </c>
      <c r="I134" s="16">
        <f t="shared" si="21"/>
        <v>11</v>
      </c>
      <c r="J134" s="122">
        <f t="shared" si="23"/>
        <v>2019</v>
      </c>
      <c r="K134" s="64">
        <f t="shared" si="24"/>
        <v>43859</v>
      </c>
      <c r="L134" s="6"/>
      <c r="M134" s="6"/>
      <c r="O134" s="208">
        <v>43779</v>
      </c>
      <c r="P134" s="209">
        <f t="shared" si="25"/>
        <v>0</v>
      </c>
      <c r="Q134" s="209">
        <f>+SUMIF('A DEPOSITAR'!$D$2:$D$998,(O134-2),'A DEPOSITAR'!$H$2:$H$998)</f>
        <v>0</v>
      </c>
      <c r="R134" s="210">
        <f t="shared" si="26"/>
        <v>0</v>
      </c>
      <c r="S134" s="210">
        <f t="shared" si="28"/>
        <v>307275.01</v>
      </c>
      <c r="T134" s="209">
        <f t="shared" si="27"/>
        <v>0</v>
      </c>
      <c r="U134" s="209">
        <f>+SUMIFS('A DEPOSITAR'!$H$2:$H$998,'A DEPOSITAR'!$D$2:$D$998,(O134-2),'A DEPOSITAR'!$I$2:$I$998,"A Depositar")</f>
        <v>0</v>
      </c>
      <c r="V134" s="6"/>
      <c r="W134" s="6"/>
      <c r="X134" s="6"/>
      <c r="Y134" s="6"/>
      <c r="Z134" s="6"/>
    </row>
    <row r="135" spans="1:26" ht="12.75" x14ac:dyDescent="0.2">
      <c r="A135" s="31">
        <v>43807</v>
      </c>
      <c r="B135" s="29" t="s">
        <v>103</v>
      </c>
      <c r="C135" s="29">
        <v>72178319</v>
      </c>
      <c r="D135" s="30">
        <v>10528</v>
      </c>
      <c r="E135" s="29" t="s">
        <v>22</v>
      </c>
      <c r="F135" s="7">
        <v>43752</v>
      </c>
      <c r="G135" s="18"/>
      <c r="H135" s="16">
        <f t="shared" si="22"/>
        <v>8</v>
      </c>
      <c r="I135" s="16">
        <f t="shared" si="21"/>
        <v>12</v>
      </c>
      <c r="J135" s="122">
        <f t="shared" si="23"/>
        <v>2019</v>
      </c>
      <c r="K135" s="64">
        <f t="shared" si="24"/>
        <v>43867</v>
      </c>
      <c r="L135" s="6"/>
      <c r="M135" s="6"/>
      <c r="O135" s="208">
        <v>43780</v>
      </c>
      <c r="P135" s="209">
        <f t="shared" si="25"/>
        <v>0</v>
      </c>
      <c r="Q135" s="209">
        <f>+SUMIF('A DEPOSITAR'!$D$2:$D$998,(O135-2),'A DEPOSITAR'!$H$2:$H$998)</f>
        <v>4000</v>
      </c>
      <c r="R135" s="210">
        <f t="shared" si="26"/>
        <v>4000</v>
      </c>
      <c r="S135" s="210">
        <f t="shared" si="28"/>
        <v>311275.01</v>
      </c>
      <c r="T135" s="209">
        <f t="shared" si="27"/>
        <v>0</v>
      </c>
      <c r="U135" s="209">
        <f>+SUMIFS('A DEPOSITAR'!$H$2:$H$998,'A DEPOSITAR'!$D$2:$D$998,(O135-2),'A DEPOSITAR'!$I$2:$I$998,"A Depositar")</f>
        <v>0</v>
      </c>
      <c r="V135" s="6"/>
      <c r="W135" s="6"/>
      <c r="X135" s="6"/>
      <c r="Y135" s="6"/>
      <c r="Z135" s="6"/>
    </row>
    <row r="136" spans="1:26" ht="12.75" x14ac:dyDescent="0.2">
      <c r="A136" s="31">
        <v>43749</v>
      </c>
      <c r="B136" s="29" t="s">
        <v>122</v>
      </c>
      <c r="C136" s="29">
        <v>72178320</v>
      </c>
      <c r="D136" s="30">
        <v>20000</v>
      </c>
      <c r="E136" s="29" t="s">
        <v>22</v>
      </c>
      <c r="F136" s="7">
        <v>43752</v>
      </c>
      <c r="G136" s="18"/>
      <c r="H136" s="16">
        <f t="shared" si="22"/>
        <v>11</v>
      </c>
      <c r="I136" s="16">
        <f t="shared" si="21"/>
        <v>10</v>
      </c>
      <c r="J136" s="122">
        <f t="shared" si="23"/>
        <v>2019</v>
      </c>
      <c r="K136" s="64">
        <f t="shared" si="24"/>
        <v>43809</v>
      </c>
      <c r="L136" s="6"/>
      <c r="M136" s="6"/>
      <c r="O136" s="208">
        <v>43781</v>
      </c>
      <c r="P136" s="209">
        <f t="shared" si="25"/>
        <v>0</v>
      </c>
      <c r="Q136" s="209">
        <f>+SUMIF('A DEPOSITAR'!$D$2:$D$998,(O136-2),'A DEPOSITAR'!$H$2:$H$998)</f>
        <v>0</v>
      </c>
      <c r="R136" s="210">
        <f t="shared" si="26"/>
        <v>0</v>
      </c>
      <c r="S136" s="210">
        <f t="shared" si="28"/>
        <v>311275.01</v>
      </c>
      <c r="T136" s="209">
        <f t="shared" si="27"/>
        <v>0</v>
      </c>
      <c r="U136" s="209">
        <f>+SUMIFS('A DEPOSITAR'!$H$2:$H$998,'A DEPOSITAR'!$D$2:$D$998,(O136-2),'A DEPOSITAR'!$I$2:$I$998,"A Depositar")</f>
        <v>0</v>
      </c>
      <c r="V136" s="6"/>
      <c r="W136" s="6"/>
      <c r="X136" s="6"/>
      <c r="Y136" s="6"/>
      <c r="Z136" s="6"/>
    </row>
    <row r="137" spans="1:26" ht="12.75" x14ac:dyDescent="0.2">
      <c r="A137" s="31">
        <v>43777</v>
      </c>
      <c r="B137" s="29" t="s">
        <v>103</v>
      </c>
      <c r="C137" s="29">
        <v>72178321</v>
      </c>
      <c r="D137" s="30">
        <v>7800</v>
      </c>
      <c r="E137" s="29" t="s">
        <v>22</v>
      </c>
      <c r="F137" s="7">
        <v>43754</v>
      </c>
      <c r="G137" s="18"/>
      <c r="H137" s="16">
        <f t="shared" si="22"/>
        <v>8</v>
      </c>
      <c r="I137" s="16">
        <f t="shared" si="21"/>
        <v>11</v>
      </c>
      <c r="J137" s="122">
        <f t="shared" si="23"/>
        <v>2019</v>
      </c>
      <c r="K137" s="64">
        <f t="shared" si="24"/>
        <v>43837</v>
      </c>
      <c r="L137" s="6"/>
      <c r="M137" s="6"/>
      <c r="O137" s="208">
        <v>43782</v>
      </c>
      <c r="P137" s="209">
        <f t="shared" si="25"/>
        <v>20134.7</v>
      </c>
      <c r="Q137" s="209">
        <f>+SUMIF('A DEPOSITAR'!$D$2:$D$998,(O137-2),'A DEPOSITAR'!$H$2:$H$998)</f>
        <v>22000</v>
      </c>
      <c r="R137" s="210">
        <f t="shared" si="26"/>
        <v>1865.2999999999993</v>
      </c>
      <c r="S137" s="210">
        <f t="shared" si="28"/>
        <v>313140.31</v>
      </c>
      <c r="T137" s="209">
        <f t="shared" si="27"/>
        <v>0</v>
      </c>
      <c r="U137" s="209">
        <f>+SUMIFS('A DEPOSITAR'!$H$2:$H$998,'A DEPOSITAR'!$D$2:$D$998,(O137-2),'A DEPOSITAR'!$I$2:$I$998,"A Depositar")</f>
        <v>0</v>
      </c>
      <c r="V137" s="6"/>
      <c r="W137" s="6"/>
      <c r="X137" s="6"/>
      <c r="Y137" s="6"/>
      <c r="Z137" s="6"/>
    </row>
    <row r="138" spans="1:26" ht="12.75" x14ac:dyDescent="0.2">
      <c r="A138" s="31">
        <v>43754</v>
      </c>
      <c r="B138" s="29" t="s">
        <v>122</v>
      </c>
      <c r="C138" s="29">
        <v>72178322</v>
      </c>
      <c r="D138" s="30">
        <v>15000</v>
      </c>
      <c r="E138" s="29" t="s">
        <v>22</v>
      </c>
      <c r="F138" s="7">
        <v>43754</v>
      </c>
      <c r="G138" s="18"/>
      <c r="H138" s="16">
        <f t="shared" si="22"/>
        <v>16</v>
      </c>
      <c r="I138" s="16">
        <f t="shared" si="21"/>
        <v>10</v>
      </c>
      <c r="J138" s="122">
        <f t="shared" si="23"/>
        <v>2019</v>
      </c>
      <c r="K138" s="64">
        <f t="shared" si="24"/>
        <v>43814</v>
      </c>
      <c r="L138" s="6"/>
      <c r="M138" s="6"/>
      <c r="O138" s="208">
        <v>43783</v>
      </c>
      <c r="P138" s="209">
        <f t="shared" si="25"/>
        <v>5050</v>
      </c>
      <c r="Q138" s="209">
        <f>+SUMIF('A DEPOSITAR'!$D$2:$D$998,(O138-2),'A DEPOSITAR'!$H$2:$H$998)</f>
        <v>67862.080000000002</v>
      </c>
      <c r="R138" s="210">
        <f t="shared" si="26"/>
        <v>62812.08</v>
      </c>
      <c r="S138" s="210">
        <f t="shared" si="28"/>
        <v>375952.39</v>
      </c>
      <c r="T138" s="209">
        <f t="shared" si="27"/>
        <v>0</v>
      </c>
      <c r="U138" s="209">
        <f>+SUMIFS('A DEPOSITAR'!$H$2:$H$998,'A DEPOSITAR'!$D$2:$D$998,(O138-2),'A DEPOSITAR'!$I$2:$I$998,"A Depositar")</f>
        <v>0</v>
      </c>
      <c r="V138" s="6"/>
      <c r="W138" s="6"/>
      <c r="X138" s="6"/>
      <c r="Y138" s="6"/>
      <c r="Z138" s="6"/>
    </row>
    <row r="139" spans="1:26" ht="12.75" x14ac:dyDescent="0.2">
      <c r="A139" s="31">
        <v>43748</v>
      </c>
      <c r="B139" s="29" t="s">
        <v>190</v>
      </c>
      <c r="C139" s="29">
        <v>72178323</v>
      </c>
      <c r="D139" s="30">
        <v>4900</v>
      </c>
      <c r="E139" s="29" t="s">
        <v>22</v>
      </c>
      <c r="F139" s="7">
        <v>43756</v>
      </c>
      <c r="G139" s="18"/>
      <c r="H139" s="16">
        <f t="shared" si="22"/>
        <v>10</v>
      </c>
      <c r="I139" s="16">
        <f t="shared" si="21"/>
        <v>10</v>
      </c>
      <c r="J139" s="122">
        <f t="shared" si="23"/>
        <v>2019</v>
      </c>
      <c r="K139" s="64">
        <f t="shared" si="24"/>
        <v>43808</v>
      </c>
      <c r="L139" s="6"/>
      <c r="M139" s="6"/>
      <c r="O139" s="208">
        <v>43784</v>
      </c>
      <c r="P139" s="209">
        <f t="shared" si="25"/>
        <v>0</v>
      </c>
      <c r="Q139" s="209">
        <f>+SUMIF('A DEPOSITAR'!$D$2:$D$998,(O139-2),'A DEPOSITAR'!$H$2:$H$998)</f>
        <v>32000</v>
      </c>
      <c r="R139" s="210">
        <f t="shared" si="26"/>
        <v>32000</v>
      </c>
      <c r="S139" s="210">
        <f t="shared" si="28"/>
        <v>407952.39</v>
      </c>
      <c r="T139" s="209">
        <f t="shared" si="27"/>
        <v>0</v>
      </c>
      <c r="U139" s="209">
        <f>+SUMIFS('A DEPOSITAR'!$H$2:$H$998,'A DEPOSITAR'!$D$2:$D$998,(O139-2),'A DEPOSITAR'!$I$2:$I$998,"A Depositar")</f>
        <v>0</v>
      </c>
      <c r="V139" s="6"/>
      <c r="W139" s="6"/>
      <c r="X139" s="6"/>
      <c r="Y139" s="6"/>
      <c r="Z139" s="6"/>
    </row>
    <row r="140" spans="1:26" ht="12.75" x14ac:dyDescent="0.2">
      <c r="A140" s="36">
        <v>43791</v>
      </c>
      <c r="B140" s="29" t="s">
        <v>194</v>
      </c>
      <c r="C140" s="29">
        <v>72178324</v>
      </c>
      <c r="D140" s="50">
        <v>5000</v>
      </c>
      <c r="E140" s="29" t="s">
        <v>22</v>
      </c>
      <c r="F140" s="34">
        <v>43756</v>
      </c>
      <c r="G140" s="29"/>
      <c r="H140" s="49">
        <f t="shared" si="22"/>
        <v>22</v>
      </c>
      <c r="I140" s="49">
        <f t="shared" si="21"/>
        <v>11</v>
      </c>
      <c r="J140" s="122">
        <f t="shared" si="23"/>
        <v>2019</v>
      </c>
      <c r="K140" s="64">
        <f t="shared" si="24"/>
        <v>43851</v>
      </c>
      <c r="L140" s="6"/>
      <c r="M140" s="6"/>
      <c r="O140" s="208">
        <v>43785</v>
      </c>
      <c r="P140" s="209">
        <f t="shared" si="25"/>
        <v>19034</v>
      </c>
      <c r="Q140" s="209">
        <f>+SUMIF('A DEPOSITAR'!$D$2:$D$998,(O140-2),'A DEPOSITAR'!$H$2:$H$998)</f>
        <v>0</v>
      </c>
      <c r="R140" s="210">
        <f t="shared" si="26"/>
        <v>-19034</v>
      </c>
      <c r="S140" s="210">
        <f t="shared" si="28"/>
        <v>388918.39</v>
      </c>
      <c r="T140" s="209">
        <f t="shared" si="27"/>
        <v>0</v>
      </c>
      <c r="U140" s="209">
        <f>+SUMIFS('A DEPOSITAR'!$H$2:$H$998,'A DEPOSITAR'!$D$2:$D$998,(O140-2),'A DEPOSITAR'!$I$2:$I$998,"A Depositar")</f>
        <v>0</v>
      </c>
      <c r="V140" s="6"/>
      <c r="W140" s="6"/>
      <c r="X140" s="6"/>
      <c r="Y140" s="6"/>
      <c r="Z140" s="6"/>
    </row>
    <row r="141" spans="1:26" ht="12.75" x14ac:dyDescent="0.2">
      <c r="A141" s="36">
        <v>43799</v>
      </c>
      <c r="B141" s="29" t="s">
        <v>194</v>
      </c>
      <c r="C141" s="29">
        <v>72178325</v>
      </c>
      <c r="D141" s="50">
        <v>6000</v>
      </c>
      <c r="E141" s="29" t="s">
        <v>22</v>
      </c>
      <c r="F141" s="34">
        <v>43756</v>
      </c>
      <c r="G141" s="29"/>
      <c r="H141" s="49">
        <f t="shared" si="22"/>
        <v>30</v>
      </c>
      <c r="I141" s="49">
        <f t="shared" si="21"/>
        <v>11</v>
      </c>
      <c r="J141" s="122">
        <f t="shared" si="23"/>
        <v>2019</v>
      </c>
      <c r="K141" s="64">
        <f t="shared" si="24"/>
        <v>43859</v>
      </c>
      <c r="L141" s="6"/>
      <c r="M141" s="6"/>
      <c r="O141" s="208">
        <v>43786</v>
      </c>
      <c r="P141" s="209">
        <f t="shared" si="25"/>
        <v>0</v>
      </c>
      <c r="Q141" s="209">
        <f>+SUMIF('A DEPOSITAR'!$D$2:$D$998,(O141-2),'A DEPOSITAR'!$H$2:$H$998)</f>
        <v>25098</v>
      </c>
      <c r="R141" s="210">
        <f t="shared" si="26"/>
        <v>25098</v>
      </c>
      <c r="S141" s="210">
        <f t="shared" si="28"/>
        <v>414016.39</v>
      </c>
      <c r="T141" s="209">
        <f t="shared" si="27"/>
        <v>0</v>
      </c>
      <c r="U141" s="209">
        <f>+SUMIFS('A DEPOSITAR'!$H$2:$H$998,'A DEPOSITAR'!$D$2:$D$998,(O141-2),'A DEPOSITAR'!$I$2:$I$998,"A Depositar")</f>
        <v>0</v>
      </c>
      <c r="V141" s="6"/>
      <c r="W141" s="6"/>
      <c r="X141" s="6"/>
      <c r="Y141" s="6"/>
      <c r="Z141" s="6"/>
    </row>
    <row r="142" spans="1:26" ht="12.75" x14ac:dyDescent="0.2">
      <c r="A142" s="36">
        <v>43807</v>
      </c>
      <c r="B142" s="29" t="s">
        <v>194</v>
      </c>
      <c r="C142" s="29">
        <v>72178326</v>
      </c>
      <c r="D142" s="50">
        <v>11000</v>
      </c>
      <c r="E142" s="29" t="s">
        <v>22</v>
      </c>
      <c r="F142" s="34">
        <v>43756</v>
      </c>
      <c r="G142" s="29"/>
      <c r="H142" s="49">
        <f t="shared" si="22"/>
        <v>8</v>
      </c>
      <c r="I142" s="49">
        <f t="shared" si="21"/>
        <v>12</v>
      </c>
      <c r="J142" s="122">
        <f t="shared" si="23"/>
        <v>2019</v>
      </c>
      <c r="K142" s="64">
        <f t="shared" si="24"/>
        <v>43867</v>
      </c>
      <c r="L142" s="6"/>
      <c r="M142" s="6"/>
      <c r="O142" s="208">
        <v>43787</v>
      </c>
      <c r="P142" s="209">
        <f t="shared" si="25"/>
        <v>0</v>
      </c>
      <c r="Q142" s="209">
        <f>+SUMIF('A DEPOSITAR'!$D$2:$D$998,(O142-2),'A DEPOSITAR'!$H$2:$H$998)</f>
        <v>0</v>
      </c>
      <c r="R142" s="210">
        <f t="shared" si="26"/>
        <v>0</v>
      </c>
      <c r="S142" s="210">
        <f t="shared" si="28"/>
        <v>414016.39</v>
      </c>
      <c r="T142" s="209">
        <f t="shared" si="27"/>
        <v>0</v>
      </c>
      <c r="U142" s="209">
        <f>+SUMIFS('A DEPOSITAR'!$H$2:$H$998,'A DEPOSITAR'!$D$2:$D$998,(O142-2),'A DEPOSITAR'!$I$2:$I$998,"A Depositar")</f>
        <v>0</v>
      </c>
      <c r="V142" s="6"/>
      <c r="W142" s="6"/>
      <c r="X142" s="6"/>
      <c r="Y142" s="6"/>
      <c r="Z142" s="6"/>
    </row>
    <row r="143" spans="1:26" ht="12.75" x14ac:dyDescent="0.2">
      <c r="A143" s="36">
        <v>43821</v>
      </c>
      <c r="B143" s="29" t="s">
        <v>194</v>
      </c>
      <c r="C143" s="29">
        <v>72178327</v>
      </c>
      <c r="D143" s="50">
        <v>12000</v>
      </c>
      <c r="E143" s="29" t="s">
        <v>22</v>
      </c>
      <c r="F143" s="34">
        <v>43756</v>
      </c>
      <c r="G143" s="29"/>
      <c r="H143" s="49">
        <f t="shared" si="22"/>
        <v>22</v>
      </c>
      <c r="I143" s="49">
        <f t="shared" si="21"/>
        <v>12</v>
      </c>
      <c r="J143" s="122">
        <f t="shared" si="23"/>
        <v>2019</v>
      </c>
      <c r="K143" s="64">
        <f t="shared" si="24"/>
        <v>43881</v>
      </c>
      <c r="L143" s="6"/>
      <c r="M143" s="6"/>
      <c r="O143" s="208">
        <v>43788</v>
      </c>
      <c r="P143" s="209">
        <f t="shared" si="25"/>
        <v>0</v>
      </c>
      <c r="Q143" s="209">
        <f>+SUMIF('A DEPOSITAR'!$D$2:$D$998,(O143-2),'A DEPOSITAR'!$H$2:$H$998)</f>
        <v>0</v>
      </c>
      <c r="R143" s="210">
        <f t="shared" si="26"/>
        <v>0</v>
      </c>
      <c r="S143" s="210">
        <f t="shared" si="28"/>
        <v>414016.39</v>
      </c>
      <c r="T143" s="209">
        <f t="shared" si="27"/>
        <v>0</v>
      </c>
      <c r="U143" s="209">
        <f>+SUMIFS('A DEPOSITAR'!$H$2:$H$998,'A DEPOSITAR'!$D$2:$D$998,(O143-2),'A DEPOSITAR'!$I$2:$I$998,"A Depositar")</f>
        <v>0</v>
      </c>
      <c r="V143" s="6"/>
      <c r="W143" s="6"/>
      <c r="X143" s="6"/>
      <c r="Y143" s="6"/>
      <c r="Z143" s="6"/>
    </row>
    <row r="144" spans="1:26" ht="12.75" x14ac:dyDescent="0.2">
      <c r="A144" s="36">
        <v>43837</v>
      </c>
      <c r="B144" s="29" t="s">
        <v>194</v>
      </c>
      <c r="C144" s="29">
        <v>72178328</v>
      </c>
      <c r="D144" s="50">
        <v>10050</v>
      </c>
      <c r="E144" s="29" t="s">
        <v>22</v>
      </c>
      <c r="F144" s="34">
        <v>43756</v>
      </c>
      <c r="G144" s="29"/>
      <c r="H144" s="49">
        <f t="shared" si="22"/>
        <v>7</v>
      </c>
      <c r="I144" s="49">
        <f t="shared" si="21"/>
        <v>1</v>
      </c>
      <c r="J144" s="122">
        <f t="shared" si="23"/>
        <v>2020</v>
      </c>
      <c r="K144" s="64">
        <f t="shared" si="24"/>
        <v>43897</v>
      </c>
      <c r="L144" s="6"/>
      <c r="M144" s="6"/>
      <c r="O144" s="208">
        <v>43789</v>
      </c>
      <c r="P144" s="209">
        <f t="shared" si="25"/>
        <v>0</v>
      </c>
      <c r="Q144" s="209">
        <f>+SUMIF('A DEPOSITAR'!$D$2:$D$998,(O144-2),'A DEPOSITAR'!$H$2:$H$998)</f>
        <v>43967.360000000001</v>
      </c>
      <c r="R144" s="210">
        <f t="shared" si="26"/>
        <v>43967.360000000001</v>
      </c>
      <c r="S144" s="210">
        <f t="shared" si="28"/>
        <v>457983.75</v>
      </c>
      <c r="T144" s="209">
        <f t="shared" si="27"/>
        <v>0</v>
      </c>
      <c r="U144" s="209">
        <f>+SUMIFS('A DEPOSITAR'!$H$2:$H$998,'A DEPOSITAR'!$D$2:$D$998,(O144-2),'A DEPOSITAR'!$I$2:$I$998,"A Depositar")</f>
        <v>0</v>
      </c>
      <c r="V144" s="6"/>
      <c r="W144" s="6"/>
      <c r="X144" s="6"/>
      <c r="Y144" s="6"/>
      <c r="Z144" s="6"/>
    </row>
    <row r="145" spans="1:26" ht="12.75" x14ac:dyDescent="0.2">
      <c r="A145" s="36">
        <v>43852</v>
      </c>
      <c r="B145" s="29" t="s">
        <v>194</v>
      </c>
      <c r="C145" s="29">
        <v>72178329</v>
      </c>
      <c r="D145" s="50">
        <v>10550</v>
      </c>
      <c r="E145" s="29" t="s">
        <v>22</v>
      </c>
      <c r="F145" s="34">
        <v>43756</v>
      </c>
      <c r="G145" s="29"/>
      <c r="H145" s="49">
        <f t="shared" si="22"/>
        <v>22</v>
      </c>
      <c r="I145" s="49">
        <f t="shared" si="21"/>
        <v>1</v>
      </c>
      <c r="J145" s="122">
        <f t="shared" si="23"/>
        <v>2020</v>
      </c>
      <c r="K145" s="64">
        <f t="shared" si="24"/>
        <v>43912</v>
      </c>
      <c r="L145" s="6"/>
      <c r="M145" s="6"/>
      <c r="O145" s="208">
        <v>43790</v>
      </c>
      <c r="P145" s="209">
        <f t="shared" si="25"/>
        <v>9000</v>
      </c>
      <c r="Q145" s="209">
        <f>+SUMIF('A DEPOSITAR'!$D$2:$D$998,(O145-2),'A DEPOSITAR'!$H$2:$H$998)</f>
        <v>0</v>
      </c>
      <c r="R145" s="210">
        <f t="shared" si="26"/>
        <v>-9000</v>
      </c>
      <c r="S145" s="210">
        <f t="shared" si="28"/>
        <v>448983.75</v>
      </c>
      <c r="T145" s="209">
        <f t="shared" si="27"/>
        <v>0</v>
      </c>
      <c r="U145" s="209">
        <f>+SUMIFS('A DEPOSITAR'!$H$2:$H$998,'A DEPOSITAR'!$D$2:$D$998,(O145-2),'A DEPOSITAR'!$I$2:$I$998,"A Depositar")</f>
        <v>0</v>
      </c>
      <c r="V145" s="6"/>
      <c r="W145" s="6"/>
      <c r="X145" s="6"/>
      <c r="Y145" s="6"/>
      <c r="Z145" s="6"/>
    </row>
    <row r="146" spans="1:26" ht="12.75" x14ac:dyDescent="0.2">
      <c r="A146" s="36">
        <v>43860</v>
      </c>
      <c r="B146" s="29" t="s">
        <v>194</v>
      </c>
      <c r="C146" s="29">
        <v>72178330</v>
      </c>
      <c r="D146" s="50">
        <v>10400</v>
      </c>
      <c r="E146" s="29" t="s">
        <v>22</v>
      </c>
      <c r="F146" s="34">
        <v>43756</v>
      </c>
      <c r="G146" s="29"/>
      <c r="H146" s="49">
        <f t="shared" si="22"/>
        <v>30</v>
      </c>
      <c r="I146" s="49">
        <f t="shared" si="21"/>
        <v>1</v>
      </c>
      <c r="J146" s="122">
        <f t="shared" si="23"/>
        <v>2020</v>
      </c>
      <c r="K146" s="64">
        <f t="shared" si="24"/>
        <v>43920</v>
      </c>
      <c r="L146" s="6"/>
      <c r="M146" s="6"/>
      <c r="O146" s="208">
        <v>43791</v>
      </c>
      <c r="P146" s="209">
        <f t="shared" si="25"/>
        <v>59831.229999999996</v>
      </c>
      <c r="Q146" s="209">
        <f>+SUMIF('A DEPOSITAR'!$D$2:$D$998,(O146-2),'A DEPOSITAR'!$H$2:$H$998)</f>
        <v>0</v>
      </c>
      <c r="R146" s="210">
        <f t="shared" si="26"/>
        <v>-59831.229999999996</v>
      </c>
      <c r="S146" s="210">
        <f t="shared" si="28"/>
        <v>389152.52</v>
      </c>
      <c r="T146" s="209">
        <f t="shared" si="27"/>
        <v>0</v>
      </c>
      <c r="U146" s="209">
        <f>+SUMIFS('A DEPOSITAR'!$H$2:$H$998,'A DEPOSITAR'!$D$2:$D$998,(O146-2),'A DEPOSITAR'!$I$2:$I$998,"A Depositar")</f>
        <v>0</v>
      </c>
      <c r="V146" s="6"/>
      <c r="W146" s="6"/>
      <c r="X146" s="6"/>
      <c r="Y146" s="6"/>
      <c r="Z146" s="6"/>
    </row>
    <row r="147" spans="1:26" ht="12.75" x14ac:dyDescent="0.2">
      <c r="A147" s="36">
        <v>43791</v>
      </c>
      <c r="B147" s="29" t="s">
        <v>94</v>
      </c>
      <c r="C147" s="29">
        <v>72178331</v>
      </c>
      <c r="D147" s="50">
        <v>4383.1099999999997</v>
      </c>
      <c r="E147" s="29" t="s">
        <v>22</v>
      </c>
      <c r="F147" s="34">
        <v>43756</v>
      </c>
      <c r="G147" s="29"/>
      <c r="H147" s="49">
        <f t="shared" si="22"/>
        <v>22</v>
      </c>
      <c r="I147" s="49">
        <f t="shared" ref="I147:I167" si="29">MONTH(A147)</f>
        <v>11</v>
      </c>
      <c r="J147" s="122">
        <f t="shared" si="23"/>
        <v>2019</v>
      </c>
      <c r="K147" s="64">
        <f t="shared" si="24"/>
        <v>43851</v>
      </c>
      <c r="L147" s="6"/>
      <c r="M147" s="6"/>
      <c r="O147" s="208">
        <v>43792</v>
      </c>
      <c r="P147" s="209">
        <f t="shared" si="25"/>
        <v>43661.18</v>
      </c>
      <c r="Q147" s="209">
        <f>+SUMIF('A DEPOSITAR'!$D$2:$D$998,(O147-2),'A DEPOSITAR'!$H$2:$H$998)</f>
        <v>4000</v>
      </c>
      <c r="R147" s="210">
        <f t="shared" si="26"/>
        <v>-39661.18</v>
      </c>
      <c r="S147" s="210">
        <f t="shared" si="28"/>
        <v>349491.34</v>
      </c>
      <c r="T147" s="209">
        <f t="shared" si="27"/>
        <v>0</v>
      </c>
      <c r="U147" s="209">
        <f>+SUMIFS('A DEPOSITAR'!$H$2:$H$998,'A DEPOSITAR'!$D$2:$D$998,(O147-2),'A DEPOSITAR'!$I$2:$I$998,"A Depositar")</f>
        <v>0</v>
      </c>
      <c r="V147" s="6"/>
      <c r="W147" s="6"/>
      <c r="X147" s="6"/>
      <c r="Y147" s="6"/>
      <c r="Z147" s="6"/>
    </row>
    <row r="148" spans="1:26" ht="12.75" x14ac:dyDescent="0.2">
      <c r="A148" s="36">
        <v>43756</v>
      </c>
      <c r="B148" s="29" t="s">
        <v>122</v>
      </c>
      <c r="C148" s="29">
        <v>72178332</v>
      </c>
      <c r="D148" s="50">
        <v>21000</v>
      </c>
      <c r="E148" s="29" t="s">
        <v>22</v>
      </c>
      <c r="F148" s="34">
        <v>43756</v>
      </c>
      <c r="G148" s="29"/>
      <c r="H148" s="49">
        <f t="shared" si="22"/>
        <v>18</v>
      </c>
      <c r="I148" s="49">
        <f t="shared" si="29"/>
        <v>10</v>
      </c>
      <c r="J148" s="122">
        <f t="shared" si="23"/>
        <v>2019</v>
      </c>
      <c r="K148" s="64">
        <f t="shared" si="24"/>
        <v>43816</v>
      </c>
      <c r="L148" s="6"/>
      <c r="M148" s="6"/>
      <c r="O148" s="208">
        <v>43793</v>
      </c>
      <c r="P148" s="209">
        <f t="shared" si="25"/>
        <v>0</v>
      </c>
      <c r="Q148" s="209">
        <f>+SUMIF('A DEPOSITAR'!$D$2:$D$998,(O148-2),'A DEPOSITAR'!$H$2:$H$998)</f>
        <v>37500</v>
      </c>
      <c r="R148" s="210">
        <f t="shared" si="26"/>
        <v>37500</v>
      </c>
      <c r="S148" s="210">
        <f t="shared" si="28"/>
        <v>386991.34</v>
      </c>
      <c r="T148" s="209">
        <f t="shared" si="27"/>
        <v>0</v>
      </c>
      <c r="U148" s="209">
        <f>+SUMIFS('A DEPOSITAR'!$H$2:$H$998,'A DEPOSITAR'!$D$2:$D$998,(O148-2),'A DEPOSITAR'!$I$2:$I$998,"A Depositar")</f>
        <v>0</v>
      </c>
      <c r="V148" s="6"/>
      <c r="W148" s="6"/>
      <c r="X148" s="6"/>
      <c r="Y148" s="6"/>
      <c r="Z148" s="6"/>
    </row>
    <row r="149" spans="1:26" ht="12.75" x14ac:dyDescent="0.2">
      <c r="A149" s="36">
        <v>43796</v>
      </c>
      <c r="B149" s="29" t="s">
        <v>27</v>
      </c>
      <c r="C149" s="29">
        <v>72178333</v>
      </c>
      <c r="D149" s="50">
        <v>2800</v>
      </c>
      <c r="E149" s="29" t="s">
        <v>22</v>
      </c>
      <c r="F149" s="34">
        <v>43758</v>
      </c>
      <c r="G149" s="29"/>
      <c r="H149" s="49">
        <f t="shared" si="22"/>
        <v>27</v>
      </c>
      <c r="I149" s="49">
        <f t="shared" si="29"/>
        <v>11</v>
      </c>
      <c r="J149" s="122">
        <f t="shared" si="23"/>
        <v>2019</v>
      </c>
      <c r="K149" s="64">
        <f t="shared" si="24"/>
        <v>43856</v>
      </c>
      <c r="L149" s="6"/>
      <c r="M149" s="6"/>
      <c r="O149" s="208">
        <v>43794</v>
      </c>
      <c r="P149" s="209">
        <f t="shared" si="25"/>
        <v>0</v>
      </c>
      <c r="Q149" s="209">
        <f>+SUMIF('A DEPOSITAR'!$D$2:$D$998,(O149-2),'A DEPOSITAR'!$H$2:$H$998)</f>
        <v>0</v>
      </c>
      <c r="R149" s="210">
        <f t="shared" si="26"/>
        <v>0</v>
      </c>
      <c r="S149" s="210">
        <f t="shared" si="28"/>
        <v>386991.34</v>
      </c>
      <c r="T149" s="209">
        <f t="shared" si="27"/>
        <v>0</v>
      </c>
      <c r="U149" s="209">
        <f>+SUMIFS('A DEPOSITAR'!$H$2:$H$998,'A DEPOSITAR'!$D$2:$D$998,(O149-2),'A DEPOSITAR'!$I$2:$I$998,"A Depositar")</f>
        <v>0</v>
      </c>
      <c r="V149" s="6"/>
      <c r="W149" s="6"/>
      <c r="X149" s="6"/>
      <c r="Y149" s="6"/>
      <c r="Z149" s="6"/>
    </row>
    <row r="150" spans="1:26" ht="12.75" x14ac:dyDescent="0.2">
      <c r="A150" s="36">
        <v>43821</v>
      </c>
      <c r="B150" s="29" t="s">
        <v>132</v>
      </c>
      <c r="C150" s="29">
        <v>72178334</v>
      </c>
      <c r="D150" s="50">
        <v>3616.5</v>
      </c>
      <c r="E150" s="29" t="s">
        <v>22</v>
      </c>
      <c r="F150" s="34">
        <v>43758</v>
      </c>
      <c r="G150" s="29"/>
      <c r="H150" s="49">
        <f t="shared" si="22"/>
        <v>22</v>
      </c>
      <c r="I150" s="49">
        <f t="shared" si="29"/>
        <v>12</v>
      </c>
      <c r="J150" s="122">
        <f t="shared" si="23"/>
        <v>2019</v>
      </c>
      <c r="K150" s="64">
        <f t="shared" si="24"/>
        <v>43881</v>
      </c>
      <c r="L150" s="6"/>
      <c r="M150" s="6"/>
      <c r="O150" s="208">
        <v>43795</v>
      </c>
      <c r="P150" s="209">
        <f t="shared" si="25"/>
        <v>13115.75</v>
      </c>
      <c r="Q150" s="209">
        <f>+SUMIF('A DEPOSITAR'!$D$2:$D$998,(O150-2),'A DEPOSITAR'!$H$2:$H$998)</f>
        <v>0</v>
      </c>
      <c r="R150" s="210">
        <f t="shared" si="26"/>
        <v>-13115.75</v>
      </c>
      <c r="S150" s="210">
        <f t="shared" si="28"/>
        <v>373875.59</v>
      </c>
      <c r="T150" s="209">
        <f t="shared" si="27"/>
        <v>0</v>
      </c>
      <c r="U150" s="209">
        <f>+SUMIFS('A DEPOSITAR'!$H$2:$H$998,'A DEPOSITAR'!$D$2:$D$998,(O150-2),'A DEPOSITAR'!$I$2:$I$998,"A Depositar")</f>
        <v>0</v>
      </c>
      <c r="V150" s="6"/>
      <c r="W150" s="6"/>
      <c r="X150" s="6"/>
      <c r="Y150" s="6"/>
      <c r="Z150" s="6"/>
    </row>
    <row r="151" spans="1:26" ht="12.75" x14ac:dyDescent="0.2">
      <c r="A151" s="36">
        <v>43806</v>
      </c>
      <c r="B151" s="29" t="s">
        <v>218</v>
      </c>
      <c r="C151" s="29">
        <v>72178335</v>
      </c>
      <c r="D151" s="50">
        <v>3900</v>
      </c>
      <c r="E151" s="29" t="s">
        <v>22</v>
      </c>
      <c r="F151" s="34">
        <v>43774</v>
      </c>
      <c r="G151" s="29"/>
      <c r="H151" s="49">
        <f t="shared" si="22"/>
        <v>7</v>
      </c>
      <c r="I151" s="49">
        <f t="shared" si="29"/>
        <v>12</v>
      </c>
      <c r="J151" s="122">
        <f t="shared" si="23"/>
        <v>2019</v>
      </c>
      <c r="K151" s="64">
        <f t="shared" si="24"/>
        <v>43866</v>
      </c>
      <c r="L151" s="6"/>
      <c r="M151" s="6"/>
      <c r="O151" s="208">
        <v>43796</v>
      </c>
      <c r="P151" s="209">
        <f t="shared" si="25"/>
        <v>2800</v>
      </c>
      <c r="Q151" s="209">
        <f>+SUMIF('A DEPOSITAR'!$D$2:$D$998,(O151-2),'A DEPOSITAR'!$H$2:$H$998)</f>
        <v>9500</v>
      </c>
      <c r="R151" s="210">
        <f t="shared" si="26"/>
        <v>6700</v>
      </c>
      <c r="S151" s="210">
        <f t="shared" si="28"/>
        <v>380575.59</v>
      </c>
      <c r="T151" s="209">
        <f t="shared" si="27"/>
        <v>0</v>
      </c>
      <c r="U151" s="209">
        <f>+SUMIFS('A DEPOSITAR'!$H$2:$H$998,'A DEPOSITAR'!$D$2:$D$998,(O151-2),'A DEPOSITAR'!$I$2:$I$998,"A Depositar")</f>
        <v>0</v>
      </c>
      <c r="V151" s="6"/>
      <c r="W151" s="6"/>
      <c r="X151" s="6"/>
      <c r="Y151" s="6"/>
      <c r="Z151" s="6"/>
    </row>
    <row r="152" spans="1:26" ht="12.75" x14ac:dyDescent="0.2">
      <c r="A152" s="32">
        <v>43837</v>
      </c>
      <c r="B152" s="29" t="s">
        <v>218</v>
      </c>
      <c r="C152" s="29">
        <v>72178336</v>
      </c>
      <c r="D152" s="50">
        <v>4000</v>
      </c>
      <c r="E152" s="29" t="s">
        <v>22</v>
      </c>
      <c r="F152" s="34">
        <v>43774</v>
      </c>
      <c r="G152" s="29"/>
      <c r="H152" s="49">
        <f t="shared" si="22"/>
        <v>7</v>
      </c>
      <c r="I152" s="49">
        <f t="shared" si="29"/>
        <v>1</v>
      </c>
      <c r="J152" s="122">
        <f t="shared" si="23"/>
        <v>2020</v>
      </c>
      <c r="K152" s="64">
        <f t="shared" si="24"/>
        <v>43897</v>
      </c>
      <c r="L152" s="6"/>
      <c r="M152" s="6"/>
      <c r="O152" s="208">
        <v>43797</v>
      </c>
      <c r="P152" s="209">
        <f t="shared" si="25"/>
        <v>0</v>
      </c>
      <c r="Q152" s="209">
        <f>+SUMIF('A DEPOSITAR'!$D$2:$D$998,(O152-2),'A DEPOSITAR'!$H$2:$H$998)</f>
        <v>13680</v>
      </c>
      <c r="R152" s="210">
        <f t="shared" si="26"/>
        <v>13680</v>
      </c>
      <c r="S152" s="210">
        <f t="shared" si="28"/>
        <v>394255.59</v>
      </c>
      <c r="T152" s="209">
        <f t="shared" si="27"/>
        <v>0</v>
      </c>
      <c r="U152" s="209">
        <f>+SUMIFS('A DEPOSITAR'!$H$2:$H$998,'A DEPOSITAR'!$D$2:$D$998,(O152-2),'A DEPOSITAR'!$I$2:$I$998,"A Depositar")</f>
        <v>0</v>
      </c>
      <c r="V152" s="6"/>
      <c r="W152" s="6"/>
      <c r="X152" s="6"/>
      <c r="Y152" s="6"/>
      <c r="Z152" s="6"/>
    </row>
    <row r="153" spans="1:26" ht="12.75" x14ac:dyDescent="0.2">
      <c r="A153" s="36">
        <v>43868</v>
      </c>
      <c r="B153" s="29" t="s">
        <v>218</v>
      </c>
      <c r="C153" s="29">
        <v>72178337</v>
      </c>
      <c r="D153" s="50">
        <v>4050</v>
      </c>
      <c r="E153" s="29" t="s">
        <v>892</v>
      </c>
      <c r="F153" s="34">
        <v>44140</v>
      </c>
      <c r="G153" s="29"/>
      <c r="H153" s="49">
        <f t="shared" si="22"/>
        <v>7</v>
      </c>
      <c r="I153" s="49">
        <f t="shared" si="29"/>
        <v>2</v>
      </c>
      <c r="J153" s="122">
        <f t="shared" si="23"/>
        <v>2020</v>
      </c>
      <c r="K153" s="64">
        <f t="shared" si="24"/>
        <v>43928</v>
      </c>
      <c r="L153" s="10"/>
      <c r="M153" s="6"/>
      <c r="O153" s="208">
        <v>43798</v>
      </c>
      <c r="P153" s="209">
        <f t="shared" si="25"/>
        <v>9500</v>
      </c>
      <c r="Q153" s="209">
        <f>+SUMIF('A DEPOSITAR'!$D$2:$D$998,(O153-2),'A DEPOSITAR'!$H$2:$H$998)</f>
        <v>0</v>
      </c>
      <c r="R153" s="210">
        <f t="shared" si="26"/>
        <v>-9500</v>
      </c>
      <c r="S153" s="210">
        <f t="shared" si="28"/>
        <v>384755.59</v>
      </c>
      <c r="T153" s="209">
        <f t="shared" si="27"/>
        <v>0</v>
      </c>
      <c r="U153" s="209">
        <f>+SUMIFS('A DEPOSITAR'!$H$2:$H$998,'A DEPOSITAR'!$D$2:$D$998,(O153-2),'A DEPOSITAR'!$I$2:$I$998,"A Depositar")</f>
        <v>0</v>
      </c>
      <c r="V153" s="6"/>
      <c r="W153" s="6"/>
      <c r="X153" s="6"/>
      <c r="Y153" s="6"/>
      <c r="Z153" s="6"/>
    </row>
    <row r="154" spans="1:26" ht="12.75" x14ac:dyDescent="0.2">
      <c r="A154" s="36">
        <v>43837</v>
      </c>
      <c r="B154" s="29" t="s">
        <v>219</v>
      </c>
      <c r="C154" s="29">
        <v>72178338</v>
      </c>
      <c r="D154" s="50">
        <v>9500</v>
      </c>
      <c r="E154" s="29" t="s">
        <v>22</v>
      </c>
      <c r="F154" s="34">
        <v>43775</v>
      </c>
      <c r="G154" s="29"/>
      <c r="H154" s="49">
        <f t="shared" si="22"/>
        <v>7</v>
      </c>
      <c r="I154" s="49">
        <f t="shared" si="29"/>
        <v>1</v>
      </c>
      <c r="J154" s="122">
        <f t="shared" si="23"/>
        <v>2020</v>
      </c>
      <c r="K154" s="64">
        <f t="shared" si="24"/>
        <v>43897</v>
      </c>
      <c r="L154" s="6"/>
      <c r="M154" s="6"/>
      <c r="O154" s="208">
        <v>43799</v>
      </c>
      <c r="P154" s="209">
        <f t="shared" si="25"/>
        <v>73615</v>
      </c>
      <c r="Q154" s="209">
        <f>+SUMIF('A DEPOSITAR'!$D$2:$D$998,(O154-2),'A DEPOSITAR'!$H$2:$H$998)</f>
        <v>20000</v>
      </c>
      <c r="R154" s="210">
        <f t="shared" si="26"/>
        <v>-53615</v>
      </c>
      <c r="S154" s="210">
        <f t="shared" si="28"/>
        <v>331140.59000000003</v>
      </c>
      <c r="T154" s="209">
        <f t="shared" si="27"/>
        <v>0</v>
      </c>
      <c r="U154" s="209">
        <f>+SUMIFS('A DEPOSITAR'!$H$2:$H$998,'A DEPOSITAR'!$D$2:$D$998,(O154-2),'A DEPOSITAR'!$I$2:$I$998,"A Depositar")</f>
        <v>0</v>
      </c>
      <c r="V154" s="6"/>
      <c r="W154" s="6"/>
      <c r="X154" s="6"/>
      <c r="Y154" s="6"/>
      <c r="Z154" s="6"/>
    </row>
    <row r="155" spans="1:26" ht="12.75" x14ac:dyDescent="0.2">
      <c r="A155" s="36">
        <v>43821</v>
      </c>
      <c r="B155" s="29" t="s">
        <v>219</v>
      </c>
      <c r="C155" s="29">
        <v>72178339</v>
      </c>
      <c r="D155" s="50">
        <v>10500</v>
      </c>
      <c r="E155" s="29" t="s">
        <v>22</v>
      </c>
      <c r="F155" s="34">
        <v>43775</v>
      </c>
      <c r="G155" s="29"/>
      <c r="H155" s="49">
        <f t="shared" si="22"/>
        <v>22</v>
      </c>
      <c r="I155" s="49">
        <f t="shared" si="29"/>
        <v>12</v>
      </c>
      <c r="J155" s="122">
        <f t="shared" si="23"/>
        <v>2019</v>
      </c>
      <c r="K155" s="64">
        <f t="shared" si="24"/>
        <v>43881</v>
      </c>
      <c r="L155" s="6"/>
      <c r="M155" s="6"/>
      <c r="O155" s="208">
        <v>43800</v>
      </c>
      <c r="P155" s="209">
        <f t="shared" si="25"/>
        <v>0</v>
      </c>
      <c r="Q155" s="209">
        <f>+SUMIF('A DEPOSITAR'!$D$2:$D$998,(O155-2),'A DEPOSITAR'!$H$2:$H$998)</f>
        <v>24500</v>
      </c>
      <c r="R155" s="210">
        <f t="shared" si="26"/>
        <v>24500</v>
      </c>
      <c r="S155" s="210">
        <f t="shared" si="28"/>
        <v>355640.59</v>
      </c>
      <c r="T155" s="209">
        <f t="shared" si="27"/>
        <v>0</v>
      </c>
      <c r="U155" s="209">
        <f>+SUMIFS('A DEPOSITAR'!$H$2:$H$998,'A DEPOSITAR'!$D$2:$D$998,(O155-2),'A DEPOSITAR'!$I$2:$I$998,"A Depositar")</f>
        <v>0</v>
      </c>
      <c r="V155" s="6"/>
      <c r="W155" s="6"/>
      <c r="X155" s="6"/>
      <c r="Y155" s="6"/>
      <c r="Z155" s="6"/>
    </row>
    <row r="156" spans="1:26" ht="12.75" x14ac:dyDescent="0.2">
      <c r="A156" s="36">
        <v>44050</v>
      </c>
      <c r="B156" s="29" t="s">
        <v>222</v>
      </c>
      <c r="C156" s="29">
        <v>72178340</v>
      </c>
      <c r="D156" s="50">
        <v>9000</v>
      </c>
      <c r="E156" s="29" t="s">
        <v>327</v>
      </c>
      <c r="F156" s="34">
        <v>43986</v>
      </c>
      <c r="G156" s="29"/>
      <c r="H156" s="49">
        <f t="shared" si="22"/>
        <v>7</v>
      </c>
      <c r="I156" s="49">
        <f t="shared" si="29"/>
        <v>8</v>
      </c>
      <c r="J156" s="122">
        <f t="shared" si="23"/>
        <v>2020</v>
      </c>
      <c r="K156" s="64">
        <f t="shared" si="24"/>
        <v>44110</v>
      </c>
      <c r="L156" s="6"/>
      <c r="M156" s="6"/>
      <c r="O156" s="208">
        <v>43801</v>
      </c>
      <c r="P156" s="209">
        <f t="shared" si="25"/>
        <v>0</v>
      </c>
      <c r="Q156" s="209">
        <f>+SUMIF('A DEPOSITAR'!$D$2:$D$998,(O156-2),'A DEPOSITAR'!$H$2:$H$998)</f>
        <v>200098</v>
      </c>
      <c r="R156" s="210">
        <f t="shared" si="26"/>
        <v>200098</v>
      </c>
      <c r="S156" s="210">
        <f t="shared" si="28"/>
        <v>555738.59000000008</v>
      </c>
      <c r="T156" s="209">
        <f t="shared" si="27"/>
        <v>0</v>
      </c>
      <c r="U156" s="209">
        <f>+SUMIFS('A DEPOSITAR'!$H$2:$H$998,'A DEPOSITAR'!$D$2:$D$998,(O156-2),'A DEPOSITAR'!$I$2:$I$998,"A Depositar")</f>
        <v>0</v>
      </c>
      <c r="V156" s="6"/>
      <c r="W156" s="6"/>
      <c r="X156" s="6"/>
      <c r="Y156" s="6"/>
      <c r="Z156" s="6"/>
    </row>
    <row r="157" spans="1:26" ht="12.75" x14ac:dyDescent="0.2">
      <c r="A157" s="36">
        <v>43943</v>
      </c>
      <c r="B157" s="29" t="s">
        <v>222</v>
      </c>
      <c r="C157" s="29">
        <v>72178341</v>
      </c>
      <c r="D157" s="50">
        <v>9500</v>
      </c>
      <c r="E157" s="29" t="s">
        <v>22</v>
      </c>
      <c r="F157" s="34">
        <v>43781</v>
      </c>
      <c r="G157" s="29"/>
      <c r="H157" s="49">
        <f t="shared" si="22"/>
        <v>22</v>
      </c>
      <c r="I157" s="49">
        <f t="shared" si="29"/>
        <v>4</v>
      </c>
      <c r="J157" s="122">
        <f t="shared" si="23"/>
        <v>2020</v>
      </c>
      <c r="K157" s="64">
        <f t="shared" si="24"/>
        <v>44003</v>
      </c>
      <c r="L157" s="6"/>
      <c r="M157" s="6"/>
      <c r="O157" s="208">
        <v>43802</v>
      </c>
      <c r="P157" s="209">
        <f t="shared" si="25"/>
        <v>0</v>
      </c>
      <c r="Q157" s="209">
        <f>+SUMIF('A DEPOSITAR'!$D$2:$D$998,(O157-2),'A DEPOSITAR'!$H$2:$H$998)</f>
        <v>0</v>
      </c>
      <c r="R157" s="210">
        <f t="shared" si="26"/>
        <v>0</v>
      </c>
      <c r="S157" s="210">
        <f t="shared" si="28"/>
        <v>555738.59000000008</v>
      </c>
      <c r="T157" s="209">
        <f t="shared" si="27"/>
        <v>0</v>
      </c>
      <c r="U157" s="209">
        <f>+SUMIFS('A DEPOSITAR'!$H$2:$H$998,'A DEPOSITAR'!$D$2:$D$998,(O157-2),'A DEPOSITAR'!$I$2:$I$998,"A Depositar")</f>
        <v>0</v>
      </c>
      <c r="V157" s="6"/>
      <c r="W157" s="6"/>
      <c r="X157" s="6"/>
      <c r="Y157" s="6"/>
      <c r="Z157" s="6"/>
    </row>
    <row r="158" spans="1:26" ht="12.75" x14ac:dyDescent="0.2">
      <c r="A158" s="36">
        <v>43951</v>
      </c>
      <c r="B158" s="29" t="s">
        <v>222</v>
      </c>
      <c r="C158" s="29">
        <v>72178342</v>
      </c>
      <c r="D158" s="50">
        <v>9800</v>
      </c>
      <c r="E158" s="29" t="s">
        <v>327</v>
      </c>
      <c r="F158" s="34">
        <v>43781</v>
      </c>
      <c r="G158" s="29"/>
      <c r="H158" s="49">
        <f t="shared" si="22"/>
        <v>30</v>
      </c>
      <c r="I158" s="49">
        <f t="shared" si="29"/>
        <v>4</v>
      </c>
      <c r="J158" s="122">
        <f t="shared" si="23"/>
        <v>2020</v>
      </c>
      <c r="K158" s="125">
        <f t="shared" si="24"/>
        <v>44011</v>
      </c>
      <c r="L158" s="6"/>
      <c r="M158" s="6"/>
      <c r="O158" s="208">
        <v>43803</v>
      </c>
      <c r="P158" s="209">
        <f t="shared" si="25"/>
        <v>0</v>
      </c>
      <c r="Q158" s="209">
        <f>+SUMIF('A DEPOSITAR'!$D$2:$D$998,(O158-2),'A DEPOSITAR'!$H$2:$H$998)</f>
        <v>0</v>
      </c>
      <c r="R158" s="210">
        <f t="shared" si="26"/>
        <v>0</v>
      </c>
      <c r="S158" s="210">
        <f t="shared" si="28"/>
        <v>555738.59000000008</v>
      </c>
      <c r="T158" s="209">
        <f t="shared" si="27"/>
        <v>0</v>
      </c>
      <c r="U158" s="209">
        <f>+SUMIFS('A DEPOSITAR'!$H$2:$H$998,'A DEPOSITAR'!$D$2:$D$998,(O158-2),'A DEPOSITAR'!$I$2:$I$998,"A Depositar")</f>
        <v>0</v>
      </c>
      <c r="V158" s="6"/>
      <c r="W158" s="6"/>
      <c r="X158" s="6"/>
      <c r="Y158" s="6"/>
      <c r="Z158" s="6"/>
    </row>
    <row r="159" spans="1:26" ht="12.75" x14ac:dyDescent="0.2">
      <c r="A159" s="36">
        <v>43958</v>
      </c>
      <c r="B159" s="29" t="s">
        <v>222</v>
      </c>
      <c r="C159" s="29">
        <v>72178343</v>
      </c>
      <c r="D159" s="50">
        <v>10200</v>
      </c>
      <c r="E159" s="29" t="s">
        <v>327</v>
      </c>
      <c r="F159" s="34">
        <v>43781</v>
      </c>
      <c r="G159" s="29"/>
      <c r="H159" s="49">
        <f t="shared" si="22"/>
        <v>7</v>
      </c>
      <c r="I159" s="49">
        <f t="shared" si="29"/>
        <v>5</v>
      </c>
      <c r="J159" s="122">
        <f t="shared" si="23"/>
        <v>2020</v>
      </c>
      <c r="K159" s="64">
        <f t="shared" si="24"/>
        <v>44018</v>
      </c>
      <c r="L159" s="6"/>
      <c r="M159" s="6"/>
      <c r="O159" s="208">
        <v>43804</v>
      </c>
      <c r="P159" s="209">
        <f t="shared" si="25"/>
        <v>0</v>
      </c>
      <c r="Q159" s="209">
        <f>+SUMIF('A DEPOSITAR'!$D$2:$D$998,(O159-2),'A DEPOSITAR'!$H$2:$H$998)</f>
        <v>0</v>
      </c>
      <c r="R159" s="210">
        <f t="shared" si="26"/>
        <v>0</v>
      </c>
      <c r="S159" s="210">
        <f t="shared" si="28"/>
        <v>555738.59000000008</v>
      </c>
      <c r="T159" s="209">
        <f t="shared" si="27"/>
        <v>0</v>
      </c>
      <c r="U159" s="209">
        <f>+SUMIFS('A DEPOSITAR'!$H$2:$H$998,'A DEPOSITAR'!$D$2:$D$998,(O159-2),'A DEPOSITAR'!$I$2:$I$998,"A Depositar")</f>
        <v>0</v>
      </c>
      <c r="V159" s="6"/>
      <c r="W159" s="6"/>
      <c r="X159" s="6"/>
      <c r="Y159" s="6"/>
      <c r="Z159" s="6"/>
    </row>
    <row r="160" spans="1:26" ht="12.75" x14ac:dyDescent="0.2">
      <c r="A160" s="36">
        <v>43921</v>
      </c>
      <c r="B160" s="29" t="s">
        <v>222</v>
      </c>
      <c r="C160" s="29">
        <v>72178344</v>
      </c>
      <c r="D160" s="50">
        <v>15000</v>
      </c>
      <c r="E160" s="29" t="s">
        <v>22</v>
      </c>
      <c r="F160" s="34">
        <v>43781</v>
      </c>
      <c r="G160" s="29"/>
      <c r="H160" s="49">
        <f t="shared" si="22"/>
        <v>31</v>
      </c>
      <c r="I160" s="49">
        <f t="shared" si="29"/>
        <v>3</v>
      </c>
      <c r="J160" s="122">
        <f t="shared" si="23"/>
        <v>2020</v>
      </c>
      <c r="K160" s="64">
        <f t="shared" si="24"/>
        <v>43981</v>
      </c>
      <c r="L160" s="6"/>
      <c r="M160" s="6"/>
      <c r="O160" s="208">
        <v>43805</v>
      </c>
      <c r="P160" s="209">
        <f t="shared" si="25"/>
        <v>0</v>
      </c>
      <c r="Q160" s="209">
        <f>+SUMIF('A DEPOSITAR'!$D$2:$D$998,(O160-2),'A DEPOSITAR'!$H$2:$H$998)</f>
        <v>0</v>
      </c>
      <c r="R160" s="210">
        <f t="shared" si="26"/>
        <v>0</v>
      </c>
      <c r="S160" s="210">
        <f t="shared" si="28"/>
        <v>555738.59000000008</v>
      </c>
      <c r="T160" s="209">
        <f t="shared" si="27"/>
        <v>0</v>
      </c>
      <c r="U160" s="209">
        <f>+SUMIFS('A DEPOSITAR'!$H$2:$H$998,'A DEPOSITAR'!$D$2:$D$998,(O160-2),'A DEPOSITAR'!$I$2:$I$998,"A Depositar")</f>
        <v>0</v>
      </c>
      <c r="V160" s="6"/>
      <c r="W160" s="6"/>
      <c r="X160" s="6"/>
      <c r="Y160" s="6"/>
      <c r="Z160" s="6"/>
    </row>
    <row r="161" spans="1:26" ht="12.75" x14ac:dyDescent="0.2">
      <c r="A161" s="36">
        <v>43910</v>
      </c>
      <c r="B161" s="29" t="s">
        <v>222</v>
      </c>
      <c r="C161" s="29">
        <v>72178345</v>
      </c>
      <c r="D161" s="50">
        <v>15000</v>
      </c>
      <c r="E161" s="29" t="s">
        <v>22</v>
      </c>
      <c r="F161" s="34">
        <v>43781</v>
      </c>
      <c r="G161" s="29"/>
      <c r="H161" s="49">
        <f t="shared" si="22"/>
        <v>20</v>
      </c>
      <c r="I161" s="49">
        <f t="shared" si="29"/>
        <v>3</v>
      </c>
      <c r="J161" s="122">
        <f t="shared" si="23"/>
        <v>2020</v>
      </c>
      <c r="K161" s="64">
        <f t="shared" si="24"/>
        <v>43970</v>
      </c>
      <c r="L161" s="6"/>
      <c r="M161" s="6"/>
      <c r="O161" s="208">
        <v>43806</v>
      </c>
      <c r="P161" s="209">
        <f t="shared" si="25"/>
        <v>42277</v>
      </c>
      <c r="Q161" s="209">
        <f>+SUMIF('A DEPOSITAR'!$D$2:$D$998,(O161-2),'A DEPOSITAR'!$H$2:$H$998)</f>
        <v>0</v>
      </c>
      <c r="R161" s="210">
        <f t="shared" si="26"/>
        <v>-42277</v>
      </c>
      <c r="S161" s="210">
        <f t="shared" si="28"/>
        <v>513461.59000000008</v>
      </c>
      <c r="T161" s="209">
        <f t="shared" si="27"/>
        <v>0</v>
      </c>
      <c r="U161" s="209">
        <f>+SUMIFS('A DEPOSITAR'!$H$2:$H$998,'A DEPOSITAR'!$D$2:$D$998,(O161-2),'A DEPOSITAR'!$I$2:$I$998,"A Depositar")</f>
        <v>0</v>
      </c>
      <c r="V161" s="6"/>
      <c r="W161" s="6"/>
      <c r="X161" s="6"/>
      <c r="Y161" s="6"/>
      <c r="Z161" s="6"/>
    </row>
    <row r="162" spans="1:26" ht="12.75" x14ac:dyDescent="0.2">
      <c r="A162" s="31">
        <v>43881</v>
      </c>
      <c r="B162" s="29" t="s">
        <v>222</v>
      </c>
      <c r="C162" s="29">
        <v>72178346</v>
      </c>
      <c r="D162" s="30">
        <v>15000</v>
      </c>
      <c r="E162" s="29" t="s">
        <v>22</v>
      </c>
      <c r="F162" s="7">
        <v>43781</v>
      </c>
      <c r="G162" s="18"/>
      <c r="H162" s="16">
        <f t="shared" ref="H162:H167" si="30">DAY(A162)</f>
        <v>20</v>
      </c>
      <c r="I162" s="16">
        <f t="shared" si="29"/>
        <v>2</v>
      </c>
      <c r="J162" s="122">
        <f t="shared" ref="J162:J167" si="31">YEAR(A162)</f>
        <v>2020</v>
      </c>
      <c r="K162" s="64">
        <f t="shared" si="24"/>
        <v>43941</v>
      </c>
      <c r="L162" s="6"/>
      <c r="M162" s="6"/>
      <c r="O162" s="208">
        <v>43807</v>
      </c>
      <c r="P162" s="209">
        <f t="shared" si="25"/>
        <v>48428</v>
      </c>
      <c r="Q162" s="209">
        <f>+SUMIF('A DEPOSITAR'!$D$2:$D$998,(O162-2),'A DEPOSITAR'!$H$2:$H$998)</f>
        <v>0</v>
      </c>
      <c r="R162" s="210">
        <f t="shared" si="26"/>
        <v>-48428</v>
      </c>
      <c r="S162" s="210">
        <f t="shared" si="28"/>
        <v>465033.59000000008</v>
      </c>
      <c r="T162" s="209">
        <f t="shared" si="27"/>
        <v>0</v>
      </c>
      <c r="U162" s="209">
        <f>+SUMIFS('A DEPOSITAR'!$H$2:$H$998,'A DEPOSITAR'!$D$2:$D$998,(O162-2),'A DEPOSITAR'!$I$2:$I$998,"A Depositar")</f>
        <v>0</v>
      </c>
      <c r="V162" s="6"/>
      <c r="W162" s="6"/>
      <c r="X162" s="6"/>
      <c r="Y162" s="6"/>
      <c r="Z162" s="6"/>
    </row>
    <row r="163" spans="1:26" ht="12.75" x14ac:dyDescent="0.2">
      <c r="A163" s="31">
        <v>43808</v>
      </c>
      <c r="B163" s="29" t="s">
        <v>27</v>
      </c>
      <c r="C163" s="29">
        <v>72178347</v>
      </c>
      <c r="D163" s="30">
        <v>9000</v>
      </c>
      <c r="E163" s="29" t="s">
        <v>22</v>
      </c>
      <c r="F163" s="7">
        <v>43781</v>
      </c>
      <c r="G163" s="18"/>
      <c r="H163" s="16">
        <f t="shared" si="30"/>
        <v>9</v>
      </c>
      <c r="I163" s="16">
        <f t="shared" si="29"/>
        <v>12</v>
      </c>
      <c r="J163" s="122">
        <f t="shared" si="31"/>
        <v>2019</v>
      </c>
      <c r="K163" s="64">
        <f t="shared" si="24"/>
        <v>43868</v>
      </c>
      <c r="L163" s="6"/>
      <c r="M163" s="6"/>
      <c r="O163" s="208">
        <v>43808</v>
      </c>
      <c r="P163" s="209">
        <f t="shared" si="25"/>
        <v>9000</v>
      </c>
      <c r="Q163" s="209">
        <f>+SUMIF('A DEPOSITAR'!$D$2:$D$998,(O163-2),'A DEPOSITAR'!$H$2:$H$998)</f>
        <v>9000</v>
      </c>
      <c r="R163" s="210">
        <f t="shared" si="26"/>
        <v>0</v>
      </c>
      <c r="S163" s="210">
        <f t="shared" si="28"/>
        <v>465033.59000000008</v>
      </c>
      <c r="T163" s="209">
        <f t="shared" si="27"/>
        <v>0</v>
      </c>
      <c r="U163" s="209">
        <f>+SUMIFS('A DEPOSITAR'!$H$2:$H$998,'A DEPOSITAR'!$D$2:$D$998,(O163-2),'A DEPOSITAR'!$I$2:$I$998,"A Depositar")</f>
        <v>0</v>
      </c>
      <c r="V163" s="6"/>
      <c r="W163" s="6"/>
      <c r="X163" s="6"/>
      <c r="Y163" s="6"/>
      <c r="Z163" s="6"/>
    </row>
    <row r="164" spans="1:26" ht="12.75" x14ac:dyDescent="0.2">
      <c r="A164" s="31">
        <v>43809</v>
      </c>
      <c r="B164" s="29" t="s">
        <v>27</v>
      </c>
      <c r="C164" s="29">
        <v>72178348</v>
      </c>
      <c r="D164" s="30">
        <v>8845</v>
      </c>
      <c r="E164" s="29" t="s">
        <v>22</v>
      </c>
      <c r="F164" s="7">
        <v>43781</v>
      </c>
      <c r="G164" s="18"/>
      <c r="H164" s="16">
        <f t="shared" si="30"/>
        <v>10</v>
      </c>
      <c r="I164" s="16">
        <f t="shared" si="29"/>
        <v>12</v>
      </c>
      <c r="J164" s="122">
        <f t="shared" si="31"/>
        <v>2019</v>
      </c>
      <c r="K164" s="64">
        <f t="shared" si="24"/>
        <v>43869</v>
      </c>
      <c r="L164" s="6"/>
      <c r="M164" s="6"/>
      <c r="O164" s="208">
        <v>43809</v>
      </c>
      <c r="P164" s="209">
        <f t="shared" si="25"/>
        <v>18845</v>
      </c>
      <c r="Q164" s="209">
        <f>+SUMIF('A DEPOSITAR'!$D$2:$D$998,(O164-2),'A DEPOSITAR'!$H$2:$H$998)</f>
        <v>4000</v>
      </c>
      <c r="R164" s="210">
        <f t="shared" si="26"/>
        <v>-14845</v>
      </c>
      <c r="S164" s="210">
        <f t="shared" si="28"/>
        <v>450188.59000000008</v>
      </c>
      <c r="T164" s="209">
        <f t="shared" si="27"/>
        <v>0</v>
      </c>
      <c r="U164" s="209">
        <f>+SUMIFS('A DEPOSITAR'!$H$2:$H$998,'A DEPOSITAR'!$D$2:$D$998,(O164-2),'A DEPOSITAR'!$I$2:$I$998,"A Depositar")</f>
        <v>0</v>
      </c>
      <c r="V164" s="6"/>
      <c r="W164" s="6"/>
      <c r="X164" s="6"/>
      <c r="Y164" s="6"/>
      <c r="Z164" s="6"/>
    </row>
    <row r="165" spans="1:26" ht="12.75" x14ac:dyDescent="0.2">
      <c r="A165" s="31">
        <v>43790</v>
      </c>
      <c r="B165" s="29" t="s">
        <v>122</v>
      </c>
      <c r="C165" s="29">
        <v>72178349</v>
      </c>
      <c r="D165" s="30">
        <v>9000</v>
      </c>
      <c r="E165" s="29" t="s">
        <v>22</v>
      </c>
      <c r="F165" s="7">
        <v>43790</v>
      </c>
      <c r="G165" s="18"/>
      <c r="H165" s="16">
        <f t="shared" si="30"/>
        <v>21</v>
      </c>
      <c r="I165" s="16">
        <f t="shared" si="29"/>
        <v>11</v>
      </c>
      <c r="J165" s="122">
        <f t="shared" si="31"/>
        <v>2019</v>
      </c>
      <c r="K165" s="64">
        <f t="shared" si="24"/>
        <v>43850</v>
      </c>
      <c r="L165" s="6"/>
      <c r="M165" s="6"/>
      <c r="O165" s="208">
        <v>43810</v>
      </c>
      <c r="P165" s="209">
        <f t="shared" si="25"/>
        <v>0</v>
      </c>
      <c r="Q165" s="209">
        <f>+SUMIF('A DEPOSITAR'!$D$2:$D$998,(O165-2),'A DEPOSITAR'!$H$2:$H$998)</f>
        <v>7000</v>
      </c>
      <c r="R165" s="210">
        <f t="shared" si="26"/>
        <v>7000</v>
      </c>
      <c r="S165" s="210">
        <f t="shared" si="28"/>
        <v>457188.59000000008</v>
      </c>
      <c r="T165" s="209">
        <f t="shared" si="27"/>
        <v>0</v>
      </c>
      <c r="U165" s="209">
        <f>+SUMIFS('A DEPOSITAR'!$H$2:$H$998,'A DEPOSITAR'!$D$2:$D$998,(O165-2),'A DEPOSITAR'!$I$2:$I$998,"A Depositar")</f>
        <v>0</v>
      </c>
      <c r="V165" s="6"/>
      <c r="W165" s="6"/>
      <c r="X165" s="6"/>
      <c r="Y165" s="6"/>
      <c r="Z165" s="6"/>
    </row>
    <row r="166" spans="1:26" ht="12.75" x14ac:dyDescent="0.2">
      <c r="A166" s="31">
        <v>43815</v>
      </c>
      <c r="B166" s="29" t="s">
        <v>139</v>
      </c>
      <c r="C166" s="29">
        <v>72178350</v>
      </c>
      <c r="D166" s="30">
        <v>1852</v>
      </c>
      <c r="E166" s="29" t="s">
        <v>22</v>
      </c>
      <c r="F166" s="7">
        <v>43790</v>
      </c>
      <c r="G166" s="18"/>
      <c r="H166" s="16">
        <f t="shared" si="30"/>
        <v>16</v>
      </c>
      <c r="I166" s="16">
        <f t="shared" si="29"/>
        <v>12</v>
      </c>
      <c r="J166" s="122">
        <f t="shared" si="31"/>
        <v>2019</v>
      </c>
      <c r="K166" s="64">
        <f t="shared" si="24"/>
        <v>43875</v>
      </c>
      <c r="L166" s="6"/>
      <c r="M166" s="6"/>
      <c r="O166" s="208">
        <v>43811</v>
      </c>
      <c r="P166" s="209">
        <f t="shared" si="25"/>
        <v>0</v>
      </c>
      <c r="Q166" s="209">
        <f>+SUMIF('A DEPOSITAR'!$D$2:$D$998,(O166-2),'A DEPOSITAR'!$H$2:$H$998)</f>
        <v>35328.93</v>
      </c>
      <c r="R166" s="210">
        <f t="shared" si="26"/>
        <v>35328.93</v>
      </c>
      <c r="S166" s="210">
        <f t="shared" si="28"/>
        <v>492517.52000000008</v>
      </c>
      <c r="T166" s="209">
        <f t="shared" si="27"/>
        <v>0</v>
      </c>
      <c r="U166" s="209">
        <f>+SUMIFS('A DEPOSITAR'!$H$2:$H$998,'A DEPOSITAR'!$D$2:$D$998,(O166-2),'A DEPOSITAR'!$I$2:$I$998,"A Depositar")</f>
        <v>0</v>
      </c>
      <c r="V166" s="6"/>
      <c r="W166" s="6"/>
      <c r="X166" s="6"/>
      <c r="Y166" s="6"/>
      <c r="Z166" s="6"/>
    </row>
    <row r="167" spans="1:26" ht="12.75" x14ac:dyDescent="0.2">
      <c r="A167" s="31">
        <v>43798</v>
      </c>
      <c r="B167" s="29" t="s">
        <v>23</v>
      </c>
      <c r="C167" s="29">
        <v>74728176</v>
      </c>
      <c r="D167" s="30">
        <v>9500</v>
      </c>
      <c r="E167" s="29" t="s">
        <v>22</v>
      </c>
      <c r="F167" s="7">
        <v>43789</v>
      </c>
      <c r="G167" s="18"/>
      <c r="H167" s="16">
        <f t="shared" si="30"/>
        <v>29</v>
      </c>
      <c r="I167" s="16">
        <f t="shared" si="29"/>
        <v>11</v>
      </c>
      <c r="J167" s="122">
        <f t="shared" si="31"/>
        <v>2019</v>
      </c>
      <c r="K167" s="64">
        <f t="shared" si="24"/>
        <v>43858</v>
      </c>
      <c r="L167" s="6"/>
      <c r="M167" s="6"/>
      <c r="O167" s="208">
        <v>43812</v>
      </c>
      <c r="P167" s="209">
        <f t="shared" si="25"/>
        <v>19351.599999999999</v>
      </c>
      <c r="Q167" s="209">
        <f>+SUMIF('A DEPOSITAR'!$D$2:$D$998,(O167-2),'A DEPOSITAR'!$H$2:$H$998)</f>
        <v>11000</v>
      </c>
      <c r="R167" s="210">
        <f t="shared" si="26"/>
        <v>-8351.5999999999985</v>
      </c>
      <c r="S167" s="210">
        <f t="shared" si="28"/>
        <v>484165.9200000001</v>
      </c>
      <c r="T167" s="209">
        <f t="shared" si="27"/>
        <v>0</v>
      </c>
      <c r="U167" s="209">
        <f>+SUMIFS('A DEPOSITAR'!$H$2:$H$998,'A DEPOSITAR'!$D$2:$D$998,(O167-2),'A DEPOSITAR'!$I$2:$I$998,"A Depositar")</f>
        <v>0</v>
      </c>
      <c r="V167" s="6"/>
      <c r="W167" s="6"/>
      <c r="X167" s="6"/>
      <c r="Y167" s="6"/>
      <c r="Z167" s="6"/>
    </row>
    <row r="168" spans="1:26" ht="12.75" x14ac:dyDescent="0.2">
      <c r="A168" s="49" t="s">
        <v>238</v>
      </c>
      <c r="B168" s="29" t="s">
        <v>133</v>
      </c>
      <c r="C168" s="29">
        <v>74728177</v>
      </c>
      <c r="D168" s="30" t="s">
        <v>238</v>
      </c>
      <c r="E168" s="29" t="s">
        <v>22</v>
      </c>
      <c r="F168" s="7">
        <v>43789</v>
      </c>
      <c r="G168" s="18"/>
      <c r="H168" s="16" t="s">
        <v>18</v>
      </c>
      <c r="I168" s="16" t="s">
        <v>18</v>
      </c>
      <c r="J168" s="122" t="s">
        <v>18</v>
      </c>
      <c r="K168" s="64" t="e">
        <f t="shared" si="24"/>
        <v>#VALUE!</v>
      </c>
      <c r="L168" s="6"/>
      <c r="M168" s="6"/>
      <c r="O168" s="208">
        <v>43813</v>
      </c>
      <c r="P168" s="209">
        <f t="shared" si="25"/>
        <v>5450</v>
      </c>
      <c r="Q168" s="209">
        <f>+SUMIF('A DEPOSITAR'!$D$2:$D$998,(O168-2),'A DEPOSITAR'!$H$2:$H$998)</f>
        <v>1650</v>
      </c>
      <c r="R168" s="210">
        <f t="shared" si="26"/>
        <v>-3800</v>
      </c>
      <c r="S168" s="210">
        <f t="shared" si="28"/>
        <v>480365.9200000001</v>
      </c>
      <c r="T168" s="209">
        <f t="shared" si="27"/>
        <v>0</v>
      </c>
      <c r="U168" s="209">
        <f>+SUMIFS('A DEPOSITAR'!$H$2:$H$998,'A DEPOSITAR'!$D$2:$D$998,(O168-2),'A DEPOSITAR'!$I$2:$I$998,"A Depositar")</f>
        <v>0</v>
      </c>
      <c r="V168" s="6"/>
      <c r="W168" s="6"/>
      <c r="X168" s="6"/>
      <c r="Y168" s="6"/>
      <c r="Z168" s="6"/>
    </row>
    <row r="169" spans="1:26" ht="12.75" x14ac:dyDescent="0.2">
      <c r="A169" s="31">
        <v>43799</v>
      </c>
      <c r="B169" s="29" t="s">
        <v>23</v>
      </c>
      <c r="C169" s="29">
        <v>74728178</v>
      </c>
      <c r="D169" s="30">
        <v>10000</v>
      </c>
      <c r="E169" s="29" t="s">
        <v>22</v>
      </c>
      <c r="F169" s="7">
        <v>43789</v>
      </c>
      <c r="G169" s="18"/>
      <c r="H169" s="16">
        <f t="shared" ref="H169:H213" si="32">DAY(A169)</f>
        <v>30</v>
      </c>
      <c r="I169" s="16">
        <f t="shared" ref="I169:I213" si="33">MONTH(A169)</f>
        <v>11</v>
      </c>
      <c r="J169" s="122">
        <f t="shared" ref="J169:J213" si="34">YEAR(A169)</f>
        <v>2019</v>
      </c>
      <c r="K169" s="64">
        <f t="shared" si="24"/>
        <v>43859</v>
      </c>
      <c r="L169" s="6"/>
      <c r="M169" s="6"/>
      <c r="O169" s="208">
        <v>43814</v>
      </c>
      <c r="P169" s="209">
        <f t="shared" si="25"/>
        <v>0</v>
      </c>
      <c r="Q169" s="209">
        <f>+SUMIF('A DEPOSITAR'!$D$2:$D$998,(O169-2),'A DEPOSITAR'!$H$2:$H$998)</f>
        <v>4000</v>
      </c>
      <c r="R169" s="210">
        <f t="shared" si="26"/>
        <v>4000</v>
      </c>
      <c r="S169" s="210">
        <f t="shared" si="28"/>
        <v>484365.9200000001</v>
      </c>
      <c r="T169" s="209">
        <f t="shared" si="27"/>
        <v>0</v>
      </c>
      <c r="U169" s="209">
        <f>+SUMIFS('A DEPOSITAR'!$H$2:$H$998,'A DEPOSITAR'!$D$2:$D$998,(O169-2),'A DEPOSITAR'!$I$2:$I$998,"A Depositar")</f>
        <v>0</v>
      </c>
      <c r="V169" s="6"/>
      <c r="W169" s="6"/>
      <c r="X169" s="6"/>
      <c r="Y169" s="6"/>
      <c r="Z169" s="6"/>
    </row>
    <row r="170" spans="1:26" ht="12.75" x14ac:dyDescent="0.2">
      <c r="A170" s="31">
        <v>43838</v>
      </c>
      <c r="B170" s="29" t="s">
        <v>60</v>
      </c>
      <c r="C170" s="29">
        <v>74728179</v>
      </c>
      <c r="D170" s="30">
        <v>10500</v>
      </c>
      <c r="E170" s="29" t="s">
        <v>22</v>
      </c>
      <c r="F170" s="7">
        <v>43789</v>
      </c>
      <c r="G170" s="18"/>
      <c r="H170" s="16">
        <f t="shared" si="32"/>
        <v>8</v>
      </c>
      <c r="I170" s="16">
        <f t="shared" si="33"/>
        <v>1</v>
      </c>
      <c r="J170" s="122">
        <f t="shared" si="34"/>
        <v>2020</v>
      </c>
      <c r="K170" s="64">
        <f t="shared" si="24"/>
        <v>43898</v>
      </c>
      <c r="L170" s="6"/>
      <c r="M170" s="6"/>
      <c r="O170" s="208">
        <v>43815</v>
      </c>
      <c r="P170" s="209">
        <f t="shared" si="25"/>
        <v>32604.420000000002</v>
      </c>
      <c r="Q170" s="209">
        <f>+SUMIF('A DEPOSITAR'!$D$2:$D$998,(O170-2),'A DEPOSITAR'!$H$2:$H$998)</f>
        <v>26712.83</v>
      </c>
      <c r="R170" s="210">
        <f t="shared" si="26"/>
        <v>-5891.59</v>
      </c>
      <c r="S170" s="210">
        <f t="shared" si="28"/>
        <v>478474.33000000007</v>
      </c>
      <c r="T170" s="209">
        <f t="shared" si="27"/>
        <v>0</v>
      </c>
      <c r="U170" s="209">
        <f>+SUMIFS('A DEPOSITAR'!$H$2:$H$998,'A DEPOSITAR'!$D$2:$D$998,(O170-2),'A DEPOSITAR'!$I$2:$I$998,"A Depositar")</f>
        <v>0</v>
      </c>
      <c r="V170" s="6"/>
      <c r="W170" s="6"/>
      <c r="X170" s="6"/>
      <c r="Y170" s="6"/>
      <c r="Z170" s="6"/>
    </row>
    <row r="171" spans="1:26" ht="12.75" x14ac:dyDescent="0.2">
      <c r="A171" s="31">
        <v>43815</v>
      </c>
      <c r="B171" s="29" t="s">
        <v>23</v>
      </c>
      <c r="C171" s="29">
        <v>74728180</v>
      </c>
      <c r="D171" s="30">
        <v>14000</v>
      </c>
      <c r="E171" s="29" t="s">
        <v>22</v>
      </c>
      <c r="F171" s="7">
        <v>43789</v>
      </c>
      <c r="G171" s="18"/>
      <c r="H171" s="16">
        <f t="shared" si="32"/>
        <v>16</v>
      </c>
      <c r="I171" s="16">
        <f t="shared" si="33"/>
        <v>12</v>
      </c>
      <c r="J171" s="122">
        <f t="shared" si="34"/>
        <v>2019</v>
      </c>
      <c r="K171" s="64">
        <f t="shared" si="24"/>
        <v>43875</v>
      </c>
      <c r="L171" s="6"/>
      <c r="M171" s="6"/>
      <c r="O171" s="208">
        <v>43816</v>
      </c>
      <c r="P171" s="209">
        <f t="shared" si="25"/>
        <v>10000</v>
      </c>
      <c r="Q171" s="209">
        <f>+SUMIF('A DEPOSITAR'!$D$2:$D$998,(O171-2),'A DEPOSITAR'!$H$2:$H$998)</f>
        <v>44411</v>
      </c>
      <c r="R171" s="210">
        <f t="shared" si="26"/>
        <v>34411</v>
      </c>
      <c r="S171" s="210">
        <f t="shared" si="28"/>
        <v>512885.33000000007</v>
      </c>
      <c r="T171" s="209">
        <f t="shared" si="27"/>
        <v>0</v>
      </c>
      <c r="U171" s="209">
        <f>+SUMIFS('A DEPOSITAR'!$H$2:$H$998,'A DEPOSITAR'!$D$2:$D$998,(O171-2),'A DEPOSITAR'!$I$2:$I$998,"A Depositar")</f>
        <v>0</v>
      </c>
      <c r="V171" s="6"/>
      <c r="W171" s="6"/>
      <c r="X171" s="6"/>
      <c r="Y171" s="6"/>
      <c r="Z171" s="6"/>
    </row>
    <row r="172" spans="1:26" ht="12.75" x14ac:dyDescent="0.2">
      <c r="A172" s="31">
        <v>43825</v>
      </c>
      <c r="B172" s="29" t="s">
        <v>23</v>
      </c>
      <c r="C172" s="29">
        <v>74728181</v>
      </c>
      <c r="D172" s="30">
        <v>16000</v>
      </c>
      <c r="E172" s="29" t="s">
        <v>22</v>
      </c>
      <c r="F172" s="7">
        <v>43789</v>
      </c>
      <c r="G172" s="18"/>
      <c r="H172" s="16">
        <f t="shared" si="32"/>
        <v>26</v>
      </c>
      <c r="I172" s="16">
        <f t="shared" si="33"/>
        <v>12</v>
      </c>
      <c r="J172" s="122">
        <f t="shared" si="34"/>
        <v>2019</v>
      </c>
      <c r="K172" s="64">
        <f t="shared" si="24"/>
        <v>43885</v>
      </c>
      <c r="L172" s="6"/>
      <c r="M172" s="6"/>
      <c r="O172" s="208">
        <v>43817</v>
      </c>
      <c r="P172" s="209">
        <f t="shared" si="25"/>
        <v>0</v>
      </c>
      <c r="Q172" s="209">
        <f>+SUMIF('A DEPOSITAR'!$D$2:$D$998,(O172-2),'A DEPOSITAR'!$H$2:$H$998)</f>
        <v>5000</v>
      </c>
      <c r="R172" s="210">
        <f t="shared" si="26"/>
        <v>5000</v>
      </c>
      <c r="S172" s="210">
        <f t="shared" si="28"/>
        <v>517885.33000000007</v>
      </c>
      <c r="T172" s="209">
        <f t="shared" si="27"/>
        <v>0</v>
      </c>
      <c r="U172" s="209">
        <f>+SUMIFS('A DEPOSITAR'!$H$2:$H$998,'A DEPOSITAR'!$D$2:$D$998,(O172-2),'A DEPOSITAR'!$I$2:$I$998,"A Depositar")</f>
        <v>0</v>
      </c>
      <c r="V172" s="6"/>
      <c r="W172" s="6"/>
      <c r="X172" s="6"/>
      <c r="Y172" s="6"/>
      <c r="Z172" s="6"/>
    </row>
    <row r="173" spans="1:26" ht="12.75" x14ac:dyDescent="0.2">
      <c r="A173" s="31">
        <v>43809</v>
      </c>
      <c r="B173" s="29" t="s">
        <v>244</v>
      </c>
      <c r="C173" s="29">
        <v>74728182</v>
      </c>
      <c r="D173" s="30">
        <v>10000</v>
      </c>
      <c r="E173" s="29" t="s">
        <v>22</v>
      </c>
      <c r="F173" s="7">
        <v>43789</v>
      </c>
      <c r="G173" s="18"/>
      <c r="H173" s="16">
        <f t="shared" si="32"/>
        <v>10</v>
      </c>
      <c r="I173" s="16">
        <f t="shared" si="33"/>
        <v>12</v>
      </c>
      <c r="J173" s="122">
        <f t="shared" si="34"/>
        <v>2019</v>
      </c>
      <c r="K173" s="64">
        <f t="shared" si="24"/>
        <v>43869</v>
      </c>
      <c r="L173" s="6"/>
      <c r="M173" s="6"/>
      <c r="O173" s="208">
        <v>43818</v>
      </c>
      <c r="P173" s="209">
        <f t="shared" si="25"/>
        <v>0</v>
      </c>
      <c r="Q173" s="209">
        <f>+SUMIF('A DEPOSITAR'!$D$2:$D$998,(O173-2),'A DEPOSITAR'!$H$2:$H$998)</f>
        <v>4000</v>
      </c>
      <c r="R173" s="210">
        <f t="shared" si="26"/>
        <v>4000</v>
      </c>
      <c r="S173" s="210">
        <f t="shared" si="28"/>
        <v>521885.33000000007</v>
      </c>
      <c r="T173" s="209">
        <f t="shared" si="27"/>
        <v>0</v>
      </c>
      <c r="U173" s="209">
        <f>+SUMIFS('A DEPOSITAR'!$H$2:$H$998,'A DEPOSITAR'!$D$2:$D$998,(O173-2),'A DEPOSITAR'!$I$2:$I$998,"A Depositar")</f>
        <v>0</v>
      </c>
      <c r="V173" s="6"/>
      <c r="W173" s="6"/>
      <c r="X173" s="6"/>
      <c r="Y173" s="6"/>
      <c r="Z173" s="6"/>
    </row>
    <row r="174" spans="1:26" ht="12.75" x14ac:dyDescent="0.2">
      <c r="A174" s="36">
        <v>43816</v>
      </c>
      <c r="B174" s="29" t="s">
        <v>244</v>
      </c>
      <c r="C174" s="29">
        <v>74728183</v>
      </c>
      <c r="D174" s="50">
        <v>10000</v>
      </c>
      <c r="E174" s="29" t="s">
        <v>22</v>
      </c>
      <c r="F174" s="34">
        <v>43789</v>
      </c>
      <c r="G174" s="29"/>
      <c r="H174" s="49">
        <f t="shared" si="32"/>
        <v>17</v>
      </c>
      <c r="I174" s="49">
        <f t="shared" si="33"/>
        <v>12</v>
      </c>
      <c r="J174" s="122">
        <f t="shared" si="34"/>
        <v>2019</v>
      </c>
      <c r="K174" s="64">
        <f t="shared" si="24"/>
        <v>43876</v>
      </c>
      <c r="L174" s="6"/>
      <c r="M174" s="6"/>
      <c r="O174" s="208">
        <v>43819</v>
      </c>
      <c r="P174" s="209">
        <f t="shared" si="25"/>
        <v>0</v>
      </c>
      <c r="Q174" s="209">
        <f>+SUMIF('A DEPOSITAR'!$D$2:$D$998,(O174-2),'A DEPOSITAR'!$H$2:$H$998)</f>
        <v>0</v>
      </c>
      <c r="R174" s="210">
        <f t="shared" si="26"/>
        <v>0</v>
      </c>
      <c r="S174" s="210">
        <f t="shared" si="28"/>
        <v>521885.33000000007</v>
      </c>
      <c r="T174" s="209">
        <f t="shared" si="27"/>
        <v>0</v>
      </c>
      <c r="U174" s="209">
        <f>+SUMIFS('A DEPOSITAR'!$H$2:$H$998,'A DEPOSITAR'!$D$2:$D$998,(O174-2),'A DEPOSITAR'!$I$2:$I$998,"A Depositar")</f>
        <v>0</v>
      </c>
      <c r="V174" s="6"/>
      <c r="W174" s="6"/>
      <c r="X174" s="6"/>
      <c r="Y174" s="6"/>
      <c r="Z174" s="6"/>
    </row>
    <row r="175" spans="1:26" ht="12.75" x14ac:dyDescent="0.2">
      <c r="A175" s="36">
        <v>43822</v>
      </c>
      <c r="B175" s="29" t="s">
        <v>244</v>
      </c>
      <c r="C175" s="29">
        <v>74728184</v>
      </c>
      <c r="D175" s="50">
        <v>10000</v>
      </c>
      <c r="E175" s="29" t="s">
        <v>22</v>
      </c>
      <c r="F175" s="34">
        <v>43789</v>
      </c>
      <c r="G175" s="29"/>
      <c r="H175" s="49">
        <f t="shared" si="32"/>
        <v>23</v>
      </c>
      <c r="I175" s="49">
        <f t="shared" si="33"/>
        <v>12</v>
      </c>
      <c r="J175" s="122">
        <f t="shared" si="34"/>
        <v>2019</v>
      </c>
      <c r="K175" s="64">
        <f t="shared" si="24"/>
        <v>43882</v>
      </c>
      <c r="L175" s="6"/>
      <c r="M175" s="6"/>
      <c r="O175" s="208">
        <v>43820</v>
      </c>
      <c r="P175" s="209">
        <f t="shared" si="25"/>
        <v>0</v>
      </c>
      <c r="Q175" s="209">
        <f>+SUMIF('A DEPOSITAR'!$D$2:$D$998,(O175-2),'A DEPOSITAR'!$H$2:$H$998)</f>
        <v>4500</v>
      </c>
      <c r="R175" s="210">
        <f t="shared" si="26"/>
        <v>4500</v>
      </c>
      <c r="S175" s="210">
        <f t="shared" si="28"/>
        <v>526385.33000000007</v>
      </c>
      <c r="T175" s="209">
        <f t="shared" si="27"/>
        <v>0</v>
      </c>
      <c r="U175" s="209">
        <f>+SUMIFS('A DEPOSITAR'!$H$2:$H$998,'A DEPOSITAR'!$D$2:$D$998,(O175-2),'A DEPOSITAR'!$I$2:$I$998,"A Depositar")</f>
        <v>0</v>
      </c>
      <c r="V175" s="6"/>
      <c r="W175" s="6"/>
      <c r="X175" s="6"/>
      <c r="Y175" s="6"/>
      <c r="Z175" s="6"/>
    </row>
    <row r="176" spans="1:26" ht="12.75" x14ac:dyDescent="0.2">
      <c r="A176" s="36">
        <v>43806</v>
      </c>
      <c r="B176" s="29" t="s">
        <v>103</v>
      </c>
      <c r="C176" s="29">
        <v>74728185</v>
      </c>
      <c r="D176" s="50">
        <v>17500</v>
      </c>
      <c r="E176" s="29" t="s">
        <v>22</v>
      </c>
      <c r="F176" s="34">
        <v>43789</v>
      </c>
      <c r="G176" s="29"/>
      <c r="H176" s="49">
        <f t="shared" si="32"/>
        <v>7</v>
      </c>
      <c r="I176" s="49">
        <f t="shared" si="33"/>
        <v>12</v>
      </c>
      <c r="J176" s="122">
        <f t="shared" si="34"/>
        <v>2019</v>
      </c>
      <c r="K176" s="64">
        <f t="shared" si="24"/>
        <v>43866</v>
      </c>
      <c r="L176" s="6"/>
      <c r="M176" s="6"/>
      <c r="O176" s="208">
        <v>43821</v>
      </c>
      <c r="P176" s="209">
        <f t="shared" si="25"/>
        <v>57094.239999999998</v>
      </c>
      <c r="Q176" s="209">
        <f>+SUMIF('A DEPOSITAR'!$D$2:$D$998,(O176-2),'A DEPOSITAR'!$H$2:$H$998)</f>
        <v>37526.1</v>
      </c>
      <c r="R176" s="210">
        <f t="shared" si="26"/>
        <v>-19568.14</v>
      </c>
      <c r="S176" s="210">
        <f t="shared" si="28"/>
        <v>506817.19000000006</v>
      </c>
      <c r="T176" s="209">
        <f t="shared" si="27"/>
        <v>0</v>
      </c>
      <c r="U176" s="209">
        <f>+SUMIFS('A DEPOSITAR'!$H$2:$H$998,'A DEPOSITAR'!$D$2:$D$998,(O176-2),'A DEPOSITAR'!$I$2:$I$998,"A Depositar")</f>
        <v>0</v>
      </c>
      <c r="V176" s="6"/>
      <c r="W176" s="6"/>
      <c r="X176" s="6"/>
      <c r="Y176" s="6"/>
      <c r="Z176" s="6"/>
    </row>
    <row r="177" spans="1:26" ht="12.75" x14ac:dyDescent="0.2">
      <c r="A177" s="36">
        <v>43839</v>
      </c>
      <c r="B177" s="29" t="s">
        <v>27</v>
      </c>
      <c r="C177" s="29">
        <v>74728186</v>
      </c>
      <c r="D177" s="50">
        <v>1500</v>
      </c>
      <c r="E177" s="29" t="s">
        <v>22</v>
      </c>
      <c r="F177" s="34">
        <v>43789</v>
      </c>
      <c r="G177" s="29"/>
      <c r="H177" s="49">
        <f t="shared" si="32"/>
        <v>9</v>
      </c>
      <c r="I177" s="49">
        <f t="shared" si="33"/>
        <v>1</v>
      </c>
      <c r="J177" s="122">
        <f t="shared" si="34"/>
        <v>2020</v>
      </c>
      <c r="K177" s="64">
        <f t="shared" si="24"/>
        <v>43899</v>
      </c>
      <c r="L177" s="6"/>
      <c r="M177" s="6"/>
      <c r="O177" s="208">
        <v>43822</v>
      </c>
      <c r="P177" s="209">
        <f t="shared" si="25"/>
        <v>30003.65</v>
      </c>
      <c r="Q177" s="209">
        <f>+SUMIF('A DEPOSITAR'!$D$2:$D$998,(O177-2),'A DEPOSITAR'!$H$2:$H$998)</f>
        <v>58543</v>
      </c>
      <c r="R177" s="210">
        <f t="shared" si="26"/>
        <v>28539.35</v>
      </c>
      <c r="S177" s="210">
        <f t="shared" si="28"/>
        <v>535356.54</v>
      </c>
      <c r="T177" s="209">
        <f t="shared" si="27"/>
        <v>0</v>
      </c>
      <c r="U177" s="209">
        <f>+SUMIFS('A DEPOSITAR'!$H$2:$H$998,'A DEPOSITAR'!$D$2:$D$998,(O177-2),'A DEPOSITAR'!$I$2:$I$998,"A Depositar")</f>
        <v>0</v>
      </c>
      <c r="V177" s="6"/>
      <c r="W177" s="6"/>
      <c r="X177" s="6"/>
      <c r="Y177" s="6"/>
      <c r="Z177" s="6"/>
    </row>
    <row r="178" spans="1:26" ht="12.75" x14ac:dyDescent="0.2">
      <c r="A178" s="36">
        <v>43837</v>
      </c>
      <c r="B178" s="29" t="s">
        <v>103</v>
      </c>
      <c r="C178" s="29">
        <v>74728187</v>
      </c>
      <c r="D178" s="50">
        <v>5700</v>
      </c>
      <c r="E178" s="29" t="s">
        <v>22</v>
      </c>
      <c r="F178" s="34">
        <v>43789</v>
      </c>
      <c r="G178" s="29"/>
      <c r="H178" s="49">
        <f t="shared" si="32"/>
        <v>7</v>
      </c>
      <c r="I178" s="49">
        <f t="shared" si="33"/>
        <v>1</v>
      </c>
      <c r="J178" s="122">
        <f t="shared" si="34"/>
        <v>2020</v>
      </c>
      <c r="K178" s="64">
        <f t="shared" si="24"/>
        <v>43897</v>
      </c>
      <c r="L178" s="6"/>
      <c r="M178" s="6"/>
      <c r="O178" s="208">
        <v>43823</v>
      </c>
      <c r="P178" s="209">
        <f t="shared" si="25"/>
        <v>0</v>
      </c>
      <c r="Q178" s="209">
        <f>+SUMIF('A DEPOSITAR'!$D$2:$D$998,(O178-2),'A DEPOSITAR'!$H$2:$H$998)</f>
        <v>0</v>
      </c>
      <c r="R178" s="210">
        <f t="shared" si="26"/>
        <v>0</v>
      </c>
      <c r="S178" s="210">
        <f t="shared" si="28"/>
        <v>535356.54</v>
      </c>
      <c r="T178" s="209">
        <f t="shared" si="27"/>
        <v>0</v>
      </c>
      <c r="U178" s="209">
        <f>+SUMIFS('A DEPOSITAR'!$H$2:$H$998,'A DEPOSITAR'!$D$2:$D$998,(O178-2),'A DEPOSITAR'!$I$2:$I$998,"A Depositar")</f>
        <v>0</v>
      </c>
      <c r="V178" s="6"/>
      <c r="W178" s="6"/>
      <c r="X178" s="6"/>
      <c r="Y178" s="6"/>
      <c r="Z178" s="6"/>
    </row>
    <row r="179" spans="1:26" ht="12.75" x14ac:dyDescent="0.2">
      <c r="A179" s="31">
        <v>43846</v>
      </c>
      <c r="B179" s="29" t="s">
        <v>103</v>
      </c>
      <c r="C179" s="29">
        <v>74728188</v>
      </c>
      <c r="D179" s="30">
        <v>5800</v>
      </c>
      <c r="E179" s="29" t="s">
        <v>22</v>
      </c>
      <c r="F179" s="7">
        <v>43789</v>
      </c>
      <c r="G179" s="18"/>
      <c r="H179" s="16">
        <f t="shared" si="32"/>
        <v>16</v>
      </c>
      <c r="I179" s="16">
        <f t="shared" si="33"/>
        <v>1</v>
      </c>
      <c r="J179" s="122">
        <f t="shared" si="34"/>
        <v>2020</v>
      </c>
      <c r="K179" s="64">
        <f t="shared" si="24"/>
        <v>43906</v>
      </c>
      <c r="L179" s="6"/>
      <c r="M179" s="6"/>
      <c r="O179" s="208">
        <v>43824</v>
      </c>
      <c r="P179" s="209">
        <f t="shared" si="25"/>
        <v>0</v>
      </c>
      <c r="Q179" s="209">
        <f>+SUMIF('A DEPOSITAR'!$D$2:$D$998,(O179-2),'A DEPOSITAR'!$H$2:$H$998)</f>
        <v>0</v>
      </c>
      <c r="R179" s="210">
        <f t="shared" si="26"/>
        <v>0</v>
      </c>
      <c r="S179" s="210">
        <f t="shared" si="28"/>
        <v>535356.54</v>
      </c>
      <c r="T179" s="209">
        <f t="shared" si="27"/>
        <v>0</v>
      </c>
      <c r="U179" s="209">
        <f>+SUMIFS('A DEPOSITAR'!$H$2:$H$998,'A DEPOSITAR'!$D$2:$D$998,(O179-2),'A DEPOSITAR'!$I$2:$I$998,"A Depositar")</f>
        <v>0</v>
      </c>
      <c r="V179" s="6"/>
      <c r="W179" s="6"/>
      <c r="X179" s="6"/>
      <c r="Y179" s="6"/>
      <c r="Z179" s="6"/>
    </row>
    <row r="180" spans="1:26" ht="12.75" x14ac:dyDescent="0.2">
      <c r="A180" s="36">
        <v>43852</v>
      </c>
      <c r="B180" s="29" t="s">
        <v>103</v>
      </c>
      <c r="C180" s="29">
        <v>74728189</v>
      </c>
      <c r="D180" s="30">
        <v>6000</v>
      </c>
      <c r="E180" s="29" t="s">
        <v>22</v>
      </c>
      <c r="F180" s="7">
        <v>43789</v>
      </c>
      <c r="G180" s="18"/>
      <c r="H180" s="9">
        <f t="shared" si="32"/>
        <v>22</v>
      </c>
      <c r="I180" s="9">
        <f t="shared" si="33"/>
        <v>1</v>
      </c>
      <c r="J180" s="122">
        <f t="shared" si="34"/>
        <v>2020</v>
      </c>
      <c r="K180" s="64">
        <f t="shared" si="24"/>
        <v>43912</v>
      </c>
      <c r="L180" s="6"/>
      <c r="M180" s="6"/>
      <c r="O180" s="208">
        <v>43825</v>
      </c>
      <c r="P180" s="209">
        <f t="shared" si="25"/>
        <v>28558.15</v>
      </c>
      <c r="Q180" s="209">
        <f>+SUMIF('A DEPOSITAR'!$D$2:$D$998,(O180-2),'A DEPOSITAR'!$H$2:$H$998)</f>
        <v>28100</v>
      </c>
      <c r="R180" s="210">
        <f t="shared" si="26"/>
        <v>-458.15000000000146</v>
      </c>
      <c r="S180" s="210">
        <f t="shared" si="28"/>
        <v>534898.39</v>
      </c>
      <c r="T180" s="209">
        <f t="shared" si="27"/>
        <v>0</v>
      </c>
      <c r="U180" s="209">
        <f>+SUMIFS('A DEPOSITAR'!$H$2:$H$998,'A DEPOSITAR'!$D$2:$D$998,(O180-2),'A DEPOSITAR'!$I$2:$I$998,"A Depositar")</f>
        <v>0</v>
      </c>
      <c r="V180" s="6"/>
      <c r="W180" s="6"/>
      <c r="X180" s="6"/>
      <c r="Y180" s="6"/>
      <c r="Z180" s="6"/>
    </row>
    <row r="181" spans="1:26" ht="12.75" x14ac:dyDescent="0.2">
      <c r="A181" s="31">
        <v>43861</v>
      </c>
      <c r="B181" s="29"/>
      <c r="C181" s="29">
        <v>74728190</v>
      </c>
      <c r="D181" s="30">
        <v>4000</v>
      </c>
      <c r="E181" s="29" t="s">
        <v>22</v>
      </c>
      <c r="F181" s="7">
        <v>43789</v>
      </c>
      <c r="G181" s="18"/>
      <c r="H181" s="16">
        <f t="shared" si="32"/>
        <v>31</v>
      </c>
      <c r="I181" s="16">
        <f t="shared" si="33"/>
        <v>1</v>
      </c>
      <c r="J181" s="122">
        <f t="shared" si="34"/>
        <v>2020</v>
      </c>
      <c r="K181" s="64">
        <f t="shared" si="24"/>
        <v>43921</v>
      </c>
      <c r="L181" s="6"/>
      <c r="M181" s="6"/>
      <c r="O181" s="208">
        <v>43826</v>
      </c>
      <c r="P181" s="209">
        <f t="shared" si="25"/>
        <v>0</v>
      </c>
      <c r="Q181" s="209">
        <f>+SUMIF('A DEPOSITAR'!$D$2:$D$998,(O181-2),'A DEPOSITAR'!$H$2:$H$998)</f>
        <v>9051</v>
      </c>
      <c r="R181" s="210">
        <f t="shared" si="26"/>
        <v>9051</v>
      </c>
      <c r="S181" s="210">
        <f t="shared" si="28"/>
        <v>543949.39</v>
      </c>
      <c r="T181" s="209">
        <f t="shared" si="27"/>
        <v>0</v>
      </c>
      <c r="U181" s="209">
        <f>+SUMIFS('A DEPOSITAR'!$H$2:$H$998,'A DEPOSITAR'!$D$2:$D$998,(O181-2),'A DEPOSITAR'!$I$2:$I$998,"A Depositar")</f>
        <v>0</v>
      </c>
      <c r="V181" s="6"/>
      <c r="W181" s="6"/>
      <c r="X181" s="6"/>
      <c r="Y181" s="6"/>
      <c r="Z181" s="6"/>
    </row>
    <row r="182" spans="1:26" ht="12.75" x14ac:dyDescent="0.2">
      <c r="A182" s="31">
        <v>43890</v>
      </c>
      <c r="B182" s="29"/>
      <c r="C182" s="29">
        <v>74728191</v>
      </c>
      <c r="D182" s="30">
        <v>4000</v>
      </c>
      <c r="E182" s="29" t="s">
        <v>22</v>
      </c>
      <c r="F182" s="7">
        <v>43789</v>
      </c>
      <c r="G182" s="18"/>
      <c r="H182" s="16">
        <f t="shared" si="32"/>
        <v>29</v>
      </c>
      <c r="I182" s="16">
        <f t="shared" si="33"/>
        <v>2</v>
      </c>
      <c r="J182" s="122">
        <f t="shared" si="34"/>
        <v>2020</v>
      </c>
      <c r="K182" s="64">
        <f t="shared" si="24"/>
        <v>43950</v>
      </c>
      <c r="L182" s="6"/>
      <c r="M182" s="6"/>
      <c r="O182" s="208">
        <v>43827</v>
      </c>
      <c r="P182" s="209">
        <f t="shared" si="25"/>
        <v>9200</v>
      </c>
      <c r="Q182" s="209">
        <f>+SUMIF('A DEPOSITAR'!$D$2:$D$998,(O182-2),'A DEPOSITAR'!$H$2:$H$998)</f>
        <v>34500</v>
      </c>
      <c r="R182" s="210">
        <f t="shared" si="26"/>
        <v>25300</v>
      </c>
      <c r="S182" s="210">
        <f t="shared" si="28"/>
        <v>569249.39</v>
      </c>
      <c r="T182" s="209">
        <f t="shared" si="27"/>
        <v>0</v>
      </c>
      <c r="U182" s="209">
        <f>+SUMIFS('A DEPOSITAR'!$H$2:$H$998,'A DEPOSITAR'!$D$2:$D$998,(O182-2),'A DEPOSITAR'!$I$2:$I$998,"A Depositar")</f>
        <v>0</v>
      </c>
      <c r="V182" s="6"/>
      <c r="W182" s="6"/>
      <c r="X182" s="6"/>
      <c r="Y182" s="6"/>
      <c r="Z182" s="6"/>
    </row>
    <row r="183" spans="1:26" ht="12.75" x14ac:dyDescent="0.2">
      <c r="A183" s="31">
        <v>43921</v>
      </c>
      <c r="B183" s="29" t="s">
        <v>212</v>
      </c>
      <c r="C183" s="29">
        <v>74728192</v>
      </c>
      <c r="D183" s="30">
        <v>4023</v>
      </c>
      <c r="E183" s="29" t="s">
        <v>327</v>
      </c>
      <c r="F183" s="7">
        <v>43789</v>
      </c>
      <c r="G183" s="18"/>
      <c r="H183" s="16">
        <f t="shared" si="32"/>
        <v>31</v>
      </c>
      <c r="I183" s="16">
        <f t="shared" si="33"/>
        <v>3</v>
      </c>
      <c r="J183" s="122">
        <f t="shared" si="34"/>
        <v>2020</v>
      </c>
      <c r="K183" s="64">
        <f t="shared" si="24"/>
        <v>43981</v>
      </c>
      <c r="L183" s="6"/>
      <c r="M183" s="6"/>
      <c r="O183" s="208">
        <v>43828</v>
      </c>
      <c r="P183" s="209">
        <f t="shared" si="25"/>
        <v>0</v>
      </c>
      <c r="Q183" s="209">
        <f>+SUMIF('A DEPOSITAR'!$D$2:$D$998,(O183-2),'A DEPOSITAR'!$H$2:$H$998)</f>
        <v>6340</v>
      </c>
      <c r="R183" s="210">
        <f t="shared" si="26"/>
        <v>6340</v>
      </c>
      <c r="S183" s="210">
        <f t="shared" si="28"/>
        <v>575589.39</v>
      </c>
      <c r="T183" s="209">
        <f t="shared" si="27"/>
        <v>0</v>
      </c>
      <c r="U183" s="209">
        <f>+SUMIFS('A DEPOSITAR'!$H$2:$H$998,'A DEPOSITAR'!$D$2:$D$998,(O183-2),'A DEPOSITAR'!$I$2:$I$998,"A Depositar")</f>
        <v>0</v>
      </c>
      <c r="V183" s="6"/>
      <c r="W183" s="6"/>
      <c r="X183" s="6"/>
      <c r="Y183" s="6"/>
      <c r="Z183" s="6"/>
    </row>
    <row r="184" spans="1:26" ht="12.75" x14ac:dyDescent="0.2">
      <c r="A184" s="31">
        <v>43821</v>
      </c>
      <c r="B184" s="29" t="s">
        <v>283</v>
      </c>
      <c r="C184" s="29">
        <v>74728193</v>
      </c>
      <c r="D184" s="30">
        <v>9190</v>
      </c>
      <c r="E184" s="29" t="s">
        <v>22</v>
      </c>
      <c r="F184" s="7">
        <v>43808</v>
      </c>
      <c r="G184" s="18"/>
      <c r="H184" s="16">
        <f t="shared" si="32"/>
        <v>22</v>
      </c>
      <c r="I184" s="16">
        <f t="shared" si="33"/>
        <v>12</v>
      </c>
      <c r="J184" s="122">
        <f t="shared" si="34"/>
        <v>2019</v>
      </c>
      <c r="K184" s="64">
        <f t="shared" si="24"/>
        <v>43881</v>
      </c>
      <c r="L184" s="6"/>
      <c r="M184" s="6"/>
      <c r="O184" s="208">
        <v>43829</v>
      </c>
      <c r="P184" s="209">
        <f t="shared" si="25"/>
        <v>120000</v>
      </c>
      <c r="Q184" s="209">
        <f>+SUMIF('A DEPOSITAR'!$D$2:$D$998,(O184-2),'A DEPOSITAR'!$H$2:$H$998)</f>
        <v>0</v>
      </c>
      <c r="R184" s="210">
        <f t="shared" si="26"/>
        <v>-120000</v>
      </c>
      <c r="S184" s="210">
        <f t="shared" si="28"/>
        <v>455589.39</v>
      </c>
      <c r="T184" s="209">
        <f t="shared" si="27"/>
        <v>0</v>
      </c>
      <c r="U184" s="209">
        <f>+SUMIFS('A DEPOSITAR'!$H$2:$H$998,'A DEPOSITAR'!$D$2:$D$998,(O184-2),'A DEPOSITAR'!$I$2:$I$998,"A Depositar")</f>
        <v>0</v>
      </c>
      <c r="V184" s="6"/>
      <c r="W184" s="6"/>
      <c r="X184" s="6"/>
      <c r="Y184" s="6"/>
      <c r="Z184" s="6"/>
    </row>
    <row r="185" spans="1:26" ht="12.75" x14ac:dyDescent="0.2">
      <c r="A185" s="31">
        <v>43827</v>
      </c>
      <c r="B185" s="29" t="s">
        <v>283</v>
      </c>
      <c r="C185" s="29">
        <v>74728194</v>
      </c>
      <c r="D185" s="30">
        <v>9200</v>
      </c>
      <c r="E185" s="29" t="s">
        <v>22</v>
      </c>
      <c r="F185" s="7">
        <v>43808</v>
      </c>
      <c r="G185" s="18"/>
      <c r="H185" s="16">
        <f t="shared" si="32"/>
        <v>28</v>
      </c>
      <c r="I185" s="16">
        <f t="shared" si="33"/>
        <v>12</v>
      </c>
      <c r="J185" s="122">
        <f t="shared" si="34"/>
        <v>2019</v>
      </c>
      <c r="K185" s="64">
        <f t="shared" si="24"/>
        <v>43887</v>
      </c>
      <c r="L185" s="6"/>
      <c r="M185" s="6"/>
      <c r="O185" s="208">
        <v>43830</v>
      </c>
      <c r="P185" s="209">
        <f t="shared" si="25"/>
        <v>0</v>
      </c>
      <c r="Q185" s="209">
        <f>+SUMIF('A DEPOSITAR'!$D$2:$D$998,(O185-2),'A DEPOSITAR'!$H$2:$H$998)</f>
        <v>10000</v>
      </c>
      <c r="R185" s="210">
        <f t="shared" si="26"/>
        <v>10000</v>
      </c>
      <c r="S185" s="210">
        <f t="shared" si="28"/>
        <v>465589.39</v>
      </c>
      <c r="T185" s="209">
        <f t="shared" si="27"/>
        <v>0</v>
      </c>
      <c r="U185" s="209">
        <f>+SUMIFS('A DEPOSITAR'!$H$2:$H$998,'A DEPOSITAR'!$D$2:$D$998,(O185-2),'A DEPOSITAR'!$I$2:$I$998,"A Depositar")</f>
        <v>0</v>
      </c>
      <c r="V185" s="6"/>
      <c r="W185" s="6"/>
      <c r="X185" s="6"/>
      <c r="Y185" s="6"/>
      <c r="Z185" s="6"/>
    </row>
    <row r="186" spans="1:26" ht="12.75" x14ac:dyDescent="0.2">
      <c r="A186" s="31">
        <v>43852</v>
      </c>
      <c r="B186" s="29" t="s">
        <v>23</v>
      </c>
      <c r="C186" s="29">
        <v>74728195</v>
      </c>
      <c r="D186" s="30">
        <v>5900</v>
      </c>
      <c r="E186" s="29" t="s">
        <v>22</v>
      </c>
      <c r="F186" s="7">
        <v>43808</v>
      </c>
      <c r="G186" s="18"/>
      <c r="H186" s="16">
        <f t="shared" si="32"/>
        <v>22</v>
      </c>
      <c r="I186" s="16">
        <f t="shared" si="33"/>
        <v>1</v>
      </c>
      <c r="J186" s="122">
        <f t="shared" si="34"/>
        <v>2020</v>
      </c>
      <c r="K186" s="64">
        <f t="shared" si="24"/>
        <v>43912</v>
      </c>
      <c r="L186" s="6"/>
      <c r="M186" s="6"/>
      <c r="O186" s="208">
        <v>43831</v>
      </c>
      <c r="P186" s="209">
        <f t="shared" si="25"/>
        <v>0</v>
      </c>
      <c r="Q186" s="209">
        <f>+SUMIF('A DEPOSITAR'!$D$2:$D$998,(O186-2),'A DEPOSITAR'!$H$2:$H$998)</f>
        <v>86060</v>
      </c>
      <c r="R186" s="210">
        <f t="shared" si="26"/>
        <v>86060</v>
      </c>
      <c r="S186" s="210">
        <f t="shared" si="28"/>
        <v>551649.39</v>
      </c>
      <c r="T186" s="209">
        <f t="shared" si="27"/>
        <v>0</v>
      </c>
      <c r="U186" s="209">
        <f>+SUMIFS('A DEPOSITAR'!$H$2:$H$998,'A DEPOSITAR'!$D$2:$D$998,(O186-2),'A DEPOSITAR'!$I$2:$I$998,"A Depositar")</f>
        <v>0</v>
      </c>
      <c r="V186" s="6"/>
      <c r="W186" s="6"/>
      <c r="X186" s="6"/>
      <c r="Y186" s="6"/>
      <c r="Z186" s="6"/>
    </row>
    <row r="187" spans="1:26" ht="12.75" x14ac:dyDescent="0.2">
      <c r="A187" s="31">
        <v>43861</v>
      </c>
      <c r="B187" s="29" t="s">
        <v>23</v>
      </c>
      <c r="C187" s="29">
        <v>74728196</v>
      </c>
      <c r="D187" s="30">
        <v>11900</v>
      </c>
      <c r="E187" s="29" t="s">
        <v>22</v>
      </c>
      <c r="F187" s="7">
        <v>43808</v>
      </c>
      <c r="G187" s="18"/>
      <c r="H187" s="16">
        <f t="shared" si="32"/>
        <v>31</v>
      </c>
      <c r="I187" s="16">
        <f t="shared" si="33"/>
        <v>1</v>
      </c>
      <c r="J187" s="122">
        <f t="shared" si="34"/>
        <v>2020</v>
      </c>
      <c r="K187" s="64">
        <f t="shared" si="24"/>
        <v>43921</v>
      </c>
      <c r="L187" s="6"/>
      <c r="M187" s="6"/>
      <c r="O187" s="208">
        <v>43832</v>
      </c>
      <c r="P187" s="209">
        <f t="shared" si="25"/>
        <v>0</v>
      </c>
      <c r="Q187" s="209">
        <f>+SUMIF('A DEPOSITAR'!$D$2:$D$998,(O187-2),'A DEPOSITAR'!$H$2:$H$998)</f>
        <v>216569.1</v>
      </c>
      <c r="R187" s="210">
        <f t="shared" si="26"/>
        <v>216569.1</v>
      </c>
      <c r="S187" s="210">
        <f t="shared" si="28"/>
        <v>768218.49</v>
      </c>
      <c r="T187" s="209">
        <f t="shared" si="27"/>
        <v>0</v>
      </c>
      <c r="U187" s="209">
        <f>+SUMIFS('A DEPOSITAR'!$H$2:$H$998,'A DEPOSITAR'!$D$2:$D$998,(O187-2),'A DEPOSITAR'!$I$2:$I$998,"A Depositar")</f>
        <v>0</v>
      </c>
      <c r="V187" s="6"/>
      <c r="W187" s="6"/>
      <c r="X187" s="6"/>
      <c r="Y187" s="6"/>
      <c r="Z187" s="6"/>
    </row>
    <row r="188" spans="1:26" ht="12.75" x14ac:dyDescent="0.2">
      <c r="A188" s="31">
        <v>43868</v>
      </c>
      <c r="B188" s="29" t="s">
        <v>23</v>
      </c>
      <c r="C188" s="29">
        <v>74728197</v>
      </c>
      <c r="D188" s="30">
        <v>12600</v>
      </c>
      <c r="E188" s="29" t="s">
        <v>22</v>
      </c>
      <c r="F188" s="7">
        <v>43808</v>
      </c>
      <c r="G188" s="18"/>
      <c r="H188" s="16">
        <f t="shared" si="32"/>
        <v>7</v>
      </c>
      <c r="I188" s="16">
        <f t="shared" si="33"/>
        <v>2</v>
      </c>
      <c r="J188" s="122">
        <f t="shared" si="34"/>
        <v>2020</v>
      </c>
      <c r="K188" s="64">
        <f t="shared" si="24"/>
        <v>43928</v>
      </c>
      <c r="L188" s="6"/>
      <c r="M188" s="6"/>
      <c r="O188" s="208">
        <v>43833</v>
      </c>
      <c r="P188" s="209">
        <f t="shared" si="25"/>
        <v>0</v>
      </c>
      <c r="Q188" s="209">
        <f>+SUMIF('A DEPOSITAR'!$D$2:$D$998,(O188-2),'A DEPOSITAR'!$H$2:$H$998)</f>
        <v>25000</v>
      </c>
      <c r="R188" s="210">
        <f t="shared" si="26"/>
        <v>25000</v>
      </c>
      <c r="S188" s="210">
        <f t="shared" si="28"/>
        <v>793218.49</v>
      </c>
      <c r="T188" s="209">
        <f t="shared" si="27"/>
        <v>0</v>
      </c>
      <c r="U188" s="209">
        <f>+SUMIFS('A DEPOSITAR'!$H$2:$H$998,'A DEPOSITAR'!$D$2:$D$998,(O188-2),'A DEPOSITAR'!$I$2:$I$998,"A Depositar")</f>
        <v>0</v>
      </c>
      <c r="V188" s="6"/>
      <c r="W188" s="6"/>
      <c r="X188" s="6"/>
      <c r="Y188" s="6"/>
      <c r="Z188" s="6"/>
    </row>
    <row r="189" spans="1:26" ht="12.75" x14ac:dyDescent="0.2">
      <c r="A189" s="31">
        <v>43877</v>
      </c>
      <c r="B189" s="29" t="s">
        <v>23</v>
      </c>
      <c r="C189" s="29">
        <v>74728198</v>
      </c>
      <c r="D189" s="30">
        <v>12850</v>
      </c>
      <c r="E189" s="29" t="s">
        <v>22</v>
      </c>
      <c r="F189" s="7">
        <v>43808</v>
      </c>
      <c r="G189" s="18"/>
      <c r="H189" s="16">
        <f t="shared" si="32"/>
        <v>16</v>
      </c>
      <c r="I189" s="16">
        <f t="shared" si="33"/>
        <v>2</v>
      </c>
      <c r="J189" s="122">
        <f t="shared" si="34"/>
        <v>2020</v>
      </c>
      <c r="K189" s="64">
        <f t="shared" si="24"/>
        <v>43937</v>
      </c>
      <c r="L189" s="6"/>
      <c r="M189" s="6"/>
      <c r="O189" s="208">
        <v>43834</v>
      </c>
      <c r="P189" s="209">
        <f t="shared" si="25"/>
        <v>0</v>
      </c>
      <c r="Q189" s="209">
        <f>+SUMIF('A DEPOSITAR'!$D$2:$D$998,(O189-2),'A DEPOSITAR'!$H$2:$H$998)</f>
        <v>0</v>
      </c>
      <c r="R189" s="210">
        <f t="shared" si="26"/>
        <v>0</v>
      </c>
      <c r="S189" s="210">
        <f t="shared" si="28"/>
        <v>793218.49</v>
      </c>
      <c r="T189" s="209">
        <f t="shared" si="27"/>
        <v>0</v>
      </c>
      <c r="U189" s="209">
        <f>+SUMIFS('A DEPOSITAR'!$H$2:$H$998,'A DEPOSITAR'!$D$2:$D$998,(O189-2),'A DEPOSITAR'!$I$2:$I$998,"A Depositar")</f>
        <v>0</v>
      </c>
      <c r="V189" s="6"/>
      <c r="W189" s="6"/>
      <c r="X189" s="6"/>
      <c r="Y189" s="6"/>
      <c r="Z189" s="6"/>
    </row>
    <row r="190" spans="1:26" ht="12.75" x14ac:dyDescent="0.2">
      <c r="A190" s="31">
        <v>43883</v>
      </c>
      <c r="B190" s="29" t="s">
        <v>23</v>
      </c>
      <c r="C190" s="29">
        <v>74728199</v>
      </c>
      <c r="D190" s="30">
        <v>13950</v>
      </c>
      <c r="E190" s="29" t="s">
        <v>22</v>
      </c>
      <c r="F190" s="7">
        <v>43808</v>
      </c>
      <c r="G190" s="18"/>
      <c r="H190" s="16">
        <f t="shared" si="32"/>
        <v>22</v>
      </c>
      <c r="I190" s="16">
        <f t="shared" si="33"/>
        <v>2</v>
      </c>
      <c r="J190" s="122">
        <f t="shared" si="34"/>
        <v>2020</v>
      </c>
      <c r="K190" s="64">
        <f t="shared" si="24"/>
        <v>43943</v>
      </c>
      <c r="L190" s="6"/>
      <c r="M190" s="6"/>
      <c r="O190" s="208">
        <v>43835</v>
      </c>
      <c r="P190" s="209">
        <f t="shared" si="25"/>
        <v>0</v>
      </c>
      <c r="Q190" s="209">
        <f>+SUMIF('A DEPOSITAR'!$D$2:$D$998,(O190-2),'A DEPOSITAR'!$H$2:$H$998)</f>
        <v>0</v>
      </c>
      <c r="R190" s="210">
        <f t="shared" si="26"/>
        <v>0</v>
      </c>
      <c r="S190" s="210">
        <f t="shared" si="28"/>
        <v>793218.49</v>
      </c>
      <c r="T190" s="209">
        <f t="shared" si="27"/>
        <v>0</v>
      </c>
      <c r="U190" s="209">
        <f>+SUMIFS('A DEPOSITAR'!$H$2:$H$998,'A DEPOSITAR'!$D$2:$D$998,(O190-2),'A DEPOSITAR'!$I$2:$I$998,"A Depositar")</f>
        <v>0</v>
      </c>
      <c r="V190" s="6"/>
      <c r="W190" s="6"/>
      <c r="X190" s="6"/>
      <c r="Y190" s="6"/>
      <c r="Z190" s="6"/>
    </row>
    <row r="191" spans="1:26" ht="12.75" x14ac:dyDescent="0.2">
      <c r="A191" s="31">
        <v>43890</v>
      </c>
      <c r="B191" s="29" t="s">
        <v>23</v>
      </c>
      <c r="C191" s="29">
        <v>74728200</v>
      </c>
      <c r="D191" s="30">
        <v>13900</v>
      </c>
      <c r="E191" s="29" t="s">
        <v>22</v>
      </c>
      <c r="F191" s="7">
        <v>43808</v>
      </c>
      <c r="G191" s="18"/>
      <c r="H191" s="16">
        <f t="shared" si="32"/>
        <v>29</v>
      </c>
      <c r="I191" s="16">
        <f t="shared" si="33"/>
        <v>2</v>
      </c>
      <c r="J191" s="122">
        <f t="shared" si="34"/>
        <v>2020</v>
      </c>
      <c r="K191" s="64">
        <f t="shared" si="24"/>
        <v>43950</v>
      </c>
      <c r="L191" s="6"/>
      <c r="M191" s="6"/>
      <c r="O191" s="208">
        <v>43836</v>
      </c>
      <c r="P191" s="209">
        <f t="shared" si="25"/>
        <v>0</v>
      </c>
      <c r="Q191" s="209">
        <f>+SUMIF('A DEPOSITAR'!$D$2:$D$998,(O191-2),'A DEPOSITAR'!$H$2:$H$998)</f>
        <v>0</v>
      </c>
      <c r="R191" s="210">
        <f t="shared" si="26"/>
        <v>0</v>
      </c>
      <c r="S191" s="210">
        <f t="shared" si="28"/>
        <v>793218.49</v>
      </c>
      <c r="T191" s="209">
        <f t="shared" si="27"/>
        <v>0</v>
      </c>
      <c r="U191" s="209">
        <f>+SUMIFS('A DEPOSITAR'!$H$2:$H$998,'A DEPOSITAR'!$D$2:$D$998,(O191-2),'A DEPOSITAR'!$I$2:$I$998,"A Depositar")</f>
        <v>0</v>
      </c>
      <c r="V191" s="6"/>
      <c r="W191" s="6"/>
      <c r="X191" s="6"/>
      <c r="Y191" s="6"/>
      <c r="Z191" s="6"/>
    </row>
    <row r="192" spans="1:26" ht="12.75" x14ac:dyDescent="0.2">
      <c r="A192" s="31">
        <v>43837</v>
      </c>
      <c r="B192" s="29" t="s">
        <v>139</v>
      </c>
      <c r="C192" s="29">
        <v>74728201</v>
      </c>
      <c r="D192" s="30">
        <v>9890.59</v>
      </c>
      <c r="E192" s="29" t="s">
        <v>22</v>
      </c>
      <c r="F192" s="7">
        <v>43811</v>
      </c>
      <c r="G192" s="18"/>
      <c r="H192" s="16">
        <f t="shared" si="32"/>
        <v>7</v>
      </c>
      <c r="I192" s="16">
        <f t="shared" si="33"/>
        <v>1</v>
      </c>
      <c r="J192" s="122">
        <f t="shared" si="34"/>
        <v>2020</v>
      </c>
      <c r="K192" s="64">
        <f t="shared" si="24"/>
        <v>43897</v>
      </c>
      <c r="L192" s="6"/>
      <c r="M192" s="6"/>
      <c r="O192" s="208">
        <v>43837</v>
      </c>
      <c r="P192" s="209">
        <f t="shared" si="25"/>
        <v>39140.589999999997</v>
      </c>
      <c r="Q192" s="209">
        <f>+SUMIF('A DEPOSITAR'!$D$2:$D$998,(O192-2),'A DEPOSITAR'!$H$2:$H$998)</f>
        <v>0</v>
      </c>
      <c r="R192" s="210">
        <f t="shared" si="26"/>
        <v>-39140.589999999997</v>
      </c>
      <c r="S192" s="210">
        <f t="shared" si="28"/>
        <v>754077.9</v>
      </c>
      <c r="T192" s="209">
        <f t="shared" si="27"/>
        <v>0</v>
      </c>
      <c r="U192" s="209">
        <f>+SUMIFS('A DEPOSITAR'!$H$2:$H$998,'A DEPOSITAR'!$D$2:$D$998,(O192-2),'A DEPOSITAR'!$I$2:$I$998,"A Depositar")</f>
        <v>0</v>
      </c>
      <c r="V192" s="6"/>
      <c r="W192" s="6"/>
      <c r="X192" s="6"/>
      <c r="Y192" s="6"/>
      <c r="Z192" s="6"/>
    </row>
    <row r="193" spans="1:26" ht="12.75" x14ac:dyDescent="0.2">
      <c r="A193" s="31">
        <v>43838</v>
      </c>
      <c r="B193" s="29" t="s">
        <v>139</v>
      </c>
      <c r="C193" s="29">
        <v>74728202</v>
      </c>
      <c r="D193" s="30">
        <v>10500</v>
      </c>
      <c r="E193" s="29" t="s">
        <v>22</v>
      </c>
      <c r="F193" s="7">
        <v>43811</v>
      </c>
      <c r="G193" s="18"/>
      <c r="H193" s="16">
        <f t="shared" si="32"/>
        <v>8</v>
      </c>
      <c r="I193" s="16">
        <f t="shared" si="33"/>
        <v>1</v>
      </c>
      <c r="J193" s="122">
        <f t="shared" si="34"/>
        <v>2020</v>
      </c>
      <c r="K193" s="64">
        <f t="shared" si="24"/>
        <v>43898</v>
      </c>
      <c r="L193" s="6"/>
      <c r="M193" s="6"/>
      <c r="O193" s="208">
        <v>43838</v>
      </c>
      <c r="P193" s="209">
        <f t="shared" si="25"/>
        <v>24000</v>
      </c>
      <c r="Q193" s="209">
        <f>+SUMIF('A DEPOSITAR'!$D$2:$D$998,(O193-2),'A DEPOSITAR'!$H$2:$H$998)</f>
        <v>5300</v>
      </c>
      <c r="R193" s="210">
        <f t="shared" si="26"/>
        <v>-18700</v>
      </c>
      <c r="S193" s="210">
        <f t="shared" si="28"/>
        <v>735377.9</v>
      </c>
      <c r="T193" s="209">
        <f t="shared" si="27"/>
        <v>0</v>
      </c>
      <c r="U193" s="209">
        <f>+SUMIFS('A DEPOSITAR'!$H$2:$H$998,'A DEPOSITAR'!$D$2:$D$998,(O193-2),'A DEPOSITAR'!$I$2:$I$998,"A Depositar")</f>
        <v>0</v>
      </c>
      <c r="V193" s="6"/>
      <c r="W193" s="6"/>
      <c r="X193" s="6"/>
      <c r="Y193" s="6"/>
      <c r="Z193" s="6"/>
    </row>
    <row r="194" spans="1:26" ht="12.75" x14ac:dyDescent="0.2">
      <c r="A194" s="31">
        <v>43846</v>
      </c>
      <c r="B194" s="29" t="s">
        <v>139</v>
      </c>
      <c r="C194" s="29">
        <v>74728203</v>
      </c>
      <c r="D194" s="30">
        <v>12500</v>
      </c>
      <c r="E194" s="29" t="s">
        <v>22</v>
      </c>
      <c r="F194" s="7">
        <v>43811</v>
      </c>
      <c r="G194" s="18"/>
      <c r="H194" s="16">
        <f t="shared" si="32"/>
        <v>16</v>
      </c>
      <c r="I194" s="16">
        <f t="shared" si="33"/>
        <v>1</v>
      </c>
      <c r="J194" s="122">
        <f t="shared" si="34"/>
        <v>2020</v>
      </c>
      <c r="K194" s="64">
        <f t="shared" ref="K194:K257" si="35">A194+60</f>
        <v>43906</v>
      </c>
      <c r="L194" s="6"/>
      <c r="M194" s="6"/>
      <c r="O194" s="208">
        <v>43839</v>
      </c>
      <c r="P194" s="209">
        <f t="shared" si="25"/>
        <v>1500</v>
      </c>
      <c r="Q194" s="209">
        <f>+SUMIF('A DEPOSITAR'!$D$2:$D$998,(O194-2),'A DEPOSITAR'!$H$2:$H$998)</f>
        <v>11000</v>
      </c>
      <c r="R194" s="210">
        <f t="shared" si="26"/>
        <v>9500</v>
      </c>
      <c r="S194" s="210">
        <f t="shared" si="28"/>
        <v>744877.9</v>
      </c>
      <c r="T194" s="209">
        <f t="shared" si="27"/>
        <v>0</v>
      </c>
      <c r="U194" s="209">
        <f>+SUMIFS('A DEPOSITAR'!$H$2:$H$998,'A DEPOSITAR'!$D$2:$D$998,(O194-2),'A DEPOSITAR'!$I$2:$I$998,"A Depositar")</f>
        <v>0</v>
      </c>
      <c r="V194" s="6"/>
      <c r="W194" s="6"/>
      <c r="X194" s="6"/>
      <c r="Y194" s="6"/>
      <c r="Z194" s="6"/>
    </row>
    <row r="195" spans="1:26" ht="12.75" x14ac:dyDescent="0.2">
      <c r="A195" s="31">
        <v>43853</v>
      </c>
      <c r="B195" s="29" t="s">
        <v>139</v>
      </c>
      <c r="C195" s="29">
        <v>74728204</v>
      </c>
      <c r="D195" s="30">
        <v>11500</v>
      </c>
      <c r="E195" s="29" t="s">
        <v>22</v>
      </c>
      <c r="F195" s="7">
        <v>43811</v>
      </c>
      <c r="G195" s="18"/>
      <c r="H195" s="16">
        <f t="shared" si="32"/>
        <v>23</v>
      </c>
      <c r="I195" s="16">
        <f t="shared" si="33"/>
        <v>1</v>
      </c>
      <c r="J195" s="122">
        <f t="shared" si="34"/>
        <v>2020</v>
      </c>
      <c r="K195" s="64">
        <f t="shared" si="35"/>
        <v>43913</v>
      </c>
      <c r="L195" s="6"/>
      <c r="M195" s="6"/>
      <c r="O195" s="208">
        <v>43840</v>
      </c>
      <c r="P195" s="209">
        <f t="shared" ref="P195:P258" si="36">+SUMIF($A$2:$A$998,O195,$D$2:$D$998)</f>
        <v>0</v>
      </c>
      <c r="Q195" s="209">
        <f>+SUMIF('A DEPOSITAR'!$D$2:$D$998,(O195-2),'A DEPOSITAR'!$H$2:$H$998)</f>
        <v>55730</v>
      </c>
      <c r="R195" s="210">
        <f t="shared" ref="R195:R258" si="37">+Q195-P195</f>
        <v>55730</v>
      </c>
      <c r="S195" s="210">
        <f t="shared" si="28"/>
        <v>800607.9</v>
      </c>
      <c r="T195" s="209">
        <f t="shared" ref="T195:T258" si="38">+SUMIFS($D$2:$D$998,$A$2:$A$998,O195,$E$2:$E$998,"A Pagar")</f>
        <v>0</v>
      </c>
      <c r="U195" s="209">
        <f>+SUMIFS('A DEPOSITAR'!$H$2:$H$998,'A DEPOSITAR'!$D$2:$D$998,(O195-2),'A DEPOSITAR'!$I$2:$I$998,"A Depositar")</f>
        <v>0</v>
      </c>
      <c r="V195" s="6"/>
      <c r="W195" s="6"/>
      <c r="X195" s="6"/>
      <c r="Y195" s="6"/>
      <c r="Z195" s="6"/>
    </row>
    <row r="196" spans="1:26" s="182" customFormat="1" ht="12.75" x14ac:dyDescent="0.2">
      <c r="A196" s="36">
        <v>43852</v>
      </c>
      <c r="B196" s="29" t="s">
        <v>139</v>
      </c>
      <c r="C196" s="29">
        <v>74728205</v>
      </c>
      <c r="D196" s="50">
        <v>11500</v>
      </c>
      <c r="E196" s="29" t="s">
        <v>22</v>
      </c>
      <c r="F196" s="34">
        <v>43811</v>
      </c>
      <c r="G196" s="29"/>
      <c r="H196" s="49">
        <f t="shared" si="32"/>
        <v>22</v>
      </c>
      <c r="I196" s="49">
        <f t="shared" si="33"/>
        <v>1</v>
      </c>
      <c r="J196" s="122">
        <f t="shared" si="34"/>
        <v>2020</v>
      </c>
      <c r="K196" s="64">
        <f t="shared" si="35"/>
        <v>43912</v>
      </c>
      <c r="L196" s="10"/>
      <c r="M196" s="10"/>
      <c r="N196" s="197"/>
      <c r="O196" s="208">
        <v>43841</v>
      </c>
      <c r="P196" s="209">
        <f t="shared" si="36"/>
        <v>0</v>
      </c>
      <c r="Q196" s="209">
        <f>+SUMIF('A DEPOSITAR'!$D$2:$D$998,(O196-2),'A DEPOSITAR'!$H$2:$H$998)</f>
        <v>0</v>
      </c>
      <c r="R196" s="210">
        <f t="shared" si="37"/>
        <v>0</v>
      </c>
      <c r="S196" s="210">
        <f t="shared" ref="S196:S259" si="39">+S195+R196</f>
        <v>800607.9</v>
      </c>
      <c r="T196" s="209">
        <f t="shared" si="38"/>
        <v>0</v>
      </c>
      <c r="U196" s="209">
        <f>+SUMIFS('A DEPOSITAR'!$H$2:$H$998,'A DEPOSITAR'!$D$2:$D$998,(O196-2),'A DEPOSITAR'!$I$2:$I$998,"A Depositar")</f>
        <v>0</v>
      </c>
      <c r="V196" s="10"/>
      <c r="W196" s="10"/>
      <c r="X196" s="10"/>
      <c r="Y196" s="10"/>
      <c r="Z196" s="10"/>
    </row>
    <row r="197" spans="1:26" s="182" customFormat="1" ht="12.75" x14ac:dyDescent="0.2">
      <c r="A197" s="36">
        <v>43853</v>
      </c>
      <c r="B197" s="29" t="s">
        <v>139</v>
      </c>
      <c r="C197" s="29">
        <v>74728206</v>
      </c>
      <c r="D197" s="50">
        <v>10500</v>
      </c>
      <c r="E197" s="29" t="s">
        <v>22</v>
      </c>
      <c r="F197" s="34">
        <v>43811</v>
      </c>
      <c r="G197" s="29"/>
      <c r="H197" s="49">
        <f t="shared" si="32"/>
        <v>23</v>
      </c>
      <c r="I197" s="49">
        <f t="shared" si="33"/>
        <v>1</v>
      </c>
      <c r="J197" s="122">
        <f t="shared" si="34"/>
        <v>2020</v>
      </c>
      <c r="K197" s="64">
        <f t="shared" si="35"/>
        <v>43913</v>
      </c>
      <c r="L197" s="10"/>
      <c r="M197" s="10"/>
      <c r="N197" s="197"/>
      <c r="O197" s="208">
        <v>43842</v>
      </c>
      <c r="P197" s="209">
        <f t="shared" si="36"/>
        <v>0</v>
      </c>
      <c r="Q197" s="209">
        <f>+SUMIF('A DEPOSITAR'!$D$2:$D$998,(O197-2),'A DEPOSITAR'!$H$2:$H$998)</f>
        <v>76354</v>
      </c>
      <c r="R197" s="210">
        <f t="shared" si="37"/>
        <v>76354</v>
      </c>
      <c r="S197" s="210">
        <f t="shared" si="39"/>
        <v>876961.9</v>
      </c>
      <c r="T197" s="209">
        <f t="shared" si="38"/>
        <v>0</v>
      </c>
      <c r="U197" s="209">
        <f>+SUMIFS('A DEPOSITAR'!$H$2:$H$998,'A DEPOSITAR'!$D$2:$D$998,(O197-2),'A DEPOSITAR'!$I$2:$I$998,"A Depositar")</f>
        <v>0</v>
      </c>
      <c r="V197" s="10"/>
      <c r="W197" s="10"/>
      <c r="X197" s="10"/>
      <c r="Y197" s="10"/>
      <c r="Z197" s="10"/>
    </row>
    <row r="198" spans="1:26" s="182" customFormat="1" ht="12.75" x14ac:dyDescent="0.2">
      <c r="A198" s="36">
        <v>43860</v>
      </c>
      <c r="B198" s="29" t="s">
        <v>139</v>
      </c>
      <c r="C198" s="29">
        <v>74728207</v>
      </c>
      <c r="D198" s="50">
        <v>12000</v>
      </c>
      <c r="E198" s="29" t="s">
        <v>22</v>
      </c>
      <c r="F198" s="34">
        <v>43811</v>
      </c>
      <c r="G198" s="29"/>
      <c r="H198" s="49">
        <f t="shared" si="32"/>
        <v>30</v>
      </c>
      <c r="I198" s="49">
        <f t="shared" si="33"/>
        <v>1</v>
      </c>
      <c r="J198" s="122">
        <f t="shared" si="34"/>
        <v>2020</v>
      </c>
      <c r="K198" s="64">
        <f t="shared" si="35"/>
        <v>43920</v>
      </c>
      <c r="L198" s="10"/>
      <c r="M198" s="10"/>
      <c r="N198" s="197"/>
      <c r="O198" s="208">
        <v>43843</v>
      </c>
      <c r="P198" s="209">
        <f t="shared" si="36"/>
        <v>18747.490000000002</v>
      </c>
      <c r="Q198" s="209">
        <f>+SUMIF('A DEPOSITAR'!$D$2:$D$998,(O198-2),'A DEPOSITAR'!$H$2:$H$998)</f>
        <v>36000</v>
      </c>
      <c r="R198" s="210">
        <f t="shared" si="37"/>
        <v>17252.509999999998</v>
      </c>
      <c r="S198" s="210">
        <f t="shared" si="39"/>
        <v>894214.41</v>
      </c>
      <c r="T198" s="209">
        <f t="shared" si="38"/>
        <v>0</v>
      </c>
      <c r="U198" s="209">
        <f>+SUMIFS('A DEPOSITAR'!$H$2:$H$998,'A DEPOSITAR'!$D$2:$D$998,(O198-2),'A DEPOSITAR'!$I$2:$I$998,"A Depositar")</f>
        <v>0</v>
      </c>
      <c r="V198" s="10"/>
      <c r="W198" s="10"/>
      <c r="X198" s="10"/>
      <c r="Y198" s="10"/>
      <c r="Z198" s="10"/>
    </row>
    <row r="199" spans="1:26" s="182" customFormat="1" ht="12.75" x14ac:dyDescent="0.2">
      <c r="A199" s="36">
        <v>43861</v>
      </c>
      <c r="B199" s="29" t="s">
        <v>139</v>
      </c>
      <c r="C199" s="29">
        <v>74728208</v>
      </c>
      <c r="D199" s="50">
        <v>12500</v>
      </c>
      <c r="E199" s="29" t="s">
        <v>22</v>
      </c>
      <c r="F199" s="34">
        <v>43811</v>
      </c>
      <c r="G199" s="29"/>
      <c r="H199" s="49">
        <f t="shared" si="32"/>
        <v>31</v>
      </c>
      <c r="I199" s="49">
        <f t="shared" si="33"/>
        <v>1</v>
      </c>
      <c r="J199" s="122">
        <f t="shared" si="34"/>
        <v>2020</v>
      </c>
      <c r="K199" s="64">
        <f t="shared" si="35"/>
        <v>43921</v>
      </c>
      <c r="L199" s="10"/>
      <c r="M199" s="10"/>
      <c r="N199" s="197"/>
      <c r="O199" s="208">
        <v>43844</v>
      </c>
      <c r="P199" s="209">
        <f t="shared" si="36"/>
        <v>0</v>
      </c>
      <c r="Q199" s="209">
        <f>+SUMIF('A DEPOSITAR'!$D$2:$D$998,(O199-2),'A DEPOSITAR'!$H$2:$H$998)</f>
        <v>107546.98999999999</v>
      </c>
      <c r="R199" s="210">
        <f t="shared" si="37"/>
        <v>107546.98999999999</v>
      </c>
      <c r="S199" s="210">
        <f t="shared" si="39"/>
        <v>1001761.4</v>
      </c>
      <c r="T199" s="209">
        <f t="shared" si="38"/>
        <v>0</v>
      </c>
      <c r="U199" s="209">
        <f>+SUMIFS('A DEPOSITAR'!$H$2:$H$998,'A DEPOSITAR'!$D$2:$D$998,(O199-2),'A DEPOSITAR'!$I$2:$I$998,"A Depositar")</f>
        <v>0</v>
      </c>
      <c r="V199" s="10"/>
      <c r="W199" s="10"/>
      <c r="X199" s="10"/>
      <c r="Y199" s="10"/>
      <c r="Z199" s="10"/>
    </row>
    <row r="200" spans="1:26" s="182" customFormat="1" ht="12.75" x14ac:dyDescent="0.2">
      <c r="A200" s="36">
        <v>43829</v>
      </c>
      <c r="B200" s="29" t="s">
        <v>122</v>
      </c>
      <c r="C200" s="29">
        <v>74728209</v>
      </c>
      <c r="D200" s="50">
        <v>120000</v>
      </c>
      <c r="E200" s="29" t="s">
        <v>22</v>
      </c>
      <c r="F200" s="34">
        <v>43495</v>
      </c>
      <c r="G200" s="29"/>
      <c r="H200" s="49">
        <f t="shared" si="32"/>
        <v>30</v>
      </c>
      <c r="I200" s="49">
        <f t="shared" si="33"/>
        <v>12</v>
      </c>
      <c r="J200" s="122">
        <f t="shared" si="34"/>
        <v>2019</v>
      </c>
      <c r="K200" s="64">
        <f t="shared" si="35"/>
        <v>43889</v>
      </c>
      <c r="L200" s="10"/>
      <c r="M200" s="10"/>
      <c r="N200" s="197"/>
      <c r="O200" s="208">
        <v>43845</v>
      </c>
      <c r="P200" s="209">
        <f t="shared" si="36"/>
        <v>0</v>
      </c>
      <c r="Q200" s="209">
        <f>+SUMIF('A DEPOSITAR'!$D$2:$D$998,(O200-2),'A DEPOSITAR'!$H$2:$H$998)</f>
        <v>7238.26</v>
      </c>
      <c r="R200" s="210">
        <f t="shared" si="37"/>
        <v>7238.26</v>
      </c>
      <c r="S200" s="210">
        <f t="shared" si="39"/>
        <v>1008999.66</v>
      </c>
      <c r="T200" s="209">
        <f t="shared" si="38"/>
        <v>0</v>
      </c>
      <c r="U200" s="209">
        <f>+SUMIFS('A DEPOSITAR'!$H$2:$H$998,'A DEPOSITAR'!$D$2:$D$998,(O200-2),'A DEPOSITAR'!$I$2:$I$998,"A Depositar")</f>
        <v>0</v>
      </c>
      <c r="V200" s="10"/>
      <c r="W200" s="10"/>
      <c r="X200" s="10"/>
      <c r="Y200" s="10"/>
      <c r="Z200" s="10"/>
    </row>
    <row r="201" spans="1:26" s="182" customFormat="1" ht="12.75" x14ac:dyDescent="0.2">
      <c r="A201" s="36">
        <v>43890</v>
      </c>
      <c r="B201" s="29" t="s">
        <v>23</v>
      </c>
      <c r="C201" s="29">
        <v>74728210</v>
      </c>
      <c r="D201" s="50">
        <v>9402</v>
      </c>
      <c r="E201" s="29" t="s">
        <v>22</v>
      </c>
      <c r="F201" s="34">
        <v>43834</v>
      </c>
      <c r="G201" s="29"/>
      <c r="H201" s="49">
        <f t="shared" si="32"/>
        <v>29</v>
      </c>
      <c r="I201" s="49">
        <f t="shared" si="33"/>
        <v>2</v>
      </c>
      <c r="J201" s="122">
        <f t="shared" si="34"/>
        <v>2020</v>
      </c>
      <c r="K201" s="64">
        <f t="shared" si="35"/>
        <v>43950</v>
      </c>
      <c r="L201" s="10"/>
      <c r="M201" s="10"/>
      <c r="N201" s="197"/>
      <c r="O201" s="208">
        <v>43846</v>
      </c>
      <c r="P201" s="209">
        <f t="shared" si="36"/>
        <v>24109.420000000002</v>
      </c>
      <c r="Q201" s="209">
        <f>+SUMIF('A DEPOSITAR'!$D$2:$D$998,(O201-2),'A DEPOSITAR'!$H$2:$H$998)</f>
        <v>31188</v>
      </c>
      <c r="R201" s="210">
        <f t="shared" si="37"/>
        <v>7078.5799999999981</v>
      </c>
      <c r="S201" s="210">
        <f t="shared" si="39"/>
        <v>1016078.24</v>
      </c>
      <c r="T201" s="209">
        <f t="shared" si="38"/>
        <v>0</v>
      </c>
      <c r="U201" s="209">
        <f>+SUMIFS('A DEPOSITAR'!$H$2:$H$998,'A DEPOSITAR'!$D$2:$D$998,(O201-2),'A DEPOSITAR'!$I$2:$I$998,"A Depositar")</f>
        <v>0</v>
      </c>
      <c r="V201" s="10"/>
      <c r="W201" s="10"/>
      <c r="X201" s="10"/>
      <c r="Y201" s="10"/>
      <c r="Z201" s="10"/>
    </row>
    <row r="202" spans="1:26" s="182" customFormat="1" ht="12.75" x14ac:dyDescent="0.2">
      <c r="A202" s="36">
        <v>43912</v>
      </c>
      <c r="B202" s="29" t="s">
        <v>23</v>
      </c>
      <c r="C202" s="29">
        <v>74728211</v>
      </c>
      <c r="D202" s="50">
        <v>9762</v>
      </c>
      <c r="E202" s="29" t="s">
        <v>22</v>
      </c>
      <c r="F202" s="34">
        <v>43834</v>
      </c>
      <c r="G202" s="29"/>
      <c r="H202" s="49">
        <f t="shared" si="32"/>
        <v>22</v>
      </c>
      <c r="I202" s="49">
        <f t="shared" si="33"/>
        <v>3</v>
      </c>
      <c r="J202" s="122">
        <f t="shared" si="34"/>
        <v>2020</v>
      </c>
      <c r="K202" s="64">
        <f t="shared" si="35"/>
        <v>43972</v>
      </c>
      <c r="L202" s="10"/>
      <c r="M202" s="10"/>
      <c r="N202" s="197"/>
      <c r="O202" s="208">
        <v>43847</v>
      </c>
      <c r="P202" s="209">
        <f t="shared" si="36"/>
        <v>7000</v>
      </c>
      <c r="Q202" s="209">
        <f>+SUMIF('A DEPOSITAR'!$D$2:$D$998,(O202-2),'A DEPOSITAR'!$H$2:$H$998)</f>
        <v>94966</v>
      </c>
      <c r="R202" s="210">
        <f t="shared" si="37"/>
        <v>87966</v>
      </c>
      <c r="S202" s="210">
        <f t="shared" si="39"/>
        <v>1104044.24</v>
      </c>
      <c r="T202" s="209">
        <f t="shared" si="38"/>
        <v>0</v>
      </c>
      <c r="U202" s="209">
        <f>+SUMIFS('A DEPOSITAR'!$H$2:$H$998,'A DEPOSITAR'!$D$2:$D$998,(O202-2),'A DEPOSITAR'!$I$2:$I$998,"A Depositar")</f>
        <v>0</v>
      </c>
      <c r="V202" s="10"/>
      <c r="W202" s="10"/>
      <c r="X202" s="10"/>
      <c r="Y202" s="10"/>
      <c r="Z202" s="10"/>
    </row>
    <row r="203" spans="1:26" ht="12.75" x14ac:dyDescent="0.2">
      <c r="A203" s="31">
        <v>43869</v>
      </c>
      <c r="B203" s="29" t="s">
        <v>94</v>
      </c>
      <c r="C203" s="29">
        <v>74728212</v>
      </c>
      <c r="D203" s="30">
        <v>6926.11</v>
      </c>
      <c r="E203" s="29" t="s">
        <v>22</v>
      </c>
      <c r="F203" s="7">
        <v>43867</v>
      </c>
      <c r="G203" s="18"/>
      <c r="H203" s="16">
        <f t="shared" si="32"/>
        <v>8</v>
      </c>
      <c r="I203" s="16">
        <f t="shared" si="33"/>
        <v>2</v>
      </c>
      <c r="J203" s="122">
        <f t="shared" si="34"/>
        <v>2020</v>
      </c>
      <c r="K203" s="64">
        <f t="shared" si="35"/>
        <v>43929</v>
      </c>
      <c r="L203" s="6" t="s">
        <v>15</v>
      </c>
      <c r="M203" s="6"/>
      <c r="O203" s="208">
        <v>43848</v>
      </c>
      <c r="P203" s="209">
        <f t="shared" si="36"/>
        <v>0</v>
      </c>
      <c r="Q203" s="209">
        <f>+SUMIF('A DEPOSITAR'!$D$2:$D$998,(O203-2),'A DEPOSITAR'!$H$2:$H$998)</f>
        <v>52146</v>
      </c>
      <c r="R203" s="210">
        <f t="shared" si="37"/>
        <v>52146</v>
      </c>
      <c r="S203" s="210">
        <f t="shared" si="39"/>
        <v>1156190.24</v>
      </c>
      <c r="T203" s="209">
        <f t="shared" si="38"/>
        <v>0</v>
      </c>
      <c r="U203" s="209">
        <f>+SUMIFS('A DEPOSITAR'!$H$2:$H$998,'A DEPOSITAR'!$D$2:$D$998,(O203-2),'A DEPOSITAR'!$I$2:$I$998,"A Depositar")</f>
        <v>0</v>
      </c>
      <c r="V203" s="6"/>
      <c r="W203" s="6"/>
      <c r="X203" s="6"/>
      <c r="Y203" s="6"/>
      <c r="Z203" s="6"/>
    </row>
    <row r="204" spans="1:26" ht="12.75" x14ac:dyDescent="0.2">
      <c r="A204" s="31">
        <v>43838</v>
      </c>
      <c r="B204" s="29" t="s">
        <v>258</v>
      </c>
      <c r="C204" s="29">
        <v>74728213</v>
      </c>
      <c r="D204" s="30">
        <v>3000</v>
      </c>
      <c r="E204" s="29" t="s">
        <v>22</v>
      </c>
      <c r="F204" s="7">
        <v>43837</v>
      </c>
      <c r="G204" s="18"/>
      <c r="H204" s="16">
        <f t="shared" si="32"/>
        <v>8</v>
      </c>
      <c r="I204" s="16">
        <f t="shared" si="33"/>
        <v>1</v>
      </c>
      <c r="J204" s="122">
        <f t="shared" si="34"/>
        <v>2020</v>
      </c>
      <c r="K204" s="64">
        <f t="shared" si="35"/>
        <v>43898</v>
      </c>
      <c r="L204" s="6"/>
      <c r="M204" s="6"/>
      <c r="O204" s="208">
        <v>43849</v>
      </c>
      <c r="P204" s="209">
        <f t="shared" si="36"/>
        <v>0</v>
      </c>
      <c r="Q204" s="209">
        <f>+SUMIF('A DEPOSITAR'!$D$2:$D$998,(O204-2),'A DEPOSITAR'!$H$2:$H$998)</f>
        <v>38660</v>
      </c>
      <c r="R204" s="210">
        <f t="shared" si="37"/>
        <v>38660</v>
      </c>
      <c r="S204" s="210">
        <f t="shared" si="39"/>
        <v>1194850.24</v>
      </c>
      <c r="T204" s="209">
        <f t="shared" si="38"/>
        <v>0</v>
      </c>
      <c r="U204" s="209">
        <f>+SUMIFS('A DEPOSITAR'!$H$2:$H$998,'A DEPOSITAR'!$D$2:$D$998,(O204-2),'A DEPOSITAR'!$I$2:$I$998,"A Depositar")</f>
        <v>0</v>
      </c>
      <c r="V204" s="6"/>
      <c r="W204" s="6"/>
      <c r="X204" s="6"/>
      <c r="Y204" s="6"/>
      <c r="Z204" s="6"/>
    </row>
    <row r="205" spans="1:26" ht="12.75" x14ac:dyDescent="0.2">
      <c r="A205" s="31">
        <v>44064</v>
      </c>
      <c r="B205" s="29" t="s">
        <v>317</v>
      </c>
      <c r="C205" s="29">
        <v>74728214</v>
      </c>
      <c r="D205" s="30">
        <v>10000</v>
      </c>
      <c r="E205" s="29" t="s">
        <v>22</v>
      </c>
      <c r="F205" s="7">
        <v>43957</v>
      </c>
      <c r="G205" s="18"/>
      <c r="H205" s="16">
        <f t="shared" si="32"/>
        <v>21</v>
      </c>
      <c r="I205" s="16">
        <f t="shared" si="33"/>
        <v>8</v>
      </c>
      <c r="J205" s="122">
        <f t="shared" si="34"/>
        <v>2020</v>
      </c>
      <c r="K205" s="64">
        <f t="shared" si="35"/>
        <v>44124</v>
      </c>
      <c r="L205" s="6"/>
      <c r="M205" s="6"/>
      <c r="O205" s="208">
        <v>43850</v>
      </c>
      <c r="P205" s="209">
        <f t="shared" si="36"/>
        <v>0</v>
      </c>
      <c r="Q205" s="209">
        <f>+SUMIF('A DEPOSITAR'!$D$2:$D$998,(O205-2),'A DEPOSITAR'!$H$2:$H$998)</f>
        <v>46381.599999999999</v>
      </c>
      <c r="R205" s="210">
        <f t="shared" si="37"/>
        <v>46381.599999999999</v>
      </c>
      <c r="S205" s="210">
        <f t="shared" si="39"/>
        <v>1241231.8400000001</v>
      </c>
      <c r="T205" s="209">
        <f t="shared" si="38"/>
        <v>0</v>
      </c>
      <c r="U205" s="209">
        <f>+SUMIFS('A DEPOSITAR'!$H$2:$H$998,'A DEPOSITAR'!$D$2:$D$998,(O205-2),'A DEPOSITAR'!$I$2:$I$998,"A Depositar")</f>
        <v>0</v>
      </c>
      <c r="V205" s="6"/>
      <c r="W205" s="6"/>
      <c r="X205" s="6"/>
      <c r="Y205" s="6"/>
      <c r="Z205" s="6"/>
    </row>
    <row r="206" spans="1:26" ht="12.75" x14ac:dyDescent="0.2">
      <c r="A206" s="36">
        <v>43921</v>
      </c>
      <c r="B206" s="29" t="s">
        <v>317</v>
      </c>
      <c r="C206" s="29">
        <v>74728215</v>
      </c>
      <c r="D206" s="50">
        <v>10000</v>
      </c>
      <c r="E206" s="29" t="s">
        <v>22</v>
      </c>
      <c r="F206" s="34">
        <v>43842</v>
      </c>
      <c r="G206" s="29"/>
      <c r="H206" s="49">
        <f t="shared" si="32"/>
        <v>31</v>
      </c>
      <c r="I206" s="49">
        <f t="shared" si="33"/>
        <v>3</v>
      </c>
      <c r="J206" s="122">
        <f t="shared" si="34"/>
        <v>2020</v>
      </c>
      <c r="K206" s="64">
        <f t="shared" si="35"/>
        <v>43981</v>
      </c>
      <c r="L206" s="10"/>
      <c r="M206" s="6"/>
      <c r="O206" s="208">
        <v>43851</v>
      </c>
      <c r="P206" s="209">
        <f t="shared" si="36"/>
        <v>10000</v>
      </c>
      <c r="Q206" s="209">
        <f>+SUMIF('A DEPOSITAR'!$D$2:$D$998,(O206-2),'A DEPOSITAR'!$H$2:$H$998)</f>
        <v>25000</v>
      </c>
      <c r="R206" s="210">
        <f t="shared" si="37"/>
        <v>15000</v>
      </c>
      <c r="S206" s="210">
        <f t="shared" si="39"/>
        <v>1256231.8400000001</v>
      </c>
      <c r="T206" s="209">
        <f t="shared" si="38"/>
        <v>0</v>
      </c>
      <c r="U206" s="209">
        <f>+SUMIFS('A DEPOSITAR'!$H$2:$H$998,'A DEPOSITAR'!$D$2:$D$998,(O206-2),'A DEPOSITAR'!$I$2:$I$998,"A Depositar")</f>
        <v>0</v>
      </c>
      <c r="V206" s="6"/>
      <c r="W206" s="6"/>
      <c r="X206" s="6"/>
      <c r="Y206" s="6"/>
      <c r="Z206" s="6"/>
    </row>
    <row r="207" spans="1:26" ht="12.75" x14ac:dyDescent="0.2">
      <c r="A207" s="36">
        <v>43929</v>
      </c>
      <c r="B207" s="29" t="s">
        <v>317</v>
      </c>
      <c r="C207" s="29">
        <v>74728216</v>
      </c>
      <c r="D207" s="50">
        <v>10000</v>
      </c>
      <c r="E207" s="29" t="s">
        <v>22</v>
      </c>
      <c r="F207" s="34">
        <v>43842</v>
      </c>
      <c r="G207" s="29"/>
      <c r="H207" s="49">
        <f t="shared" si="32"/>
        <v>8</v>
      </c>
      <c r="I207" s="49">
        <f t="shared" si="33"/>
        <v>4</v>
      </c>
      <c r="J207" s="122">
        <f t="shared" si="34"/>
        <v>2020</v>
      </c>
      <c r="K207" s="64">
        <f t="shared" si="35"/>
        <v>43989</v>
      </c>
      <c r="L207" s="6"/>
      <c r="M207" s="6"/>
      <c r="O207" s="208">
        <v>43852</v>
      </c>
      <c r="P207" s="209">
        <f t="shared" si="36"/>
        <v>39950</v>
      </c>
      <c r="Q207" s="209">
        <f>+SUMIF('A DEPOSITAR'!$D$2:$D$998,(O207-2),'A DEPOSITAR'!$H$2:$H$998)</f>
        <v>95890</v>
      </c>
      <c r="R207" s="210">
        <f t="shared" si="37"/>
        <v>55940</v>
      </c>
      <c r="S207" s="210">
        <f t="shared" si="39"/>
        <v>1312171.8400000001</v>
      </c>
      <c r="T207" s="209">
        <f t="shared" si="38"/>
        <v>0</v>
      </c>
      <c r="U207" s="209">
        <f>+SUMIFS('A DEPOSITAR'!$H$2:$H$998,'A DEPOSITAR'!$D$2:$D$998,(O207-2),'A DEPOSITAR'!$I$2:$I$998,"A Depositar")</f>
        <v>0</v>
      </c>
      <c r="V207" s="6"/>
      <c r="W207" s="6"/>
      <c r="X207" s="6"/>
      <c r="Y207" s="6"/>
      <c r="Z207" s="6"/>
    </row>
    <row r="208" spans="1:26" ht="12.75" x14ac:dyDescent="0.2">
      <c r="A208" s="36">
        <v>43937</v>
      </c>
      <c r="B208" s="29" t="s">
        <v>317</v>
      </c>
      <c r="C208" s="29">
        <v>74728217</v>
      </c>
      <c r="D208" s="50">
        <v>10000</v>
      </c>
      <c r="E208" s="29" t="s">
        <v>22</v>
      </c>
      <c r="F208" s="34">
        <v>43842</v>
      </c>
      <c r="G208" s="29"/>
      <c r="H208" s="49">
        <f t="shared" si="32"/>
        <v>16</v>
      </c>
      <c r="I208" s="49">
        <f t="shared" si="33"/>
        <v>4</v>
      </c>
      <c r="J208" s="122">
        <f t="shared" si="34"/>
        <v>2020</v>
      </c>
      <c r="K208" s="64">
        <f t="shared" si="35"/>
        <v>43997</v>
      </c>
      <c r="L208" s="6"/>
      <c r="M208" s="6"/>
      <c r="O208" s="208">
        <v>43853</v>
      </c>
      <c r="P208" s="209">
        <f t="shared" si="36"/>
        <v>51540.18</v>
      </c>
      <c r="Q208" s="209">
        <f>+SUMIF('A DEPOSITAR'!$D$2:$D$998,(O208-2),'A DEPOSITAR'!$H$2:$H$998)</f>
        <v>0</v>
      </c>
      <c r="R208" s="210">
        <f t="shared" si="37"/>
        <v>-51540.18</v>
      </c>
      <c r="S208" s="210">
        <f t="shared" si="39"/>
        <v>1260631.6600000001</v>
      </c>
      <c r="T208" s="209">
        <f t="shared" si="38"/>
        <v>0</v>
      </c>
      <c r="U208" s="209">
        <f>+SUMIFS('A DEPOSITAR'!$H$2:$H$998,'A DEPOSITAR'!$D$2:$D$998,(O208-2),'A DEPOSITAR'!$I$2:$I$998,"A Depositar")</f>
        <v>0</v>
      </c>
      <c r="V208" s="6"/>
      <c r="W208" s="6"/>
      <c r="X208" s="6"/>
      <c r="Y208" s="6"/>
      <c r="Z208" s="6"/>
    </row>
    <row r="209" spans="1:26" ht="12.75" x14ac:dyDescent="0.2">
      <c r="A209" s="36">
        <v>43943</v>
      </c>
      <c r="B209" s="29" t="s">
        <v>317</v>
      </c>
      <c r="C209" s="29">
        <v>74728218</v>
      </c>
      <c r="D209" s="50">
        <v>10000</v>
      </c>
      <c r="E209" s="29" t="s">
        <v>22</v>
      </c>
      <c r="F209" s="34">
        <v>43842</v>
      </c>
      <c r="G209" s="29"/>
      <c r="H209" s="49">
        <f t="shared" si="32"/>
        <v>22</v>
      </c>
      <c r="I209" s="49">
        <f t="shared" si="33"/>
        <v>4</v>
      </c>
      <c r="J209" s="122">
        <f t="shared" si="34"/>
        <v>2020</v>
      </c>
      <c r="K209" s="64">
        <f t="shared" si="35"/>
        <v>44003</v>
      </c>
      <c r="L209" s="6"/>
      <c r="M209" s="6"/>
      <c r="O209" s="208">
        <v>43854</v>
      </c>
      <c r="P209" s="209">
        <f t="shared" si="36"/>
        <v>12000</v>
      </c>
      <c r="Q209" s="209">
        <f>+SUMIF('A DEPOSITAR'!$D$2:$D$998,(O209-2),'A DEPOSITAR'!$H$2:$H$998)</f>
        <v>10000</v>
      </c>
      <c r="R209" s="210">
        <f t="shared" si="37"/>
        <v>-2000</v>
      </c>
      <c r="S209" s="210">
        <f t="shared" si="39"/>
        <v>1258631.6600000001</v>
      </c>
      <c r="T209" s="209">
        <f t="shared" si="38"/>
        <v>0</v>
      </c>
      <c r="U209" s="209">
        <f>+SUMIFS('A DEPOSITAR'!$H$2:$H$998,'A DEPOSITAR'!$D$2:$D$998,(O209-2),'A DEPOSITAR'!$I$2:$I$998,"A Depositar")</f>
        <v>0</v>
      </c>
      <c r="V209" s="6"/>
      <c r="W209" s="6"/>
      <c r="X209" s="6"/>
      <c r="Y209" s="6"/>
      <c r="Z209" s="6"/>
    </row>
    <row r="210" spans="1:26" ht="12.75" x14ac:dyDescent="0.2">
      <c r="A210" s="36">
        <v>43951</v>
      </c>
      <c r="B210" s="29" t="s">
        <v>317</v>
      </c>
      <c r="C210" s="29">
        <v>74728219</v>
      </c>
      <c r="D210" s="50">
        <v>10000</v>
      </c>
      <c r="E210" s="29" t="s">
        <v>327</v>
      </c>
      <c r="F210" s="34">
        <v>43842</v>
      </c>
      <c r="G210" s="29"/>
      <c r="H210" s="49">
        <f t="shared" si="32"/>
        <v>30</v>
      </c>
      <c r="I210" s="49">
        <f t="shared" si="33"/>
        <v>4</v>
      </c>
      <c r="J210" s="122">
        <f t="shared" si="34"/>
        <v>2020</v>
      </c>
      <c r="K210" s="64">
        <f t="shared" si="35"/>
        <v>44011</v>
      </c>
      <c r="L210" s="6"/>
      <c r="M210" s="6"/>
      <c r="O210" s="208">
        <v>43855</v>
      </c>
      <c r="P210" s="209">
        <f t="shared" si="36"/>
        <v>0</v>
      </c>
      <c r="Q210" s="209">
        <f>+SUMIF('A DEPOSITAR'!$D$2:$D$998,(O210-2),'A DEPOSITAR'!$H$2:$H$998)</f>
        <v>25470</v>
      </c>
      <c r="R210" s="210">
        <f t="shared" si="37"/>
        <v>25470</v>
      </c>
      <c r="S210" s="210">
        <f t="shared" si="39"/>
        <v>1284101.6600000001</v>
      </c>
      <c r="T210" s="209">
        <f t="shared" si="38"/>
        <v>0</v>
      </c>
      <c r="U210" s="209">
        <f>+SUMIFS('A DEPOSITAR'!$H$2:$H$998,'A DEPOSITAR'!$D$2:$D$998,(O210-2),'A DEPOSITAR'!$I$2:$I$998,"A Depositar")</f>
        <v>0</v>
      </c>
      <c r="V210" s="6"/>
      <c r="W210" s="6"/>
      <c r="X210" s="6"/>
      <c r="Y210" s="6"/>
      <c r="Z210" s="6"/>
    </row>
    <row r="211" spans="1:26" ht="12.75" x14ac:dyDescent="0.2">
      <c r="A211" s="36">
        <v>43959</v>
      </c>
      <c r="B211" s="29" t="s">
        <v>317</v>
      </c>
      <c r="C211" s="29">
        <v>74728220</v>
      </c>
      <c r="D211" s="50">
        <v>10000</v>
      </c>
      <c r="E211" s="29" t="s">
        <v>22</v>
      </c>
      <c r="F211" s="34">
        <v>43842</v>
      </c>
      <c r="G211" s="29"/>
      <c r="H211" s="49">
        <f t="shared" si="32"/>
        <v>8</v>
      </c>
      <c r="I211" s="49">
        <f t="shared" si="33"/>
        <v>5</v>
      </c>
      <c r="J211" s="122">
        <f t="shared" si="34"/>
        <v>2020</v>
      </c>
      <c r="K211" s="64">
        <f t="shared" si="35"/>
        <v>44019</v>
      </c>
      <c r="L211" s="6"/>
      <c r="M211" s="6"/>
      <c r="O211" s="208">
        <v>43856</v>
      </c>
      <c r="P211" s="209">
        <f t="shared" si="36"/>
        <v>0</v>
      </c>
      <c r="Q211" s="209">
        <f>+SUMIF('A DEPOSITAR'!$D$2:$D$998,(O211-2),'A DEPOSITAR'!$H$2:$H$998)</f>
        <v>17500</v>
      </c>
      <c r="R211" s="210">
        <f t="shared" si="37"/>
        <v>17500</v>
      </c>
      <c r="S211" s="210">
        <f t="shared" si="39"/>
        <v>1301601.6600000001</v>
      </c>
      <c r="T211" s="209">
        <f t="shared" si="38"/>
        <v>0</v>
      </c>
      <c r="U211" s="209">
        <f>+SUMIFS('A DEPOSITAR'!$H$2:$H$998,'A DEPOSITAR'!$D$2:$D$998,(O211-2),'A DEPOSITAR'!$I$2:$I$998,"A Depositar")</f>
        <v>0</v>
      </c>
      <c r="V211" s="6"/>
      <c r="W211" s="6"/>
      <c r="X211" s="6"/>
      <c r="Y211" s="6"/>
      <c r="Z211" s="6"/>
    </row>
    <row r="212" spans="1:26" ht="12.75" x14ac:dyDescent="0.2">
      <c r="A212" s="36">
        <v>43898</v>
      </c>
      <c r="B212" s="29" t="s">
        <v>323</v>
      </c>
      <c r="C212" s="29">
        <v>74728221</v>
      </c>
      <c r="D212" s="50">
        <v>6388.89</v>
      </c>
      <c r="E212" s="29" t="s">
        <v>22</v>
      </c>
      <c r="F212" s="34">
        <v>43843</v>
      </c>
      <c r="G212" s="29"/>
      <c r="H212" s="49">
        <f t="shared" si="32"/>
        <v>8</v>
      </c>
      <c r="I212" s="49">
        <f t="shared" si="33"/>
        <v>3</v>
      </c>
      <c r="J212" s="122">
        <f t="shared" si="34"/>
        <v>2020</v>
      </c>
      <c r="K212" s="64">
        <f t="shared" si="35"/>
        <v>43958</v>
      </c>
      <c r="L212" s="6"/>
      <c r="M212" s="6"/>
      <c r="O212" s="208">
        <v>43857</v>
      </c>
      <c r="P212" s="209">
        <f t="shared" si="36"/>
        <v>0</v>
      </c>
      <c r="Q212" s="209">
        <f>+SUMIF('A DEPOSITAR'!$D$2:$D$998,(O212-2),'A DEPOSITAR'!$H$2:$H$998)</f>
        <v>3500</v>
      </c>
      <c r="R212" s="210">
        <f t="shared" si="37"/>
        <v>3500</v>
      </c>
      <c r="S212" s="210">
        <f t="shared" si="39"/>
        <v>1305101.6600000001</v>
      </c>
      <c r="T212" s="209">
        <f t="shared" si="38"/>
        <v>0</v>
      </c>
      <c r="U212" s="209">
        <f>+SUMIFS('A DEPOSITAR'!$H$2:$H$998,'A DEPOSITAR'!$D$2:$D$998,(O212-2),'A DEPOSITAR'!$I$2:$I$998,"A Depositar")</f>
        <v>0</v>
      </c>
      <c r="V212" s="6"/>
      <c r="W212" s="6"/>
      <c r="X212" s="6"/>
      <c r="Y212" s="6"/>
      <c r="Z212" s="6"/>
    </row>
    <row r="213" spans="1:26" ht="12.75" x14ac:dyDescent="0.2">
      <c r="A213" s="36">
        <v>43906</v>
      </c>
      <c r="B213" s="29" t="s">
        <v>323</v>
      </c>
      <c r="C213" s="29">
        <v>74728222</v>
      </c>
      <c r="D213" s="50">
        <v>6306</v>
      </c>
      <c r="E213" s="29" t="s">
        <v>22</v>
      </c>
      <c r="F213" s="34">
        <v>43843</v>
      </c>
      <c r="G213" s="29"/>
      <c r="H213" s="49">
        <f t="shared" si="32"/>
        <v>16</v>
      </c>
      <c r="I213" s="49">
        <f t="shared" si="33"/>
        <v>3</v>
      </c>
      <c r="J213" s="122">
        <f t="shared" si="34"/>
        <v>2020</v>
      </c>
      <c r="K213" s="64">
        <f t="shared" si="35"/>
        <v>43966</v>
      </c>
      <c r="L213" s="6"/>
      <c r="M213" s="6"/>
      <c r="O213" s="208">
        <v>43858</v>
      </c>
      <c r="P213" s="209">
        <f t="shared" si="36"/>
        <v>0</v>
      </c>
      <c r="Q213" s="209">
        <f>+SUMIF('A DEPOSITAR'!$D$2:$D$998,(O213-2),'A DEPOSITAR'!$H$2:$H$998)</f>
        <v>44000</v>
      </c>
      <c r="R213" s="210">
        <f t="shared" si="37"/>
        <v>44000</v>
      </c>
      <c r="S213" s="210">
        <f t="shared" si="39"/>
        <v>1349101.6600000001</v>
      </c>
      <c r="T213" s="209">
        <f t="shared" si="38"/>
        <v>0</v>
      </c>
      <c r="U213" s="209">
        <f>+SUMIFS('A DEPOSITAR'!$H$2:$H$998,'A DEPOSITAR'!$D$2:$D$998,(O213-2),'A DEPOSITAR'!$I$2:$I$998,"A Depositar")</f>
        <v>0</v>
      </c>
      <c r="V213" s="6"/>
      <c r="W213" s="6"/>
      <c r="X213" s="6"/>
      <c r="Y213" s="6"/>
      <c r="Z213" s="6"/>
    </row>
    <row r="214" spans="1:26" ht="12.75" x14ac:dyDescent="0.2">
      <c r="A214" s="49" t="s">
        <v>326</v>
      </c>
      <c r="B214" s="29" t="s">
        <v>327</v>
      </c>
      <c r="C214" s="29">
        <v>74728223</v>
      </c>
      <c r="D214" s="50" t="s">
        <v>326</v>
      </c>
      <c r="E214" s="29" t="s">
        <v>22</v>
      </c>
      <c r="F214" s="35" t="s">
        <v>238</v>
      </c>
      <c r="G214" s="29"/>
      <c r="H214" s="49" t="s">
        <v>18</v>
      </c>
      <c r="I214" s="49" t="s">
        <v>18</v>
      </c>
      <c r="J214" s="122" t="s">
        <v>18</v>
      </c>
      <c r="K214" s="64" t="e">
        <f t="shared" si="35"/>
        <v>#VALUE!</v>
      </c>
      <c r="L214" s="6"/>
      <c r="M214" s="6"/>
      <c r="O214" s="208">
        <v>43859</v>
      </c>
      <c r="P214" s="209">
        <f t="shared" si="36"/>
        <v>0</v>
      </c>
      <c r="Q214" s="209">
        <f>+SUMIF('A DEPOSITAR'!$D$2:$D$998,(O214-2),'A DEPOSITAR'!$H$2:$H$998)</f>
        <v>5300</v>
      </c>
      <c r="R214" s="210">
        <f t="shared" si="37"/>
        <v>5300</v>
      </c>
      <c r="S214" s="210">
        <f t="shared" si="39"/>
        <v>1354401.6600000001</v>
      </c>
      <c r="T214" s="209">
        <f t="shared" si="38"/>
        <v>0</v>
      </c>
      <c r="U214" s="209">
        <f>+SUMIFS('A DEPOSITAR'!$H$2:$H$998,'A DEPOSITAR'!$D$2:$D$998,(O214-2),'A DEPOSITAR'!$I$2:$I$998,"A Depositar")</f>
        <v>0</v>
      </c>
      <c r="V214" s="6"/>
      <c r="W214" s="6"/>
      <c r="X214" s="6"/>
      <c r="Y214" s="6"/>
      <c r="Z214" s="6"/>
    </row>
    <row r="215" spans="1:26" ht="12.75" x14ac:dyDescent="0.2">
      <c r="A215" s="31">
        <v>43912</v>
      </c>
      <c r="B215" s="29" t="s">
        <v>323</v>
      </c>
      <c r="C215" s="29">
        <v>74728224</v>
      </c>
      <c r="D215" s="30">
        <v>6406</v>
      </c>
      <c r="E215" s="29" t="s">
        <v>22</v>
      </c>
      <c r="F215" s="7">
        <v>43843</v>
      </c>
      <c r="G215" s="18"/>
      <c r="H215" s="16">
        <f t="shared" ref="H215:H278" si="40">DAY(A215)</f>
        <v>22</v>
      </c>
      <c r="I215" s="16">
        <f t="shared" ref="I215:I278" si="41">MONTH(A215)</f>
        <v>3</v>
      </c>
      <c r="J215" s="122">
        <f t="shared" ref="J215:J278" si="42">YEAR(A215)</f>
        <v>2020</v>
      </c>
      <c r="K215" s="64">
        <f t="shared" si="35"/>
        <v>43972</v>
      </c>
      <c r="L215" s="6"/>
      <c r="M215" s="6"/>
      <c r="O215" s="208">
        <v>43860</v>
      </c>
      <c r="P215" s="209">
        <f t="shared" si="36"/>
        <v>43992.69</v>
      </c>
      <c r="Q215" s="209">
        <f>+SUMIF('A DEPOSITAR'!$D$2:$D$998,(O215-2),'A DEPOSITAR'!$H$2:$H$998)</f>
        <v>15550</v>
      </c>
      <c r="R215" s="210">
        <f t="shared" si="37"/>
        <v>-28442.690000000002</v>
      </c>
      <c r="S215" s="210">
        <f t="shared" si="39"/>
        <v>1325958.9700000002</v>
      </c>
      <c r="T215" s="209">
        <f t="shared" si="38"/>
        <v>0</v>
      </c>
      <c r="U215" s="209">
        <f>+SUMIFS('A DEPOSITAR'!$H$2:$H$998,'A DEPOSITAR'!$D$2:$D$998,(O215-2),'A DEPOSITAR'!$I$2:$I$998,"A Depositar")</f>
        <v>0</v>
      </c>
      <c r="V215" s="6"/>
      <c r="W215" s="6"/>
      <c r="X215" s="6"/>
      <c r="Y215" s="6"/>
      <c r="Z215" s="6"/>
    </row>
    <row r="216" spans="1:26" ht="12.75" x14ac:dyDescent="0.2">
      <c r="A216" s="31">
        <v>43920</v>
      </c>
      <c r="B216" s="29" t="s">
        <v>323</v>
      </c>
      <c r="C216" s="29">
        <v>74728225</v>
      </c>
      <c r="D216" s="30">
        <v>6506</v>
      </c>
      <c r="E216" s="29" t="s">
        <v>22</v>
      </c>
      <c r="F216" s="7">
        <v>43843</v>
      </c>
      <c r="G216" s="18"/>
      <c r="H216" s="16">
        <f t="shared" si="40"/>
        <v>30</v>
      </c>
      <c r="I216" s="16">
        <f t="shared" si="41"/>
        <v>3</v>
      </c>
      <c r="J216" s="122">
        <f t="shared" si="42"/>
        <v>2020</v>
      </c>
      <c r="K216" s="64">
        <f t="shared" si="35"/>
        <v>43980</v>
      </c>
      <c r="L216" s="6"/>
      <c r="M216" s="6"/>
      <c r="O216" s="208">
        <v>43861</v>
      </c>
      <c r="P216" s="209">
        <f t="shared" si="36"/>
        <v>40400</v>
      </c>
      <c r="Q216" s="209">
        <f>+SUMIF('A DEPOSITAR'!$D$2:$D$998,(O216-2),'A DEPOSITAR'!$H$2:$H$998)</f>
        <v>14560</v>
      </c>
      <c r="R216" s="210">
        <f t="shared" si="37"/>
        <v>-25840</v>
      </c>
      <c r="S216" s="210">
        <f t="shared" si="39"/>
        <v>1300118.9700000002</v>
      </c>
      <c r="T216" s="209">
        <f t="shared" si="38"/>
        <v>0</v>
      </c>
      <c r="U216" s="209">
        <f>+SUMIFS('A DEPOSITAR'!$H$2:$H$998,'A DEPOSITAR'!$D$2:$D$998,(O216-2),'A DEPOSITAR'!$I$2:$I$998,"A Depositar")</f>
        <v>0</v>
      </c>
      <c r="V216" s="6"/>
      <c r="W216" s="6"/>
      <c r="X216" s="6"/>
      <c r="Y216" s="6"/>
      <c r="Z216" s="6"/>
    </row>
    <row r="217" spans="1:26" ht="12.75" x14ac:dyDescent="0.2">
      <c r="A217" s="31">
        <v>43929</v>
      </c>
      <c r="B217" s="29" t="s">
        <v>323</v>
      </c>
      <c r="C217" s="29">
        <v>75613201</v>
      </c>
      <c r="D217" s="30">
        <v>6606</v>
      </c>
      <c r="E217" s="29" t="s">
        <v>22</v>
      </c>
      <c r="F217" s="7">
        <v>43843</v>
      </c>
      <c r="G217" s="18"/>
      <c r="H217" s="16">
        <f t="shared" si="40"/>
        <v>8</v>
      </c>
      <c r="I217" s="16">
        <f t="shared" si="41"/>
        <v>4</v>
      </c>
      <c r="J217" s="122">
        <f t="shared" si="42"/>
        <v>2020</v>
      </c>
      <c r="K217" s="64">
        <f t="shared" si="35"/>
        <v>43989</v>
      </c>
      <c r="L217" s="6"/>
      <c r="M217" s="6"/>
      <c r="O217" s="208">
        <v>43862</v>
      </c>
      <c r="P217" s="209">
        <f t="shared" si="36"/>
        <v>0</v>
      </c>
      <c r="Q217" s="209">
        <f>+SUMIF('A DEPOSITAR'!$D$2:$D$998,(O217-2),'A DEPOSITAR'!$H$2:$H$998)</f>
        <v>31393.3</v>
      </c>
      <c r="R217" s="210">
        <f t="shared" si="37"/>
        <v>31393.3</v>
      </c>
      <c r="S217" s="210">
        <f t="shared" si="39"/>
        <v>1331512.2700000003</v>
      </c>
      <c r="T217" s="209">
        <f t="shared" si="38"/>
        <v>0</v>
      </c>
      <c r="U217" s="209">
        <f>+SUMIFS('A DEPOSITAR'!$H$2:$H$998,'A DEPOSITAR'!$D$2:$D$998,(O217-2),'A DEPOSITAR'!$I$2:$I$998,"A Depositar")</f>
        <v>0</v>
      </c>
      <c r="V217" s="6"/>
      <c r="W217" s="6"/>
      <c r="X217" s="6"/>
      <c r="Y217" s="6"/>
      <c r="Z217" s="6"/>
    </row>
    <row r="218" spans="1:26" ht="12.75" x14ac:dyDescent="0.2">
      <c r="A218" s="31">
        <v>43937</v>
      </c>
      <c r="B218" s="29" t="s">
        <v>323</v>
      </c>
      <c r="C218" s="29">
        <v>75613202</v>
      </c>
      <c r="D218" s="30">
        <v>6706</v>
      </c>
      <c r="E218" s="29" t="s">
        <v>22</v>
      </c>
      <c r="F218" s="7">
        <v>43843</v>
      </c>
      <c r="G218" s="18"/>
      <c r="H218" s="16">
        <f t="shared" si="40"/>
        <v>16</v>
      </c>
      <c r="I218" s="16">
        <f t="shared" si="41"/>
        <v>4</v>
      </c>
      <c r="J218" s="122">
        <f t="shared" si="42"/>
        <v>2020</v>
      </c>
      <c r="K218" s="64">
        <f t="shared" si="35"/>
        <v>43997</v>
      </c>
      <c r="L218" s="6"/>
      <c r="M218" s="6"/>
      <c r="O218" s="208">
        <v>43863</v>
      </c>
      <c r="P218" s="209">
        <f t="shared" si="36"/>
        <v>0</v>
      </c>
      <c r="Q218" s="209">
        <f>+SUMIF('A DEPOSITAR'!$D$2:$D$998,(O218-2),'A DEPOSITAR'!$H$2:$H$998)</f>
        <v>243436</v>
      </c>
      <c r="R218" s="210">
        <f t="shared" si="37"/>
        <v>243436</v>
      </c>
      <c r="S218" s="210">
        <f t="shared" si="39"/>
        <v>1574948.2700000003</v>
      </c>
      <c r="T218" s="209">
        <f t="shared" si="38"/>
        <v>0</v>
      </c>
      <c r="U218" s="209">
        <f>+SUMIFS('A DEPOSITAR'!$H$2:$H$998,'A DEPOSITAR'!$D$2:$D$998,(O218-2),'A DEPOSITAR'!$I$2:$I$998,"A Depositar")</f>
        <v>0</v>
      </c>
      <c r="V218" s="6"/>
      <c r="W218" s="6"/>
      <c r="X218" s="6"/>
      <c r="Y218" s="6"/>
      <c r="Z218" s="6"/>
    </row>
    <row r="219" spans="1:26" ht="12.75" x14ac:dyDescent="0.2">
      <c r="A219" s="31">
        <v>43943</v>
      </c>
      <c r="B219" s="29" t="s">
        <v>323</v>
      </c>
      <c r="C219" s="29">
        <v>75613203</v>
      </c>
      <c r="D219" s="30">
        <v>6806</v>
      </c>
      <c r="E219" s="29" t="s">
        <v>22</v>
      </c>
      <c r="F219" s="7">
        <v>43843</v>
      </c>
      <c r="G219" s="18"/>
      <c r="H219" s="16">
        <f t="shared" si="40"/>
        <v>22</v>
      </c>
      <c r="I219" s="16">
        <f t="shared" si="41"/>
        <v>4</v>
      </c>
      <c r="J219" s="122">
        <f t="shared" si="42"/>
        <v>2020</v>
      </c>
      <c r="K219" s="64">
        <f t="shared" si="35"/>
        <v>44003</v>
      </c>
      <c r="L219" s="6"/>
      <c r="M219" s="6"/>
      <c r="O219" s="208">
        <v>43864</v>
      </c>
      <c r="P219" s="209">
        <f t="shared" si="36"/>
        <v>0</v>
      </c>
      <c r="Q219" s="209">
        <f>+SUMIF('A DEPOSITAR'!$D$2:$D$998,(O219-2),'A DEPOSITAR'!$H$2:$H$998)</f>
        <v>16330</v>
      </c>
      <c r="R219" s="210">
        <f t="shared" si="37"/>
        <v>16330</v>
      </c>
      <c r="S219" s="210">
        <f t="shared" si="39"/>
        <v>1591278.2700000003</v>
      </c>
      <c r="T219" s="209">
        <f t="shared" si="38"/>
        <v>0</v>
      </c>
      <c r="U219" s="209">
        <f>+SUMIFS('A DEPOSITAR'!$H$2:$H$998,'A DEPOSITAR'!$D$2:$D$998,(O219-2),'A DEPOSITAR'!$I$2:$I$998,"A Depositar")</f>
        <v>0</v>
      </c>
      <c r="V219" s="6"/>
      <c r="W219" s="6"/>
      <c r="X219" s="6"/>
      <c r="Y219" s="6"/>
      <c r="Z219" s="6"/>
    </row>
    <row r="220" spans="1:26" ht="12.75" x14ac:dyDescent="0.2">
      <c r="A220" s="31">
        <v>43951</v>
      </c>
      <c r="B220" s="29" t="s">
        <v>323</v>
      </c>
      <c r="C220" s="29">
        <v>75613204</v>
      </c>
      <c r="D220" s="30">
        <v>6906</v>
      </c>
      <c r="E220" s="29" t="s">
        <v>327</v>
      </c>
      <c r="F220" s="7">
        <v>43843</v>
      </c>
      <c r="G220" s="18" t="s">
        <v>820</v>
      </c>
      <c r="H220" s="16">
        <f t="shared" si="40"/>
        <v>30</v>
      </c>
      <c r="I220" s="16">
        <f t="shared" si="41"/>
        <v>4</v>
      </c>
      <c r="J220" s="122">
        <f t="shared" si="42"/>
        <v>2020</v>
      </c>
      <c r="K220" s="64">
        <f t="shared" si="35"/>
        <v>44011</v>
      </c>
      <c r="L220" s="6"/>
      <c r="M220" s="6"/>
      <c r="O220" s="208">
        <v>43865</v>
      </c>
      <c r="P220" s="209">
        <f t="shared" si="36"/>
        <v>0</v>
      </c>
      <c r="Q220" s="209">
        <f>+SUMIF('A DEPOSITAR'!$D$2:$D$998,(O220-2),'A DEPOSITAR'!$H$2:$H$998)</f>
        <v>7816</v>
      </c>
      <c r="R220" s="210">
        <f t="shared" si="37"/>
        <v>7816</v>
      </c>
      <c r="S220" s="210">
        <f t="shared" si="39"/>
        <v>1599094.2700000003</v>
      </c>
      <c r="T220" s="209">
        <f t="shared" si="38"/>
        <v>0</v>
      </c>
      <c r="U220" s="209">
        <f>+SUMIFS('A DEPOSITAR'!$H$2:$H$998,'A DEPOSITAR'!$D$2:$D$998,(O220-2),'A DEPOSITAR'!$I$2:$I$998,"A Depositar")</f>
        <v>0</v>
      </c>
      <c r="V220" s="6"/>
      <c r="W220" s="6"/>
      <c r="X220" s="6"/>
      <c r="Y220" s="6"/>
      <c r="Z220" s="6"/>
    </row>
    <row r="221" spans="1:26" ht="12.75" x14ac:dyDescent="0.2">
      <c r="A221" s="31">
        <v>43920</v>
      </c>
      <c r="B221" s="29" t="s">
        <v>332</v>
      </c>
      <c r="C221" s="29">
        <v>75613205</v>
      </c>
      <c r="D221" s="30">
        <v>4135.49</v>
      </c>
      <c r="E221" s="29" t="s">
        <v>22</v>
      </c>
      <c r="F221" s="7">
        <v>43845</v>
      </c>
      <c r="G221" s="18"/>
      <c r="H221" s="16">
        <f t="shared" si="40"/>
        <v>30</v>
      </c>
      <c r="I221" s="16">
        <f t="shared" si="41"/>
        <v>3</v>
      </c>
      <c r="J221" s="122">
        <f t="shared" si="42"/>
        <v>2020</v>
      </c>
      <c r="K221" s="64">
        <f t="shared" si="35"/>
        <v>43980</v>
      </c>
      <c r="L221" s="6"/>
      <c r="M221" s="6"/>
      <c r="O221" s="208">
        <v>43866</v>
      </c>
      <c r="P221" s="209">
        <f t="shared" si="36"/>
        <v>0</v>
      </c>
      <c r="Q221" s="209">
        <f>+SUMIF('A DEPOSITAR'!$D$2:$D$998,(O221-2),'A DEPOSITAR'!$H$2:$H$998)</f>
        <v>0</v>
      </c>
      <c r="R221" s="210">
        <f t="shared" si="37"/>
        <v>0</v>
      </c>
      <c r="S221" s="210">
        <f t="shared" si="39"/>
        <v>1599094.2700000003</v>
      </c>
      <c r="T221" s="209">
        <f t="shared" si="38"/>
        <v>0</v>
      </c>
      <c r="U221" s="209">
        <f>+SUMIFS('A DEPOSITAR'!$H$2:$H$998,'A DEPOSITAR'!$D$2:$D$998,(O221-2),'A DEPOSITAR'!$I$2:$I$998,"A Depositar")</f>
        <v>0</v>
      </c>
      <c r="V221" s="6"/>
      <c r="W221" s="6"/>
      <c r="X221" s="6"/>
      <c r="Y221" s="6"/>
      <c r="Z221" s="6"/>
    </row>
    <row r="222" spans="1:26" ht="12.75" x14ac:dyDescent="0.2">
      <c r="A222" s="31">
        <v>43929</v>
      </c>
      <c r="B222" s="29" t="s">
        <v>332</v>
      </c>
      <c r="C222" s="29">
        <v>75613206</v>
      </c>
      <c r="D222" s="30">
        <v>4648</v>
      </c>
      <c r="E222" s="29" t="s">
        <v>755</v>
      </c>
      <c r="F222" s="7">
        <v>43845</v>
      </c>
      <c r="G222" s="18"/>
      <c r="H222" s="16">
        <f t="shared" si="40"/>
        <v>8</v>
      </c>
      <c r="I222" s="16">
        <f t="shared" si="41"/>
        <v>4</v>
      </c>
      <c r="J222" s="122">
        <f t="shared" si="42"/>
        <v>2020</v>
      </c>
      <c r="K222" s="64">
        <f t="shared" si="35"/>
        <v>43989</v>
      </c>
      <c r="L222" s="6"/>
      <c r="M222" s="6"/>
      <c r="O222" s="208">
        <v>43867</v>
      </c>
      <c r="P222" s="209">
        <f t="shared" si="36"/>
        <v>10000</v>
      </c>
      <c r="Q222" s="209">
        <f>+SUMIF('A DEPOSITAR'!$D$2:$D$998,(O222-2),'A DEPOSITAR'!$H$2:$H$998)</f>
        <v>3550</v>
      </c>
      <c r="R222" s="210">
        <f t="shared" si="37"/>
        <v>-6450</v>
      </c>
      <c r="S222" s="210">
        <f t="shared" si="39"/>
        <v>1592644.2700000003</v>
      </c>
      <c r="T222" s="209">
        <f t="shared" si="38"/>
        <v>0</v>
      </c>
      <c r="U222" s="209">
        <f>+SUMIFS('A DEPOSITAR'!$H$2:$H$998,'A DEPOSITAR'!$D$2:$D$998,(O222-2),'A DEPOSITAR'!$I$2:$I$998,"A Depositar")</f>
        <v>0</v>
      </c>
      <c r="V222" s="6"/>
      <c r="W222" s="6"/>
      <c r="X222" s="6"/>
      <c r="Y222" s="6"/>
      <c r="Z222" s="6"/>
    </row>
    <row r="223" spans="1:26" ht="12.75" x14ac:dyDescent="0.2">
      <c r="A223" s="31">
        <v>43943</v>
      </c>
      <c r="B223" s="29" t="s">
        <v>332</v>
      </c>
      <c r="C223" s="29">
        <v>75613207</v>
      </c>
      <c r="D223" s="30">
        <v>4275.99</v>
      </c>
      <c r="E223" s="29" t="s">
        <v>22</v>
      </c>
      <c r="F223" s="7">
        <v>43845</v>
      </c>
      <c r="G223" s="18"/>
      <c r="H223" s="16">
        <f t="shared" si="40"/>
        <v>22</v>
      </c>
      <c r="I223" s="16">
        <f t="shared" si="41"/>
        <v>4</v>
      </c>
      <c r="J223" s="122">
        <f t="shared" si="42"/>
        <v>2020</v>
      </c>
      <c r="K223" s="64">
        <f t="shared" si="35"/>
        <v>44003</v>
      </c>
      <c r="L223" s="6"/>
      <c r="M223" s="6"/>
      <c r="O223" s="208">
        <v>43868</v>
      </c>
      <c r="P223" s="209">
        <f t="shared" si="36"/>
        <v>36650</v>
      </c>
      <c r="Q223" s="209">
        <f>+SUMIF('A DEPOSITAR'!$D$2:$D$998,(O223-2),'A DEPOSITAR'!$H$2:$H$998)</f>
        <v>18850</v>
      </c>
      <c r="R223" s="210">
        <f t="shared" si="37"/>
        <v>-17800</v>
      </c>
      <c r="S223" s="210">
        <f t="shared" si="39"/>
        <v>1574844.2700000003</v>
      </c>
      <c r="T223" s="209">
        <f t="shared" si="38"/>
        <v>0</v>
      </c>
      <c r="U223" s="209">
        <f>+SUMIFS('A DEPOSITAR'!$H$2:$H$998,'A DEPOSITAR'!$D$2:$D$998,(O223-2),'A DEPOSITAR'!$I$2:$I$998,"A Depositar")</f>
        <v>0</v>
      </c>
      <c r="V223" s="6"/>
      <c r="W223" s="6"/>
      <c r="X223" s="6"/>
      <c r="Y223" s="6"/>
      <c r="Z223" s="6"/>
    </row>
    <row r="224" spans="1:26" ht="12.75" x14ac:dyDescent="0.2">
      <c r="A224" s="31">
        <v>43847</v>
      </c>
      <c r="B224" s="29" t="s">
        <v>122</v>
      </c>
      <c r="C224" s="29">
        <v>75613208</v>
      </c>
      <c r="D224" s="30">
        <v>7000</v>
      </c>
      <c r="E224" s="29" t="s">
        <v>22</v>
      </c>
      <c r="F224" s="7">
        <v>43847</v>
      </c>
      <c r="G224" s="18"/>
      <c r="H224" s="16">
        <f t="shared" si="40"/>
        <v>17</v>
      </c>
      <c r="I224" s="16">
        <f t="shared" si="41"/>
        <v>1</v>
      </c>
      <c r="J224" s="122">
        <f t="shared" si="42"/>
        <v>2020</v>
      </c>
      <c r="K224" s="64">
        <f t="shared" si="35"/>
        <v>43907</v>
      </c>
      <c r="L224" s="6"/>
      <c r="M224" s="6"/>
      <c r="O224" s="208">
        <v>43869</v>
      </c>
      <c r="P224" s="209">
        <f t="shared" si="36"/>
        <v>29926.11</v>
      </c>
      <c r="Q224" s="209">
        <f>+SUMIF('A DEPOSITAR'!$D$2:$D$998,(O224-2),'A DEPOSITAR'!$H$2:$H$998)</f>
        <v>5000</v>
      </c>
      <c r="R224" s="210">
        <f t="shared" si="37"/>
        <v>-24926.11</v>
      </c>
      <c r="S224" s="210">
        <f t="shared" si="39"/>
        <v>1549918.1600000001</v>
      </c>
      <c r="T224" s="209">
        <f t="shared" si="38"/>
        <v>0</v>
      </c>
      <c r="U224" s="209">
        <f>+SUMIFS('A DEPOSITAR'!$H$2:$H$998,'A DEPOSITAR'!$D$2:$D$998,(O224-2),'A DEPOSITAR'!$I$2:$I$998,"A Depositar")</f>
        <v>0</v>
      </c>
      <c r="V224" s="6"/>
      <c r="W224" s="6"/>
      <c r="X224" s="6"/>
      <c r="Y224" s="6"/>
      <c r="Z224" s="6"/>
    </row>
    <row r="225" spans="1:26" ht="12.75" x14ac:dyDescent="0.2">
      <c r="A225" s="31">
        <v>43877</v>
      </c>
      <c r="B225" s="29" t="s">
        <v>139</v>
      </c>
      <c r="C225" s="29">
        <v>75613209</v>
      </c>
      <c r="D225" s="30">
        <v>10200</v>
      </c>
      <c r="E225" s="29" t="s">
        <v>22</v>
      </c>
      <c r="F225" s="7">
        <v>43851</v>
      </c>
      <c r="G225" s="18"/>
      <c r="H225" s="16">
        <f t="shared" si="40"/>
        <v>16</v>
      </c>
      <c r="I225" s="16">
        <f t="shared" si="41"/>
        <v>2</v>
      </c>
      <c r="J225" s="122">
        <f t="shared" si="42"/>
        <v>2020</v>
      </c>
      <c r="K225" s="64">
        <f t="shared" si="35"/>
        <v>43937</v>
      </c>
      <c r="L225" s="6"/>
      <c r="M225" s="6"/>
      <c r="O225" s="208">
        <v>43870</v>
      </c>
      <c r="P225" s="209">
        <f t="shared" si="36"/>
        <v>0</v>
      </c>
      <c r="Q225" s="209">
        <f>+SUMIF('A DEPOSITAR'!$D$2:$D$998,(O225-2),'A DEPOSITAR'!$H$2:$H$998)</f>
        <v>17649.95</v>
      </c>
      <c r="R225" s="210">
        <f t="shared" si="37"/>
        <v>17649.95</v>
      </c>
      <c r="S225" s="210">
        <f t="shared" si="39"/>
        <v>1567568.11</v>
      </c>
      <c r="T225" s="209">
        <f t="shared" si="38"/>
        <v>0</v>
      </c>
      <c r="U225" s="209">
        <f>+SUMIFS('A DEPOSITAR'!$H$2:$H$998,'A DEPOSITAR'!$D$2:$D$998,(O225-2),'A DEPOSITAR'!$I$2:$I$998,"A Depositar")</f>
        <v>0</v>
      </c>
      <c r="V225" s="6"/>
      <c r="W225" s="6"/>
      <c r="X225" s="6"/>
      <c r="Y225" s="6"/>
      <c r="Z225" s="6"/>
    </row>
    <row r="226" spans="1:26" ht="12.75" x14ac:dyDescent="0.2">
      <c r="A226" s="31">
        <v>43883</v>
      </c>
      <c r="B226" s="29" t="s">
        <v>139</v>
      </c>
      <c r="C226" s="29">
        <v>75613210</v>
      </c>
      <c r="D226" s="30">
        <v>11700</v>
      </c>
      <c r="E226" s="29" t="s">
        <v>22</v>
      </c>
      <c r="F226" s="7">
        <v>43851</v>
      </c>
      <c r="G226" s="18"/>
      <c r="H226" s="16">
        <f t="shared" si="40"/>
        <v>22</v>
      </c>
      <c r="I226" s="16">
        <f t="shared" si="41"/>
        <v>2</v>
      </c>
      <c r="J226" s="122">
        <f t="shared" si="42"/>
        <v>2020</v>
      </c>
      <c r="K226" s="64">
        <f t="shared" si="35"/>
        <v>43943</v>
      </c>
      <c r="L226" s="6"/>
      <c r="M226" s="6"/>
      <c r="O226" s="208">
        <v>43871</v>
      </c>
      <c r="P226" s="209">
        <f t="shared" si="36"/>
        <v>5388.11</v>
      </c>
      <c r="Q226" s="209">
        <f>+SUMIF('A DEPOSITAR'!$D$2:$D$998,(O226-2),'A DEPOSITAR'!$H$2:$H$998)</f>
        <v>79764.2</v>
      </c>
      <c r="R226" s="210">
        <f t="shared" si="37"/>
        <v>74376.09</v>
      </c>
      <c r="S226" s="210">
        <f t="shared" si="39"/>
        <v>1641944.2000000002</v>
      </c>
      <c r="T226" s="209">
        <f t="shared" si="38"/>
        <v>0</v>
      </c>
      <c r="U226" s="209">
        <f>+SUMIFS('A DEPOSITAR'!$H$2:$H$998,'A DEPOSITAR'!$D$2:$D$998,(O226-2),'A DEPOSITAR'!$I$2:$I$998,"A Depositar")</f>
        <v>0</v>
      </c>
      <c r="V226" s="6"/>
      <c r="W226" s="6"/>
      <c r="X226" s="6"/>
      <c r="Y226" s="6"/>
      <c r="Z226" s="6"/>
    </row>
    <row r="227" spans="1:26" ht="12.75" x14ac:dyDescent="0.2">
      <c r="A227" s="31">
        <v>43890</v>
      </c>
      <c r="B227" s="29" t="s">
        <v>139</v>
      </c>
      <c r="C227" s="29">
        <v>75613211</v>
      </c>
      <c r="D227" s="30">
        <v>12200</v>
      </c>
      <c r="E227" s="29" t="s">
        <v>22</v>
      </c>
      <c r="F227" s="7">
        <v>43851</v>
      </c>
      <c r="G227" s="18"/>
      <c r="H227" s="16">
        <f t="shared" si="40"/>
        <v>29</v>
      </c>
      <c r="I227" s="16">
        <f t="shared" si="41"/>
        <v>2</v>
      </c>
      <c r="J227" s="122">
        <f t="shared" si="42"/>
        <v>2020</v>
      </c>
      <c r="K227" s="64">
        <f t="shared" si="35"/>
        <v>43950</v>
      </c>
      <c r="L227" s="6"/>
      <c r="M227" s="6"/>
      <c r="O227" s="208">
        <v>43872</v>
      </c>
      <c r="P227" s="209">
        <f t="shared" si="36"/>
        <v>0</v>
      </c>
      <c r="Q227" s="209">
        <f>+SUMIF('A DEPOSITAR'!$D$2:$D$998,(O227-2),'A DEPOSITAR'!$H$2:$H$998)</f>
        <v>15000</v>
      </c>
      <c r="R227" s="210">
        <f t="shared" si="37"/>
        <v>15000</v>
      </c>
      <c r="S227" s="210">
        <f t="shared" si="39"/>
        <v>1656944.2000000002</v>
      </c>
      <c r="T227" s="209">
        <f t="shared" si="38"/>
        <v>0</v>
      </c>
      <c r="U227" s="209">
        <f>+SUMIFS('A DEPOSITAR'!$H$2:$H$998,'A DEPOSITAR'!$D$2:$D$998,(O227-2),'A DEPOSITAR'!$I$2:$I$998,"A Depositar")</f>
        <v>0</v>
      </c>
      <c r="V227" s="6"/>
      <c r="W227" s="6"/>
      <c r="X227" s="6"/>
      <c r="Y227" s="6"/>
      <c r="Z227" s="6"/>
    </row>
    <row r="228" spans="1:26" ht="12.75" x14ac:dyDescent="0.2">
      <c r="A228" s="31">
        <v>43898</v>
      </c>
      <c r="B228" s="29" t="s">
        <v>139</v>
      </c>
      <c r="C228" s="29">
        <v>75613212</v>
      </c>
      <c r="D228" s="30">
        <v>12700</v>
      </c>
      <c r="E228" s="29" t="s">
        <v>22</v>
      </c>
      <c r="F228" s="7">
        <v>43851</v>
      </c>
      <c r="G228" s="18"/>
      <c r="H228" s="16">
        <f t="shared" si="40"/>
        <v>8</v>
      </c>
      <c r="I228" s="16">
        <f t="shared" si="41"/>
        <v>3</v>
      </c>
      <c r="J228" s="122">
        <f t="shared" si="42"/>
        <v>2020</v>
      </c>
      <c r="K228" s="64">
        <f t="shared" si="35"/>
        <v>43958</v>
      </c>
      <c r="L228" s="6"/>
      <c r="M228" s="6"/>
      <c r="O228" s="208">
        <v>43873</v>
      </c>
      <c r="P228" s="209">
        <f t="shared" si="36"/>
        <v>0</v>
      </c>
      <c r="Q228" s="209">
        <f>+SUMIF('A DEPOSITAR'!$D$2:$D$998,(O228-2),'A DEPOSITAR'!$H$2:$H$998)</f>
        <v>119963.5</v>
      </c>
      <c r="R228" s="210">
        <f t="shared" si="37"/>
        <v>119963.5</v>
      </c>
      <c r="S228" s="210">
        <f t="shared" si="39"/>
        <v>1776907.7000000002</v>
      </c>
      <c r="T228" s="209">
        <f t="shared" si="38"/>
        <v>0</v>
      </c>
      <c r="U228" s="209">
        <f>+SUMIFS('A DEPOSITAR'!$H$2:$H$998,'A DEPOSITAR'!$D$2:$D$998,(O228-2),'A DEPOSITAR'!$I$2:$I$998,"A Depositar")</f>
        <v>0</v>
      </c>
      <c r="V228" s="6"/>
      <c r="W228" s="6"/>
      <c r="X228" s="6"/>
      <c r="Y228" s="6"/>
      <c r="Z228" s="6"/>
    </row>
    <row r="229" spans="1:26" ht="12.75" x14ac:dyDescent="0.2">
      <c r="A229" s="31">
        <v>43906</v>
      </c>
      <c r="B229" s="29" t="s">
        <v>139</v>
      </c>
      <c r="C229" s="29">
        <v>75613213</v>
      </c>
      <c r="D229" s="30">
        <v>13200</v>
      </c>
      <c r="E229" s="29" t="s">
        <v>22</v>
      </c>
      <c r="F229" s="7">
        <v>43851</v>
      </c>
      <c r="G229" s="18"/>
      <c r="H229" s="16">
        <f t="shared" si="40"/>
        <v>16</v>
      </c>
      <c r="I229" s="16">
        <f t="shared" si="41"/>
        <v>3</v>
      </c>
      <c r="J229" s="122">
        <f t="shared" si="42"/>
        <v>2020</v>
      </c>
      <c r="K229" s="64">
        <f t="shared" si="35"/>
        <v>43966</v>
      </c>
      <c r="L229" s="6"/>
      <c r="M229" s="6"/>
      <c r="O229" s="208">
        <v>43874</v>
      </c>
      <c r="P229" s="209">
        <f t="shared" si="36"/>
        <v>18087.439999999999</v>
      </c>
      <c r="Q229" s="209">
        <f>+SUMIF('A DEPOSITAR'!$D$2:$D$998,(O229-2),'A DEPOSITAR'!$H$2:$H$998)</f>
        <v>12000</v>
      </c>
      <c r="R229" s="210">
        <f t="shared" si="37"/>
        <v>-6087.4399999999987</v>
      </c>
      <c r="S229" s="210">
        <f t="shared" si="39"/>
        <v>1770820.2600000002</v>
      </c>
      <c r="T229" s="209">
        <f t="shared" si="38"/>
        <v>0</v>
      </c>
      <c r="U229" s="209">
        <f>+SUMIFS('A DEPOSITAR'!$H$2:$H$998,'A DEPOSITAR'!$D$2:$D$998,(O229-2),'A DEPOSITAR'!$I$2:$I$998,"A Depositar")</f>
        <v>0</v>
      </c>
      <c r="V229" s="6"/>
      <c r="W229" s="6"/>
      <c r="X229" s="6"/>
      <c r="Y229" s="6"/>
      <c r="Z229" s="6"/>
    </row>
    <row r="230" spans="1:26" ht="12.75" x14ac:dyDescent="0.2">
      <c r="A230" s="31">
        <v>43912</v>
      </c>
      <c r="B230" s="29" t="s">
        <v>139</v>
      </c>
      <c r="C230" s="29">
        <v>75613214</v>
      </c>
      <c r="D230" s="30">
        <v>14002</v>
      </c>
      <c r="E230" s="29" t="s">
        <v>22</v>
      </c>
      <c r="F230" s="7">
        <v>43851</v>
      </c>
      <c r="G230" s="18"/>
      <c r="H230" s="16">
        <f t="shared" si="40"/>
        <v>22</v>
      </c>
      <c r="I230" s="16">
        <f t="shared" si="41"/>
        <v>3</v>
      </c>
      <c r="J230" s="122">
        <f t="shared" si="42"/>
        <v>2020</v>
      </c>
      <c r="K230" s="64">
        <f t="shared" si="35"/>
        <v>43972</v>
      </c>
      <c r="L230" s="6"/>
      <c r="M230" s="6"/>
      <c r="O230" s="208">
        <v>43875</v>
      </c>
      <c r="P230" s="209">
        <f t="shared" si="36"/>
        <v>0</v>
      </c>
      <c r="Q230" s="209">
        <f>+SUMIF('A DEPOSITAR'!$D$2:$D$998,(O230-2),'A DEPOSITAR'!$H$2:$H$998)</f>
        <v>46244.99</v>
      </c>
      <c r="R230" s="210">
        <f t="shared" si="37"/>
        <v>46244.99</v>
      </c>
      <c r="S230" s="210">
        <f t="shared" si="39"/>
        <v>1817065.2500000002</v>
      </c>
      <c r="T230" s="209">
        <f t="shared" si="38"/>
        <v>0</v>
      </c>
      <c r="U230" s="209">
        <f>+SUMIFS('A DEPOSITAR'!$H$2:$H$998,'A DEPOSITAR'!$D$2:$D$998,(O230-2),'A DEPOSITAR'!$I$2:$I$998,"A Depositar")</f>
        <v>0</v>
      </c>
      <c r="V230" s="6"/>
      <c r="W230" s="6"/>
      <c r="X230" s="6"/>
      <c r="Y230" s="6"/>
      <c r="Z230" s="6"/>
    </row>
    <row r="231" spans="1:26" ht="12.75" x14ac:dyDescent="0.2">
      <c r="A231" s="31">
        <v>43920</v>
      </c>
      <c r="B231" s="29" t="s">
        <v>139</v>
      </c>
      <c r="C231" s="29">
        <v>75613215</v>
      </c>
      <c r="D231" s="30">
        <v>14200</v>
      </c>
      <c r="E231" s="29" t="s">
        <v>22</v>
      </c>
      <c r="F231" s="7">
        <v>43851</v>
      </c>
      <c r="G231" s="18"/>
      <c r="H231" s="16">
        <f t="shared" si="40"/>
        <v>30</v>
      </c>
      <c r="I231" s="16">
        <f t="shared" si="41"/>
        <v>3</v>
      </c>
      <c r="J231" s="122">
        <f t="shared" si="42"/>
        <v>2020</v>
      </c>
      <c r="K231" s="64">
        <f t="shared" si="35"/>
        <v>43980</v>
      </c>
      <c r="L231" s="6"/>
      <c r="M231" s="6"/>
      <c r="O231" s="208">
        <v>43876</v>
      </c>
      <c r="P231" s="209">
        <f t="shared" si="36"/>
        <v>0</v>
      </c>
      <c r="Q231" s="209">
        <f>+SUMIF('A DEPOSITAR'!$D$2:$D$998,(O231-2),'A DEPOSITAR'!$H$2:$H$998)</f>
        <v>38440</v>
      </c>
      <c r="R231" s="210">
        <f t="shared" si="37"/>
        <v>38440</v>
      </c>
      <c r="S231" s="210">
        <f t="shared" si="39"/>
        <v>1855505.2500000002</v>
      </c>
      <c r="T231" s="209">
        <f t="shared" si="38"/>
        <v>0</v>
      </c>
      <c r="U231" s="209">
        <f>+SUMIFS('A DEPOSITAR'!$H$2:$H$998,'A DEPOSITAR'!$D$2:$D$998,(O231-2),'A DEPOSITAR'!$I$2:$I$998,"A Depositar")</f>
        <v>0</v>
      </c>
      <c r="V231" s="6"/>
      <c r="W231" s="6"/>
      <c r="X231" s="6"/>
      <c r="Y231" s="6"/>
      <c r="Z231" s="6"/>
    </row>
    <row r="232" spans="1:26" ht="12.75" x14ac:dyDescent="0.2">
      <c r="A232" s="31">
        <v>43929</v>
      </c>
      <c r="B232" s="29" t="s">
        <v>139</v>
      </c>
      <c r="C232" s="29">
        <v>75613216</v>
      </c>
      <c r="D232" s="30">
        <v>14700</v>
      </c>
      <c r="E232" s="29" t="s">
        <v>22</v>
      </c>
      <c r="F232" s="7">
        <v>43851</v>
      </c>
      <c r="G232" s="18"/>
      <c r="H232" s="16">
        <f t="shared" si="40"/>
        <v>8</v>
      </c>
      <c r="I232" s="16">
        <f t="shared" si="41"/>
        <v>4</v>
      </c>
      <c r="J232" s="122">
        <f t="shared" si="42"/>
        <v>2020</v>
      </c>
      <c r="K232" s="64">
        <f t="shared" si="35"/>
        <v>43989</v>
      </c>
      <c r="L232" s="6"/>
      <c r="M232" s="6"/>
      <c r="O232" s="208">
        <v>43877</v>
      </c>
      <c r="P232" s="209">
        <f t="shared" si="36"/>
        <v>53359.42</v>
      </c>
      <c r="Q232" s="209">
        <f>+SUMIF('A DEPOSITAR'!$D$2:$D$998,(O232-2),'A DEPOSITAR'!$H$2:$H$998)</f>
        <v>25000</v>
      </c>
      <c r="R232" s="210">
        <f t="shared" si="37"/>
        <v>-28359.42</v>
      </c>
      <c r="S232" s="210">
        <f t="shared" si="39"/>
        <v>1827145.8300000003</v>
      </c>
      <c r="T232" s="209">
        <f t="shared" si="38"/>
        <v>0</v>
      </c>
      <c r="U232" s="209">
        <f>+SUMIFS('A DEPOSITAR'!$H$2:$H$998,'A DEPOSITAR'!$D$2:$D$998,(O232-2),'A DEPOSITAR'!$I$2:$I$998,"A Depositar")</f>
        <v>0</v>
      </c>
      <c r="V232" s="6"/>
      <c r="W232" s="6"/>
      <c r="X232" s="6"/>
      <c r="Y232" s="6"/>
      <c r="Z232" s="6"/>
    </row>
    <row r="233" spans="1:26" s="182" customFormat="1" ht="12.75" x14ac:dyDescent="0.2">
      <c r="A233" s="36">
        <v>43937</v>
      </c>
      <c r="B233" s="29" t="s">
        <v>139</v>
      </c>
      <c r="C233" s="29">
        <v>75613217</v>
      </c>
      <c r="D233" s="50">
        <v>15200</v>
      </c>
      <c r="E233" s="29" t="s">
        <v>22</v>
      </c>
      <c r="F233" s="34">
        <v>43851</v>
      </c>
      <c r="G233" s="29"/>
      <c r="H233" s="49">
        <f t="shared" si="40"/>
        <v>16</v>
      </c>
      <c r="I233" s="49">
        <f t="shared" si="41"/>
        <v>4</v>
      </c>
      <c r="J233" s="122">
        <f t="shared" si="42"/>
        <v>2020</v>
      </c>
      <c r="K233" s="64">
        <f t="shared" si="35"/>
        <v>43997</v>
      </c>
      <c r="L233" s="10"/>
      <c r="M233" s="10"/>
      <c r="N233" s="197"/>
      <c r="O233" s="208">
        <v>43878</v>
      </c>
      <c r="P233" s="209">
        <f t="shared" si="36"/>
        <v>0</v>
      </c>
      <c r="Q233" s="209">
        <f>+SUMIF('A DEPOSITAR'!$D$2:$D$998,(O233-2),'A DEPOSITAR'!$H$2:$H$998)</f>
        <v>72174</v>
      </c>
      <c r="R233" s="210">
        <f t="shared" si="37"/>
        <v>72174</v>
      </c>
      <c r="S233" s="210">
        <f t="shared" si="39"/>
        <v>1899319.8300000003</v>
      </c>
      <c r="T233" s="209">
        <f t="shared" si="38"/>
        <v>0</v>
      </c>
      <c r="U233" s="209">
        <f>+SUMIFS('A DEPOSITAR'!$H$2:$H$998,'A DEPOSITAR'!$D$2:$D$998,(O233-2),'A DEPOSITAR'!$I$2:$I$998,"A Depositar")</f>
        <v>0</v>
      </c>
      <c r="V233" s="10"/>
      <c r="W233" s="10"/>
      <c r="X233" s="10"/>
      <c r="Y233" s="10"/>
      <c r="Z233" s="10"/>
    </row>
    <row r="234" spans="1:26" s="182" customFormat="1" ht="12.75" x14ac:dyDescent="0.2">
      <c r="A234" s="36">
        <v>43943</v>
      </c>
      <c r="B234" s="29" t="s">
        <v>139</v>
      </c>
      <c r="C234" s="29">
        <v>75613218</v>
      </c>
      <c r="D234" s="50">
        <v>15700</v>
      </c>
      <c r="E234" s="29" t="s">
        <v>22</v>
      </c>
      <c r="F234" s="34">
        <v>43851</v>
      </c>
      <c r="G234" s="29"/>
      <c r="H234" s="49">
        <f t="shared" si="40"/>
        <v>22</v>
      </c>
      <c r="I234" s="49">
        <f t="shared" si="41"/>
        <v>4</v>
      </c>
      <c r="J234" s="122">
        <f t="shared" si="42"/>
        <v>2020</v>
      </c>
      <c r="K234" s="64">
        <f t="shared" si="35"/>
        <v>44003</v>
      </c>
      <c r="L234" s="10"/>
      <c r="M234" s="10"/>
      <c r="N234" s="197"/>
      <c r="O234" s="208">
        <v>43879</v>
      </c>
      <c r="P234" s="209">
        <f t="shared" si="36"/>
        <v>0</v>
      </c>
      <c r="Q234" s="209">
        <f>+SUMIF('A DEPOSITAR'!$D$2:$D$998,(O234-2),'A DEPOSITAR'!$H$2:$H$998)</f>
        <v>39000</v>
      </c>
      <c r="R234" s="210">
        <f t="shared" si="37"/>
        <v>39000</v>
      </c>
      <c r="S234" s="210">
        <f t="shared" si="39"/>
        <v>1938319.8300000003</v>
      </c>
      <c r="T234" s="209">
        <f t="shared" si="38"/>
        <v>0</v>
      </c>
      <c r="U234" s="209">
        <f>+SUMIFS('A DEPOSITAR'!$H$2:$H$998,'A DEPOSITAR'!$D$2:$D$998,(O234-2),'A DEPOSITAR'!$I$2:$I$998,"A Depositar")</f>
        <v>0</v>
      </c>
      <c r="V234" s="10"/>
      <c r="W234" s="10"/>
      <c r="X234" s="10"/>
      <c r="Y234" s="10"/>
      <c r="Z234" s="10"/>
    </row>
    <row r="235" spans="1:26" s="182" customFormat="1" ht="12.75" x14ac:dyDescent="0.2">
      <c r="A235" s="36">
        <v>43951</v>
      </c>
      <c r="B235" s="29" t="s">
        <v>139</v>
      </c>
      <c r="C235" s="29">
        <v>75613219</v>
      </c>
      <c r="D235" s="50">
        <v>16200</v>
      </c>
      <c r="E235" s="29" t="s">
        <v>22</v>
      </c>
      <c r="F235" s="34">
        <v>43851</v>
      </c>
      <c r="G235" s="29"/>
      <c r="H235" s="49">
        <f t="shared" si="40"/>
        <v>30</v>
      </c>
      <c r="I235" s="49">
        <f t="shared" si="41"/>
        <v>4</v>
      </c>
      <c r="J235" s="122">
        <f t="shared" si="42"/>
        <v>2020</v>
      </c>
      <c r="K235" s="64">
        <f t="shared" si="35"/>
        <v>44011</v>
      </c>
      <c r="L235" s="10"/>
      <c r="M235" s="10"/>
      <c r="N235" s="197"/>
      <c r="O235" s="208">
        <v>43880</v>
      </c>
      <c r="P235" s="209">
        <f t="shared" si="36"/>
        <v>19000</v>
      </c>
      <c r="Q235" s="209">
        <f>+SUMIF('A DEPOSITAR'!$D$2:$D$998,(O235-2),'A DEPOSITAR'!$H$2:$H$998)</f>
        <v>28494.370000000003</v>
      </c>
      <c r="R235" s="210">
        <f t="shared" si="37"/>
        <v>9494.3700000000026</v>
      </c>
      <c r="S235" s="210">
        <f t="shared" si="39"/>
        <v>1947814.2000000004</v>
      </c>
      <c r="T235" s="209">
        <f t="shared" si="38"/>
        <v>0</v>
      </c>
      <c r="U235" s="209">
        <f>+SUMIFS('A DEPOSITAR'!$H$2:$H$998,'A DEPOSITAR'!$D$2:$D$998,(O235-2),'A DEPOSITAR'!$I$2:$I$998,"A Depositar")</f>
        <v>0</v>
      </c>
      <c r="V235" s="10"/>
      <c r="W235" s="10"/>
      <c r="X235" s="10"/>
      <c r="Y235" s="10"/>
      <c r="Z235" s="10"/>
    </row>
    <row r="236" spans="1:26" s="182" customFormat="1" ht="12.75" x14ac:dyDescent="0.2">
      <c r="A236" s="36">
        <v>43851</v>
      </c>
      <c r="B236" s="29" t="s">
        <v>122</v>
      </c>
      <c r="C236" s="29">
        <v>75613220</v>
      </c>
      <c r="D236" s="50">
        <v>10000</v>
      </c>
      <c r="E236" s="29" t="s">
        <v>22</v>
      </c>
      <c r="F236" s="34">
        <v>43851</v>
      </c>
      <c r="G236" s="29"/>
      <c r="H236" s="49">
        <f t="shared" si="40"/>
        <v>21</v>
      </c>
      <c r="I236" s="49">
        <f t="shared" si="41"/>
        <v>1</v>
      </c>
      <c r="J236" s="122">
        <f t="shared" si="42"/>
        <v>2020</v>
      </c>
      <c r="K236" s="64">
        <f t="shared" si="35"/>
        <v>43911</v>
      </c>
      <c r="L236" s="10"/>
      <c r="M236" s="10"/>
      <c r="N236" s="197"/>
      <c r="O236" s="208">
        <v>43881</v>
      </c>
      <c r="P236" s="209">
        <f t="shared" si="36"/>
        <v>15000</v>
      </c>
      <c r="Q236" s="209">
        <f>+SUMIF('A DEPOSITAR'!$D$2:$D$998,(O236-2),'A DEPOSITAR'!$H$2:$H$998)</f>
        <v>12017.4</v>
      </c>
      <c r="R236" s="210">
        <f t="shared" si="37"/>
        <v>-2982.6000000000004</v>
      </c>
      <c r="S236" s="210">
        <f t="shared" si="39"/>
        <v>1944831.6000000003</v>
      </c>
      <c r="T236" s="209">
        <f t="shared" si="38"/>
        <v>0</v>
      </c>
      <c r="U236" s="209">
        <f>+SUMIFS('A DEPOSITAR'!$H$2:$H$998,'A DEPOSITAR'!$D$2:$D$998,(O236-2),'A DEPOSITAR'!$I$2:$I$998,"A Depositar")</f>
        <v>0</v>
      </c>
      <c r="V236" s="10"/>
      <c r="W236" s="10"/>
      <c r="X236" s="10"/>
      <c r="Y236" s="10"/>
      <c r="Z236" s="10"/>
    </row>
    <row r="237" spans="1:26" s="182" customFormat="1" ht="12.75" x14ac:dyDescent="0.2">
      <c r="A237" s="36">
        <v>43877</v>
      </c>
      <c r="B237" s="29" t="s">
        <v>244</v>
      </c>
      <c r="C237" s="29">
        <v>75613221</v>
      </c>
      <c r="D237" s="50">
        <v>12000</v>
      </c>
      <c r="E237" s="29" t="s">
        <v>22</v>
      </c>
      <c r="F237" s="34">
        <v>43851</v>
      </c>
      <c r="G237" s="29"/>
      <c r="H237" s="49">
        <f t="shared" si="40"/>
        <v>16</v>
      </c>
      <c r="I237" s="49">
        <f t="shared" si="41"/>
        <v>2</v>
      </c>
      <c r="J237" s="122">
        <f t="shared" si="42"/>
        <v>2020</v>
      </c>
      <c r="K237" s="64">
        <f t="shared" si="35"/>
        <v>43937</v>
      </c>
      <c r="L237" s="10"/>
      <c r="M237" s="10"/>
      <c r="N237" s="197"/>
      <c r="O237" s="208">
        <v>43882</v>
      </c>
      <c r="P237" s="209">
        <f t="shared" si="36"/>
        <v>0</v>
      </c>
      <c r="Q237" s="209">
        <f>+SUMIF('A DEPOSITAR'!$D$2:$D$998,(O237-2),'A DEPOSITAR'!$H$2:$H$998)</f>
        <v>0</v>
      </c>
      <c r="R237" s="210">
        <f t="shared" si="37"/>
        <v>0</v>
      </c>
      <c r="S237" s="210">
        <f t="shared" si="39"/>
        <v>1944831.6000000003</v>
      </c>
      <c r="T237" s="209">
        <f t="shared" si="38"/>
        <v>0</v>
      </c>
      <c r="U237" s="209">
        <f>+SUMIFS('A DEPOSITAR'!$H$2:$H$998,'A DEPOSITAR'!$D$2:$D$998,(O237-2),'A DEPOSITAR'!$I$2:$I$998,"A Depositar")</f>
        <v>0</v>
      </c>
      <c r="V237" s="10"/>
      <c r="W237" s="10"/>
      <c r="X237" s="10"/>
      <c r="Y237" s="10"/>
      <c r="Z237" s="10"/>
    </row>
    <row r="238" spans="1:26" s="182" customFormat="1" ht="12.75" x14ac:dyDescent="0.2">
      <c r="A238" s="36">
        <v>43880</v>
      </c>
      <c r="B238" s="29" t="s">
        <v>244</v>
      </c>
      <c r="C238" s="29">
        <v>75613222</v>
      </c>
      <c r="D238" s="50">
        <v>13000</v>
      </c>
      <c r="E238" s="29" t="s">
        <v>22</v>
      </c>
      <c r="F238" s="34">
        <v>43851</v>
      </c>
      <c r="G238" s="29"/>
      <c r="H238" s="49">
        <f t="shared" si="40"/>
        <v>19</v>
      </c>
      <c r="I238" s="49">
        <f t="shared" si="41"/>
        <v>2</v>
      </c>
      <c r="J238" s="122">
        <f t="shared" si="42"/>
        <v>2020</v>
      </c>
      <c r="K238" s="64">
        <f t="shared" si="35"/>
        <v>43940</v>
      </c>
      <c r="L238" s="10"/>
      <c r="M238" s="10"/>
      <c r="N238" s="197"/>
      <c r="O238" s="208">
        <v>43883</v>
      </c>
      <c r="P238" s="209">
        <f t="shared" si="36"/>
        <v>38650</v>
      </c>
      <c r="Q238" s="209">
        <f>+SUMIF('A DEPOSITAR'!$D$2:$D$998,(O238-2),'A DEPOSITAR'!$H$2:$H$998)</f>
        <v>35180</v>
      </c>
      <c r="R238" s="210">
        <f t="shared" si="37"/>
        <v>-3470</v>
      </c>
      <c r="S238" s="210">
        <f t="shared" si="39"/>
        <v>1941361.6000000003</v>
      </c>
      <c r="T238" s="209">
        <f t="shared" si="38"/>
        <v>0</v>
      </c>
      <c r="U238" s="209">
        <f>+SUMIFS('A DEPOSITAR'!$H$2:$H$998,'A DEPOSITAR'!$D$2:$D$998,(O238-2),'A DEPOSITAR'!$I$2:$I$998,"A Depositar")</f>
        <v>0</v>
      </c>
      <c r="V238" s="10"/>
      <c r="W238" s="10"/>
      <c r="X238" s="10"/>
      <c r="Y238" s="10"/>
      <c r="Z238" s="10"/>
    </row>
    <row r="239" spans="1:26" ht="12.75" x14ac:dyDescent="0.2">
      <c r="A239" s="31">
        <v>43869</v>
      </c>
      <c r="B239" s="29" t="s">
        <v>244</v>
      </c>
      <c r="C239" s="29">
        <v>75613223</v>
      </c>
      <c r="D239" s="30">
        <v>11000</v>
      </c>
      <c r="E239" s="29" t="s">
        <v>22</v>
      </c>
      <c r="F239" s="7">
        <v>43851</v>
      </c>
      <c r="G239" s="18"/>
      <c r="H239" s="16">
        <f t="shared" si="40"/>
        <v>8</v>
      </c>
      <c r="I239" s="16">
        <f t="shared" si="41"/>
        <v>2</v>
      </c>
      <c r="J239" s="122">
        <f t="shared" si="42"/>
        <v>2020</v>
      </c>
      <c r="K239" s="64">
        <f t="shared" si="35"/>
        <v>43929</v>
      </c>
      <c r="L239" s="6"/>
      <c r="M239" s="6"/>
      <c r="O239" s="208">
        <v>43884</v>
      </c>
      <c r="P239" s="209">
        <f t="shared" si="36"/>
        <v>19248.849999999999</v>
      </c>
      <c r="Q239" s="209">
        <f>+SUMIF('A DEPOSITAR'!$D$2:$D$998,(O239-2),'A DEPOSITAR'!$H$2:$H$998)</f>
        <v>3550</v>
      </c>
      <c r="R239" s="210">
        <f t="shared" si="37"/>
        <v>-15698.849999999999</v>
      </c>
      <c r="S239" s="210">
        <f t="shared" si="39"/>
        <v>1925662.7500000002</v>
      </c>
      <c r="T239" s="209">
        <f t="shared" si="38"/>
        <v>0</v>
      </c>
      <c r="U239" s="209">
        <f>+SUMIFS('A DEPOSITAR'!$H$2:$H$998,'A DEPOSITAR'!$D$2:$D$998,(O239-2),'A DEPOSITAR'!$I$2:$I$998,"A Depositar")</f>
        <v>0</v>
      </c>
      <c r="V239" s="6"/>
      <c r="W239" s="6"/>
      <c r="X239" s="6"/>
      <c r="Y239" s="6"/>
      <c r="Z239" s="6"/>
    </row>
    <row r="240" spans="1:26" ht="12.75" x14ac:dyDescent="0.2">
      <c r="A240" s="31">
        <v>43853</v>
      </c>
      <c r="B240" s="29" t="s">
        <v>122</v>
      </c>
      <c r="C240" s="29">
        <v>75613224</v>
      </c>
      <c r="D240" s="30">
        <v>10000</v>
      </c>
      <c r="E240" s="29" t="s">
        <v>22</v>
      </c>
      <c r="F240" s="7">
        <v>43851</v>
      </c>
      <c r="G240" s="18"/>
      <c r="H240" s="16">
        <f t="shared" si="40"/>
        <v>23</v>
      </c>
      <c r="I240" s="16">
        <f t="shared" si="41"/>
        <v>1</v>
      </c>
      <c r="J240" s="122">
        <f t="shared" si="42"/>
        <v>2020</v>
      </c>
      <c r="K240" s="64">
        <f t="shared" si="35"/>
        <v>43913</v>
      </c>
      <c r="L240" s="6"/>
      <c r="M240" s="6"/>
      <c r="O240" s="208">
        <v>43885</v>
      </c>
      <c r="P240" s="209">
        <f t="shared" si="36"/>
        <v>0</v>
      </c>
      <c r="Q240" s="209">
        <f>+SUMIF('A DEPOSITAR'!$D$2:$D$998,(O240-2),'A DEPOSITAR'!$H$2:$H$998)</f>
        <v>0</v>
      </c>
      <c r="R240" s="210">
        <f t="shared" si="37"/>
        <v>0</v>
      </c>
      <c r="S240" s="210">
        <f t="shared" si="39"/>
        <v>1925662.7500000002</v>
      </c>
      <c r="T240" s="209">
        <f t="shared" si="38"/>
        <v>0</v>
      </c>
      <c r="U240" s="209">
        <f>+SUMIFS('A DEPOSITAR'!$H$2:$H$998,'A DEPOSITAR'!$D$2:$D$998,(O240-2),'A DEPOSITAR'!$I$2:$I$998,"A Depositar")</f>
        <v>0</v>
      </c>
      <c r="V240" s="6"/>
      <c r="W240" s="6"/>
      <c r="X240" s="6"/>
      <c r="Y240" s="6"/>
      <c r="Z240" s="6"/>
    </row>
    <row r="241" spans="1:26" ht="12.75" x14ac:dyDescent="0.2">
      <c r="A241" s="31">
        <v>43871</v>
      </c>
      <c r="B241" s="29" t="s">
        <v>354</v>
      </c>
      <c r="C241" s="29">
        <v>75613225</v>
      </c>
      <c r="D241" s="30">
        <v>5388.11</v>
      </c>
      <c r="E241" s="29" t="s">
        <v>22</v>
      </c>
      <c r="F241" s="7">
        <v>43854</v>
      </c>
      <c r="G241" s="18"/>
      <c r="H241" s="16">
        <f t="shared" si="40"/>
        <v>10</v>
      </c>
      <c r="I241" s="16">
        <f t="shared" si="41"/>
        <v>2</v>
      </c>
      <c r="J241" s="122">
        <f t="shared" si="42"/>
        <v>2020</v>
      </c>
      <c r="K241" s="64">
        <f t="shared" si="35"/>
        <v>43931</v>
      </c>
      <c r="L241" s="6"/>
      <c r="M241" s="6"/>
      <c r="O241" s="208">
        <v>43886</v>
      </c>
      <c r="P241" s="209">
        <f t="shared" si="36"/>
        <v>0</v>
      </c>
      <c r="Q241" s="209">
        <f>+SUMIF('A DEPOSITAR'!$D$2:$D$998,(O241-2),'A DEPOSITAR'!$H$2:$H$998)</f>
        <v>0</v>
      </c>
      <c r="R241" s="210">
        <f t="shared" si="37"/>
        <v>0</v>
      </c>
      <c r="S241" s="210">
        <f t="shared" si="39"/>
        <v>1925662.7500000002</v>
      </c>
      <c r="T241" s="209">
        <f t="shared" si="38"/>
        <v>0</v>
      </c>
      <c r="U241" s="209">
        <f>+SUMIFS('A DEPOSITAR'!$H$2:$H$998,'A DEPOSITAR'!$D$2:$D$998,(O241-2),'A DEPOSITAR'!$I$2:$I$998,"A Depositar")</f>
        <v>0</v>
      </c>
      <c r="V241" s="6"/>
      <c r="W241" s="6"/>
      <c r="X241" s="6"/>
      <c r="Y241" s="6"/>
      <c r="Z241" s="6"/>
    </row>
    <row r="242" spans="1:26" ht="12.75" x14ac:dyDescent="0.2">
      <c r="A242" s="31">
        <v>43854</v>
      </c>
      <c r="B242" s="29" t="s">
        <v>122</v>
      </c>
      <c r="C242" s="29">
        <v>75613226</v>
      </c>
      <c r="D242" s="30">
        <v>12000</v>
      </c>
      <c r="E242" s="29" t="s">
        <v>22</v>
      </c>
      <c r="F242" s="34">
        <v>43854</v>
      </c>
      <c r="G242" s="18"/>
      <c r="H242" s="16">
        <f t="shared" si="40"/>
        <v>24</v>
      </c>
      <c r="I242" s="16">
        <f t="shared" si="41"/>
        <v>1</v>
      </c>
      <c r="J242" s="122">
        <f t="shared" si="42"/>
        <v>2020</v>
      </c>
      <c r="K242" s="64">
        <f t="shared" si="35"/>
        <v>43914</v>
      </c>
      <c r="L242" s="6"/>
      <c r="M242" s="6"/>
      <c r="O242" s="208">
        <v>43887</v>
      </c>
      <c r="P242" s="209">
        <f t="shared" si="36"/>
        <v>0</v>
      </c>
      <c r="Q242" s="209">
        <f>+SUMIF('A DEPOSITAR'!$D$2:$D$998,(O242-2),'A DEPOSITAR'!$H$2:$H$998)</f>
        <v>0</v>
      </c>
      <c r="R242" s="210">
        <f t="shared" si="37"/>
        <v>0</v>
      </c>
      <c r="S242" s="210">
        <f t="shared" si="39"/>
        <v>1925662.7500000002</v>
      </c>
      <c r="T242" s="209">
        <f t="shared" si="38"/>
        <v>0</v>
      </c>
      <c r="U242" s="209">
        <f>+SUMIFS('A DEPOSITAR'!$H$2:$H$998,'A DEPOSITAR'!$D$2:$D$998,(O242-2),'A DEPOSITAR'!$I$2:$I$998,"A Depositar")</f>
        <v>0</v>
      </c>
      <c r="V242" s="6"/>
      <c r="W242" s="6"/>
      <c r="X242" s="6"/>
      <c r="Y242" s="6"/>
      <c r="Z242" s="6"/>
    </row>
    <row r="243" spans="1:26" ht="12.75" x14ac:dyDescent="0.2">
      <c r="A243" s="31">
        <v>44063</v>
      </c>
      <c r="B243" s="29" t="s">
        <v>359</v>
      </c>
      <c r="C243" s="29">
        <v>75613227</v>
      </c>
      <c r="D243" s="30">
        <v>4981</v>
      </c>
      <c r="E243" s="29" t="s">
        <v>22</v>
      </c>
      <c r="F243" s="7"/>
      <c r="G243" s="18"/>
      <c r="H243" s="16">
        <f t="shared" si="40"/>
        <v>20</v>
      </c>
      <c r="I243" s="16">
        <f t="shared" si="41"/>
        <v>8</v>
      </c>
      <c r="J243" s="122">
        <f t="shared" si="42"/>
        <v>2020</v>
      </c>
      <c r="K243" s="64">
        <f t="shared" si="35"/>
        <v>44123</v>
      </c>
      <c r="L243" s="10"/>
      <c r="M243" s="6"/>
      <c r="O243" s="208">
        <v>43888</v>
      </c>
      <c r="P243" s="209">
        <f t="shared" si="36"/>
        <v>0</v>
      </c>
      <c r="Q243" s="209">
        <f>+SUMIF('A DEPOSITAR'!$D$2:$D$998,(O243-2),'A DEPOSITAR'!$H$2:$H$998)</f>
        <v>0</v>
      </c>
      <c r="R243" s="210">
        <f t="shared" si="37"/>
        <v>0</v>
      </c>
      <c r="S243" s="210">
        <f t="shared" si="39"/>
        <v>1925662.7500000002</v>
      </c>
      <c r="T243" s="209">
        <f t="shared" si="38"/>
        <v>0</v>
      </c>
      <c r="U243" s="209">
        <f>+SUMIFS('A DEPOSITAR'!$H$2:$H$998,'A DEPOSITAR'!$D$2:$D$998,(O243-2),'A DEPOSITAR'!$I$2:$I$998,"A Depositar")</f>
        <v>0</v>
      </c>
      <c r="V243" s="6"/>
      <c r="W243" s="6"/>
      <c r="X243" s="6"/>
      <c r="Y243" s="6"/>
      <c r="Z243" s="6"/>
    </row>
    <row r="244" spans="1:26" ht="12.75" x14ac:dyDescent="0.2">
      <c r="A244" s="31">
        <v>43869</v>
      </c>
      <c r="B244" s="29" t="s">
        <v>360</v>
      </c>
      <c r="C244" s="29">
        <v>75613228</v>
      </c>
      <c r="D244" s="30">
        <v>12000</v>
      </c>
      <c r="E244" s="29" t="s">
        <v>22</v>
      </c>
      <c r="F244" s="7">
        <v>43859</v>
      </c>
      <c r="G244" s="18"/>
      <c r="H244" s="16">
        <f t="shared" si="40"/>
        <v>8</v>
      </c>
      <c r="I244" s="16">
        <f t="shared" si="41"/>
        <v>2</v>
      </c>
      <c r="J244" s="122">
        <f t="shared" si="42"/>
        <v>2020</v>
      </c>
      <c r="K244" s="64">
        <f t="shared" si="35"/>
        <v>43929</v>
      </c>
      <c r="L244" s="6"/>
      <c r="M244" s="6"/>
      <c r="O244" s="208">
        <v>43889</v>
      </c>
      <c r="P244" s="209">
        <f t="shared" si="36"/>
        <v>0</v>
      </c>
      <c r="Q244" s="209">
        <f>+SUMIF('A DEPOSITAR'!$D$2:$D$998,(O244-2),'A DEPOSITAR'!$H$2:$H$998)</f>
        <v>0</v>
      </c>
      <c r="R244" s="210">
        <f t="shared" si="37"/>
        <v>0</v>
      </c>
      <c r="S244" s="210">
        <f t="shared" si="39"/>
        <v>1925662.7500000002</v>
      </c>
      <c r="T244" s="209">
        <f t="shared" si="38"/>
        <v>0</v>
      </c>
      <c r="U244" s="209">
        <f>+SUMIFS('A DEPOSITAR'!$H$2:$H$998,'A DEPOSITAR'!$D$2:$D$998,(O244-2),'A DEPOSITAR'!$I$2:$I$998,"A Depositar")</f>
        <v>0</v>
      </c>
      <c r="V244" s="6"/>
      <c r="W244" s="6"/>
      <c r="X244" s="6"/>
      <c r="Y244" s="6"/>
      <c r="Z244" s="6"/>
    </row>
    <row r="245" spans="1:26" ht="12.75" x14ac:dyDescent="0.2">
      <c r="A245" s="31">
        <v>43877</v>
      </c>
      <c r="B245" s="29" t="s">
        <v>360</v>
      </c>
      <c r="C245" s="29">
        <v>75613229</v>
      </c>
      <c r="D245" s="30">
        <v>12500</v>
      </c>
      <c r="E245" s="29" t="s">
        <v>22</v>
      </c>
      <c r="F245" s="7">
        <v>43859</v>
      </c>
      <c r="G245" s="18"/>
      <c r="H245" s="16">
        <f t="shared" si="40"/>
        <v>16</v>
      </c>
      <c r="I245" s="16">
        <f t="shared" si="41"/>
        <v>2</v>
      </c>
      <c r="J245" s="122">
        <f t="shared" si="42"/>
        <v>2020</v>
      </c>
      <c r="K245" s="64">
        <f t="shared" si="35"/>
        <v>43937</v>
      </c>
      <c r="L245" s="6"/>
      <c r="M245" s="6"/>
      <c r="O245" s="208">
        <v>43890</v>
      </c>
      <c r="P245" s="209">
        <f t="shared" si="36"/>
        <v>74538.53</v>
      </c>
      <c r="Q245" s="209">
        <f>+SUMIF('A DEPOSITAR'!$D$2:$D$998,(O245-2),'A DEPOSITAR'!$H$2:$H$998)</f>
        <v>0</v>
      </c>
      <c r="R245" s="210">
        <f t="shared" si="37"/>
        <v>-74538.53</v>
      </c>
      <c r="S245" s="210">
        <f t="shared" si="39"/>
        <v>1851124.2200000002</v>
      </c>
      <c r="T245" s="209">
        <f t="shared" si="38"/>
        <v>0</v>
      </c>
      <c r="U245" s="209">
        <f>+SUMIFS('A DEPOSITAR'!$H$2:$H$998,'A DEPOSITAR'!$D$2:$D$998,(O245-2),'A DEPOSITAR'!$I$2:$I$998,"A Depositar")</f>
        <v>0</v>
      </c>
      <c r="V245" s="6"/>
      <c r="W245" s="6"/>
      <c r="X245" s="6"/>
      <c r="Y245" s="6"/>
      <c r="Z245" s="6"/>
    </row>
    <row r="246" spans="1:26" ht="12.75" x14ac:dyDescent="0.2">
      <c r="A246" s="31">
        <v>43883</v>
      </c>
      <c r="B246" s="29" t="s">
        <v>360</v>
      </c>
      <c r="C246" s="29">
        <v>75613230</v>
      </c>
      <c r="D246" s="30">
        <v>13000</v>
      </c>
      <c r="E246" s="29" t="s">
        <v>22</v>
      </c>
      <c r="F246" s="7">
        <v>43859</v>
      </c>
      <c r="G246" s="18"/>
      <c r="H246" s="16">
        <f t="shared" si="40"/>
        <v>22</v>
      </c>
      <c r="I246" s="16">
        <f t="shared" si="41"/>
        <v>2</v>
      </c>
      <c r="J246" s="122">
        <f t="shared" si="42"/>
        <v>2020</v>
      </c>
      <c r="K246" s="64">
        <f t="shared" si="35"/>
        <v>43943</v>
      </c>
      <c r="L246" s="6"/>
      <c r="M246" s="6"/>
      <c r="O246" s="208">
        <v>43891</v>
      </c>
      <c r="P246" s="209">
        <f t="shared" si="36"/>
        <v>0</v>
      </c>
      <c r="Q246" s="209">
        <f>+SUMIF('A DEPOSITAR'!$D$2:$D$998,(O246-2),'A DEPOSITAR'!$H$2:$H$998)</f>
        <v>55864</v>
      </c>
      <c r="R246" s="210">
        <f t="shared" si="37"/>
        <v>55864</v>
      </c>
      <c r="S246" s="210">
        <f t="shared" si="39"/>
        <v>1906988.2200000002</v>
      </c>
      <c r="T246" s="209">
        <f t="shared" si="38"/>
        <v>0</v>
      </c>
      <c r="U246" s="209">
        <f>+SUMIFS('A DEPOSITAR'!$H$2:$H$998,'A DEPOSITAR'!$D$2:$D$998,(O246-2),'A DEPOSITAR'!$I$2:$I$998,"A Depositar")</f>
        <v>0</v>
      </c>
      <c r="V246" s="6"/>
      <c r="W246" s="6"/>
      <c r="X246" s="6"/>
      <c r="Y246" s="6"/>
      <c r="Z246" s="6"/>
    </row>
    <row r="247" spans="1:26" ht="12.75" x14ac:dyDescent="0.2">
      <c r="A247" s="31">
        <v>43890</v>
      </c>
      <c r="B247" s="29" t="s">
        <v>360</v>
      </c>
      <c r="C247" s="29">
        <v>75613231</v>
      </c>
      <c r="D247" s="30">
        <v>14000</v>
      </c>
      <c r="E247" s="29" t="s">
        <v>22</v>
      </c>
      <c r="F247" s="7">
        <v>43859</v>
      </c>
      <c r="G247" s="18"/>
      <c r="H247" s="16">
        <f t="shared" si="40"/>
        <v>29</v>
      </c>
      <c r="I247" s="16">
        <f t="shared" si="41"/>
        <v>2</v>
      </c>
      <c r="J247" s="122">
        <f t="shared" si="42"/>
        <v>2020</v>
      </c>
      <c r="K247" s="64">
        <f t="shared" si="35"/>
        <v>43950</v>
      </c>
      <c r="L247" s="6"/>
      <c r="M247" s="6"/>
      <c r="O247" s="208">
        <v>43892</v>
      </c>
      <c r="P247" s="209">
        <f t="shared" si="36"/>
        <v>0</v>
      </c>
      <c r="Q247" s="209">
        <f>+SUMIF('A DEPOSITAR'!$D$2:$D$998,(O247-2),'A DEPOSITAR'!$H$2:$H$998)</f>
        <v>71947</v>
      </c>
      <c r="R247" s="210">
        <f t="shared" si="37"/>
        <v>71947</v>
      </c>
      <c r="S247" s="210">
        <f t="shared" si="39"/>
        <v>1978935.2200000002</v>
      </c>
      <c r="T247" s="209">
        <f t="shared" si="38"/>
        <v>0</v>
      </c>
      <c r="U247" s="209">
        <f>+SUMIFS('A DEPOSITAR'!$H$2:$H$998,'A DEPOSITAR'!$D$2:$D$998,(O247-2),'A DEPOSITAR'!$I$2:$I$998,"A Depositar")</f>
        <v>0</v>
      </c>
      <c r="V247" s="6"/>
      <c r="W247" s="6"/>
      <c r="X247" s="6"/>
      <c r="Y247" s="6"/>
      <c r="Z247" s="6"/>
    </row>
    <row r="248" spans="1:26" ht="12.75" x14ac:dyDescent="0.2">
      <c r="A248" s="31">
        <v>43898</v>
      </c>
      <c r="B248" s="29" t="s">
        <v>360</v>
      </c>
      <c r="C248" s="29">
        <v>75613232</v>
      </c>
      <c r="D248" s="30">
        <v>12000</v>
      </c>
      <c r="E248" s="29" t="s">
        <v>22</v>
      </c>
      <c r="F248" s="7">
        <v>43859</v>
      </c>
      <c r="G248" s="18"/>
      <c r="H248" s="16">
        <f t="shared" si="40"/>
        <v>8</v>
      </c>
      <c r="I248" s="16">
        <f t="shared" si="41"/>
        <v>3</v>
      </c>
      <c r="J248" s="122">
        <f t="shared" si="42"/>
        <v>2020</v>
      </c>
      <c r="K248" s="64">
        <f t="shared" si="35"/>
        <v>43958</v>
      </c>
      <c r="L248" s="6"/>
      <c r="M248" s="6"/>
      <c r="O248" s="208">
        <v>43893</v>
      </c>
      <c r="P248" s="209">
        <f t="shared" si="36"/>
        <v>0</v>
      </c>
      <c r="Q248" s="209">
        <f>+SUMIF('A DEPOSITAR'!$D$2:$D$998,(O248-2),'A DEPOSITAR'!$H$2:$H$998)</f>
        <v>0</v>
      </c>
      <c r="R248" s="210">
        <f t="shared" si="37"/>
        <v>0</v>
      </c>
      <c r="S248" s="210">
        <f t="shared" si="39"/>
        <v>1978935.2200000002</v>
      </c>
      <c r="T248" s="209">
        <f t="shared" si="38"/>
        <v>0</v>
      </c>
      <c r="U248" s="209">
        <f>+SUMIFS('A DEPOSITAR'!$H$2:$H$998,'A DEPOSITAR'!$D$2:$D$998,(O248-2),'A DEPOSITAR'!$I$2:$I$998,"A Depositar")</f>
        <v>0</v>
      </c>
      <c r="V248" s="6"/>
      <c r="W248" s="6"/>
      <c r="X248" s="6"/>
      <c r="Y248" s="6"/>
      <c r="Z248" s="6"/>
    </row>
    <row r="249" spans="1:26" ht="12.75" x14ac:dyDescent="0.2">
      <c r="A249" s="31">
        <v>43906</v>
      </c>
      <c r="B249" s="29" t="s">
        <v>360</v>
      </c>
      <c r="C249" s="29">
        <v>75613233</v>
      </c>
      <c r="D249" s="30">
        <v>12500</v>
      </c>
      <c r="E249" s="29" t="s">
        <v>22</v>
      </c>
      <c r="F249" s="7">
        <v>43859</v>
      </c>
      <c r="G249" s="18"/>
      <c r="H249" s="16">
        <f t="shared" si="40"/>
        <v>16</v>
      </c>
      <c r="I249" s="16">
        <f t="shared" si="41"/>
        <v>3</v>
      </c>
      <c r="J249" s="122">
        <f t="shared" si="42"/>
        <v>2020</v>
      </c>
      <c r="K249" s="64">
        <f t="shared" si="35"/>
        <v>43966</v>
      </c>
      <c r="L249" s="6"/>
      <c r="M249" s="6"/>
      <c r="O249" s="208">
        <v>43894</v>
      </c>
      <c r="P249" s="209">
        <f t="shared" si="36"/>
        <v>0</v>
      </c>
      <c r="Q249" s="209">
        <f>+SUMIF('A DEPOSITAR'!$D$2:$D$998,(O249-2),'A DEPOSITAR'!$H$2:$H$998)</f>
        <v>0</v>
      </c>
      <c r="R249" s="210">
        <f t="shared" si="37"/>
        <v>0</v>
      </c>
      <c r="S249" s="210">
        <f t="shared" si="39"/>
        <v>1978935.2200000002</v>
      </c>
      <c r="T249" s="209">
        <f t="shared" si="38"/>
        <v>0</v>
      </c>
      <c r="U249" s="209">
        <f>+SUMIFS('A DEPOSITAR'!$H$2:$H$998,'A DEPOSITAR'!$D$2:$D$998,(O249-2),'A DEPOSITAR'!$I$2:$I$998,"A Depositar")</f>
        <v>0</v>
      </c>
      <c r="V249" s="6"/>
      <c r="W249" s="6"/>
      <c r="X249" s="6"/>
      <c r="Y249" s="6"/>
      <c r="Z249" s="6"/>
    </row>
    <row r="250" spans="1:26" ht="12.75" x14ac:dyDescent="0.2">
      <c r="A250" s="31">
        <v>43912</v>
      </c>
      <c r="B250" s="29" t="s">
        <v>360</v>
      </c>
      <c r="C250" s="29">
        <v>75613234</v>
      </c>
      <c r="D250" s="30">
        <v>13000</v>
      </c>
      <c r="E250" s="29" t="s">
        <v>22</v>
      </c>
      <c r="F250" s="7">
        <v>43859</v>
      </c>
      <c r="G250" s="18"/>
      <c r="H250" s="16">
        <f t="shared" si="40"/>
        <v>22</v>
      </c>
      <c r="I250" s="16">
        <f t="shared" si="41"/>
        <v>3</v>
      </c>
      <c r="J250" s="122">
        <f t="shared" si="42"/>
        <v>2020</v>
      </c>
      <c r="K250" s="64">
        <f t="shared" si="35"/>
        <v>43972</v>
      </c>
      <c r="L250" s="6"/>
      <c r="M250" s="6"/>
      <c r="O250" s="208">
        <v>43895</v>
      </c>
      <c r="P250" s="209">
        <f t="shared" si="36"/>
        <v>0</v>
      </c>
      <c r="Q250" s="209">
        <f>+SUMIF('A DEPOSITAR'!$D$2:$D$998,(O250-2),'A DEPOSITAR'!$H$2:$H$998)</f>
        <v>0</v>
      </c>
      <c r="R250" s="210">
        <f t="shared" si="37"/>
        <v>0</v>
      </c>
      <c r="S250" s="210">
        <f t="shared" si="39"/>
        <v>1978935.2200000002</v>
      </c>
      <c r="T250" s="209">
        <f t="shared" si="38"/>
        <v>0</v>
      </c>
      <c r="U250" s="209">
        <f>+SUMIFS('A DEPOSITAR'!$H$2:$H$998,'A DEPOSITAR'!$D$2:$D$998,(O250-2),'A DEPOSITAR'!$I$2:$I$998,"A Depositar")</f>
        <v>0</v>
      </c>
      <c r="V250" s="6"/>
      <c r="W250" s="6"/>
      <c r="X250" s="6"/>
      <c r="Y250" s="6"/>
      <c r="Z250" s="6"/>
    </row>
    <row r="251" spans="1:26" ht="12.75" x14ac:dyDescent="0.2">
      <c r="A251" s="31">
        <v>43920</v>
      </c>
      <c r="B251" s="29" t="s">
        <v>360</v>
      </c>
      <c r="C251" s="29">
        <v>75613235</v>
      </c>
      <c r="D251" s="30">
        <v>14000</v>
      </c>
      <c r="E251" s="29" t="s">
        <v>22</v>
      </c>
      <c r="F251" s="7">
        <v>43859</v>
      </c>
      <c r="G251" s="18"/>
      <c r="H251" s="16">
        <f t="shared" si="40"/>
        <v>30</v>
      </c>
      <c r="I251" s="16">
        <f t="shared" si="41"/>
        <v>3</v>
      </c>
      <c r="J251" s="122">
        <f t="shared" si="42"/>
        <v>2020</v>
      </c>
      <c r="K251" s="64">
        <f t="shared" si="35"/>
        <v>43980</v>
      </c>
      <c r="L251" s="6"/>
      <c r="M251" s="6"/>
      <c r="O251" s="208">
        <v>43896</v>
      </c>
      <c r="P251" s="209">
        <f t="shared" si="36"/>
        <v>0</v>
      </c>
      <c r="Q251" s="209">
        <f>+SUMIF('A DEPOSITAR'!$D$2:$D$998,(O251-2),'A DEPOSITAR'!$H$2:$H$998)</f>
        <v>0</v>
      </c>
      <c r="R251" s="210">
        <f t="shared" si="37"/>
        <v>0</v>
      </c>
      <c r="S251" s="210">
        <f t="shared" si="39"/>
        <v>1978935.2200000002</v>
      </c>
      <c r="T251" s="209">
        <f t="shared" si="38"/>
        <v>0</v>
      </c>
      <c r="U251" s="209">
        <f>+SUMIFS('A DEPOSITAR'!$H$2:$H$998,'A DEPOSITAR'!$D$2:$D$998,(O251-2),'A DEPOSITAR'!$I$2:$I$998,"A Depositar")</f>
        <v>0</v>
      </c>
      <c r="V251" s="6"/>
      <c r="W251" s="6"/>
      <c r="X251" s="6"/>
      <c r="Y251" s="6"/>
      <c r="Z251" s="6"/>
    </row>
    <row r="252" spans="1:26" ht="12.75" x14ac:dyDescent="0.2">
      <c r="A252" s="31">
        <v>43861</v>
      </c>
      <c r="B252" s="29" t="s">
        <v>122</v>
      </c>
      <c r="C252" s="29">
        <v>75613236</v>
      </c>
      <c r="D252" s="30">
        <v>12000</v>
      </c>
      <c r="E252" s="29" t="s">
        <v>22</v>
      </c>
      <c r="F252" s="7">
        <v>43861</v>
      </c>
      <c r="G252" s="18"/>
      <c r="H252" s="16">
        <f t="shared" si="40"/>
        <v>31</v>
      </c>
      <c r="I252" s="16">
        <f t="shared" si="41"/>
        <v>1</v>
      </c>
      <c r="J252" s="122">
        <f t="shared" si="42"/>
        <v>2020</v>
      </c>
      <c r="K252" s="64">
        <f t="shared" si="35"/>
        <v>43921</v>
      </c>
      <c r="L252" s="6">
        <v>40000</v>
      </c>
      <c r="M252" s="6"/>
      <c r="O252" s="208">
        <v>43897</v>
      </c>
      <c r="P252" s="209">
        <f t="shared" si="36"/>
        <v>4813</v>
      </c>
      <c r="Q252" s="209">
        <f>+SUMIF('A DEPOSITAR'!$D$2:$D$998,(O252-2),'A DEPOSITAR'!$H$2:$H$998)</f>
        <v>0</v>
      </c>
      <c r="R252" s="210">
        <f t="shared" si="37"/>
        <v>-4813</v>
      </c>
      <c r="S252" s="210">
        <f t="shared" si="39"/>
        <v>1974122.2200000002</v>
      </c>
      <c r="T252" s="209">
        <f t="shared" si="38"/>
        <v>0</v>
      </c>
      <c r="U252" s="209">
        <f>+SUMIFS('A DEPOSITAR'!$H$2:$H$998,'A DEPOSITAR'!$D$2:$D$998,(O252-2),'A DEPOSITAR'!$I$2:$I$998,"A Depositar")</f>
        <v>0</v>
      </c>
      <c r="V252" s="6"/>
      <c r="W252" s="6"/>
      <c r="X252" s="6"/>
      <c r="Y252" s="6"/>
      <c r="Z252" s="6"/>
    </row>
    <row r="253" spans="1:26" ht="12.75" x14ac:dyDescent="0.2">
      <c r="A253" s="31">
        <v>43929</v>
      </c>
      <c r="B253" s="29" t="s">
        <v>360</v>
      </c>
      <c r="C253" s="29">
        <v>75613237</v>
      </c>
      <c r="D253" s="30">
        <v>13505.95</v>
      </c>
      <c r="E253" s="29" t="s">
        <v>22</v>
      </c>
      <c r="F253" s="7">
        <v>43859</v>
      </c>
      <c r="G253" s="18"/>
      <c r="H253" s="16">
        <f t="shared" si="40"/>
        <v>8</v>
      </c>
      <c r="I253" s="16">
        <f t="shared" si="41"/>
        <v>4</v>
      </c>
      <c r="J253" s="122">
        <f t="shared" si="42"/>
        <v>2020</v>
      </c>
      <c r="K253" s="64">
        <f t="shared" si="35"/>
        <v>43989</v>
      </c>
      <c r="L253" s="6">
        <f>L252*(1+L254)^7</f>
        <v>40000</v>
      </c>
      <c r="M253" s="6"/>
      <c r="O253" s="208">
        <v>43898</v>
      </c>
      <c r="P253" s="209">
        <f t="shared" si="36"/>
        <v>36630.89</v>
      </c>
      <c r="Q253" s="209">
        <f>+SUMIF('A DEPOSITAR'!$D$2:$D$998,(O253-2),'A DEPOSITAR'!$H$2:$H$998)</f>
        <v>0</v>
      </c>
      <c r="R253" s="210">
        <f t="shared" si="37"/>
        <v>-36630.89</v>
      </c>
      <c r="S253" s="210">
        <f t="shared" si="39"/>
        <v>1937491.3300000003</v>
      </c>
      <c r="T253" s="209">
        <f t="shared" si="38"/>
        <v>0</v>
      </c>
      <c r="U253" s="209">
        <f>+SUMIFS('A DEPOSITAR'!$H$2:$H$998,'A DEPOSITAR'!$D$2:$D$998,(O253-2),'A DEPOSITAR'!$I$2:$I$998,"A Depositar")</f>
        <v>0</v>
      </c>
      <c r="V253" s="6"/>
      <c r="W253" s="6"/>
      <c r="X253" s="6"/>
      <c r="Y253" s="6"/>
      <c r="Z253" s="6"/>
    </row>
    <row r="254" spans="1:26" ht="12.75" x14ac:dyDescent="0.2">
      <c r="A254" s="36">
        <v>43867</v>
      </c>
      <c r="B254" s="29" t="s">
        <v>122</v>
      </c>
      <c r="C254" s="29">
        <v>75613238</v>
      </c>
      <c r="D254" s="30">
        <v>10000</v>
      </c>
      <c r="E254" s="29" t="s">
        <v>22</v>
      </c>
      <c r="F254" s="34">
        <v>43867</v>
      </c>
      <c r="G254" s="18"/>
      <c r="H254" s="9">
        <f t="shared" si="40"/>
        <v>6</v>
      </c>
      <c r="I254" s="9">
        <f t="shared" si="41"/>
        <v>2</v>
      </c>
      <c r="J254" s="122">
        <f t="shared" si="42"/>
        <v>2020</v>
      </c>
      <c r="K254" s="64">
        <f t="shared" si="35"/>
        <v>43927</v>
      </c>
      <c r="L254" s="6"/>
      <c r="M254" s="6"/>
      <c r="O254" s="208">
        <v>43899</v>
      </c>
      <c r="P254" s="209">
        <f t="shared" si="36"/>
        <v>0</v>
      </c>
      <c r="Q254" s="209">
        <f>+SUMIF('A DEPOSITAR'!$D$2:$D$998,(O254-2),'A DEPOSITAR'!$H$2:$H$998)</f>
        <v>0</v>
      </c>
      <c r="R254" s="210">
        <f t="shared" si="37"/>
        <v>0</v>
      </c>
      <c r="S254" s="210">
        <f t="shared" si="39"/>
        <v>1937491.3300000003</v>
      </c>
      <c r="T254" s="209">
        <f t="shared" si="38"/>
        <v>0</v>
      </c>
      <c r="U254" s="209">
        <f>+SUMIFS('A DEPOSITAR'!$H$2:$H$998,'A DEPOSITAR'!$D$2:$D$998,(O254-2),'A DEPOSITAR'!$I$2:$I$998,"A Depositar")</f>
        <v>0</v>
      </c>
      <c r="V254" s="6"/>
      <c r="W254" s="6"/>
      <c r="X254" s="6"/>
      <c r="Y254" s="6"/>
      <c r="Z254" s="6"/>
    </row>
    <row r="255" spans="1:26" ht="12.75" x14ac:dyDescent="0.2">
      <c r="A255" s="31">
        <v>43929</v>
      </c>
      <c r="B255" s="29" t="s">
        <v>132</v>
      </c>
      <c r="C255" s="29">
        <v>75613239</v>
      </c>
      <c r="D255" s="30">
        <v>6700</v>
      </c>
      <c r="E255" s="29" t="s">
        <v>22</v>
      </c>
      <c r="F255" s="7">
        <v>43867</v>
      </c>
      <c r="G255" s="18"/>
      <c r="H255" s="16">
        <f t="shared" si="40"/>
        <v>8</v>
      </c>
      <c r="I255" s="16">
        <f t="shared" si="41"/>
        <v>4</v>
      </c>
      <c r="J255" s="122">
        <f t="shared" si="42"/>
        <v>2020</v>
      </c>
      <c r="K255" s="64">
        <f t="shared" si="35"/>
        <v>43989</v>
      </c>
      <c r="L255" s="6"/>
      <c r="M255" s="6"/>
      <c r="O255" s="208">
        <v>43900</v>
      </c>
      <c r="P255" s="209">
        <f t="shared" si="36"/>
        <v>0</v>
      </c>
      <c r="Q255" s="209">
        <f>+SUMIF('A DEPOSITAR'!$D$2:$D$998,(O255-2),'A DEPOSITAR'!$H$2:$H$998)</f>
        <v>0</v>
      </c>
      <c r="R255" s="210">
        <f t="shared" si="37"/>
        <v>0</v>
      </c>
      <c r="S255" s="210">
        <f t="shared" si="39"/>
        <v>1937491.3300000003</v>
      </c>
      <c r="T255" s="209">
        <f t="shared" si="38"/>
        <v>0</v>
      </c>
      <c r="U255" s="209">
        <f>+SUMIFS('A DEPOSITAR'!$H$2:$H$998,'A DEPOSITAR'!$D$2:$D$998,(O255-2),'A DEPOSITAR'!$I$2:$I$998,"A Depositar")</f>
        <v>0</v>
      </c>
      <c r="V255" s="6"/>
      <c r="W255" s="6"/>
      <c r="X255" s="6"/>
      <c r="Y255" s="6"/>
      <c r="Z255" s="6"/>
    </row>
    <row r="256" spans="1:26" ht="12.75" x14ac:dyDescent="0.2">
      <c r="A256" s="31">
        <v>43920</v>
      </c>
      <c r="B256" s="29" t="s">
        <v>132</v>
      </c>
      <c r="C256" s="29">
        <v>75613240</v>
      </c>
      <c r="D256" s="30">
        <v>6800</v>
      </c>
      <c r="E256" s="29" t="s">
        <v>22</v>
      </c>
      <c r="F256" s="7">
        <v>43867</v>
      </c>
      <c r="G256" s="18"/>
      <c r="H256" s="16">
        <f t="shared" si="40"/>
        <v>30</v>
      </c>
      <c r="I256" s="16">
        <f t="shared" si="41"/>
        <v>3</v>
      </c>
      <c r="J256" s="122">
        <f t="shared" si="42"/>
        <v>2020</v>
      </c>
      <c r="K256" s="64">
        <f t="shared" si="35"/>
        <v>43980</v>
      </c>
      <c r="L256" s="6"/>
      <c r="M256" s="6"/>
      <c r="O256" s="208">
        <v>43901</v>
      </c>
      <c r="P256" s="209">
        <f t="shared" si="36"/>
        <v>0</v>
      </c>
      <c r="Q256" s="209">
        <f>+SUMIF('A DEPOSITAR'!$D$2:$D$998,(O256-2),'A DEPOSITAR'!$H$2:$H$998)</f>
        <v>2000</v>
      </c>
      <c r="R256" s="210">
        <f t="shared" si="37"/>
        <v>2000</v>
      </c>
      <c r="S256" s="210">
        <f t="shared" si="39"/>
        <v>1939491.3300000003</v>
      </c>
      <c r="T256" s="209">
        <f t="shared" si="38"/>
        <v>0</v>
      </c>
      <c r="U256" s="209">
        <f>+SUMIFS('A DEPOSITAR'!$H$2:$H$998,'A DEPOSITAR'!$D$2:$D$998,(O256-2),'A DEPOSITAR'!$I$2:$I$998,"A Depositar")</f>
        <v>0</v>
      </c>
      <c r="V256" s="6"/>
      <c r="W256" s="6"/>
      <c r="X256" s="6"/>
      <c r="Y256" s="6"/>
      <c r="Z256" s="6"/>
    </row>
    <row r="257" spans="1:26" ht="12.75" x14ac:dyDescent="0.2">
      <c r="A257" s="31">
        <v>43937</v>
      </c>
      <c r="B257" s="29" t="s">
        <v>132</v>
      </c>
      <c r="C257" s="29">
        <v>75613241</v>
      </c>
      <c r="D257" s="30">
        <v>6900</v>
      </c>
      <c r="E257" s="29" t="s">
        <v>22</v>
      </c>
      <c r="F257" s="7">
        <v>43867</v>
      </c>
      <c r="G257" s="18"/>
      <c r="H257" s="16">
        <f t="shared" si="40"/>
        <v>16</v>
      </c>
      <c r="I257" s="16">
        <f t="shared" si="41"/>
        <v>4</v>
      </c>
      <c r="J257" s="122">
        <f t="shared" si="42"/>
        <v>2020</v>
      </c>
      <c r="K257" s="64">
        <f t="shared" si="35"/>
        <v>43997</v>
      </c>
      <c r="L257" s="6"/>
      <c r="M257" s="6"/>
      <c r="O257" s="208">
        <v>43902</v>
      </c>
      <c r="P257" s="209">
        <f t="shared" si="36"/>
        <v>0</v>
      </c>
      <c r="Q257" s="209">
        <f>+SUMIF('A DEPOSITAR'!$D$2:$D$998,(O257-2),'A DEPOSITAR'!$H$2:$H$998)</f>
        <v>0</v>
      </c>
      <c r="R257" s="210">
        <f t="shared" si="37"/>
        <v>0</v>
      </c>
      <c r="S257" s="210">
        <f t="shared" si="39"/>
        <v>1939491.3300000003</v>
      </c>
      <c r="T257" s="209">
        <f t="shared" si="38"/>
        <v>0</v>
      </c>
      <c r="U257" s="209">
        <f>+SUMIFS('A DEPOSITAR'!$H$2:$H$998,'A DEPOSITAR'!$D$2:$D$998,(O257-2),'A DEPOSITAR'!$I$2:$I$998,"A Depositar")</f>
        <v>0</v>
      </c>
      <c r="V257" s="6"/>
      <c r="W257" s="6"/>
      <c r="X257" s="6"/>
      <c r="Y257" s="6"/>
      <c r="Z257" s="6"/>
    </row>
    <row r="258" spans="1:26" ht="12.75" x14ac:dyDescent="0.2">
      <c r="A258" s="31">
        <v>43943</v>
      </c>
      <c r="B258" s="29" t="s">
        <v>132</v>
      </c>
      <c r="C258" s="29">
        <v>75613242</v>
      </c>
      <c r="D258" s="30">
        <v>8386.84</v>
      </c>
      <c r="E258" s="29" t="s">
        <v>892</v>
      </c>
      <c r="F258" s="7">
        <v>43867</v>
      </c>
      <c r="G258" s="18"/>
      <c r="H258" s="16">
        <f t="shared" si="40"/>
        <v>22</v>
      </c>
      <c r="I258" s="16">
        <f t="shared" si="41"/>
        <v>4</v>
      </c>
      <c r="J258" s="122">
        <f t="shared" si="42"/>
        <v>2020</v>
      </c>
      <c r="K258" s="64">
        <f t="shared" ref="K258:K321" si="43">A258+60</f>
        <v>44003</v>
      </c>
      <c r="L258" s="6"/>
      <c r="M258" s="6"/>
      <c r="O258" s="208">
        <v>43903</v>
      </c>
      <c r="P258" s="209">
        <f t="shared" si="36"/>
        <v>17315.48</v>
      </c>
      <c r="Q258" s="209">
        <f>+SUMIF('A DEPOSITAR'!$D$2:$D$998,(O258-2),'A DEPOSITAR'!$H$2:$H$998)</f>
        <v>15340.5</v>
      </c>
      <c r="R258" s="210">
        <f t="shared" si="37"/>
        <v>-1974.9799999999996</v>
      </c>
      <c r="S258" s="210">
        <f t="shared" si="39"/>
        <v>1937516.3500000003</v>
      </c>
      <c r="T258" s="209">
        <f t="shared" si="38"/>
        <v>0</v>
      </c>
      <c r="U258" s="209">
        <f>+SUMIFS('A DEPOSITAR'!$H$2:$H$998,'A DEPOSITAR'!$D$2:$D$998,(O258-2),'A DEPOSITAR'!$I$2:$I$998,"A Depositar")</f>
        <v>0</v>
      </c>
      <c r="V258" s="6"/>
      <c r="W258" s="6"/>
      <c r="X258" s="6"/>
      <c r="Y258" s="6"/>
      <c r="Z258" s="6"/>
    </row>
    <row r="259" spans="1:26" ht="12.75" x14ac:dyDescent="0.2">
      <c r="A259" s="31">
        <v>43951</v>
      </c>
      <c r="B259" s="29" t="s">
        <v>132</v>
      </c>
      <c r="C259" s="29">
        <v>75613243</v>
      </c>
      <c r="D259" s="30">
        <v>7100</v>
      </c>
      <c r="E259" s="29" t="s">
        <v>327</v>
      </c>
      <c r="F259" s="7">
        <v>43867</v>
      </c>
      <c r="G259" s="18"/>
      <c r="H259" s="16">
        <f t="shared" si="40"/>
        <v>30</v>
      </c>
      <c r="I259" s="16">
        <f t="shared" si="41"/>
        <v>4</v>
      </c>
      <c r="J259" s="122">
        <f t="shared" si="42"/>
        <v>2020</v>
      </c>
      <c r="K259" s="125">
        <f t="shared" si="43"/>
        <v>44011</v>
      </c>
      <c r="L259" s="6"/>
      <c r="M259" s="6"/>
      <c r="O259" s="208">
        <v>43904</v>
      </c>
      <c r="P259" s="209">
        <f t="shared" ref="P259:P322" si="44">+SUMIF($A$2:$A$998,O259,$D$2:$D$998)</f>
        <v>0</v>
      </c>
      <c r="Q259" s="209">
        <f>+SUMIF('A DEPOSITAR'!$D$2:$D$998,(O259-2),'A DEPOSITAR'!$H$2:$H$998)</f>
        <v>18160</v>
      </c>
      <c r="R259" s="210">
        <f t="shared" ref="R259:R322" si="45">+Q259-P259</f>
        <v>18160</v>
      </c>
      <c r="S259" s="210">
        <f t="shared" si="39"/>
        <v>1955676.3500000003</v>
      </c>
      <c r="T259" s="209">
        <f t="shared" ref="T259:T322" si="46">+SUMIFS($D$2:$D$998,$A$2:$A$998,O259,$E$2:$E$998,"A Pagar")</f>
        <v>0</v>
      </c>
      <c r="U259" s="209">
        <f>+SUMIFS('A DEPOSITAR'!$H$2:$H$998,'A DEPOSITAR'!$D$2:$D$998,(O259-2),'A DEPOSITAR'!$I$2:$I$998,"A Depositar")</f>
        <v>0</v>
      </c>
      <c r="V259" s="6"/>
      <c r="W259" s="6"/>
      <c r="X259" s="6"/>
      <c r="Y259" s="6"/>
      <c r="Z259" s="6"/>
    </row>
    <row r="260" spans="1:26" ht="12.75" x14ac:dyDescent="0.2">
      <c r="A260" s="31">
        <v>43959</v>
      </c>
      <c r="B260" s="29" t="s">
        <v>132</v>
      </c>
      <c r="C260" s="29">
        <v>75613244</v>
      </c>
      <c r="D260" s="30">
        <v>7200</v>
      </c>
      <c r="E260" s="29" t="s">
        <v>22</v>
      </c>
      <c r="F260" s="7">
        <v>43867</v>
      </c>
      <c r="G260" s="18"/>
      <c r="H260" s="16">
        <f t="shared" si="40"/>
        <v>8</v>
      </c>
      <c r="I260" s="16">
        <f t="shared" si="41"/>
        <v>5</v>
      </c>
      <c r="J260" s="122">
        <f t="shared" si="42"/>
        <v>2020</v>
      </c>
      <c r="K260" s="64">
        <f t="shared" si="43"/>
        <v>44019</v>
      </c>
      <c r="L260" s="6"/>
      <c r="M260" s="6"/>
      <c r="O260" s="208">
        <v>43905</v>
      </c>
      <c r="P260" s="209">
        <f t="shared" si="44"/>
        <v>0</v>
      </c>
      <c r="Q260" s="209">
        <f>+SUMIF('A DEPOSITAR'!$D$2:$D$998,(O260-2),'A DEPOSITAR'!$H$2:$H$998)</f>
        <v>5400</v>
      </c>
      <c r="R260" s="210">
        <f t="shared" si="45"/>
        <v>5400</v>
      </c>
      <c r="S260" s="210">
        <f t="shared" ref="S260:S323" si="47">+S259+R260</f>
        <v>1961076.3500000003</v>
      </c>
      <c r="T260" s="209">
        <f t="shared" si="46"/>
        <v>0</v>
      </c>
      <c r="U260" s="209">
        <f>+SUMIFS('A DEPOSITAR'!$H$2:$H$998,'A DEPOSITAR'!$D$2:$D$998,(O260-2),'A DEPOSITAR'!$I$2:$I$998,"A Depositar")</f>
        <v>0</v>
      </c>
      <c r="V260" s="6"/>
      <c r="W260" s="6"/>
      <c r="X260" s="6"/>
      <c r="Y260" s="6"/>
      <c r="Z260" s="6"/>
    </row>
    <row r="261" spans="1:26" ht="12.75" x14ac:dyDescent="0.2">
      <c r="A261" s="31">
        <v>43967</v>
      </c>
      <c r="B261" s="29" t="s">
        <v>132</v>
      </c>
      <c r="C261" s="29">
        <v>75613245</v>
      </c>
      <c r="D261" s="30">
        <v>7300</v>
      </c>
      <c r="E261" s="29" t="s">
        <v>22</v>
      </c>
      <c r="F261" s="7">
        <v>43867</v>
      </c>
      <c r="G261" s="18"/>
      <c r="H261" s="16">
        <f t="shared" si="40"/>
        <v>16</v>
      </c>
      <c r="I261" s="16">
        <f t="shared" si="41"/>
        <v>5</v>
      </c>
      <c r="J261" s="122">
        <f t="shared" si="42"/>
        <v>2020</v>
      </c>
      <c r="K261" s="64">
        <f t="shared" si="43"/>
        <v>44027</v>
      </c>
      <c r="L261" s="6"/>
      <c r="M261" s="6"/>
      <c r="O261" s="208">
        <v>43906</v>
      </c>
      <c r="P261" s="209">
        <f t="shared" si="44"/>
        <v>55228.76</v>
      </c>
      <c r="Q261" s="209">
        <f>+SUMIF('A DEPOSITAR'!$D$2:$D$998,(O261-2),'A DEPOSITAR'!$H$2:$H$998)</f>
        <v>0</v>
      </c>
      <c r="R261" s="210">
        <f t="shared" si="45"/>
        <v>-55228.76</v>
      </c>
      <c r="S261" s="210">
        <f t="shared" si="47"/>
        <v>1905847.5900000003</v>
      </c>
      <c r="T261" s="209">
        <f t="shared" si="46"/>
        <v>0</v>
      </c>
      <c r="U261" s="209">
        <f>+SUMIFS('A DEPOSITAR'!$H$2:$H$998,'A DEPOSITAR'!$D$2:$D$998,(O261-2),'A DEPOSITAR'!$I$2:$I$998,"A Depositar")</f>
        <v>0</v>
      </c>
      <c r="V261" s="6"/>
      <c r="W261" s="6"/>
      <c r="X261" s="6"/>
      <c r="Y261" s="6"/>
      <c r="Z261" s="6"/>
    </row>
    <row r="262" spans="1:26" ht="12.75" x14ac:dyDescent="0.2">
      <c r="A262" s="31">
        <v>43868</v>
      </c>
      <c r="B262" s="29" t="s">
        <v>122</v>
      </c>
      <c r="C262" s="29">
        <v>75613246</v>
      </c>
      <c r="D262" s="30">
        <v>20000</v>
      </c>
      <c r="E262" s="29" t="s">
        <v>22</v>
      </c>
      <c r="F262" s="7">
        <v>43868</v>
      </c>
      <c r="G262" s="18"/>
      <c r="H262" s="16">
        <f t="shared" si="40"/>
        <v>7</v>
      </c>
      <c r="I262" s="16">
        <f t="shared" si="41"/>
        <v>2</v>
      </c>
      <c r="J262" s="122">
        <f t="shared" si="42"/>
        <v>2020</v>
      </c>
      <c r="K262" s="64">
        <f t="shared" si="43"/>
        <v>43928</v>
      </c>
      <c r="L262" s="6"/>
      <c r="M262" s="6"/>
      <c r="O262" s="208">
        <v>43907</v>
      </c>
      <c r="P262" s="209">
        <f t="shared" si="44"/>
        <v>0</v>
      </c>
      <c r="Q262" s="209">
        <f>+SUMIF('A DEPOSITAR'!$D$2:$D$998,(O262-2),'A DEPOSITAR'!$H$2:$H$998)</f>
        <v>0</v>
      </c>
      <c r="R262" s="210">
        <f t="shared" si="45"/>
        <v>0</v>
      </c>
      <c r="S262" s="210">
        <f t="shared" si="47"/>
        <v>1905847.5900000003</v>
      </c>
      <c r="T262" s="209">
        <f t="shared" si="46"/>
        <v>0</v>
      </c>
      <c r="U262" s="209">
        <f>+SUMIFS('A DEPOSITAR'!$H$2:$H$998,'A DEPOSITAR'!$D$2:$D$998,(O262-2),'A DEPOSITAR'!$I$2:$I$998,"A Depositar")</f>
        <v>0</v>
      </c>
      <c r="V262" s="6"/>
      <c r="W262" s="6"/>
      <c r="X262" s="6"/>
      <c r="Y262" s="6"/>
      <c r="Z262" s="6"/>
    </row>
    <row r="263" spans="1:26" ht="12.75" x14ac:dyDescent="0.2">
      <c r="A263" s="31">
        <v>44051</v>
      </c>
      <c r="B263" s="29" t="s">
        <v>23</v>
      </c>
      <c r="C263" s="29">
        <v>75613247</v>
      </c>
      <c r="D263" s="30">
        <v>11000</v>
      </c>
      <c r="E263" s="29" t="s">
        <v>22</v>
      </c>
      <c r="F263" s="7">
        <v>43871</v>
      </c>
      <c r="G263" s="18"/>
      <c r="H263" s="16">
        <f t="shared" si="40"/>
        <v>8</v>
      </c>
      <c r="I263" s="16">
        <f t="shared" si="41"/>
        <v>8</v>
      </c>
      <c r="J263" s="122">
        <f t="shared" si="42"/>
        <v>2020</v>
      </c>
      <c r="K263" s="64">
        <f t="shared" si="43"/>
        <v>44111</v>
      </c>
      <c r="L263" s="6"/>
      <c r="M263" s="6"/>
      <c r="O263" s="208">
        <v>43908</v>
      </c>
      <c r="P263" s="209">
        <f t="shared" si="44"/>
        <v>0</v>
      </c>
      <c r="Q263" s="209">
        <f>+SUMIF('A DEPOSITAR'!$D$2:$D$998,(O263-2),'A DEPOSITAR'!$H$2:$H$998)</f>
        <v>0</v>
      </c>
      <c r="R263" s="210">
        <f t="shared" si="45"/>
        <v>0</v>
      </c>
      <c r="S263" s="210">
        <f t="shared" si="47"/>
        <v>1905847.5900000003</v>
      </c>
      <c r="T263" s="209">
        <f t="shared" si="46"/>
        <v>0</v>
      </c>
      <c r="U263" s="209">
        <f>+SUMIFS('A DEPOSITAR'!$H$2:$H$998,'A DEPOSITAR'!$D$2:$D$998,(O263-2),'A DEPOSITAR'!$I$2:$I$998,"A Depositar")</f>
        <v>0</v>
      </c>
      <c r="V263" s="6"/>
      <c r="W263" s="6"/>
      <c r="X263" s="6"/>
      <c r="Y263" s="6"/>
      <c r="Z263" s="6"/>
    </row>
    <row r="264" spans="1:26" ht="12.75" x14ac:dyDescent="0.2">
      <c r="A264" s="31">
        <v>44059</v>
      </c>
      <c r="B264" s="29" t="s">
        <v>23</v>
      </c>
      <c r="C264" s="29">
        <v>75613248</v>
      </c>
      <c r="D264" s="30">
        <v>12000</v>
      </c>
      <c r="E264" s="29" t="s">
        <v>22</v>
      </c>
      <c r="F264" s="7">
        <v>43973</v>
      </c>
      <c r="G264" s="18"/>
      <c r="H264" s="16">
        <f t="shared" si="40"/>
        <v>16</v>
      </c>
      <c r="I264" s="16">
        <f t="shared" si="41"/>
        <v>8</v>
      </c>
      <c r="J264" s="122">
        <f t="shared" si="42"/>
        <v>2020</v>
      </c>
      <c r="K264" s="64">
        <f t="shared" si="43"/>
        <v>44119</v>
      </c>
      <c r="L264" s="6"/>
      <c r="M264" s="6"/>
      <c r="O264" s="208">
        <v>43909</v>
      </c>
      <c r="P264" s="209">
        <f t="shared" si="44"/>
        <v>0</v>
      </c>
      <c r="Q264" s="209">
        <f>+SUMIF('A DEPOSITAR'!$D$2:$D$998,(O264-2),'A DEPOSITAR'!$H$2:$H$998)</f>
        <v>0</v>
      </c>
      <c r="R264" s="210">
        <f t="shared" si="45"/>
        <v>0</v>
      </c>
      <c r="S264" s="210">
        <f t="shared" si="47"/>
        <v>1905847.5900000003</v>
      </c>
      <c r="T264" s="209">
        <f t="shared" si="46"/>
        <v>0</v>
      </c>
      <c r="U264" s="209">
        <f>+SUMIFS('A DEPOSITAR'!$H$2:$H$998,'A DEPOSITAR'!$D$2:$D$998,(O264-2),'A DEPOSITAR'!$I$2:$I$998,"A Depositar")</f>
        <v>0</v>
      </c>
      <c r="V264" s="6"/>
      <c r="W264" s="6"/>
      <c r="X264" s="6"/>
      <c r="Y264" s="6"/>
      <c r="Z264" s="6"/>
    </row>
    <row r="265" spans="1:26" ht="12.75" x14ac:dyDescent="0.2">
      <c r="A265" s="31">
        <v>44065</v>
      </c>
      <c r="B265" s="29" t="s">
        <v>96</v>
      </c>
      <c r="C265" s="29">
        <v>75613249</v>
      </c>
      <c r="D265" s="30">
        <v>13000</v>
      </c>
      <c r="E265" s="29" t="s">
        <v>22</v>
      </c>
      <c r="F265" s="7">
        <v>44005</v>
      </c>
      <c r="G265" s="18"/>
      <c r="H265" s="16">
        <f t="shared" si="40"/>
        <v>22</v>
      </c>
      <c r="I265" s="16">
        <f t="shared" si="41"/>
        <v>8</v>
      </c>
      <c r="J265" s="122">
        <f t="shared" si="42"/>
        <v>2020</v>
      </c>
      <c r="K265" s="64">
        <f t="shared" si="43"/>
        <v>44125</v>
      </c>
      <c r="L265" s="6"/>
      <c r="M265" s="6"/>
      <c r="O265" s="208">
        <v>43910</v>
      </c>
      <c r="P265" s="209">
        <f t="shared" si="44"/>
        <v>15000</v>
      </c>
      <c r="Q265" s="209">
        <f>+SUMIF('A DEPOSITAR'!$D$2:$D$998,(O265-2),'A DEPOSITAR'!$H$2:$H$998)</f>
        <v>13000</v>
      </c>
      <c r="R265" s="210">
        <f t="shared" si="45"/>
        <v>-2000</v>
      </c>
      <c r="S265" s="210">
        <f t="shared" si="47"/>
        <v>1903847.5900000003</v>
      </c>
      <c r="T265" s="209">
        <f t="shared" si="46"/>
        <v>0</v>
      </c>
      <c r="U265" s="209">
        <f>+SUMIFS('A DEPOSITAR'!$H$2:$H$998,'A DEPOSITAR'!$D$2:$D$998,(O265-2),'A DEPOSITAR'!$I$2:$I$998,"A Depositar")</f>
        <v>0</v>
      </c>
      <c r="V265" s="6"/>
      <c r="W265" s="6"/>
      <c r="X265" s="6"/>
      <c r="Y265" s="6"/>
      <c r="Z265" s="6"/>
    </row>
    <row r="266" spans="1:26" ht="12.75" x14ac:dyDescent="0.2">
      <c r="A266" s="31">
        <v>44073</v>
      </c>
      <c r="B266" s="29" t="s">
        <v>23</v>
      </c>
      <c r="C266" s="29">
        <v>75613250</v>
      </c>
      <c r="D266" s="30">
        <v>14000</v>
      </c>
      <c r="E266" s="29" t="s">
        <v>22</v>
      </c>
      <c r="F266" s="7">
        <v>43973</v>
      </c>
      <c r="G266" s="18"/>
      <c r="H266" s="16">
        <f t="shared" si="40"/>
        <v>30</v>
      </c>
      <c r="I266" s="16">
        <f t="shared" si="41"/>
        <v>8</v>
      </c>
      <c r="J266" s="122">
        <f t="shared" si="42"/>
        <v>2020</v>
      </c>
      <c r="K266" s="64">
        <f t="shared" si="43"/>
        <v>44133</v>
      </c>
      <c r="L266" s="6"/>
      <c r="M266" s="6"/>
      <c r="O266" s="208">
        <v>43911</v>
      </c>
      <c r="P266" s="209">
        <f t="shared" si="44"/>
        <v>0</v>
      </c>
      <c r="Q266" s="209">
        <f>+SUMIF('A DEPOSITAR'!$D$2:$D$998,(O266-2),'A DEPOSITAR'!$H$2:$H$998)</f>
        <v>0</v>
      </c>
      <c r="R266" s="210">
        <f t="shared" si="45"/>
        <v>0</v>
      </c>
      <c r="S266" s="210">
        <f t="shared" si="47"/>
        <v>1903847.5900000003</v>
      </c>
      <c r="T266" s="209">
        <f t="shared" si="46"/>
        <v>0</v>
      </c>
      <c r="U266" s="209">
        <f>+SUMIFS('A DEPOSITAR'!$H$2:$H$998,'A DEPOSITAR'!$D$2:$D$998,(O266-2),'A DEPOSITAR'!$I$2:$I$998,"A Depositar")</f>
        <v>0</v>
      </c>
      <c r="V266" s="6"/>
      <c r="W266" s="6"/>
      <c r="X266" s="6"/>
      <c r="Y266" s="6"/>
      <c r="Z266" s="6"/>
    </row>
    <row r="267" spans="1:26" ht="12.75" x14ac:dyDescent="0.2">
      <c r="A267" s="31">
        <v>43937</v>
      </c>
      <c r="B267" s="29" t="s">
        <v>389</v>
      </c>
      <c r="C267" s="29">
        <v>77747426</v>
      </c>
      <c r="D267" s="30">
        <v>4583</v>
      </c>
      <c r="E267" s="29" t="s">
        <v>22</v>
      </c>
      <c r="F267" s="7">
        <v>43878</v>
      </c>
      <c r="G267" s="18"/>
      <c r="H267" s="16">
        <f t="shared" si="40"/>
        <v>16</v>
      </c>
      <c r="I267" s="16">
        <f t="shared" si="41"/>
        <v>4</v>
      </c>
      <c r="J267" s="122">
        <f t="shared" si="42"/>
        <v>2020</v>
      </c>
      <c r="K267" s="64">
        <f t="shared" si="43"/>
        <v>43997</v>
      </c>
      <c r="L267" s="6"/>
      <c r="M267" s="6"/>
      <c r="O267" s="208">
        <v>43912</v>
      </c>
      <c r="P267" s="209">
        <f t="shared" si="44"/>
        <v>55245.84</v>
      </c>
      <c r="Q267" s="209">
        <f>+SUMIF('A DEPOSITAR'!$D$2:$D$998,(O267-2),'A DEPOSITAR'!$H$2:$H$998)</f>
        <v>15000</v>
      </c>
      <c r="R267" s="210">
        <f t="shared" si="45"/>
        <v>-40245.839999999997</v>
      </c>
      <c r="S267" s="210">
        <f t="shared" si="47"/>
        <v>1863601.7500000002</v>
      </c>
      <c r="T267" s="209">
        <f t="shared" si="46"/>
        <v>0</v>
      </c>
      <c r="U267" s="209">
        <f>+SUMIFS('A DEPOSITAR'!$H$2:$H$998,'A DEPOSITAR'!$D$2:$D$998,(O267-2),'A DEPOSITAR'!$I$2:$I$998,"A Depositar")</f>
        <v>0</v>
      </c>
      <c r="V267" s="6"/>
      <c r="W267" s="6"/>
      <c r="X267" s="6"/>
      <c r="Y267" s="6"/>
      <c r="Z267" s="6"/>
    </row>
    <row r="268" spans="1:26" ht="12.75" x14ac:dyDescent="0.2">
      <c r="A268" s="31">
        <v>43951</v>
      </c>
      <c r="B268" s="29" t="s">
        <v>389</v>
      </c>
      <c r="C268" s="29">
        <v>77747427</v>
      </c>
      <c r="D268" s="30">
        <v>4500</v>
      </c>
      <c r="E268" s="29" t="s">
        <v>327</v>
      </c>
      <c r="F268" s="7">
        <v>43878</v>
      </c>
      <c r="G268" s="18"/>
      <c r="H268" s="16">
        <f t="shared" si="40"/>
        <v>30</v>
      </c>
      <c r="I268" s="16">
        <f t="shared" si="41"/>
        <v>4</v>
      </c>
      <c r="J268" s="122">
        <f t="shared" si="42"/>
        <v>2020</v>
      </c>
      <c r="K268" s="125">
        <f t="shared" si="43"/>
        <v>44011</v>
      </c>
      <c r="L268" s="6"/>
      <c r="M268" s="6"/>
      <c r="O268" s="208">
        <v>43913</v>
      </c>
      <c r="P268" s="209">
        <f t="shared" si="44"/>
        <v>19116.439999999999</v>
      </c>
      <c r="Q268" s="209">
        <f>+SUMIF('A DEPOSITAR'!$D$2:$D$998,(O268-2),'A DEPOSITAR'!$H$2:$H$998)</f>
        <v>7200</v>
      </c>
      <c r="R268" s="210">
        <f t="shared" si="45"/>
        <v>-11916.439999999999</v>
      </c>
      <c r="S268" s="210">
        <f t="shared" si="47"/>
        <v>1851685.3100000003</v>
      </c>
      <c r="T268" s="209">
        <f t="shared" si="46"/>
        <v>0</v>
      </c>
      <c r="U268" s="209">
        <f>+SUMIFS('A DEPOSITAR'!$H$2:$H$998,'A DEPOSITAR'!$D$2:$D$998,(O268-2),'A DEPOSITAR'!$I$2:$I$998,"A Depositar")</f>
        <v>0</v>
      </c>
      <c r="V268" s="6"/>
      <c r="W268" s="6"/>
      <c r="X268" s="6"/>
      <c r="Y268" s="6"/>
      <c r="Z268" s="6"/>
    </row>
    <row r="269" spans="1:26" ht="12.75" x14ac:dyDescent="0.2">
      <c r="A269" s="31">
        <v>43967</v>
      </c>
      <c r="B269" s="29" t="s">
        <v>389</v>
      </c>
      <c r="C269" s="29">
        <v>77747428</v>
      </c>
      <c r="D269" s="30">
        <v>4600</v>
      </c>
      <c r="E269" s="29" t="s">
        <v>22</v>
      </c>
      <c r="F269" s="7">
        <v>43878</v>
      </c>
      <c r="G269" s="18"/>
      <c r="H269" s="16">
        <f t="shared" si="40"/>
        <v>16</v>
      </c>
      <c r="I269" s="16">
        <f t="shared" si="41"/>
        <v>5</v>
      </c>
      <c r="J269" s="122">
        <f t="shared" si="42"/>
        <v>2020</v>
      </c>
      <c r="K269" s="64">
        <f t="shared" si="43"/>
        <v>44027</v>
      </c>
      <c r="L269" s="6"/>
      <c r="M269" s="6"/>
      <c r="O269" s="208">
        <v>43914</v>
      </c>
      <c r="P269" s="209">
        <f t="shared" si="44"/>
        <v>0</v>
      </c>
      <c r="Q269" s="209">
        <f>+SUMIF('A DEPOSITAR'!$D$2:$D$998,(O269-2),'A DEPOSITAR'!$H$2:$H$998)</f>
        <v>0</v>
      </c>
      <c r="R269" s="210">
        <f t="shared" si="45"/>
        <v>0</v>
      </c>
      <c r="S269" s="210">
        <f t="shared" si="47"/>
        <v>1851685.3100000003</v>
      </c>
      <c r="T269" s="209">
        <f t="shared" si="46"/>
        <v>0</v>
      </c>
      <c r="U269" s="209">
        <f>+SUMIFS('A DEPOSITAR'!$H$2:$H$998,'A DEPOSITAR'!$D$2:$D$998,(O269-2),'A DEPOSITAR'!$I$2:$I$998,"A Depositar")</f>
        <v>0</v>
      </c>
      <c r="V269" s="6"/>
      <c r="W269" s="6"/>
      <c r="X269" s="6"/>
      <c r="Y269" s="6"/>
      <c r="Z269" s="6"/>
    </row>
    <row r="270" spans="1:26" ht="12.75" x14ac:dyDescent="0.2">
      <c r="A270" s="31">
        <v>43981</v>
      </c>
      <c r="B270" s="29" t="s">
        <v>389</v>
      </c>
      <c r="C270" s="29">
        <v>77747429</v>
      </c>
      <c r="D270" s="30">
        <v>4700</v>
      </c>
      <c r="E270" s="29" t="s">
        <v>22</v>
      </c>
      <c r="F270" s="7">
        <v>43878</v>
      </c>
      <c r="G270" s="18"/>
      <c r="H270" s="16">
        <f t="shared" si="40"/>
        <v>30</v>
      </c>
      <c r="I270" s="16">
        <f t="shared" si="41"/>
        <v>5</v>
      </c>
      <c r="J270" s="122">
        <f t="shared" si="42"/>
        <v>2020</v>
      </c>
      <c r="K270" s="64">
        <f t="shared" si="43"/>
        <v>44041</v>
      </c>
      <c r="L270" s="6"/>
      <c r="M270" s="6"/>
      <c r="O270" s="208">
        <v>43915</v>
      </c>
      <c r="P270" s="209">
        <f t="shared" si="44"/>
        <v>0</v>
      </c>
      <c r="Q270" s="209">
        <f>+SUMIF('A DEPOSITAR'!$D$2:$D$998,(O270-2),'A DEPOSITAR'!$H$2:$H$998)</f>
        <v>4904</v>
      </c>
      <c r="R270" s="210">
        <f t="shared" si="45"/>
        <v>4904</v>
      </c>
      <c r="S270" s="210">
        <f t="shared" si="47"/>
        <v>1856589.3100000003</v>
      </c>
      <c r="T270" s="209">
        <f t="shared" si="46"/>
        <v>0</v>
      </c>
      <c r="U270" s="209">
        <f>+SUMIFS('A DEPOSITAR'!$H$2:$H$998,'A DEPOSITAR'!$D$2:$D$998,(O270-2),'A DEPOSITAR'!$I$2:$I$998,"A Depositar")</f>
        <v>0</v>
      </c>
      <c r="V270" s="6"/>
      <c r="W270" s="6"/>
      <c r="X270" s="6"/>
      <c r="Y270" s="6"/>
      <c r="Z270" s="6"/>
    </row>
    <row r="271" spans="1:26" ht="12.75" x14ac:dyDescent="0.2">
      <c r="A271" s="31">
        <v>43912</v>
      </c>
      <c r="B271" s="29" t="s">
        <v>98</v>
      </c>
      <c r="C271" s="29">
        <v>77747430</v>
      </c>
      <c r="D271" s="30">
        <v>6875.84</v>
      </c>
      <c r="E271" s="29" t="s">
        <v>22</v>
      </c>
      <c r="F271" s="7">
        <v>43878</v>
      </c>
      <c r="G271" s="18"/>
      <c r="H271" s="16">
        <f t="shared" si="40"/>
        <v>22</v>
      </c>
      <c r="I271" s="16">
        <f t="shared" si="41"/>
        <v>3</v>
      </c>
      <c r="J271" s="122">
        <f t="shared" si="42"/>
        <v>2020</v>
      </c>
      <c r="K271" s="64">
        <f t="shared" si="43"/>
        <v>43972</v>
      </c>
      <c r="L271" s="6"/>
      <c r="M271" s="6"/>
      <c r="O271" s="208">
        <v>43916</v>
      </c>
      <c r="P271" s="209">
        <f t="shared" si="44"/>
        <v>0</v>
      </c>
      <c r="Q271" s="209">
        <f>+SUMIF('A DEPOSITAR'!$D$2:$D$998,(O271-2),'A DEPOSITAR'!$H$2:$H$998)</f>
        <v>0</v>
      </c>
      <c r="R271" s="210">
        <f t="shared" si="45"/>
        <v>0</v>
      </c>
      <c r="S271" s="210">
        <f t="shared" si="47"/>
        <v>1856589.3100000003</v>
      </c>
      <c r="T271" s="209">
        <f t="shared" si="46"/>
        <v>0</v>
      </c>
      <c r="U271" s="209">
        <f>+SUMIFS('A DEPOSITAR'!$H$2:$H$998,'A DEPOSITAR'!$D$2:$D$998,(O271-2),'A DEPOSITAR'!$I$2:$I$998,"A Depositar")</f>
        <v>0</v>
      </c>
      <c r="V271" s="6"/>
      <c r="W271" s="6"/>
      <c r="X271" s="6"/>
      <c r="Y271" s="6"/>
      <c r="Z271" s="6"/>
    </row>
    <row r="272" spans="1:26" ht="12.75" x14ac:dyDescent="0.2">
      <c r="A272" s="31">
        <v>43897</v>
      </c>
      <c r="B272" s="29" t="s">
        <v>96</v>
      </c>
      <c r="C272" s="29">
        <v>77747431</v>
      </c>
      <c r="D272" s="30">
        <v>4813</v>
      </c>
      <c r="E272" s="29" t="s">
        <v>22</v>
      </c>
      <c r="F272" s="7">
        <v>43878</v>
      </c>
      <c r="G272" s="18"/>
      <c r="H272" s="16">
        <f t="shared" si="40"/>
        <v>7</v>
      </c>
      <c r="I272" s="16">
        <f t="shared" si="41"/>
        <v>3</v>
      </c>
      <c r="J272" s="122">
        <f t="shared" si="42"/>
        <v>2020</v>
      </c>
      <c r="K272" s="64">
        <f t="shared" si="43"/>
        <v>43957</v>
      </c>
      <c r="L272" s="6"/>
      <c r="M272" s="6"/>
      <c r="O272" s="208">
        <v>43917</v>
      </c>
      <c r="P272" s="209">
        <f t="shared" si="44"/>
        <v>0</v>
      </c>
      <c r="Q272" s="209">
        <f>+SUMIF('A DEPOSITAR'!$D$2:$D$998,(O272-2),'A DEPOSITAR'!$H$2:$H$998)</f>
        <v>0</v>
      </c>
      <c r="R272" s="210">
        <f t="shared" si="45"/>
        <v>0</v>
      </c>
      <c r="S272" s="210">
        <f t="shared" si="47"/>
        <v>1856589.3100000003</v>
      </c>
      <c r="T272" s="209">
        <f t="shared" si="46"/>
        <v>0</v>
      </c>
      <c r="U272" s="209">
        <f>+SUMIFS('A DEPOSITAR'!$H$2:$H$998,'A DEPOSITAR'!$D$2:$D$998,(O272-2),'A DEPOSITAR'!$I$2:$I$998,"A Depositar")</f>
        <v>0</v>
      </c>
      <c r="V272" s="6"/>
      <c r="W272" s="6"/>
      <c r="X272" s="6"/>
      <c r="Y272" s="6"/>
      <c r="Z272" s="6"/>
    </row>
    <row r="273" spans="1:26" ht="12.75" x14ac:dyDescent="0.2">
      <c r="A273" s="31">
        <v>43906</v>
      </c>
      <c r="B273" s="29" t="s">
        <v>96</v>
      </c>
      <c r="C273" s="29">
        <v>77747432</v>
      </c>
      <c r="D273" s="30">
        <v>5000.6899999999996</v>
      </c>
      <c r="E273" s="29" t="s">
        <v>327</v>
      </c>
      <c r="F273" s="7">
        <v>43878</v>
      </c>
      <c r="G273" s="18"/>
      <c r="H273" s="16">
        <f t="shared" si="40"/>
        <v>16</v>
      </c>
      <c r="I273" s="16">
        <f t="shared" si="41"/>
        <v>3</v>
      </c>
      <c r="J273" s="122">
        <f t="shared" si="42"/>
        <v>2020</v>
      </c>
      <c r="K273" s="125">
        <f t="shared" si="43"/>
        <v>43966</v>
      </c>
      <c r="L273" s="6"/>
      <c r="M273" s="6"/>
      <c r="O273" s="208">
        <v>43918</v>
      </c>
      <c r="P273" s="209">
        <f t="shared" si="44"/>
        <v>0</v>
      </c>
      <c r="Q273" s="209">
        <f>+SUMIF('A DEPOSITAR'!$D$2:$D$998,(O273-2),'A DEPOSITAR'!$H$2:$H$998)</f>
        <v>0</v>
      </c>
      <c r="R273" s="210">
        <f t="shared" si="45"/>
        <v>0</v>
      </c>
      <c r="S273" s="210">
        <f t="shared" si="47"/>
        <v>1856589.3100000003</v>
      </c>
      <c r="T273" s="209">
        <f t="shared" si="46"/>
        <v>0</v>
      </c>
      <c r="U273" s="209">
        <f>+SUMIFS('A DEPOSITAR'!$H$2:$H$998,'A DEPOSITAR'!$D$2:$D$998,(O273-2),'A DEPOSITAR'!$I$2:$I$998,"A Depositar")</f>
        <v>0</v>
      </c>
      <c r="V273" s="6"/>
      <c r="W273" s="6"/>
      <c r="X273" s="6"/>
      <c r="Y273" s="6"/>
      <c r="Z273" s="6"/>
    </row>
    <row r="274" spans="1:26" ht="12.75" x14ac:dyDescent="0.2">
      <c r="A274" s="31">
        <v>43912</v>
      </c>
      <c r="B274" s="29" t="s">
        <v>96</v>
      </c>
      <c r="C274" s="29">
        <v>77747433</v>
      </c>
      <c r="D274" s="30">
        <v>5200</v>
      </c>
      <c r="E274" s="29" t="s">
        <v>22</v>
      </c>
      <c r="F274" s="7">
        <v>43878</v>
      </c>
      <c r="G274" s="18"/>
      <c r="H274" s="16">
        <f t="shared" si="40"/>
        <v>22</v>
      </c>
      <c r="I274" s="16">
        <f t="shared" si="41"/>
        <v>3</v>
      </c>
      <c r="J274" s="122">
        <f t="shared" si="42"/>
        <v>2020</v>
      </c>
      <c r="K274" s="64">
        <f t="shared" si="43"/>
        <v>43972</v>
      </c>
      <c r="L274" s="6"/>
      <c r="M274" s="6"/>
      <c r="O274" s="208">
        <v>43919</v>
      </c>
      <c r="P274" s="209">
        <f t="shared" si="44"/>
        <v>0</v>
      </c>
      <c r="Q274" s="209">
        <f>+SUMIF('A DEPOSITAR'!$D$2:$D$998,(O274-2),'A DEPOSITAR'!$H$2:$H$998)</f>
        <v>22176</v>
      </c>
      <c r="R274" s="210">
        <f t="shared" si="45"/>
        <v>22176</v>
      </c>
      <c r="S274" s="210">
        <f t="shared" si="47"/>
        <v>1878765.3100000003</v>
      </c>
      <c r="T274" s="209">
        <f t="shared" si="46"/>
        <v>0</v>
      </c>
      <c r="U274" s="209">
        <f>+SUMIFS('A DEPOSITAR'!$H$2:$H$998,'A DEPOSITAR'!$D$2:$D$998,(O274-2),'A DEPOSITAR'!$I$2:$I$998,"A Depositar")</f>
        <v>0</v>
      </c>
      <c r="V274" s="6"/>
      <c r="W274" s="6"/>
      <c r="X274" s="6"/>
      <c r="Y274" s="6"/>
      <c r="Z274" s="6"/>
    </row>
    <row r="275" spans="1:26" ht="12.75" x14ac:dyDescent="0.2">
      <c r="A275" s="31">
        <v>43921</v>
      </c>
      <c r="B275" s="29" t="s">
        <v>96</v>
      </c>
      <c r="C275" s="29">
        <v>77747434</v>
      </c>
      <c r="D275" s="30">
        <v>5300</v>
      </c>
      <c r="E275" s="29" t="s">
        <v>22</v>
      </c>
      <c r="F275" s="7">
        <v>43878</v>
      </c>
      <c r="G275" s="18"/>
      <c r="H275" s="16">
        <f t="shared" si="40"/>
        <v>31</v>
      </c>
      <c r="I275" s="16">
        <f t="shared" si="41"/>
        <v>3</v>
      </c>
      <c r="J275" s="122">
        <f t="shared" si="42"/>
        <v>2020</v>
      </c>
      <c r="K275" s="64">
        <f t="shared" si="43"/>
        <v>43981</v>
      </c>
      <c r="L275" s="6"/>
      <c r="M275" s="6"/>
      <c r="O275" s="208">
        <v>43920</v>
      </c>
      <c r="P275" s="209">
        <f t="shared" si="44"/>
        <v>73863.179999999993</v>
      </c>
      <c r="Q275" s="209">
        <f>+SUMIF('A DEPOSITAR'!$D$2:$D$998,(O275-2),'A DEPOSITAR'!$H$2:$H$998)</f>
        <v>11200</v>
      </c>
      <c r="R275" s="210">
        <f t="shared" si="45"/>
        <v>-62663.179999999993</v>
      </c>
      <c r="S275" s="210">
        <f t="shared" si="47"/>
        <v>1816102.1300000004</v>
      </c>
      <c r="T275" s="209">
        <f t="shared" si="46"/>
        <v>0</v>
      </c>
      <c r="U275" s="209">
        <f>+SUMIFS('A DEPOSITAR'!$H$2:$H$998,'A DEPOSITAR'!$D$2:$D$998,(O275-2),'A DEPOSITAR'!$I$2:$I$998,"A Depositar")</f>
        <v>0</v>
      </c>
      <c r="V275" s="6"/>
      <c r="W275" s="6"/>
      <c r="X275" s="6"/>
      <c r="Y275" s="6"/>
      <c r="Z275" s="6"/>
    </row>
    <row r="276" spans="1:26" ht="12.75" x14ac:dyDescent="0.2">
      <c r="A276" s="31">
        <v>43920</v>
      </c>
      <c r="B276" s="29" t="s">
        <v>94</v>
      </c>
      <c r="C276" s="29">
        <v>77747435</v>
      </c>
      <c r="D276" s="30">
        <v>7450</v>
      </c>
      <c r="E276" s="29" t="s">
        <v>22</v>
      </c>
      <c r="F276" s="7">
        <v>43879</v>
      </c>
      <c r="G276" s="18"/>
      <c r="H276" s="16">
        <f t="shared" si="40"/>
        <v>30</v>
      </c>
      <c r="I276" s="16">
        <f t="shared" si="41"/>
        <v>3</v>
      </c>
      <c r="J276" s="122">
        <f t="shared" si="42"/>
        <v>2020</v>
      </c>
      <c r="K276" s="64">
        <f t="shared" si="43"/>
        <v>43980</v>
      </c>
      <c r="L276" s="6"/>
      <c r="M276" s="6"/>
      <c r="O276" s="208">
        <v>43921</v>
      </c>
      <c r="P276" s="209">
        <f t="shared" si="44"/>
        <v>56563</v>
      </c>
      <c r="Q276" s="209">
        <f>+SUMIF('A DEPOSITAR'!$D$2:$D$998,(O276-2),'A DEPOSITAR'!$H$2:$H$998)</f>
        <v>0</v>
      </c>
      <c r="R276" s="210">
        <f t="shared" si="45"/>
        <v>-56563</v>
      </c>
      <c r="S276" s="210">
        <f t="shared" si="47"/>
        <v>1759539.1300000004</v>
      </c>
      <c r="T276" s="209">
        <f t="shared" si="46"/>
        <v>0</v>
      </c>
      <c r="U276" s="209">
        <f>+SUMIFS('A DEPOSITAR'!$H$2:$H$998,'A DEPOSITAR'!$D$2:$D$998,(O276-2),'A DEPOSITAR'!$I$2:$I$998,"A Depositar")</f>
        <v>0</v>
      </c>
      <c r="V276" s="6"/>
      <c r="W276" s="6"/>
      <c r="X276" s="6"/>
      <c r="Y276" s="6"/>
      <c r="Z276" s="6"/>
    </row>
    <row r="277" spans="1:26" ht="12.75" x14ac:dyDescent="0.2">
      <c r="A277" s="36">
        <v>43929</v>
      </c>
      <c r="B277" s="29" t="s">
        <v>94</v>
      </c>
      <c r="C277" s="29">
        <v>77747436</v>
      </c>
      <c r="D277" s="30">
        <v>7550</v>
      </c>
      <c r="E277" s="29" t="s">
        <v>22</v>
      </c>
      <c r="F277" s="7">
        <v>43879</v>
      </c>
      <c r="G277" s="18"/>
      <c r="H277" s="16">
        <f t="shared" si="40"/>
        <v>8</v>
      </c>
      <c r="I277" s="16">
        <f t="shared" si="41"/>
        <v>4</v>
      </c>
      <c r="J277" s="122">
        <f t="shared" si="42"/>
        <v>2020</v>
      </c>
      <c r="K277" s="64">
        <f t="shared" si="43"/>
        <v>43989</v>
      </c>
      <c r="L277" s="6"/>
      <c r="M277" s="6"/>
      <c r="O277" s="208">
        <v>43922</v>
      </c>
      <c r="P277" s="209">
        <f t="shared" si="44"/>
        <v>0</v>
      </c>
      <c r="Q277" s="209">
        <f>+SUMIF('A DEPOSITAR'!$D$2:$D$998,(O277-2),'A DEPOSITAR'!$H$2:$H$998)</f>
        <v>6376</v>
      </c>
      <c r="R277" s="210">
        <f t="shared" si="45"/>
        <v>6376</v>
      </c>
      <c r="S277" s="210">
        <f t="shared" si="47"/>
        <v>1765915.1300000004</v>
      </c>
      <c r="T277" s="209">
        <f t="shared" si="46"/>
        <v>0</v>
      </c>
      <c r="U277" s="209">
        <f>+SUMIFS('A DEPOSITAR'!$H$2:$H$998,'A DEPOSITAR'!$D$2:$D$998,(O277-2),'A DEPOSITAR'!$I$2:$I$998,"A Depositar")</f>
        <v>0</v>
      </c>
      <c r="V277" s="6"/>
      <c r="W277" s="6"/>
      <c r="X277" s="6"/>
      <c r="Y277" s="6"/>
      <c r="Z277" s="6"/>
    </row>
    <row r="278" spans="1:26" ht="12.75" x14ac:dyDescent="0.2">
      <c r="A278" s="31">
        <v>43937</v>
      </c>
      <c r="B278" s="29" t="s">
        <v>94</v>
      </c>
      <c r="C278" s="29">
        <v>77747437</v>
      </c>
      <c r="D278" s="30">
        <v>7650</v>
      </c>
      <c r="E278" s="29" t="s">
        <v>22</v>
      </c>
      <c r="F278" s="7">
        <v>43879</v>
      </c>
      <c r="G278" s="18"/>
      <c r="H278" s="16">
        <f t="shared" si="40"/>
        <v>16</v>
      </c>
      <c r="I278" s="16">
        <f t="shared" si="41"/>
        <v>4</v>
      </c>
      <c r="J278" s="122">
        <f t="shared" si="42"/>
        <v>2020</v>
      </c>
      <c r="K278" s="64">
        <f t="shared" si="43"/>
        <v>43997</v>
      </c>
      <c r="L278" s="6"/>
      <c r="M278" s="6"/>
      <c r="O278" s="208">
        <v>43923</v>
      </c>
      <c r="P278" s="209">
        <f t="shared" si="44"/>
        <v>0</v>
      </c>
      <c r="Q278" s="209">
        <f>+SUMIF('A DEPOSITAR'!$D$2:$D$998,(O278-2),'A DEPOSITAR'!$H$2:$H$998)</f>
        <v>81313</v>
      </c>
      <c r="R278" s="210">
        <f t="shared" si="45"/>
        <v>81313</v>
      </c>
      <c r="S278" s="210">
        <f t="shared" si="47"/>
        <v>1847228.1300000004</v>
      </c>
      <c r="T278" s="209">
        <f t="shared" si="46"/>
        <v>0</v>
      </c>
      <c r="U278" s="209">
        <f>+SUMIFS('A DEPOSITAR'!$H$2:$H$998,'A DEPOSITAR'!$D$2:$D$998,(O278-2),'A DEPOSITAR'!$I$2:$I$998,"A Depositar")</f>
        <v>0</v>
      </c>
      <c r="V278" s="6"/>
      <c r="W278" s="6"/>
      <c r="X278" s="6"/>
      <c r="Y278" s="6"/>
      <c r="Z278" s="6"/>
    </row>
    <row r="279" spans="1:26" ht="12.75" x14ac:dyDescent="0.2">
      <c r="A279" s="31">
        <v>43943</v>
      </c>
      <c r="B279" s="29" t="s">
        <v>94</v>
      </c>
      <c r="C279" s="29">
        <v>77747438</v>
      </c>
      <c r="D279" s="30">
        <v>7775.48</v>
      </c>
      <c r="E279" s="29" t="s">
        <v>22</v>
      </c>
      <c r="F279" s="7">
        <v>43879</v>
      </c>
      <c r="G279" s="18"/>
      <c r="H279" s="16">
        <f t="shared" ref="H279:H342" si="48">DAY(A279)</f>
        <v>22</v>
      </c>
      <c r="I279" s="16">
        <f t="shared" ref="I279:I342" si="49">MONTH(A279)</f>
        <v>4</v>
      </c>
      <c r="J279" s="122">
        <f t="shared" ref="J279:J342" si="50">YEAR(A279)</f>
        <v>2020</v>
      </c>
      <c r="K279" s="64">
        <f t="shared" si="43"/>
        <v>44003</v>
      </c>
      <c r="L279" s="6"/>
      <c r="M279" s="6"/>
      <c r="O279" s="208">
        <v>43924</v>
      </c>
      <c r="P279" s="209">
        <f t="shared" si="44"/>
        <v>0</v>
      </c>
      <c r="Q279" s="209">
        <f>+SUMIF('A DEPOSITAR'!$D$2:$D$998,(O279-2),'A DEPOSITAR'!$H$2:$H$998)</f>
        <v>0</v>
      </c>
      <c r="R279" s="210">
        <f t="shared" si="45"/>
        <v>0</v>
      </c>
      <c r="S279" s="210">
        <f t="shared" si="47"/>
        <v>1847228.1300000004</v>
      </c>
      <c r="T279" s="209">
        <f t="shared" si="46"/>
        <v>0</v>
      </c>
      <c r="U279" s="209">
        <f>+SUMIFS('A DEPOSITAR'!$H$2:$H$998,'A DEPOSITAR'!$D$2:$D$998,(O279-2),'A DEPOSITAR'!$I$2:$I$998,"A Depositar")</f>
        <v>0</v>
      </c>
      <c r="V279" s="6"/>
      <c r="W279" s="6"/>
      <c r="X279" s="6"/>
      <c r="Y279" s="6"/>
      <c r="Z279" s="6"/>
    </row>
    <row r="280" spans="1:26" ht="12.75" x14ac:dyDescent="0.2">
      <c r="A280" s="31">
        <v>43951</v>
      </c>
      <c r="B280" s="29" t="s">
        <v>94</v>
      </c>
      <c r="C280" s="29">
        <v>77747439</v>
      </c>
      <c r="D280" s="30">
        <v>7850</v>
      </c>
      <c r="E280" s="29" t="s">
        <v>327</v>
      </c>
      <c r="F280" s="7">
        <v>43879</v>
      </c>
      <c r="G280" s="18"/>
      <c r="H280" s="16">
        <f t="shared" si="48"/>
        <v>30</v>
      </c>
      <c r="I280" s="16">
        <f t="shared" si="49"/>
        <v>4</v>
      </c>
      <c r="J280" s="122">
        <f t="shared" si="50"/>
        <v>2020</v>
      </c>
      <c r="K280" s="125">
        <f t="shared" si="43"/>
        <v>44011</v>
      </c>
      <c r="L280" s="6"/>
      <c r="M280" s="6"/>
      <c r="O280" s="208">
        <v>43925</v>
      </c>
      <c r="P280" s="209">
        <f t="shared" si="44"/>
        <v>0</v>
      </c>
      <c r="Q280" s="209">
        <f>+SUMIF('A DEPOSITAR'!$D$2:$D$998,(O280-2),'A DEPOSITAR'!$H$2:$H$998)</f>
        <v>15493.33</v>
      </c>
      <c r="R280" s="210">
        <f t="shared" si="45"/>
        <v>15493.33</v>
      </c>
      <c r="S280" s="210">
        <f t="shared" si="47"/>
        <v>1862721.4600000004</v>
      </c>
      <c r="T280" s="209">
        <f t="shared" si="46"/>
        <v>0</v>
      </c>
      <c r="U280" s="209">
        <f>+SUMIFS('A DEPOSITAR'!$H$2:$H$998,'A DEPOSITAR'!$D$2:$D$998,(O280-2),'A DEPOSITAR'!$I$2:$I$998,"A Depositar")</f>
        <v>0</v>
      </c>
      <c r="V280" s="6"/>
      <c r="W280" s="6"/>
      <c r="X280" s="6"/>
      <c r="Y280" s="6"/>
      <c r="Z280" s="6"/>
    </row>
    <row r="281" spans="1:26" ht="12.75" x14ac:dyDescent="0.2">
      <c r="A281" s="31">
        <v>43959</v>
      </c>
      <c r="B281" s="29" t="s">
        <v>222</v>
      </c>
      <c r="C281" s="29">
        <v>77747440</v>
      </c>
      <c r="D281" s="30">
        <v>7950</v>
      </c>
      <c r="E281" s="29" t="s">
        <v>22</v>
      </c>
      <c r="F281" s="7">
        <v>44051</v>
      </c>
      <c r="G281" s="18"/>
      <c r="H281" s="16">
        <f t="shared" si="48"/>
        <v>8</v>
      </c>
      <c r="I281" s="16">
        <f t="shared" si="49"/>
        <v>5</v>
      </c>
      <c r="J281" s="122">
        <f t="shared" si="50"/>
        <v>2020</v>
      </c>
      <c r="K281" s="64">
        <f t="shared" si="43"/>
        <v>44019</v>
      </c>
      <c r="L281" s="6"/>
      <c r="M281" s="6"/>
      <c r="O281" s="208">
        <v>43926</v>
      </c>
      <c r="P281" s="209">
        <f t="shared" si="44"/>
        <v>0</v>
      </c>
      <c r="Q281" s="209">
        <f>+SUMIF('A DEPOSITAR'!$D$2:$D$998,(O281-2),'A DEPOSITAR'!$H$2:$H$998)</f>
        <v>0</v>
      </c>
      <c r="R281" s="210">
        <f t="shared" si="45"/>
        <v>0</v>
      </c>
      <c r="S281" s="210">
        <f t="shared" si="47"/>
        <v>1862721.4600000004</v>
      </c>
      <c r="T281" s="209">
        <f t="shared" si="46"/>
        <v>0</v>
      </c>
      <c r="U281" s="209">
        <f>+SUMIFS('A DEPOSITAR'!$H$2:$H$998,'A DEPOSITAR'!$D$2:$D$998,(O281-2),'A DEPOSITAR'!$I$2:$I$998,"A Depositar")</f>
        <v>0</v>
      </c>
      <c r="V281" s="6"/>
      <c r="W281" s="6"/>
      <c r="X281" s="6"/>
      <c r="Y281" s="6"/>
      <c r="Z281" s="6"/>
    </row>
    <row r="282" spans="1:26" ht="12.75" x14ac:dyDescent="0.2">
      <c r="A282" s="31">
        <v>44064</v>
      </c>
      <c r="B282" s="29" t="s">
        <v>222</v>
      </c>
      <c r="C282" s="29">
        <v>77747441</v>
      </c>
      <c r="D282" s="30">
        <v>8150</v>
      </c>
      <c r="E282" s="29" t="s">
        <v>22</v>
      </c>
      <c r="F282" s="7">
        <v>43957</v>
      </c>
      <c r="G282" s="18"/>
      <c r="H282" s="16">
        <f t="shared" si="48"/>
        <v>21</v>
      </c>
      <c r="I282" s="16">
        <f t="shared" si="49"/>
        <v>8</v>
      </c>
      <c r="J282" s="122">
        <f t="shared" si="50"/>
        <v>2020</v>
      </c>
      <c r="K282" s="64">
        <f t="shared" si="43"/>
        <v>44124</v>
      </c>
      <c r="L282" s="6"/>
      <c r="M282" s="6"/>
      <c r="O282" s="208">
        <v>43927</v>
      </c>
      <c r="P282" s="209">
        <f t="shared" si="44"/>
        <v>0</v>
      </c>
      <c r="Q282" s="209">
        <f>+SUMIF('A DEPOSITAR'!$D$2:$D$998,(O282-2),'A DEPOSITAR'!$H$2:$H$998)</f>
        <v>0</v>
      </c>
      <c r="R282" s="210">
        <f t="shared" si="45"/>
        <v>0</v>
      </c>
      <c r="S282" s="210">
        <f t="shared" si="47"/>
        <v>1862721.4600000004</v>
      </c>
      <c r="T282" s="209">
        <f t="shared" si="46"/>
        <v>0</v>
      </c>
      <c r="U282" s="209">
        <f>+SUMIFS('A DEPOSITAR'!$H$2:$H$998,'A DEPOSITAR'!$D$2:$D$998,(O282-2),'A DEPOSITAR'!$I$2:$I$998,"A Depositar")</f>
        <v>0</v>
      </c>
      <c r="V282" s="6"/>
      <c r="W282" s="6"/>
      <c r="X282" s="6"/>
      <c r="Y282" s="6"/>
      <c r="Z282" s="6"/>
    </row>
    <row r="283" spans="1:26" ht="12.75" x14ac:dyDescent="0.2">
      <c r="A283" s="31">
        <v>43973</v>
      </c>
      <c r="B283" s="29" t="s">
        <v>396</v>
      </c>
      <c r="C283" s="29">
        <v>77747442</v>
      </c>
      <c r="D283" s="30">
        <v>5752.41</v>
      </c>
      <c r="E283" s="29" t="s">
        <v>22</v>
      </c>
      <c r="F283" s="7">
        <v>43880</v>
      </c>
      <c r="G283" s="18"/>
      <c r="H283" s="16">
        <f t="shared" si="48"/>
        <v>22</v>
      </c>
      <c r="I283" s="16">
        <f t="shared" si="49"/>
        <v>5</v>
      </c>
      <c r="J283" s="122">
        <f t="shared" si="50"/>
        <v>2020</v>
      </c>
      <c r="K283" s="64">
        <f t="shared" si="43"/>
        <v>44033</v>
      </c>
      <c r="L283" s="6"/>
      <c r="M283" s="6"/>
      <c r="O283" s="208">
        <v>43928</v>
      </c>
      <c r="P283" s="209">
        <f t="shared" si="44"/>
        <v>0</v>
      </c>
      <c r="Q283" s="209">
        <f>+SUMIF('A DEPOSITAR'!$D$2:$D$998,(O283-2),'A DEPOSITAR'!$H$2:$H$998)</f>
        <v>0</v>
      </c>
      <c r="R283" s="210">
        <f t="shared" si="45"/>
        <v>0</v>
      </c>
      <c r="S283" s="210">
        <f t="shared" si="47"/>
        <v>1862721.4600000004</v>
      </c>
      <c r="T283" s="209">
        <f t="shared" si="46"/>
        <v>0</v>
      </c>
      <c r="U283" s="209">
        <f>+SUMIFS('A DEPOSITAR'!$H$2:$H$998,'A DEPOSITAR'!$D$2:$D$998,(O283-2),'A DEPOSITAR'!$I$2:$I$998,"A Depositar")</f>
        <v>0</v>
      </c>
      <c r="V283" s="6"/>
      <c r="W283" s="6"/>
      <c r="X283" s="6"/>
      <c r="Y283" s="6"/>
      <c r="Z283" s="6"/>
    </row>
    <row r="284" spans="1:26" ht="12.75" x14ac:dyDescent="0.2">
      <c r="A284" s="31">
        <v>43943</v>
      </c>
      <c r="B284" s="29" t="s">
        <v>396</v>
      </c>
      <c r="C284" s="29">
        <v>77747443</v>
      </c>
      <c r="D284" s="30">
        <v>3220</v>
      </c>
      <c r="E284" s="29" t="s">
        <v>22</v>
      </c>
      <c r="F284" s="7">
        <v>43880</v>
      </c>
      <c r="G284" s="18"/>
      <c r="H284" s="16">
        <f t="shared" si="48"/>
        <v>22</v>
      </c>
      <c r="I284" s="16">
        <f t="shared" si="49"/>
        <v>4</v>
      </c>
      <c r="J284" s="122">
        <f t="shared" si="50"/>
        <v>2020</v>
      </c>
      <c r="K284" s="64">
        <f t="shared" si="43"/>
        <v>44003</v>
      </c>
      <c r="L284" s="6"/>
      <c r="M284" s="6"/>
      <c r="O284" s="208">
        <v>43929</v>
      </c>
      <c r="P284" s="209">
        <f t="shared" si="44"/>
        <v>79859.95</v>
      </c>
      <c r="Q284" s="209">
        <f>+SUMIF('A DEPOSITAR'!$D$2:$D$998,(O284-2),'A DEPOSITAR'!$H$2:$H$998)</f>
        <v>5000</v>
      </c>
      <c r="R284" s="210">
        <f t="shared" si="45"/>
        <v>-74859.95</v>
      </c>
      <c r="S284" s="210">
        <f t="shared" si="47"/>
        <v>1787861.5100000005</v>
      </c>
      <c r="T284" s="209">
        <f t="shared" si="46"/>
        <v>0</v>
      </c>
      <c r="U284" s="209">
        <f>+SUMIFS('A DEPOSITAR'!$H$2:$H$998,'A DEPOSITAR'!$D$2:$D$998,(O284-2),'A DEPOSITAR'!$I$2:$I$998,"A Depositar")</f>
        <v>0</v>
      </c>
      <c r="V284" s="6"/>
      <c r="W284" s="6"/>
      <c r="X284" s="6"/>
      <c r="Y284" s="6"/>
      <c r="Z284" s="6"/>
    </row>
    <row r="285" spans="1:26" ht="12.75" x14ac:dyDescent="0.2">
      <c r="A285" s="31">
        <v>43951</v>
      </c>
      <c r="B285" s="29" t="s">
        <v>396</v>
      </c>
      <c r="C285" s="29">
        <v>77747444</v>
      </c>
      <c r="D285" s="30">
        <v>3208.25</v>
      </c>
      <c r="E285" s="29" t="s">
        <v>22</v>
      </c>
      <c r="F285" s="7">
        <v>43880</v>
      </c>
      <c r="G285" s="18"/>
      <c r="H285" s="16">
        <f t="shared" si="48"/>
        <v>30</v>
      </c>
      <c r="I285" s="16">
        <f t="shared" si="49"/>
        <v>4</v>
      </c>
      <c r="J285" s="122">
        <f t="shared" si="50"/>
        <v>2020</v>
      </c>
      <c r="K285" s="64">
        <f t="shared" si="43"/>
        <v>44011</v>
      </c>
      <c r="L285" s="6"/>
      <c r="M285" s="6"/>
      <c r="O285" s="208">
        <v>43930</v>
      </c>
      <c r="P285" s="209">
        <f t="shared" si="44"/>
        <v>0</v>
      </c>
      <c r="Q285" s="209">
        <f>+SUMIF('A DEPOSITAR'!$D$2:$D$998,(O285-2),'A DEPOSITAR'!$H$2:$H$998)</f>
        <v>0</v>
      </c>
      <c r="R285" s="210">
        <f t="shared" si="45"/>
        <v>0</v>
      </c>
      <c r="S285" s="210">
        <f t="shared" si="47"/>
        <v>1787861.5100000005</v>
      </c>
      <c r="T285" s="209">
        <f t="shared" si="46"/>
        <v>0</v>
      </c>
      <c r="U285" s="209">
        <f>+SUMIFS('A DEPOSITAR'!$H$2:$H$998,'A DEPOSITAR'!$D$2:$D$998,(O285-2),'A DEPOSITAR'!$I$2:$I$998,"A Depositar")</f>
        <v>0</v>
      </c>
      <c r="V285" s="6"/>
      <c r="W285" s="6"/>
      <c r="X285" s="6"/>
      <c r="Y285" s="6"/>
      <c r="Z285" s="6"/>
    </row>
    <row r="286" spans="1:26" ht="12.75" x14ac:dyDescent="0.2">
      <c r="A286" s="31">
        <v>43951</v>
      </c>
      <c r="B286" s="29" t="s">
        <v>756</v>
      </c>
      <c r="C286" s="29">
        <v>77747445</v>
      </c>
      <c r="D286" s="30">
        <v>2073</v>
      </c>
      <c r="E286" s="29" t="s">
        <v>22</v>
      </c>
      <c r="F286" s="7">
        <v>43895</v>
      </c>
      <c r="G286" s="18"/>
      <c r="H286" s="16">
        <f t="shared" si="48"/>
        <v>30</v>
      </c>
      <c r="I286" s="16">
        <f t="shared" si="49"/>
        <v>4</v>
      </c>
      <c r="J286" s="122">
        <f t="shared" si="50"/>
        <v>2020</v>
      </c>
      <c r="K286" s="64">
        <f t="shared" si="43"/>
        <v>44011</v>
      </c>
      <c r="L286" s="6"/>
      <c r="M286" s="6"/>
      <c r="O286" s="208">
        <v>43931</v>
      </c>
      <c r="P286" s="209">
        <f t="shared" si="44"/>
        <v>0</v>
      </c>
      <c r="Q286" s="209">
        <f>+SUMIF('A DEPOSITAR'!$D$2:$D$998,(O286-2),'A DEPOSITAR'!$H$2:$H$998)</f>
        <v>11000</v>
      </c>
      <c r="R286" s="210">
        <f t="shared" si="45"/>
        <v>11000</v>
      </c>
      <c r="S286" s="210">
        <f t="shared" si="47"/>
        <v>1798861.5100000005</v>
      </c>
      <c r="T286" s="209">
        <f t="shared" si="46"/>
        <v>0</v>
      </c>
      <c r="U286" s="209">
        <f>+SUMIFS('A DEPOSITAR'!$H$2:$H$998,'A DEPOSITAR'!$D$2:$D$998,(O286-2),'A DEPOSITAR'!$I$2:$I$998,"A Depositar")</f>
        <v>0</v>
      </c>
      <c r="V286" s="6"/>
      <c r="W286" s="6"/>
      <c r="X286" s="6"/>
      <c r="Y286" s="6"/>
      <c r="Z286" s="6"/>
    </row>
    <row r="287" spans="1:26" ht="12.75" x14ac:dyDescent="0.2">
      <c r="A287" s="31">
        <v>43951</v>
      </c>
      <c r="B287" s="29" t="s">
        <v>132</v>
      </c>
      <c r="C287" s="29">
        <v>77747446</v>
      </c>
      <c r="D287" s="30">
        <v>7000</v>
      </c>
      <c r="E287" s="29" t="s">
        <v>327</v>
      </c>
      <c r="F287" s="7">
        <v>43900</v>
      </c>
      <c r="G287" s="18"/>
      <c r="H287" s="16">
        <f t="shared" si="48"/>
        <v>30</v>
      </c>
      <c r="I287" s="16">
        <f t="shared" si="49"/>
        <v>4</v>
      </c>
      <c r="J287" s="122">
        <f t="shared" si="50"/>
        <v>2020</v>
      </c>
      <c r="K287" s="125">
        <f t="shared" si="43"/>
        <v>44011</v>
      </c>
      <c r="L287" s="6"/>
      <c r="M287" s="6"/>
      <c r="O287" s="208">
        <v>43932</v>
      </c>
      <c r="P287" s="209">
        <f t="shared" si="44"/>
        <v>0</v>
      </c>
      <c r="Q287" s="209">
        <f>+SUMIF('A DEPOSITAR'!$D$2:$D$998,(O287-2),'A DEPOSITAR'!$H$2:$H$998)</f>
        <v>0</v>
      </c>
      <c r="R287" s="210">
        <f t="shared" si="45"/>
        <v>0</v>
      </c>
      <c r="S287" s="210">
        <f t="shared" si="47"/>
        <v>1798861.5100000005</v>
      </c>
      <c r="T287" s="209">
        <f t="shared" si="46"/>
        <v>0</v>
      </c>
      <c r="U287" s="209">
        <f>+SUMIFS('A DEPOSITAR'!$H$2:$H$998,'A DEPOSITAR'!$D$2:$D$998,(O287-2),'A DEPOSITAR'!$I$2:$I$998,"A Depositar")</f>
        <v>0</v>
      </c>
      <c r="V287" s="6"/>
      <c r="W287" s="6"/>
      <c r="X287" s="6"/>
      <c r="Y287" s="6"/>
      <c r="Z287" s="6"/>
    </row>
    <row r="288" spans="1:26" ht="12.75" x14ac:dyDescent="0.2">
      <c r="A288" s="31">
        <v>43921</v>
      </c>
      <c r="B288" s="29" t="s">
        <v>139</v>
      </c>
      <c r="C288" s="29">
        <v>77747447</v>
      </c>
      <c r="D288" s="30">
        <v>16140</v>
      </c>
      <c r="E288" s="29" t="s">
        <v>22</v>
      </c>
      <c r="F288" s="7">
        <v>43888</v>
      </c>
      <c r="G288" s="18"/>
      <c r="H288" s="16">
        <f t="shared" si="48"/>
        <v>31</v>
      </c>
      <c r="I288" s="16">
        <f t="shared" si="49"/>
        <v>3</v>
      </c>
      <c r="J288" s="122">
        <f t="shared" si="50"/>
        <v>2020</v>
      </c>
      <c r="K288" s="64">
        <f t="shared" si="43"/>
        <v>43981</v>
      </c>
      <c r="L288" s="6"/>
      <c r="M288" s="6"/>
      <c r="O288" s="208">
        <v>43933</v>
      </c>
      <c r="P288" s="209">
        <f t="shared" si="44"/>
        <v>0</v>
      </c>
      <c r="Q288" s="209">
        <f>+SUMIF('A DEPOSITAR'!$D$2:$D$998,(O288-2),'A DEPOSITAR'!$H$2:$H$998)</f>
        <v>0</v>
      </c>
      <c r="R288" s="210">
        <f t="shared" si="45"/>
        <v>0</v>
      </c>
      <c r="S288" s="210">
        <f t="shared" si="47"/>
        <v>1798861.5100000005</v>
      </c>
      <c r="T288" s="209">
        <f t="shared" si="46"/>
        <v>0</v>
      </c>
      <c r="U288" s="209">
        <f>+SUMIFS('A DEPOSITAR'!$H$2:$H$998,'A DEPOSITAR'!$D$2:$D$998,(O288-2),'A DEPOSITAR'!$I$2:$I$998,"A Depositar")</f>
        <v>0</v>
      </c>
      <c r="V288" s="6"/>
      <c r="W288" s="6"/>
      <c r="X288" s="6"/>
      <c r="Y288" s="6"/>
      <c r="Z288" s="6"/>
    </row>
    <row r="289" spans="1:26" ht="12.75" x14ac:dyDescent="0.2">
      <c r="A289" s="31">
        <v>43929</v>
      </c>
      <c r="B289" s="29" t="s">
        <v>139</v>
      </c>
      <c r="C289" s="29">
        <v>77747448</v>
      </c>
      <c r="D289" s="30">
        <v>16150</v>
      </c>
      <c r="E289" s="29" t="s">
        <v>22</v>
      </c>
      <c r="F289" s="7">
        <v>43888</v>
      </c>
      <c r="G289" s="18"/>
      <c r="H289" s="16">
        <f t="shared" si="48"/>
        <v>8</v>
      </c>
      <c r="I289" s="16">
        <f t="shared" si="49"/>
        <v>4</v>
      </c>
      <c r="J289" s="122">
        <f t="shared" si="50"/>
        <v>2020</v>
      </c>
      <c r="K289" s="64">
        <f t="shared" si="43"/>
        <v>43989</v>
      </c>
      <c r="L289" s="6"/>
      <c r="M289" s="6"/>
      <c r="O289" s="208">
        <v>43934</v>
      </c>
      <c r="P289" s="209">
        <f t="shared" si="44"/>
        <v>0</v>
      </c>
      <c r="Q289" s="209">
        <f>+SUMIF('A DEPOSITAR'!$D$2:$D$998,(O289-2),'A DEPOSITAR'!$H$2:$H$998)</f>
        <v>0</v>
      </c>
      <c r="R289" s="210">
        <f t="shared" si="45"/>
        <v>0</v>
      </c>
      <c r="S289" s="210">
        <f t="shared" si="47"/>
        <v>1798861.5100000005</v>
      </c>
      <c r="T289" s="209">
        <f t="shared" si="46"/>
        <v>0</v>
      </c>
      <c r="U289" s="209">
        <f>+SUMIFS('A DEPOSITAR'!$H$2:$H$998,'A DEPOSITAR'!$D$2:$D$998,(O289-2),'A DEPOSITAR'!$I$2:$I$998,"A Depositar")</f>
        <v>0</v>
      </c>
      <c r="V289" s="6"/>
      <c r="W289" s="6"/>
      <c r="X289" s="6"/>
      <c r="Y289" s="6"/>
      <c r="Z289" s="6"/>
    </row>
    <row r="290" spans="1:26" ht="12.75" x14ac:dyDescent="0.2">
      <c r="A290" s="31">
        <v>43937</v>
      </c>
      <c r="B290" s="29" t="s">
        <v>139</v>
      </c>
      <c r="C290" s="29">
        <v>77747449</v>
      </c>
      <c r="D290" s="30">
        <v>16160</v>
      </c>
      <c r="E290" s="29" t="s">
        <v>22</v>
      </c>
      <c r="F290" s="7">
        <v>43888</v>
      </c>
      <c r="G290" s="18"/>
      <c r="H290" s="16">
        <f t="shared" si="48"/>
        <v>16</v>
      </c>
      <c r="I290" s="16">
        <f t="shared" si="49"/>
        <v>4</v>
      </c>
      <c r="J290" s="122">
        <f t="shared" si="50"/>
        <v>2020</v>
      </c>
      <c r="K290" s="64">
        <f t="shared" si="43"/>
        <v>43997</v>
      </c>
      <c r="L290" s="6"/>
      <c r="M290" s="6"/>
      <c r="O290" s="208">
        <v>43935</v>
      </c>
      <c r="P290" s="209">
        <f t="shared" si="44"/>
        <v>0</v>
      </c>
      <c r="Q290" s="209">
        <f>+SUMIF('A DEPOSITAR'!$D$2:$D$998,(O290-2),'A DEPOSITAR'!$H$2:$H$998)</f>
        <v>0</v>
      </c>
      <c r="R290" s="210">
        <f t="shared" si="45"/>
        <v>0</v>
      </c>
      <c r="S290" s="210">
        <f t="shared" si="47"/>
        <v>1798861.5100000005</v>
      </c>
      <c r="T290" s="209">
        <f t="shared" si="46"/>
        <v>0</v>
      </c>
      <c r="U290" s="209">
        <f>+SUMIFS('A DEPOSITAR'!$H$2:$H$998,'A DEPOSITAR'!$D$2:$D$998,(O290-2),'A DEPOSITAR'!$I$2:$I$998,"A Depositar")</f>
        <v>0</v>
      </c>
      <c r="V290" s="6"/>
      <c r="W290" s="6"/>
      <c r="X290" s="6"/>
      <c r="Y290" s="6"/>
      <c r="Z290" s="6"/>
    </row>
    <row r="291" spans="1:26" ht="12.75" x14ac:dyDescent="0.2">
      <c r="A291" s="31">
        <v>43943</v>
      </c>
      <c r="B291" s="29" t="s">
        <v>139</v>
      </c>
      <c r="C291" s="29">
        <v>77747450</v>
      </c>
      <c r="D291" s="30">
        <v>16170</v>
      </c>
      <c r="E291" s="29" t="s">
        <v>22</v>
      </c>
      <c r="F291" s="7">
        <v>43888</v>
      </c>
      <c r="G291" s="18"/>
      <c r="H291" s="16">
        <f t="shared" si="48"/>
        <v>22</v>
      </c>
      <c r="I291" s="16">
        <f t="shared" si="49"/>
        <v>4</v>
      </c>
      <c r="J291" s="122">
        <f t="shared" si="50"/>
        <v>2020</v>
      </c>
      <c r="K291" s="64">
        <f t="shared" si="43"/>
        <v>44003</v>
      </c>
      <c r="L291" s="6"/>
      <c r="M291" s="6"/>
      <c r="O291" s="208">
        <v>43936</v>
      </c>
      <c r="P291" s="209">
        <f t="shared" si="44"/>
        <v>0</v>
      </c>
      <c r="Q291" s="209">
        <f>+SUMIF('A DEPOSITAR'!$D$2:$D$998,(O291-2),'A DEPOSITAR'!$H$2:$H$998)</f>
        <v>0</v>
      </c>
      <c r="R291" s="210">
        <f t="shared" si="45"/>
        <v>0</v>
      </c>
      <c r="S291" s="210">
        <f t="shared" si="47"/>
        <v>1798861.5100000005</v>
      </c>
      <c r="T291" s="209">
        <f t="shared" si="46"/>
        <v>0</v>
      </c>
      <c r="U291" s="209">
        <f>+SUMIFS('A DEPOSITAR'!$H$2:$H$998,'A DEPOSITAR'!$D$2:$D$998,(O291-2),'A DEPOSITAR'!$I$2:$I$998,"A Depositar")</f>
        <v>0</v>
      </c>
      <c r="V291" s="6"/>
      <c r="W291" s="6"/>
      <c r="X291" s="6"/>
      <c r="Y291" s="6"/>
      <c r="Z291" s="6"/>
    </row>
    <row r="292" spans="1:26" s="182" customFormat="1" ht="12.75" x14ac:dyDescent="0.2">
      <c r="A292" s="36">
        <v>43951</v>
      </c>
      <c r="B292" s="29" t="s">
        <v>139</v>
      </c>
      <c r="C292" s="29">
        <v>77747451</v>
      </c>
      <c r="D292" s="50">
        <v>16180</v>
      </c>
      <c r="E292" s="29" t="s">
        <v>327</v>
      </c>
      <c r="F292" s="34">
        <v>43888</v>
      </c>
      <c r="G292" s="29"/>
      <c r="H292" s="49">
        <f t="shared" si="48"/>
        <v>30</v>
      </c>
      <c r="I292" s="49">
        <f t="shared" si="49"/>
        <v>4</v>
      </c>
      <c r="J292" s="122">
        <f t="shared" si="50"/>
        <v>2020</v>
      </c>
      <c r="K292" s="125">
        <f t="shared" si="43"/>
        <v>44011</v>
      </c>
      <c r="L292" s="10"/>
      <c r="M292" s="10"/>
      <c r="N292" s="197"/>
      <c r="O292" s="208">
        <v>43937</v>
      </c>
      <c r="P292" s="209">
        <f t="shared" si="44"/>
        <v>85459.869999999981</v>
      </c>
      <c r="Q292" s="209">
        <f>+SUMIF('A DEPOSITAR'!$D$2:$D$998,(O292-2),'A DEPOSITAR'!$H$2:$H$998)</f>
        <v>0</v>
      </c>
      <c r="R292" s="210">
        <f t="shared" si="45"/>
        <v>-85459.869999999981</v>
      </c>
      <c r="S292" s="210">
        <f t="shared" si="47"/>
        <v>1713401.6400000006</v>
      </c>
      <c r="T292" s="209">
        <f t="shared" si="46"/>
        <v>0</v>
      </c>
      <c r="U292" s="209">
        <f>+SUMIFS('A DEPOSITAR'!$H$2:$H$998,'A DEPOSITAR'!$D$2:$D$998,(O292-2),'A DEPOSITAR'!$I$2:$I$998,"A Depositar")</f>
        <v>0</v>
      </c>
      <c r="V292" s="10"/>
      <c r="W292" s="10"/>
      <c r="X292" s="10"/>
      <c r="Y292" s="10"/>
      <c r="Z292" s="10"/>
    </row>
    <row r="293" spans="1:26" s="182" customFormat="1" ht="12.75" x14ac:dyDescent="0.2">
      <c r="A293" s="36">
        <v>43959</v>
      </c>
      <c r="B293" s="29" t="s">
        <v>139</v>
      </c>
      <c r="C293" s="29">
        <v>77747452</v>
      </c>
      <c r="D293" s="50">
        <v>16190</v>
      </c>
      <c r="E293" s="29" t="s">
        <v>22</v>
      </c>
      <c r="F293" s="34">
        <v>43888</v>
      </c>
      <c r="G293" s="29"/>
      <c r="H293" s="49">
        <f t="shared" si="48"/>
        <v>8</v>
      </c>
      <c r="I293" s="49">
        <f t="shared" si="49"/>
        <v>5</v>
      </c>
      <c r="J293" s="122">
        <f t="shared" si="50"/>
        <v>2020</v>
      </c>
      <c r="K293" s="64">
        <f t="shared" si="43"/>
        <v>44019</v>
      </c>
      <c r="L293" s="10"/>
      <c r="M293" s="10"/>
      <c r="N293" s="197"/>
      <c r="O293" s="208">
        <v>43938</v>
      </c>
      <c r="P293" s="209">
        <f t="shared" si="44"/>
        <v>0</v>
      </c>
      <c r="Q293" s="209">
        <f>+SUMIF('A DEPOSITAR'!$D$2:$D$998,(O293-2),'A DEPOSITAR'!$H$2:$H$998)</f>
        <v>0</v>
      </c>
      <c r="R293" s="210">
        <f t="shared" si="45"/>
        <v>0</v>
      </c>
      <c r="S293" s="210">
        <f t="shared" si="47"/>
        <v>1713401.6400000006</v>
      </c>
      <c r="T293" s="209">
        <f t="shared" si="46"/>
        <v>0</v>
      </c>
      <c r="U293" s="209">
        <f>+SUMIFS('A DEPOSITAR'!$H$2:$H$998,'A DEPOSITAR'!$D$2:$D$998,(O293-2),'A DEPOSITAR'!$I$2:$I$998,"A Depositar")</f>
        <v>0</v>
      </c>
      <c r="V293" s="10"/>
      <c r="W293" s="10"/>
      <c r="X293" s="10"/>
      <c r="Y293" s="10"/>
      <c r="Z293" s="10"/>
    </row>
    <row r="294" spans="1:26" s="182" customFormat="1" ht="12.75" x14ac:dyDescent="0.2">
      <c r="A294" s="36">
        <v>43973</v>
      </c>
      <c r="B294" s="29" t="s">
        <v>139</v>
      </c>
      <c r="C294" s="29">
        <v>77747453</v>
      </c>
      <c r="D294" s="50">
        <v>16455.39</v>
      </c>
      <c r="E294" s="29" t="s">
        <v>327</v>
      </c>
      <c r="F294" s="34">
        <v>43888</v>
      </c>
      <c r="G294" s="29"/>
      <c r="H294" s="49">
        <f t="shared" si="48"/>
        <v>22</v>
      </c>
      <c r="I294" s="49">
        <f t="shared" si="49"/>
        <v>5</v>
      </c>
      <c r="J294" s="122">
        <f t="shared" si="50"/>
        <v>2020</v>
      </c>
      <c r="K294" s="64">
        <f t="shared" si="43"/>
        <v>44033</v>
      </c>
      <c r="L294" s="10"/>
      <c r="M294" s="10"/>
      <c r="N294" s="197"/>
      <c r="O294" s="208">
        <v>43939</v>
      </c>
      <c r="P294" s="209">
        <f t="shared" si="44"/>
        <v>0</v>
      </c>
      <c r="Q294" s="209">
        <f>+SUMIF('A DEPOSITAR'!$D$2:$D$998,(O294-2),'A DEPOSITAR'!$H$2:$H$998)</f>
        <v>12000</v>
      </c>
      <c r="R294" s="210">
        <f t="shared" si="45"/>
        <v>12000</v>
      </c>
      <c r="S294" s="210">
        <f t="shared" si="47"/>
        <v>1725401.6400000006</v>
      </c>
      <c r="T294" s="209">
        <f t="shared" si="46"/>
        <v>0</v>
      </c>
      <c r="U294" s="209">
        <f>+SUMIFS('A DEPOSITAR'!$H$2:$H$998,'A DEPOSITAR'!$D$2:$D$998,(O294-2),'A DEPOSITAR'!$I$2:$I$998,"A Depositar")</f>
        <v>0</v>
      </c>
      <c r="V294" s="10"/>
      <c r="W294" s="10"/>
      <c r="X294" s="10"/>
      <c r="Y294" s="10"/>
      <c r="Z294" s="10"/>
    </row>
    <row r="295" spans="1:26" s="182" customFormat="1" ht="12.75" x14ac:dyDescent="0.2">
      <c r="A295" s="36">
        <v>43967</v>
      </c>
      <c r="B295" s="29" t="s">
        <v>139</v>
      </c>
      <c r="C295" s="29">
        <v>77747454</v>
      </c>
      <c r="D295" s="50">
        <v>16210</v>
      </c>
      <c r="E295" s="29" t="s">
        <v>327</v>
      </c>
      <c r="F295" s="34">
        <v>43888</v>
      </c>
      <c r="G295" s="29"/>
      <c r="H295" s="49">
        <f t="shared" si="48"/>
        <v>16</v>
      </c>
      <c r="I295" s="49">
        <f t="shared" si="49"/>
        <v>5</v>
      </c>
      <c r="J295" s="122">
        <f t="shared" si="50"/>
        <v>2020</v>
      </c>
      <c r="K295" s="64">
        <f t="shared" si="43"/>
        <v>44027</v>
      </c>
      <c r="L295" s="10"/>
      <c r="M295" s="10"/>
      <c r="N295" s="197"/>
      <c r="O295" s="208">
        <v>43940</v>
      </c>
      <c r="P295" s="209">
        <f t="shared" si="44"/>
        <v>0</v>
      </c>
      <c r="Q295" s="209">
        <f>+SUMIF('A DEPOSITAR'!$D$2:$D$998,(O295-2),'A DEPOSITAR'!$H$2:$H$998)</f>
        <v>25000</v>
      </c>
      <c r="R295" s="210">
        <f t="shared" si="45"/>
        <v>25000</v>
      </c>
      <c r="S295" s="210">
        <f t="shared" si="47"/>
        <v>1750401.6400000006</v>
      </c>
      <c r="T295" s="209">
        <f t="shared" si="46"/>
        <v>0</v>
      </c>
      <c r="U295" s="209">
        <f>+SUMIFS('A DEPOSITAR'!$H$2:$H$998,'A DEPOSITAR'!$D$2:$D$998,(O295-2),'A DEPOSITAR'!$I$2:$I$998,"A Depositar")</f>
        <v>0</v>
      </c>
      <c r="V295" s="10"/>
      <c r="W295" s="10"/>
      <c r="X295" s="10"/>
      <c r="Y295" s="10"/>
      <c r="Z295" s="10"/>
    </row>
    <row r="296" spans="1:26" s="182" customFormat="1" ht="12.75" x14ac:dyDescent="0.2">
      <c r="A296" s="36">
        <v>43981</v>
      </c>
      <c r="B296" s="29" t="s">
        <v>139</v>
      </c>
      <c r="C296" s="29">
        <v>77747455</v>
      </c>
      <c r="D296" s="50">
        <v>16220</v>
      </c>
      <c r="E296" s="29" t="s">
        <v>22</v>
      </c>
      <c r="F296" s="34">
        <v>43888</v>
      </c>
      <c r="G296" s="29"/>
      <c r="H296" s="49">
        <f t="shared" si="48"/>
        <v>30</v>
      </c>
      <c r="I296" s="49">
        <f t="shared" si="49"/>
        <v>5</v>
      </c>
      <c r="J296" s="122">
        <f t="shared" si="50"/>
        <v>2020</v>
      </c>
      <c r="K296" s="64">
        <f t="shared" si="43"/>
        <v>44041</v>
      </c>
      <c r="L296" s="10"/>
      <c r="M296" s="10"/>
      <c r="N296" s="197"/>
      <c r="O296" s="208">
        <v>43941</v>
      </c>
      <c r="P296" s="209">
        <f t="shared" si="44"/>
        <v>0</v>
      </c>
      <c r="Q296" s="209">
        <f>+SUMIF('A DEPOSITAR'!$D$2:$D$998,(O296-2),'A DEPOSITAR'!$H$2:$H$998)</f>
        <v>27598</v>
      </c>
      <c r="R296" s="210">
        <f t="shared" si="45"/>
        <v>27598</v>
      </c>
      <c r="S296" s="210">
        <f t="shared" si="47"/>
        <v>1777999.6400000006</v>
      </c>
      <c r="T296" s="209">
        <f t="shared" si="46"/>
        <v>0</v>
      </c>
      <c r="U296" s="209">
        <f>+SUMIFS('A DEPOSITAR'!$H$2:$H$998,'A DEPOSITAR'!$D$2:$D$998,(O296-2),'A DEPOSITAR'!$I$2:$I$998,"A Depositar")</f>
        <v>0</v>
      </c>
      <c r="V296" s="10"/>
      <c r="W296" s="10"/>
      <c r="X296" s="10"/>
      <c r="Y296" s="10"/>
      <c r="Z296" s="10"/>
    </row>
    <row r="297" spans="1:26" s="182" customFormat="1" ht="12.75" x14ac:dyDescent="0.2">
      <c r="A297" s="36">
        <v>43990</v>
      </c>
      <c r="B297" s="29" t="s">
        <v>139</v>
      </c>
      <c r="C297" s="29">
        <v>77747456</v>
      </c>
      <c r="D297" s="50">
        <v>16230</v>
      </c>
      <c r="E297" s="29" t="s">
        <v>22</v>
      </c>
      <c r="F297" s="34">
        <v>43888</v>
      </c>
      <c r="G297" s="29"/>
      <c r="H297" s="49">
        <f t="shared" si="48"/>
        <v>8</v>
      </c>
      <c r="I297" s="49">
        <f t="shared" si="49"/>
        <v>6</v>
      </c>
      <c r="J297" s="122">
        <f t="shared" si="50"/>
        <v>2020</v>
      </c>
      <c r="K297" s="64">
        <f t="shared" si="43"/>
        <v>44050</v>
      </c>
      <c r="L297" s="10"/>
      <c r="M297" s="10"/>
      <c r="N297" s="197"/>
      <c r="O297" s="208">
        <v>43942</v>
      </c>
      <c r="P297" s="209">
        <f t="shared" si="44"/>
        <v>0</v>
      </c>
      <c r="Q297" s="209">
        <f>+SUMIF('A DEPOSITAR'!$D$2:$D$998,(O297-2),'A DEPOSITAR'!$H$2:$H$998)</f>
        <v>0</v>
      </c>
      <c r="R297" s="210">
        <f t="shared" si="45"/>
        <v>0</v>
      </c>
      <c r="S297" s="210">
        <f t="shared" si="47"/>
        <v>1777999.6400000006</v>
      </c>
      <c r="T297" s="209">
        <f t="shared" si="46"/>
        <v>0</v>
      </c>
      <c r="U297" s="209">
        <f>+SUMIFS('A DEPOSITAR'!$H$2:$H$998,'A DEPOSITAR'!$D$2:$D$998,(O297-2),'A DEPOSITAR'!$I$2:$I$998,"A Depositar")</f>
        <v>0</v>
      </c>
      <c r="V297" s="10"/>
      <c r="W297" s="10"/>
      <c r="X297" s="10"/>
      <c r="Y297" s="10"/>
      <c r="Z297" s="10"/>
    </row>
    <row r="298" spans="1:26" s="182" customFormat="1" ht="12.75" x14ac:dyDescent="0.2">
      <c r="A298" s="36">
        <v>43998</v>
      </c>
      <c r="B298" s="29" t="s">
        <v>139</v>
      </c>
      <c r="C298" s="29">
        <v>77747457</v>
      </c>
      <c r="D298" s="50">
        <v>16240</v>
      </c>
      <c r="E298" s="29" t="s">
        <v>22</v>
      </c>
      <c r="F298" s="34">
        <v>43888</v>
      </c>
      <c r="G298" s="29"/>
      <c r="H298" s="49">
        <f t="shared" si="48"/>
        <v>16</v>
      </c>
      <c r="I298" s="49">
        <f t="shared" si="49"/>
        <v>6</v>
      </c>
      <c r="J298" s="122">
        <f t="shared" si="50"/>
        <v>2020</v>
      </c>
      <c r="K298" s="64">
        <f t="shared" si="43"/>
        <v>44058</v>
      </c>
      <c r="L298" s="10"/>
      <c r="M298" s="10"/>
      <c r="N298" s="197"/>
      <c r="O298" s="208">
        <v>43943</v>
      </c>
      <c r="P298" s="209">
        <f t="shared" si="44"/>
        <v>81834.31</v>
      </c>
      <c r="Q298" s="209">
        <f>+SUMIF('A DEPOSITAR'!$D$2:$D$998,(O298-2),'A DEPOSITAR'!$H$2:$H$998)</f>
        <v>0</v>
      </c>
      <c r="R298" s="210">
        <f t="shared" si="45"/>
        <v>-81834.31</v>
      </c>
      <c r="S298" s="210">
        <f t="shared" si="47"/>
        <v>1696165.3300000005</v>
      </c>
      <c r="T298" s="209">
        <f t="shared" si="46"/>
        <v>0</v>
      </c>
      <c r="U298" s="209">
        <f>+SUMIFS('A DEPOSITAR'!$H$2:$H$998,'A DEPOSITAR'!$D$2:$D$998,(O298-2),'A DEPOSITAR'!$I$2:$I$998,"A Depositar")</f>
        <v>0</v>
      </c>
      <c r="V298" s="10"/>
      <c r="W298" s="10"/>
      <c r="X298" s="10"/>
      <c r="Y298" s="10"/>
      <c r="Z298" s="10"/>
    </row>
    <row r="299" spans="1:26" s="182" customFormat="1" ht="12.75" x14ac:dyDescent="0.2">
      <c r="A299" s="36">
        <v>44004</v>
      </c>
      <c r="B299" s="29" t="s">
        <v>139</v>
      </c>
      <c r="C299" s="29">
        <v>77747458</v>
      </c>
      <c r="D299" s="50">
        <v>16250</v>
      </c>
      <c r="E299" s="29" t="s">
        <v>22</v>
      </c>
      <c r="F299" s="34">
        <v>43888</v>
      </c>
      <c r="G299" s="29"/>
      <c r="H299" s="49">
        <f t="shared" si="48"/>
        <v>22</v>
      </c>
      <c r="I299" s="49">
        <f t="shared" si="49"/>
        <v>6</v>
      </c>
      <c r="J299" s="122">
        <f t="shared" si="50"/>
        <v>2020</v>
      </c>
      <c r="K299" s="64">
        <f t="shared" si="43"/>
        <v>44064</v>
      </c>
      <c r="L299" s="10"/>
      <c r="M299" s="10"/>
      <c r="N299" s="197"/>
      <c r="O299" s="208">
        <v>43944</v>
      </c>
      <c r="P299" s="209">
        <f t="shared" si="44"/>
        <v>18507.3</v>
      </c>
      <c r="Q299" s="209">
        <f>+SUMIF('A DEPOSITAR'!$D$2:$D$998,(O299-2),'A DEPOSITAR'!$H$2:$H$998)</f>
        <v>0</v>
      </c>
      <c r="R299" s="210">
        <f t="shared" si="45"/>
        <v>-18507.3</v>
      </c>
      <c r="S299" s="210">
        <f t="shared" si="47"/>
        <v>1677658.0300000005</v>
      </c>
      <c r="T299" s="209">
        <f t="shared" si="46"/>
        <v>0</v>
      </c>
      <c r="U299" s="209">
        <f>+SUMIFS('A DEPOSITAR'!$H$2:$H$998,'A DEPOSITAR'!$D$2:$D$998,(O299-2),'A DEPOSITAR'!$I$2:$I$998,"A Depositar")</f>
        <v>0</v>
      </c>
      <c r="V299" s="10"/>
      <c r="W299" s="10"/>
      <c r="X299" s="10"/>
      <c r="Y299" s="10"/>
      <c r="Z299" s="10"/>
    </row>
    <row r="300" spans="1:26" ht="12.75" x14ac:dyDescent="0.2">
      <c r="A300" s="31">
        <v>44012</v>
      </c>
      <c r="B300" s="29" t="s">
        <v>139</v>
      </c>
      <c r="C300" s="29">
        <v>77747459</v>
      </c>
      <c r="D300" s="30">
        <v>16260</v>
      </c>
      <c r="E300" s="29" t="s">
        <v>22</v>
      </c>
      <c r="F300" s="7">
        <v>43888</v>
      </c>
      <c r="G300" s="18"/>
      <c r="H300" s="16">
        <f t="shared" si="48"/>
        <v>30</v>
      </c>
      <c r="I300" s="16">
        <f t="shared" si="49"/>
        <v>6</v>
      </c>
      <c r="J300" s="122">
        <f t="shared" si="50"/>
        <v>2020</v>
      </c>
      <c r="K300" s="64">
        <f t="shared" si="43"/>
        <v>44072</v>
      </c>
      <c r="L300" s="6"/>
      <c r="M300" s="6"/>
      <c r="O300" s="208">
        <v>43945</v>
      </c>
      <c r="P300" s="209">
        <f t="shared" si="44"/>
        <v>0</v>
      </c>
      <c r="Q300" s="209">
        <f>+SUMIF('A DEPOSITAR'!$D$2:$D$998,(O300-2),'A DEPOSITAR'!$H$2:$H$998)</f>
        <v>17900</v>
      </c>
      <c r="R300" s="210">
        <f t="shared" si="45"/>
        <v>17900</v>
      </c>
      <c r="S300" s="210">
        <f t="shared" si="47"/>
        <v>1695558.0300000005</v>
      </c>
      <c r="T300" s="209">
        <f t="shared" si="46"/>
        <v>0</v>
      </c>
      <c r="U300" s="209">
        <f>+SUMIFS('A DEPOSITAR'!$H$2:$H$998,'A DEPOSITAR'!$D$2:$D$998,(O300-2),'A DEPOSITAR'!$I$2:$I$998,"A Depositar")</f>
        <v>0</v>
      </c>
      <c r="V300" s="6"/>
      <c r="W300" s="6"/>
      <c r="X300" s="6"/>
      <c r="Y300" s="6"/>
      <c r="Z300" s="6"/>
    </row>
    <row r="301" spans="1:26" ht="12.75" x14ac:dyDescent="0.2">
      <c r="A301" s="31">
        <v>43959</v>
      </c>
      <c r="B301" s="29" t="s">
        <v>132</v>
      </c>
      <c r="C301" s="29">
        <v>77747460</v>
      </c>
      <c r="D301" s="50">
        <v>7100</v>
      </c>
      <c r="E301" s="29" t="s">
        <v>22</v>
      </c>
      <c r="F301" s="7">
        <v>43900</v>
      </c>
      <c r="G301" s="18"/>
      <c r="H301" s="16">
        <f t="shared" si="48"/>
        <v>8</v>
      </c>
      <c r="I301" s="16">
        <f t="shared" si="49"/>
        <v>5</v>
      </c>
      <c r="J301" s="122">
        <f t="shared" si="50"/>
        <v>2020</v>
      </c>
      <c r="K301" s="64">
        <f t="shared" si="43"/>
        <v>44019</v>
      </c>
      <c r="L301" s="6"/>
      <c r="M301" s="6"/>
      <c r="O301" s="208">
        <v>43946</v>
      </c>
      <c r="P301" s="209">
        <f t="shared" si="44"/>
        <v>0</v>
      </c>
      <c r="Q301" s="209">
        <f>+SUMIF('A DEPOSITAR'!$D$2:$D$998,(O301-2),'A DEPOSITAR'!$H$2:$H$998)</f>
        <v>0</v>
      </c>
      <c r="R301" s="210">
        <f t="shared" si="45"/>
        <v>0</v>
      </c>
      <c r="S301" s="210">
        <f t="shared" si="47"/>
        <v>1695558.0300000005</v>
      </c>
      <c r="T301" s="209">
        <f t="shared" si="46"/>
        <v>0</v>
      </c>
      <c r="U301" s="209">
        <f>+SUMIFS('A DEPOSITAR'!$H$2:$H$998,'A DEPOSITAR'!$D$2:$D$998,(O301-2),'A DEPOSITAR'!$I$2:$I$998,"A Depositar")</f>
        <v>0</v>
      </c>
      <c r="V301" s="6"/>
      <c r="W301" s="6"/>
      <c r="X301" s="6"/>
      <c r="Y301" s="6"/>
      <c r="Z301" s="6"/>
    </row>
    <row r="302" spans="1:26" ht="12.75" x14ac:dyDescent="0.2">
      <c r="A302" s="31">
        <v>43973</v>
      </c>
      <c r="B302" s="29" t="s">
        <v>132</v>
      </c>
      <c r="C302" s="29">
        <v>77747461</v>
      </c>
      <c r="D302" s="30">
        <v>7200</v>
      </c>
      <c r="E302" s="29" t="s">
        <v>22</v>
      </c>
      <c r="F302" s="7">
        <v>43900</v>
      </c>
      <c r="G302" s="18"/>
      <c r="H302" s="16">
        <f t="shared" si="48"/>
        <v>22</v>
      </c>
      <c r="I302" s="16">
        <f t="shared" si="49"/>
        <v>5</v>
      </c>
      <c r="J302" s="122">
        <f t="shared" si="50"/>
        <v>2020</v>
      </c>
      <c r="K302" s="64">
        <f t="shared" si="43"/>
        <v>44033</v>
      </c>
      <c r="L302" s="6"/>
      <c r="M302" s="6"/>
      <c r="O302" s="208">
        <v>43947</v>
      </c>
      <c r="P302" s="209">
        <f t="shared" si="44"/>
        <v>0</v>
      </c>
      <c r="Q302" s="209">
        <f>+SUMIF('A DEPOSITAR'!$D$2:$D$998,(O302-2),'A DEPOSITAR'!$H$2:$H$998)</f>
        <v>24000</v>
      </c>
      <c r="R302" s="210">
        <f t="shared" si="45"/>
        <v>24000</v>
      </c>
      <c r="S302" s="210">
        <f t="shared" si="47"/>
        <v>1719558.0300000005</v>
      </c>
      <c r="T302" s="209">
        <f t="shared" si="46"/>
        <v>0</v>
      </c>
      <c r="U302" s="209">
        <f>+SUMIFS('A DEPOSITAR'!$H$2:$H$998,'A DEPOSITAR'!$D$2:$D$998,(O302-2),'A DEPOSITAR'!$I$2:$I$998,"A Depositar")</f>
        <v>0</v>
      </c>
      <c r="V302" s="6"/>
      <c r="W302" s="6"/>
      <c r="X302" s="6"/>
      <c r="Y302" s="6"/>
      <c r="Z302" s="6"/>
    </row>
    <row r="303" spans="1:26" ht="12.75" x14ac:dyDescent="0.2">
      <c r="A303" s="31">
        <v>43981</v>
      </c>
      <c r="B303" s="29" t="s">
        <v>132</v>
      </c>
      <c r="C303" s="29">
        <v>77747462</v>
      </c>
      <c r="D303" s="30">
        <v>7300</v>
      </c>
      <c r="E303" s="29" t="s">
        <v>22</v>
      </c>
      <c r="F303" s="7">
        <v>43900</v>
      </c>
      <c r="G303" s="18"/>
      <c r="H303" s="16">
        <f t="shared" si="48"/>
        <v>30</v>
      </c>
      <c r="I303" s="16">
        <f t="shared" si="49"/>
        <v>5</v>
      </c>
      <c r="J303" s="122">
        <f t="shared" si="50"/>
        <v>2020</v>
      </c>
      <c r="K303" s="64">
        <f t="shared" si="43"/>
        <v>44041</v>
      </c>
      <c r="L303" s="6"/>
      <c r="M303" s="6"/>
      <c r="O303" s="208">
        <v>43948</v>
      </c>
      <c r="P303" s="209">
        <f t="shared" si="44"/>
        <v>0</v>
      </c>
      <c r="Q303" s="209">
        <f>+SUMIF('A DEPOSITAR'!$D$2:$D$998,(O303-2),'A DEPOSITAR'!$H$2:$H$998)</f>
        <v>0</v>
      </c>
      <c r="R303" s="210">
        <f t="shared" si="45"/>
        <v>0</v>
      </c>
      <c r="S303" s="210">
        <f t="shared" si="47"/>
        <v>1719558.0300000005</v>
      </c>
      <c r="T303" s="209">
        <f t="shared" si="46"/>
        <v>0</v>
      </c>
      <c r="U303" s="209">
        <f>+SUMIFS('A DEPOSITAR'!$H$2:$H$998,'A DEPOSITAR'!$D$2:$D$998,(O303-2),'A DEPOSITAR'!$I$2:$I$998,"A Depositar")</f>
        <v>0</v>
      </c>
      <c r="V303" s="6"/>
      <c r="W303" s="6"/>
      <c r="X303" s="6"/>
      <c r="Y303" s="6"/>
      <c r="Z303" s="6"/>
    </row>
    <row r="304" spans="1:26" ht="12.75" x14ac:dyDescent="0.2">
      <c r="A304" s="31">
        <v>43990</v>
      </c>
      <c r="B304" s="29" t="s">
        <v>132</v>
      </c>
      <c r="C304" s="29">
        <v>77747463</v>
      </c>
      <c r="D304" s="30">
        <v>7450</v>
      </c>
      <c r="E304" s="29" t="s">
        <v>22</v>
      </c>
      <c r="F304" s="7">
        <v>43900</v>
      </c>
      <c r="G304" s="18"/>
      <c r="H304" s="16">
        <f t="shared" si="48"/>
        <v>8</v>
      </c>
      <c r="I304" s="16">
        <f t="shared" si="49"/>
        <v>6</v>
      </c>
      <c r="J304" s="122">
        <f t="shared" si="50"/>
        <v>2020</v>
      </c>
      <c r="K304" s="64">
        <f t="shared" si="43"/>
        <v>44050</v>
      </c>
      <c r="L304" s="6"/>
      <c r="M304" s="6"/>
      <c r="O304" s="208">
        <v>43949</v>
      </c>
      <c r="P304" s="209">
        <f t="shared" si="44"/>
        <v>0</v>
      </c>
      <c r="Q304" s="209">
        <f>+SUMIF('A DEPOSITAR'!$D$2:$D$998,(O304-2),'A DEPOSITAR'!$H$2:$H$998)</f>
        <v>0</v>
      </c>
      <c r="R304" s="210">
        <f t="shared" si="45"/>
        <v>0</v>
      </c>
      <c r="S304" s="210">
        <f t="shared" si="47"/>
        <v>1719558.0300000005</v>
      </c>
      <c r="T304" s="209">
        <f t="shared" si="46"/>
        <v>0</v>
      </c>
      <c r="U304" s="209">
        <f>+SUMIFS('A DEPOSITAR'!$H$2:$H$998,'A DEPOSITAR'!$D$2:$D$998,(O304-2),'A DEPOSITAR'!$I$2:$I$998,"A Depositar")</f>
        <v>0</v>
      </c>
      <c r="V304" s="6"/>
      <c r="W304" s="6"/>
      <c r="X304" s="6"/>
      <c r="Y304" s="6"/>
      <c r="Z304" s="6"/>
    </row>
    <row r="305" spans="1:26" ht="12.75" x14ac:dyDescent="0.2">
      <c r="A305" s="31">
        <v>44004</v>
      </c>
      <c r="B305" s="29" t="s">
        <v>132</v>
      </c>
      <c r="C305" s="29">
        <v>77747464</v>
      </c>
      <c r="D305" s="30">
        <v>7452.5</v>
      </c>
      <c r="E305" s="29" t="s">
        <v>22</v>
      </c>
      <c r="F305" s="7">
        <v>43900</v>
      </c>
      <c r="G305" s="18"/>
      <c r="H305" s="16">
        <f t="shared" si="48"/>
        <v>22</v>
      </c>
      <c r="I305" s="16">
        <f t="shared" si="49"/>
        <v>6</v>
      </c>
      <c r="J305" s="122">
        <f t="shared" si="50"/>
        <v>2020</v>
      </c>
      <c r="K305" s="64">
        <f t="shared" si="43"/>
        <v>44064</v>
      </c>
      <c r="L305" s="6"/>
      <c r="M305" s="6"/>
      <c r="O305" s="208">
        <v>43950</v>
      </c>
      <c r="P305" s="209">
        <f t="shared" si="44"/>
        <v>0</v>
      </c>
      <c r="Q305" s="209">
        <f>+SUMIF('A DEPOSITAR'!$D$2:$D$998,(O305-2),'A DEPOSITAR'!$H$2:$H$998)</f>
        <v>0</v>
      </c>
      <c r="R305" s="210">
        <f t="shared" si="45"/>
        <v>0</v>
      </c>
      <c r="S305" s="210">
        <f t="shared" si="47"/>
        <v>1719558.0300000005</v>
      </c>
      <c r="T305" s="209">
        <f t="shared" si="46"/>
        <v>0</v>
      </c>
      <c r="U305" s="209">
        <f>+SUMIFS('A DEPOSITAR'!$H$2:$H$998,'A DEPOSITAR'!$D$2:$D$998,(O305-2),'A DEPOSITAR'!$I$2:$I$998,"A Depositar")</f>
        <v>0</v>
      </c>
      <c r="V305" s="6"/>
      <c r="W305" s="6"/>
      <c r="X305" s="6"/>
      <c r="Y305" s="6"/>
      <c r="Z305" s="6"/>
    </row>
    <row r="306" spans="1:26" ht="12.75" x14ac:dyDescent="0.2">
      <c r="A306" s="31">
        <v>44012</v>
      </c>
      <c r="B306" s="29" t="s">
        <v>132</v>
      </c>
      <c r="C306" s="29">
        <v>77747465</v>
      </c>
      <c r="D306" s="30">
        <v>7500</v>
      </c>
      <c r="E306" s="29" t="s">
        <v>22</v>
      </c>
      <c r="F306" s="7">
        <v>43900</v>
      </c>
      <c r="G306" s="18"/>
      <c r="H306" s="16">
        <f t="shared" si="48"/>
        <v>30</v>
      </c>
      <c r="I306" s="16">
        <f t="shared" si="49"/>
        <v>6</v>
      </c>
      <c r="J306" s="122">
        <f t="shared" si="50"/>
        <v>2020</v>
      </c>
      <c r="K306" s="64">
        <f t="shared" si="43"/>
        <v>44072</v>
      </c>
      <c r="L306" s="6"/>
      <c r="M306" s="6"/>
      <c r="O306" s="208">
        <v>43951</v>
      </c>
      <c r="P306" s="209">
        <f t="shared" si="44"/>
        <v>111681.63</v>
      </c>
      <c r="Q306" s="209">
        <f>+SUMIF('A DEPOSITAR'!$D$2:$D$998,(O306-2),'A DEPOSITAR'!$H$2:$H$998)</f>
        <v>0</v>
      </c>
      <c r="R306" s="210">
        <f t="shared" si="45"/>
        <v>-111681.63</v>
      </c>
      <c r="S306" s="210">
        <f t="shared" si="47"/>
        <v>1607876.4000000004</v>
      </c>
      <c r="T306" s="209">
        <f t="shared" si="46"/>
        <v>0</v>
      </c>
      <c r="U306" s="209">
        <f>+SUMIFS('A DEPOSITAR'!$H$2:$H$998,'A DEPOSITAR'!$D$2:$D$998,(O306-2),'A DEPOSITAR'!$I$2:$I$998,"A Depositar")</f>
        <v>0</v>
      </c>
      <c r="V306" s="6"/>
      <c r="W306" s="6"/>
      <c r="X306" s="6"/>
      <c r="Y306" s="6"/>
      <c r="Z306" s="6"/>
    </row>
    <row r="307" spans="1:26" ht="12.75" x14ac:dyDescent="0.2">
      <c r="A307" s="31">
        <v>44020</v>
      </c>
      <c r="B307" s="29" t="s">
        <v>132</v>
      </c>
      <c r="C307" s="29">
        <v>77747466</v>
      </c>
      <c r="D307" s="50">
        <v>7600</v>
      </c>
      <c r="E307" s="29" t="s">
        <v>22</v>
      </c>
      <c r="F307" s="7">
        <v>43900</v>
      </c>
      <c r="G307" s="18"/>
      <c r="H307" s="16">
        <f t="shared" si="48"/>
        <v>8</v>
      </c>
      <c r="I307" s="16">
        <f t="shared" si="49"/>
        <v>7</v>
      </c>
      <c r="J307" s="122">
        <f t="shared" si="50"/>
        <v>2020</v>
      </c>
      <c r="K307" s="64">
        <f t="shared" si="43"/>
        <v>44080</v>
      </c>
      <c r="L307" s="6"/>
      <c r="M307" s="6"/>
      <c r="O307" s="208">
        <v>43952</v>
      </c>
      <c r="P307" s="209">
        <f t="shared" si="44"/>
        <v>0</v>
      </c>
      <c r="Q307" s="209">
        <f>+SUMIF('A DEPOSITAR'!$D$2:$D$998,(O307-2),'A DEPOSITAR'!$H$2:$H$998)</f>
        <v>0</v>
      </c>
      <c r="R307" s="210">
        <f t="shared" si="45"/>
        <v>0</v>
      </c>
      <c r="S307" s="210">
        <f t="shared" si="47"/>
        <v>1607876.4000000004</v>
      </c>
      <c r="T307" s="209">
        <f t="shared" si="46"/>
        <v>0</v>
      </c>
      <c r="U307" s="209">
        <f>+SUMIFS('A DEPOSITAR'!$H$2:$H$998,'A DEPOSITAR'!$D$2:$D$998,(O307-2),'A DEPOSITAR'!$I$2:$I$998,"A Depositar")</f>
        <v>0</v>
      </c>
      <c r="V307" s="6"/>
      <c r="W307" s="6"/>
      <c r="X307" s="6"/>
      <c r="Y307" s="6"/>
      <c r="Z307" s="6"/>
    </row>
    <row r="308" spans="1:26" ht="12.75" x14ac:dyDescent="0.2">
      <c r="A308" s="31">
        <v>44028</v>
      </c>
      <c r="B308" s="29" t="s">
        <v>132</v>
      </c>
      <c r="C308" s="29">
        <v>77747467</v>
      </c>
      <c r="D308" s="30">
        <v>7700</v>
      </c>
      <c r="E308" s="29" t="s">
        <v>22</v>
      </c>
      <c r="F308" s="7">
        <v>43900</v>
      </c>
      <c r="G308" s="18"/>
      <c r="H308" s="16">
        <f t="shared" si="48"/>
        <v>16</v>
      </c>
      <c r="I308" s="16">
        <f t="shared" si="49"/>
        <v>7</v>
      </c>
      <c r="J308" s="122">
        <f t="shared" si="50"/>
        <v>2020</v>
      </c>
      <c r="K308" s="64">
        <f t="shared" si="43"/>
        <v>44088</v>
      </c>
      <c r="L308" s="6"/>
      <c r="M308" s="6"/>
      <c r="O308" s="208">
        <v>43953</v>
      </c>
      <c r="P308" s="209">
        <f t="shared" si="44"/>
        <v>0</v>
      </c>
      <c r="Q308" s="209">
        <f>+SUMIF('A DEPOSITAR'!$D$2:$D$998,(O308-2),'A DEPOSITAR'!$H$2:$H$998)</f>
        <v>97936</v>
      </c>
      <c r="R308" s="210">
        <f t="shared" si="45"/>
        <v>97936</v>
      </c>
      <c r="S308" s="210">
        <f t="shared" si="47"/>
        <v>1705812.4000000004</v>
      </c>
      <c r="T308" s="209">
        <f t="shared" si="46"/>
        <v>0</v>
      </c>
      <c r="U308" s="209">
        <f>+SUMIFS('A DEPOSITAR'!$H$2:$H$998,'A DEPOSITAR'!$D$2:$D$998,(O308-2),'A DEPOSITAR'!$I$2:$I$998,"A Depositar")</f>
        <v>0</v>
      </c>
      <c r="V308" s="6"/>
      <c r="W308" s="6"/>
      <c r="X308" s="6"/>
      <c r="Y308" s="6"/>
      <c r="Z308" s="6"/>
    </row>
    <row r="309" spans="1:26" ht="12.75" x14ac:dyDescent="0.2">
      <c r="A309" s="31">
        <v>44034</v>
      </c>
      <c r="B309" s="29" t="s">
        <v>132</v>
      </c>
      <c r="C309" s="29">
        <v>77747468</v>
      </c>
      <c r="D309" s="30">
        <v>7800</v>
      </c>
      <c r="E309" s="29" t="s">
        <v>22</v>
      </c>
      <c r="F309" s="7">
        <v>43900</v>
      </c>
      <c r="G309" s="18"/>
      <c r="H309" s="16">
        <f t="shared" si="48"/>
        <v>22</v>
      </c>
      <c r="I309" s="16">
        <f t="shared" si="49"/>
        <v>7</v>
      </c>
      <c r="J309" s="122">
        <f t="shared" si="50"/>
        <v>2020</v>
      </c>
      <c r="K309" s="64">
        <f t="shared" si="43"/>
        <v>44094</v>
      </c>
      <c r="L309" s="6"/>
      <c r="M309" s="6"/>
      <c r="O309" s="208">
        <v>43954</v>
      </c>
      <c r="P309" s="209">
        <f t="shared" si="44"/>
        <v>0</v>
      </c>
      <c r="Q309" s="209">
        <f>+SUMIF('A DEPOSITAR'!$D$2:$D$998,(O309-2),'A DEPOSITAR'!$H$2:$H$998)</f>
        <v>0</v>
      </c>
      <c r="R309" s="210">
        <f t="shared" si="45"/>
        <v>0</v>
      </c>
      <c r="S309" s="210">
        <f t="shared" si="47"/>
        <v>1705812.4000000004</v>
      </c>
      <c r="T309" s="209">
        <f t="shared" si="46"/>
        <v>0</v>
      </c>
      <c r="U309" s="209">
        <f>+SUMIFS('A DEPOSITAR'!$H$2:$H$998,'A DEPOSITAR'!$D$2:$D$998,(O309-2),'A DEPOSITAR'!$I$2:$I$998,"A Depositar")</f>
        <v>0</v>
      </c>
      <c r="V309" s="6"/>
      <c r="W309" s="6"/>
      <c r="X309" s="6"/>
      <c r="Y309" s="6"/>
      <c r="Z309" s="6"/>
    </row>
    <row r="310" spans="1:26" ht="12.75" x14ac:dyDescent="0.2">
      <c r="A310" s="114">
        <v>44081</v>
      </c>
      <c r="B310" s="115" t="s">
        <v>222</v>
      </c>
      <c r="C310" s="115">
        <v>77747469</v>
      </c>
      <c r="D310" s="116">
        <v>9000</v>
      </c>
      <c r="E310" s="29" t="s">
        <v>327</v>
      </c>
      <c r="F310" s="7">
        <v>43908</v>
      </c>
      <c r="G310" s="18"/>
      <c r="H310" s="16">
        <f t="shared" si="48"/>
        <v>7</v>
      </c>
      <c r="I310" s="16">
        <f t="shared" si="49"/>
        <v>9</v>
      </c>
      <c r="J310" s="122">
        <f t="shared" si="50"/>
        <v>2020</v>
      </c>
      <c r="K310" s="64">
        <f t="shared" si="43"/>
        <v>44141</v>
      </c>
      <c r="L310" s="6"/>
      <c r="M310" s="6"/>
      <c r="O310" s="208">
        <v>43955</v>
      </c>
      <c r="P310" s="209">
        <f t="shared" si="44"/>
        <v>0</v>
      </c>
      <c r="Q310" s="209">
        <f>+SUMIF('A DEPOSITAR'!$D$2:$D$998,(O310-2),'A DEPOSITAR'!$H$2:$H$998)</f>
        <v>0</v>
      </c>
      <c r="R310" s="210">
        <f t="shared" si="45"/>
        <v>0</v>
      </c>
      <c r="S310" s="210">
        <f t="shared" si="47"/>
        <v>1705812.4000000004</v>
      </c>
      <c r="T310" s="209">
        <f t="shared" si="46"/>
        <v>0</v>
      </c>
      <c r="U310" s="209">
        <f>+SUMIFS('A DEPOSITAR'!$H$2:$H$998,'A DEPOSITAR'!$D$2:$D$998,(O310-2),'A DEPOSITAR'!$I$2:$I$998,"A Depositar")</f>
        <v>0</v>
      </c>
      <c r="V310" s="6"/>
      <c r="W310" s="6"/>
      <c r="X310" s="6"/>
      <c r="Y310" s="6"/>
      <c r="Z310" s="6"/>
    </row>
    <row r="311" spans="1:26" ht="12.75" x14ac:dyDescent="0.2">
      <c r="A311" s="31">
        <v>43973</v>
      </c>
      <c r="B311" s="29" t="s">
        <v>94</v>
      </c>
      <c r="C311" s="29">
        <v>77747470</v>
      </c>
      <c r="D311" s="30">
        <v>9000</v>
      </c>
      <c r="E311" s="29" t="s">
        <v>755</v>
      </c>
      <c r="F311" s="7">
        <v>43908</v>
      </c>
      <c r="G311" s="18"/>
      <c r="H311" s="16">
        <f t="shared" si="48"/>
        <v>22</v>
      </c>
      <c r="I311" s="16">
        <f t="shared" si="49"/>
        <v>5</v>
      </c>
      <c r="J311" s="122">
        <f t="shared" si="50"/>
        <v>2020</v>
      </c>
      <c r="K311" s="64">
        <f t="shared" si="43"/>
        <v>44033</v>
      </c>
      <c r="L311" s="6"/>
      <c r="M311" s="6"/>
      <c r="O311" s="208">
        <v>43956</v>
      </c>
      <c r="P311" s="209">
        <f t="shared" si="44"/>
        <v>0</v>
      </c>
      <c r="Q311" s="209">
        <f>+SUMIF('A DEPOSITAR'!$D$2:$D$998,(O311-2),'A DEPOSITAR'!$H$2:$H$998)</f>
        <v>0</v>
      </c>
      <c r="R311" s="210">
        <f t="shared" si="45"/>
        <v>0</v>
      </c>
      <c r="S311" s="210">
        <f t="shared" si="47"/>
        <v>1705812.4000000004</v>
      </c>
      <c r="T311" s="209">
        <f t="shared" si="46"/>
        <v>0</v>
      </c>
      <c r="U311" s="209">
        <f>+SUMIFS('A DEPOSITAR'!$H$2:$H$998,'A DEPOSITAR'!$D$2:$D$998,(O311-2),'A DEPOSITAR'!$I$2:$I$998,"A Depositar")</f>
        <v>0</v>
      </c>
      <c r="V311" s="6"/>
      <c r="W311" s="6"/>
      <c r="X311" s="6"/>
      <c r="Y311" s="6"/>
      <c r="Z311" s="6"/>
    </row>
    <row r="312" spans="1:26" ht="12.75" x14ac:dyDescent="0.2">
      <c r="A312" s="31">
        <v>44004</v>
      </c>
      <c r="B312" s="29" t="s">
        <v>222</v>
      </c>
      <c r="C312" s="29">
        <v>77747471</v>
      </c>
      <c r="D312" s="30">
        <v>19000</v>
      </c>
      <c r="E312" s="29" t="s">
        <v>22</v>
      </c>
      <c r="F312" s="7">
        <v>43908</v>
      </c>
      <c r="G312" s="18"/>
      <c r="H312" s="16">
        <f t="shared" si="48"/>
        <v>22</v>
      </c>
      <c r="I312" s="16">
        <f t="shared" si="49"/>
        <v>6</v>
      </c>
      <c r="J312" s="122">
        <f t="shared" si="50"/>
        <v>2020</v>
      </c>
      <c r="K312" s="64">
        <f t="shared" si="43"/>
        <v>44064</v>
      </c>
      <c r="L312" s="10"/>
      <c r="M312" s="6"/>
      <c r="O312" s="208">
        <v>43957</v>
      </c>
      <c r="P312" s="209">
        <f t="shared" si="44"/>
        <v>0</v>
      </c>
      <c r="Q312" s="209">
        <f>+SUMIF('A DEPOSITAR'!$D$2:$D$998,(O312-2),'A DEPOSITAR'!$H$2:$H$998)</f>
        <v>0</v>
      </c>
      <c r="R312" s="210">
        <f t="shared" si="45"/>
        <v>0</v>
      </c>
      <c r="S312" s="210">
        <f t="shared" si="47"/>
        <v>1705812.4000000004</v>
      </c>
      <c r="T312" s="209">
        <f t="shared" si="46"/>
        <v>0</v>
      </c>
      <c r="U312" s="209">
        <f>+SUMIFS('A DEPOSITAR'!$H$2:$H$998,'A DEPOSITAR'!$D$2:$D$998,(O312-2),'A DEPOSITAR'!$I$2:$I$998,"A Depositar")</f>
        <v>0</v>
      </c>
      <c r="V312" s="6"/>
      <c r="W312" s="6"/>
      <c r="X312" s="6"/>
      <c r="Y312" s="6"/>
      <c r="Z312" s="6"/>
    </row>
    <row r="313" spans="1:26" ht="12.75" x14ac:dyDescent="0.2">
      <c r="A313" s="33">
        <v>44012</v>
      </c>
      <c r="B313" s="29" t="s">
        <v>222</v>
      </c>
      <c r="C313" s="29">
        <v>77747472</v>
      </c>
      <c r="D313" s="30">
        <v>20000</v>
      </c>
      <c r="E313" s="29" t="s">
        <v>22</v>
      </c>
      <c r="F313" s="7">
        <v>43908</v>
      </c>
      <c r="G313" s="18"/>
      <c r="H313" s="16">
        <f t="shared" si="48"/>
        <v>30</v>
      </c>
      <c r="I313" s="16">
        <f t="shared" si="49"/>
        <v>6</v>
      </c>
      <c r="J313" s="122">
        <f t="shared" si="50"/>
        <v>2020</v>
      </c>
      <c r="K313" s="64">
        <f t="shared" si="43"/>
        <v>44072</v>
      </c>
      <c r="L313" s="6"/>
      <c r="M313" s="6"/>
      <c r="O313" s="208">
        <v>43958</v>
      </c>
      <c r="P313" s="209">
        <f t="shared" si="44"/>
        <v>10200</v>
      </c>
      <c r="Q313" s="209">
        <f>+SUMIF('A DEPOSITAR'!$D$2:$D$998,(O313-2),'A DEPOSITAR'!$H$2:$H$998)</f>
        <v>0</v>
      </c>
      <c r="R313" s="210">
        <f t="shared" si="45"/>
        <v>-10200</v>
      </c>
      <c r="S313" s="210">
        <f t="shared" si="47"/>
        <v>1695612.4000000004</v>
      </c>
      <c r="T313" s="209">
        <f t="shared" si="46"/>
        <v>0</v>
      </c>
      <c r="U313" s="209">
        <f>+SUMIFS('A DEPOSITAR'!$H$2:$H$998,'A DEPOSITAR'!$D$2:$D$998,(O313-2),'A DEPOSITAR'!$I$2:$I$998,"A Depositar")</f>
        <v>0</v>
      </c>
      <c r="V313" s="6"/>
      <c r="W313" s="6"/>
      <c r="X313" s="6"/>
      <c r="Y313" s="6"/>
      <c r="Z313" s="6"/>
    </row>
    <row r="314" spans="1:26" ht="12.75" x14ac:dyDescent="0.2">
      <c r="A314" s="31">
        <v>44020</v>
      </c>
      <c r="B314" s="29" t="s">
        <v>222</v>
      </c>
      <c r="C314" s="29">
        <v>77747473</v>
      </c>
      <c r="D314" s="30">
        <v>21000</v>
      </c>
      <c r="E314" s="29" t="s">
        <v>22</v>
      </c>
      <c r="F314" s="7">
        <v>43908</v>
      </c>
      <c r="G314" s="18"/>
      <c r="H314" s="16">
        <f t="shared" si="48"/>
        <v>8</v>
      </c>
      <c r="I314" s="16">
        <f t="shared" si="49"/>
        <v>7</v>
      </c>
      <c r="J314" s="122">
        <f t="shared" si="50"/>
        <v>2020</v>
      </c>
      <c r="K314" s="64">
        <f t="shared" si="43"/>
        <v>44080</v>
      </c>
      <c r="L314" s="6"/>
      <c r="M314" s="6"/>
      <c r="O314" s="208">
        <v>43959</v>
      </c>
      <c r="P314" s="209">
        <f t="shared" si="44"/>
        <v>48440</v>
      </c>
      <c r="Q314" s="209">
        <f>+SUMIF('A DEPOSITAR'!$D$2:$D$998,(O314-2),'A DEPOSITAR'!$H$2:$H$998)</f>
        <v>0</v>
      </c>
      <c r="R314" s="210">
        <f t="shared" si="45"/>
        <v>-48440</v>
      </c>
      <c r="S314" s="210">
        <f t="shared" si="47"/>
        <v>1647172.4000000004</v>
      </c>
      <c r="T314" s="209">
        <f t="shared" si="46"/>
        <v>0</v>
      </c>
      <c r="U314" s="209">
        <f>+SUMIFS('A DEPOSITAR'!$H$2:$H$998,'A DEPOSITAR'!$D$2:$D$998,(O314-2),'A DEPOSITAR'!$I$2:$I$998,"A Depositar")</f>
        <v>0</v>
      </c>
      <c r="V314" s="6"/>
      <c r="W314" s="6"/>
      <c r="X314" s="6"/>
      <c r="Y314" s="6"/>
      <c r="Z314" s="6"/>
    </row>
    <row r="315" spans="1:26" ht="12.75" x14ac:dyDescent="0.2">
      <c r="A315" s="31">
        <v>44025</v>
      </c>
      <c r="B315" s="29" t="s">
        <v>23</v>
      </c>
      <c r="C315" s="29">
        <v>77747474</v>
      </c>
      <c r="D315" s="30">
        <v>5200</v>
      </c>
      <c r="E315" s="29" t="s">
        <v>22</v>
      </c>
      <c r="F315" s="7">
        <v>43908</v>
      </c>
      <c r="G315" s="18"/>
      <c r="H315" s="16">
        <f t="shared" si="48"/>
        <v>13</v>
      </c>
      <c r="I315" s="16">
        <f t="shared" si="49"/>
        <v>7</v>
      </c>
      <c r="J315" s="122">
        <f t="shared" si="50"/>
        <v>2020</v>
      </c>
      <c r="K315" s="64">
        <f t="shared" si="43"/>
        <v>44085</v>
      </c>
      <c r="L315" s="6"/>
      <c r="M315" s="6"/>
      <c r="O315" s="208">
        <v>43960</v>
      </c>
      <c r="P315" s="209">
        <f t="shared" si="44"/>
        <v>0</v>
      </c>
      <c r="Q315" s="209">
        <f>+SUMIF('A DEPOSITAR'!$D$2:$D$998,(O315-2),'A DEPOSITAR'!$H$2:$H$998)</f>
        <v>5000</v>
      </c>
      <c r="R315" s="210">
        <f t="shared" si="45"/>
        <v>5000</v>
      </c>
      <c r="S315" s="210">
        <f t="shared" si="47"/>
        <v>1652172.4000000004</v>
      </c>
      <c r="T315" s="209">
        <f t="shared" si="46"/>
        <v>0</v>
      </c>
      <c r="U315" s="209">
        <f>+SUMIFS('A DEPOSITAR'!$H$2:$H$998,'A DEPOSITAR'!$D$2:$D$998,(O315-2),'A DEPOSITAR'!$I$2:$I$998,"A Depositar")</f>
        <v>0</v>
      </c>
      <c r="V315" s="6"/>
      <c r="W315" s="6"/>
      <c r="X315" s="6"/>
      <c r="Y315" s="6"/>
      <c r="Z315" s="6"/>
    </row>
    <row r="316" spans="1:26" ht="12.75" x14ac:dyDescent="0.2">
      <c r="A316" s="31">
        <v>44034</v>
      </c>
      <c r="B316" s="29" t="s">
        <v>23</v>
      </c>
      <c r="C316" s="29">
        <v>77747475</v>
      </c>
      <c r="D316" s="30">
        <v>5300</v>
      </c>
      <c r="E316" s="29" t="s">
        <v>22</v>
      </c>
      <c r="F316" s="7">
        <v>43973</v>
      </c>
      <c r="G316" s="18"/>
      <c r="H316" s="16">
        <f t="shared" si="48"/>
        <v>22</v>
      </c>
      <c r="I316" s="16">
        <f t="shared" si="49"/>
        <v>7</v>
      </c>
      <c r="J316" s="122">
        <f t="shared" si="50"/>
        <v>2020</v>
      </c>
      <c r="K316" s="64">
        <f t="shared" si="43"/>
        <v>44094</v>
      </c>
      <c r="L316" s="6"/>
      <c r="M316" s="6"/>
      <c r="O316" s="208">
        <v>43961</v>
      </c>
      <c r="P316" s="209">
        <f t="shared" si="44"/>
        <v>0</v>
      </c>
      <c r="Q316" s="209">
        <f>+SUMIF('A DEPOSITAR'!$D$2:$D$998,(O316-2),'A DEPOSITAR'!$H$2:$H$998)</f>
        <v>0</v>
      </c>
      <c r="R316" s="210">
        <f t="shared" si="45"/>
        <v>0</v>
      </c>
      <c r="S316" s="210">
        <f t="shared" si="47"/>
        <v>1652172.4000000004</v>
      </c>
      <c r="T316" s="209">
        <f t="shared" si="46"/>
        <v>0</v>
      </c>
      <c r="U316" s="209">
        <f>+SUMIFS('A DEPOSITAR'!$H$2:$H$998,'A DEPOSITAR'!$D$2:$D$998,(O316-2),'A DEPOSITAR'!$I$2:$I$998,"A Depositar")</f>
        <v>0</v>
      </c>
      <c r="V316" s="6"/>
      <c r="W316" s="6"/>
      <c r="X316" s="6"/>
      <c r="Y316" s="6"/>
      <c r="Z316" s="6"/>
    </row>
    <row r="317" spans="1:26" ht="12.75" x14ac:dyDescent="0.2">
      <c r="A317" s="31">
        <v>44042</v>
      </c>
      <c r="B317" s="29" t="s">
        <v>23</v>
      </c>
      <c r="C317" s="29">
        <v>78212376</v>
      </c>
      <c r="D317" s="30">
        <v>5710</v>
      </c>
      <c r="E317" s="29" t="s">
        <v>22</v>
      </c>
      <c r="F317" s="7">
        <v>43973</v>
      </c>
      <c r="G317" s="18"/>
      <c r="H317" s="16">
        <f t="shared" si="48"/>
        <v>30</v>
      </c>
      <c r="I317" s="16">
        <f t="shared" si="49"/>
        <v>7</v>
      </c>
      <c r="J317" s="122">
        <f t="shared" si="50"/>
        <v>2020</v>
      </c>
      <c r="K317" s="64">
        <f t="shared" si="43"/>
        <v>44102</v>
      </c>
      <c r="L317" s="6"/>
      <c r="M317" s="6"/>
      <c r="O317" s="208">
        <v>43962</v>
      </c>
      <c r="P317" s="209">
        <f t="shared" si="44"/>
        <v>0</v>
      </c>
      <c r="Q317" s="209">
        <f>+SUMIF('A DEPOSITAR'!$D$2:$D$998,(O317-2),'A DEPOSITAR'!$H$2:$H$998)</f>
        <v>0</v>
      </c>
      <c r="R317" s="210">
        <f t="shared" si="45"/>
        <v>0</v>
      </c>
      <c r="S317" s="210">
        <f t="shared" si="47"/>
        <v>1652172.4000000004</v>
      </c>
      <c r="T317" s="209">
        <f t="shared" si="46"/>
        <v>0</v>
      </c>
      <c r="U317" s="209">
        <f>+SUMIFS('A DEPOSITAR'!$H$2:$H$998,'A DEPOSITAR'!$D$2:$D$998,(O317-2),'A DEPOSITAR'!$I$2:$I$998,"A Depositar")</f>
        <v>0</v>
      </c>
      <c r="V317" s="6"/>
      <c r="W317" s="6"/>
      <c r="X317" s="6"/>
      <c r="Y317" s="6"/>
      <c r="Z317" s="6"/>
    </row>
    <row r="318" spans="1:26" ht="12.75" x14ac:dyDescent="0.2">
      <c r="A318" s="31">
        <v>43989</v>
      </c>
      <c r="B318" s="29" t="s">
        <v>23</v>
      </c>
      <c r="C318" s="29">
        <v>78212377</v>
      </c>
      <c r="D318" s="30">
        <v>5500</v>
      </c>
      <c r="E318" s="29" t="s">
        <v>22</v>
      </c>
      <c r="F318" s="7">
        <v>43908</v>
      </c>
      <c r="G318" s="18"/>
      <c r="H318" s="16">
        <f t="shared" si="48"/>
        <v>7</v>
      </c>
      <c r="I318" s="16">
        <f t="shared" si="49"/>
        <v>6</v>
      </c>
      <c r="J318" s="122">
        <f t="shared" si="50"/>
        <v>2020</v>
      </c>
      <c r="K318" s="64">
        <f t="shared" si="43"/>
        <v>44049</v>
      </c>
      <c r="L318" s="6"/>
      <c r="M318" s="6"/>
      <c r="O318" s="208">
        <v>43963</v>
      </c>
      <c r="P318" s="209">
        <f t="shared" si="44"/>
        <v>0</v>
      </c>
      <c r="Q318" s="209">
        <f>+SUMIF('A DEPOSITAR'!$D$2:$D$998,(O318-2),'A DEPOSITAR'!$H$2:$H$998)</f>
        <v>0</v>
      </c>
      <c r="R318" s="210">
        <f t="shared" si="45"/>
        <v>0</v>
      </c>
      <c r="S318" s="210">
        <f t="shared" si="47"/>
        <v>1652172.4000000004</v>
      </c>
      <c r="T318" s="209">
        <f t="shared" si="46"/>
        <v>0</v>
      </c>
      <c r="U318" s="209">
        <f>+SUMIFS('A DEPOSITAR'!$H$2:$H$998,'A DEPOSITAR'!$D$2:$D$998,(O318-2),'A DEPOSITAR'!$I$2:$I$998,"A Depositar")</f>
        <v>0</v>
      </c>
      <c r="V318" s="6"/>
      <c r="W318" s="6"/>
      <c r="X318" s="6"/>
      <c r="Y318" s="6"/>
      <c r="Z318" s="6"/>
    </row>
    <row r="319" spans="1:26" ht="12.75" x14ac:dyDescent="0.2">
      <c r="A319" s="33">
        <v>44004</v>
      </c>
      <c r="B319" s="29" t="s">
        <v>23</v>
      </c>
      <c r="C319" s="29">
        <v>78212378</v>
      </c>
      <c r="D319" s="30">
        <v>6000</v>
      </c>
      <c r="E319" s="29" t="s">
        <v>22</v>
      </c>
      <c r="F319" s="7">
        <v>43908</v>
      </c>
      <c r="G319" s="18"/>
      <c r="H319" s="16">
        <f t="shared" si="48"/>
        <v>22</v>
      </c>
      <c r="I319" s="16">
        <f t="shared" si="49"/>
        <v>6</v>
      </c>
      <c r="J319" s="122">
        <f t="shared" si="50"/>
        <v>2020</v>
      </c>
      <c r="K319" s="64">
        <f t="shared" si="43"/>
        <v>44064</v>
      </c>
      <c r="L319" s="6"/>
      <c r="M319" s="6"/>
      <c r="O319" s="208">
        <v>43964</v>
      </c>
      <c r="P319" s="209">
        <f t="shared" si="44"/>
        <v>0</v>
      </c>
      <c r="Q319" s="209">
        <f>+SUMIF('A DEPOSITAR'!$D$2:$D$998,(O319-2),'A DEPOSITAR'!$H$2:$H$998)</f>
        <v>0</v>
      </c>
      <c r="R319" s="210">
        <f t="shared" si="45"/>
        <v>0</v>
      </c>
      <c r="S319" s="210">
        <f t="shared" si="47"/>
        <v>1652172.4000000004</v>
      </c>
      <c r="T319" s="209">
        <f t="shared" si="46"/>
        <v>0</v>
      </c>
      <c r="U319" s="209">
        <f>+SUMIFS('A DEPOSITAR'!$H$2:$H$998,'A DEPOSITAR'!$D$2:$D$998,(O319-2),'A DEPOSITAR'!$I$2:$I$998,"A Depositar")</f>
        <v>0</v>
      </c>
      <c r="V319" s="6"/>
      <c r="W319" s="6"/>
      <c r="X319" s="6"/>
      <c r="Y319" s="6"/>
      <c r="Z319" s="6"/>
    </row>
    <row r="320" spans="1:26" ht="12.75" x14ac:dyDescent="0.2">
      <c r="A320" s="31">
        <v>44073</v>
      </c>
      <c r="B320" s="29" t="s">
        <v>222</v>
      </c>
      <c r="C320" s="29">
        <v>78212379</v>
      </c>
      <c r="D320" s="30">
        <v>4850</v>
      </c>
      <c r="E320" s="29" t="s">
        <v>22</v>
      </c>
      <c r="F320" s="7">
        <v>43957</v>
      </c>
      <c r="G320" s="18"/>
      <c r="H320" s="16">
        <f t="shared" si="48"/>
        <v>30</v>
      </c>
      <c r="I320" s="16">
        <f t="shared" si="49"/>
        <v>8</v>
      </c>
      <c r="J320" s="122">
        <f t="shared" si="50"/>
        <v>2020</v>
      </c>
      <c r="K320" s="64">
        <f t="shared" si="43"/>
        <v>44133</v>
      </c>
      <c r="L320" s="6"/>
      <c r="M320" s="6"/>
      <c r="O320" s="208">
        <v>43965</v>
      </c>
      <c r="P320" s="209">
        <f t="shared" si="44"/>
        <v>0</v>
      </c>
      <c r="Q320" s="209">
        <f>+SUMIF('A DEPOSITAR'!$D$2:$D$998,(O320-2),'A DEPOSITAR'!$H$2:$H$998)</f>
        <v>0</v>
      </c>
      <c r="R320" s="210">
        <f t="shared" si="45"/>
        <v>0</v>
      </c>
      <c r="S320" s="210">
        <f t="shared" si="47"/>
        <v>1652172.4000000004</v>
      </c>
      <c r="T320" s="209">
        <f t="shared" si="46"/>
        <v>0</v>
      </c>
      <c r="U320" s="209">
        <f>+SUMIFS('A DEPOSITAR'!$H$2:$H$998,'A DEPOSITAR'!$D$2:$D$998,(O320-2),'A DEPOSITAR'!$I$2:$I$998,"A Depositar")</f>
        <v>0</v>
      </c>
      <c r="V320" s="6"/>
      <c r="W320" s="6"/>
      <c r="X320" s="6"/>
      <c r="Y320" s="6"/>
      <c r="Z320" s="6"/>
    </row>
    <row r="321" spans="1:26" ht="12.75" x14ac:dyDescent="0.2">
      <c r="A321" s="31">
        <v>44059</v>
      </c>
      <c r="B321" s="29" t="s">
        <v>222</v>
      </c>
      <c r="C321" s="29">
        <v>78212380</v>
      </c>
      <c r="D321" s="30">
        <v>16010</v>
      </c>
      <c r="E321" s="29" t="s">
        <v>22</v>
      </c>
      <c r="F321" s="7">
        <v>43957</v>
      </c>
      <c r="G321" s="18"/>
      <c r="H321" s="16">
        <f t="shared" si="48"/>
        <v>16</v>
      </c>
      <c r="I321" s="16">
        <f t="shared" si="49"/>
        <v>8</v>
      </c>
      <c r="J321" s="122">
        <f t="shared" si="50"/>
        <v>2020</v>
      </c>
      <c r="K321" s="64">
        <f t="shared" si="43"/>
        <v>44119</v>
      </c>
      <c r="L321" s="6"/>
      <c r="M321" s="6"/>
      <c r="O321" s="208">
        <v>43966</v>
      </c>
      <c r="P321" s="209">
        <f t="shared" si="44"/>
        <v>0</v>
      </c>
      <c r="Q321" s="209">
        <f>+SUMIF('A DEPOSITAR'!$D$2:$D$998,(O321-2),'A DEPOSITAR'!$H$2:$H$998)</f>
        <v>0</v>
      </c>
      <c r="R321" s="210">
        <f t="shared" si="45"/>
        <v>0</v>
      </c>
      <c r="S321" s="210">
        <f t="shared" si="47"/>
        <v>1652172.4000000004</v>
      </c>
      <c r="T321" s="209">
        <f t="shared" si="46"/>
        <v>0</v>
      </c>
      <c r="U321" s="209">
        <f>+SUMIFS('A DEPOSITAR'!$H$2:$H$998,'A DEPOSITAR'!$D$2:$D$998,(O321-2),'A DEPOSITAR'!$I$2:$I$998,"A Depositar")</f>
        <v>0</v>
      </c>
      <c r="V321" s="6"/>
      <c r="W321" s="6"/>
      <c r="X321" s="6"/>
      <c r="Y321" s="6"/>
      <c r="Z321" s="6"/>
    </row>
    <row r="322" spans="1:26" ht="12.75" x14ac:dyDescent="0.2">
      <c r="A322" s="31">
        <v>44065</v>
      </c>
      <c r="B322" s="29" t="s">
        <v>222</v>
      </c>
      <c r="C322" s="29">
        <v>78212381</v>
      </c>
      <c r="D322" s="30">
        <v>16020</v>
      </c>
      <c r="E322" s="29" t="s">
        <v>22</v>
      </c>
      <c r="F322" s="7">
        <v>43957</v>
      </c>
      <c r="G322" s="18"/>
      <c r="H322" s="16">
        <f t="shared" si="48"/>
        <v>22</v>
      </c>
      <c r="I322" s="16">
        <f t="shared" si="49"/>
        <v>8</v>
      </c>
      <c r="J322" s="122">
        <f t="shared" si="50"/>
        <v>2020</v>
      </c>
      <c r="K322" s="64">
        <f t="shared" ref="K322:K385" si="51">A322+60</f>
        <v>44125</v>
      </c>
      <c r="L322" s="6"/>
      <c r="M322" s="6"/>
      <c r="O322" s="208">
        <v>43967</v>
      </c>
      <c r="P322" s="209">
        <f t="shared" si="44"/>
        <v>45178.14</v>
      </c>
      <c r="Q322" s="209">
        <f>+SUMIF('A DEPOSITAR'!$D$2:$D$998,(O322-2),'A DEPOSITAR'!$H$2:$H$998)</f>
        <v>0</v>
      </c>
      <c r="R322" s="210">
        <f t="shared" si="45"/>
        <v>-45178.14</v>
      </c>
      <c r="S322" s="210">
        <f t="shared" si="47"/>
        <v>1606994.2600000005</v>
      </c>
      <c r="T322" s="209">
        <f t="shared" si="46"/>
        <v>0</v>
      </c>
      <c r="U322" s="209">
        <f>+SUMIFS('A DEPOSITAR'!$H$2:$H$998,'A DEPOSITAR'!$D$2:$D$998,(O322-2),'A DEPOSITAR'!$I$2:$I$998,"A Depositar")</f>
        <v>0</v>
      </c>
      <c r="V322" s="6"/>
      <c r="W322" s="6"/>
      <c r="X322" s="6"/>
      <c r="Y322" s="6"/>
      <c r="Z322" s="6"/>
    </row>
    <row r="323" spans="1:26" ht="12.75" x14ac:dyDescent="0.2">
      <c r="A323" s="31">
        <v>44073</v>
      </c>
      <c r="B323" s="29" t="s">
        <v>222</v>
      </c>
      <c r="C323" s="29">
        <v>78212382</v>
      </c>
      <c r="D323" s="30">
        <v>16030</v>
      </c>
      <c r="E323" s="29" t="s">
        <v>22</v>
      </c>
      <c r="F323" s="7">
        <v>43957</v>
      </c>
      <c r="G323" s="18"/>
      <c r="H323" s="16">
        <f t="shared" si="48"/>
        <v>30</v>
      </c>
      <c r="I323" s="16">
        <f t="shared" si="49"/>
        <v>8</v>
      </c>
      <c r="J323" s="122">
        <f t="shared" si="50"/>
        <v>2020</v>
      </c>
      <c r="K323" s="64">
        <f t="shared" si="51"/>
        <v>44133</v>
      </c>
      <c r="L323" s="6"/>
      <c r="M323" s="6"/>
      <c r="O323" s="208">
        <v>43968</v>
      </c>
      <c r="P323" s="209">
        <f t="shared" ref="P323:P386" si="52">+SUMIF($A$2:$A$998,O323,$D$2:$D$998)</f>
        <v>0</v>
      </c>
      <c r="Q323" s="209">
        <f>+SUMIF('A DEPOSITAR'!$D$2:$D$998,(O323-2),'A DEPOSITAR'!$H$2:$H$998)</f>
        <v>0</v>
      </c>
      <c r="R323" s="210">
        <f t="shared" ref="R323:R386" si="53">+Q323-P323</f>
        <v>0</v>
      </c>
      <c r="S323" s="210">
        <f t="shared" si="47"/>
        <v>1606994.2600000005</v>
      </c>
      <c r="T323" s="209">
        <f t="shared" ref="T323:T386" si="54">+SUMIFS($D$2:$D$998,$A$2:$A$998,O323,$E$2:$E$998,"A Pagar")</f>
        <v>0</v>
      </c>
      <c r="U323" s="209">
        <f>+SUMIFS('A DEPOSITAR'!$H$2:$H$998,'A DEPOSITAR'!$D$2:$D$998,(O323-2),'A DEPOSITAR'!$I$2:$I$998,"A Depositar")</f>
        <v>0</v>
      </c>
      <c r="V323" s="6"/>
      <c r="W323" s="6"/>
      <c r="X323" s="6"/>
      <c r="Y323" s="6"/>
      <c r="Z323" s="6"/>
    </row>
    <row r="324" spans="1:26" ht="12.75" x14ac:dyDescent="0.2">
      <c r="A324" s="31">
        <v>44082</v>
      </c>
      <c r="B324" s="29" t="s">
        <v>222</v>
      </c>
      <c r="C324" s="29">
        <v>78212383</v>
      </c>
      <c r="D324" s="30">
        <v>16100</v>
      </c>
      <c r="E324" s="29" t="s">
        <v>22</v>
      </c>
      <c r="F324" s="7">
        <v>43957</v>
      </c>
      <c r="G324" s="18"/>
      <c r="H324" s="16">
        <f t="shared" si="48"/>
        <v>8</v>
      </c>
      <c r="I324" s="16">
        <f t="shared" si="49"/>
        <v>9</v>
      </c>
      <c r="J324" s="122">
        <f t="shared" si="50"/>
        <v>2020</v>
      </c>
      <c r="K324" s="64">
        <f t="shared" si="51"/>
        <v>44142</v>
      </c>
      <c r="L324" s="6"/>
      <c r="M324" s="6"/>
      <c r="O324" s="208">
        <v>43969</v>
      </c>
      <c r="P324" s="209">
        <f t="shared" si="52"/>
        <v>0</v>
      </c>
      <c r="Q324" s="209">
        <f>+SUMIF('A DEPOSITAR'!$D$2:$D$998,(O324-2),'A DEPOSITAR'!$H$2:$H$998)</f>
        <v>12550</v>
      </c>
      <c r="R324" s="210">
        <f t="shared" si="53"/>
        <v>12550</v>
      </c>
      <c r="S324" s="210">
        <f t="shared" ref="S324:S387" si="55">+S323+R324</f>
        <v>1619544.2600000005</v>
      </c>
      <c r="T324" s="209">
        <f t="shared" si="54"/>
        <v>0</v>
      </c>
      <c r="U324" s="209">
        <f>+SUMIFS('A DEPOSITAR'!$H$2:$H$998,'A DEPOSITAR'!$D$2:$D$998,(O324-2),'A DEPOSITAR'!$I$2:$I$998,"A Depositar")</f>
        <v>0</v>
      </c>
      <c r="V324" s="6"/>
      <c r="W324" s="6"/>
      <c r="X324" s="6"/>
      <c r="Y324" s="6"/>
      <c r="Z324" s="6"/>
    </row>
    <row r="325" spans="1:26" ht="12.75" x14ac:dyDescent="0.2">
      <c r="A325" s="31">
        <v>44090</v>
      </c>
      <c r="B325" s="29" t="s">
        <v>222</v>
      </c>
      <c r="C325" s="29">
        <v>78212384</v>
      </c>
      <c r="D325" s="30">
        <v>16120</v>
      </c>
      <c r="E325" s="29" t="s">
        <v>22</v>
      </c>
      <c r="F325" s="7">
        <v>43957</v>
      </c>
      <c r="G325" s="18"/>
      <c r="H325" s="16">
        <f t="shared" si="48"/>
        <v>16</v>
      </c>
      <c r="I325" s="16">
        <f t="shared" si="49"/>
        <v>9</v>
      </c>
      <c r="J325" s="122">
        <f t="shared" si="50"/>
        <v>2020</v>
      </c>
      <c r="K325" s="64">
        <f t="shared" si="51"/>
        <v>44150</v>
      </c>
      <c r="L325" s="6"/>
      <c r="M325" s="6"/>
      <c r="O325" s="208">
        <v>43970</v>
      </c>
      <c r="P325" s="209">
        <f t="shared" si="52"/>
        <v>0</v>
      </c>
      <c r="Q325" s="209">
        <f>+SUMIF('A DEPOSITAR'!$D$2:$D$998,(O325-2),'A DEPOSITAR'!$H$2:$H$998)</f>
        <v>0</v>
      </c>
      <c r="R325" s="210">
        <f t="shared" si="53"/>
        <v>0</v>
      </c>
      <c r="S325" s="210">
        <f t="shared" si="55"/>
        <v>1619544.2600000005</v>
      </c>
      <c r="T325" s="209">
        <f t="shared" si="54"/>
        <v>0</v>
      </c>
      <c r="U325" s="209">
        <f>+SUMIFS('A DEPOSITAR'!$H$2:$H$998,'A DEPOSITAR'!$D$2:$D$998,(O325-2),'A DEPOSITAR'!$I$2:$I$998,"A Depositar")</f>
        <v>0</v>
      </c>
      <c r="V325" s="6"/>
      <c r="W325" s="6"/>
      <c r="X325" s="6"/>
      <c r="Y325" s="6"/>
      <c r="Z325" s="6"/>
    </row>
    <row r="326" spans="1:26" ht="12.75" x14ac:dyDescent="0.2">
      <c r="A326" s="31">
        <v>44096</v>
      </c>
      <c r="B326" s="29" t="s">
        <v>222</v>
      </c>
      <c r="C326" s="29">
        <v>78212385</v>
      </c>
      <c r="D326" s="30">
        <v>16130</v>
      </c>
      <c r="E326" s="29" t="s">
        <v>22</v>
      </c>
      <c r="F326" s="7">
        <v>43957</v>
      </c>
      <c r="G326" s="18"/>
      <c r="H326" s="16">
        <f t="shared" si="48"/>
        <v>22</v>
      </c>
      <c r="I326" s="16">
        <f t="shared" si="49"/>
        <v>9</v>
      </c>
      <c r="J326" s="122">
        <f t="shared" si="50"/>
        <v>2020</v>
      </c>
      <c r="K326" s="64">
        <f t="shared" si="51"/>
        <v>44156</v>
      </c>
      <c r="L326" s="6"/>
      <c r="M326" s="6"/>
      <c r="O326" s="208">
        <v>43971</v>
      </c>
      <c r="P326" s="209">
        <f t="shared" si="52"/>
        <v>0</v>
      </c>
      <c r="Q326" s="209">
        <f>+SUMIF('A DEPOSITAR'!$D$2:$D$998,(O326-2),'A DEPOSITAR'!$H$2:$H$998)</f>
        <v>25000</v>
      </c>
      <c r="R326" s="210">
        <f t="shared" si="53"/>
        <v>25000</v>
      </c>
      <c r="S326" s="210">
        <f t="shared" si="55"/>
        <v>1644544.2600000005</v>
      </c>
      <c r="T326" s="209">
        <f t="shared" si="54"/>
        <v>0</v>
      </c>
      <c r="U326" s="209">
        <f>+SUMIFS('A DEPOSITAR'!$H$2:$H$998,'A DEPOSITAR'!$D$2:$D$998,(O326-2),'A DEPOSITAR'!$I$2:$I$998,"A Depositar")</f>
        <v>0</v>
      </c>
      <c r="V326" s="6"/>
      <c r="W326" s="6"/>
      <c r="X326" s="6"/>
      <c r="Y326" s="6"/>
      <c r="Z326" s="6"/>
    </row>
    <row r="327" spans="1:26" ht="12.75" x14ac:dyDescent="0.2">
      <c r="A327" s="31">
        <v>44104</v>
      </c>
      <c r="B327" s="29" t="s">
        <v>222</v>
      </c>
      <c r="C327" s="29">
        <v>78212386</v>
      </c>
      <c r="D327" s="30">
        <v>16140</v>
      </c>
      <c r="E327" s="29" t="s">
        <v>22</v>
      </c>
      <c r="F327" s="7">
        <v>43957</v>
      </c>
      <c r="G327" s="18"/>
      <c r="H327" s="16">
        <f t="shared" si="48"/>
        <v>30</v>
      </c>
      <c r="I327" s="16">
        <f t="shared" si="49"/>
        <v>9</v>
      </c>
      <c r="J327" s="122">
        <f t="shared" si="50"/>
        <v>2020</v>
      </c>
      <c r="K327" s="64">
        <f t="shared" si="51"/>
        <v>44164</v>
      </c>
      <c r="L327" s="6"/>
      <c r="M327" s="6"/>
      <c r="O327" s="208">
        <v>43972</v>
      </c>
      <c r="P327" s="209">
        <f t="shared" si="52"/>
        <v>0</v>
      </c>
      <c r="Q327" s="209">
        <f>+SUMIF('A DEPOSITAR'!$D$2:$D$998,(O327-2),'A DEPOSITAR'!$H$2:$H$998)</f>
        <v>0</v>
      </c>
      <c r="R327" s="210">
        <f t="shared" si="53"/>
        <v>0</v>
      </c>
      <c r="S327" s="210">
        <f t="shared" si="55"/>
        <v>1644544.2600000005</v>
      </c>
      <c r="T327" s="209">
        <f t="shared" si="54"/>
        <v>0</v>
      </c>
      <c r="U327" s="209">
        <f>+SUMIFS('A DEPOSITAR'!$H$2:$H$998,'A DEPOSITAR'!$D$2:$D$998,(O327-2),'A DEPOSITAR'!$I$2:$I$998,"A Depositar")</f>
        <v>0</v>
      </c>
      <c r="V327" s="6"/>
      <c r="W327" s="6"/>
      <c r="X327" s="6"/>
      <c r="Y327" s="6"/>
      <c r="Z327" s="6"/>
    </row>
    <row r="328" spans="1:26" ht="12.75" x14ac:dyDescent="0.2">
      <c r="A328" s="31">
        <v>44050</v>
      </c>
      <c r="B328" s="29" t="s">
        <v>222</v>
      </c>
      <c r="C328" s="29">
        <v>78212387</v>
      </c>
      <c r="D328" s="30">
        <v>9500</v>
      </c>
      <c r="E328" s="29" t="s">
        <v>22</v>
      </c>
      <c r="F328" s="7">
        <v>43957</v>
      </c>
      <c r="G328" s="18"/>
      <c r="H328" s="16">
        <f t="shared" si="48"/>
        <v>7</v>
      </c>
      <c r="I328" s="16">
        <f t="shared" si="49"/>
        <v>8</v>
      </c>
      <c r="J328" s="122">
        <f t="shared" si="50"/>
        <v>2020</v>
      </c>
      <c r="K328" s="64">
        <f t="shared" si="51"/>
        <v>44110</v>
      </c>
      <c r="L328" s="6"/>
      <c r="M328" s="6"/>
      <c r="O328" s="208">
        <v>43973</v>
      </c>
      <c r="P328" s="209">
        <f t="shared" si="52"/>
        <v>38407.800000000003</v>
      </c>
      <c r="Q328" s="209">
        <f>+SUMIF('A DEPOSITAR'!$D$2:$D$998,(O328-2),'A DEPOSITAR'!$H$2:$H$998)</f>
        <v>10000</v>
      </c>
      <c r="R328" s="210">
        <f t="shared" si="53"/>
        <v>-28407.800000000003</v>
      </c>
      <c r="S328" s="210">
        <f t="shared" si="55"/>
        <v>1616136.4600000004</v>
      </c>
      <c r="T328" s="209">
        <f t="shared" si="54"/>
        <v>0</v>
      </c>
      <c r="U328" s="209">
        <f>+SUMIFS('A DEPOSITAR'!$H$2:$H$998,'A DEPOSITAR'!$D$2:$D$998,(O328-2),'A DEPOSITAR'!$I$2:$I$998,"A Depositar")</f>
        <v>0</v>
      </c>
      <c r="V328" s="6"/>
      <c r="W328" s="6"/>
      <c r="X328" s="6"/>
      <c r="Y328" s="6"/>
      <c r="Z328" s="6"/>
    </row>
    <row r="329" spans="1:26" ht="12.75" x14ac:dyDescent="0.2">
      <c r="A329" s="31">
        <v>44012</v>
      </c>
      <c r="B329" s="29" t="s">
        <v>23</v>
      </c>
      <c r="C329" s="29">
        <v>78212388</v>
      </c>
      <c r="D329" s="30">
        <v>7900</v>
      </c>
      <c r="E329" s="29" t="s">
        <v>22</v>
      </c>
      <c r="F329" s="7">
        <v>43973</v>
      </c>
      <c r="G329" s="18"/>
      <c r="H329" s="16">
        <f t="shared" si="48"/>
        <v>30</v>
      </c>
      <c r="I329" s="16">
        <f t="shared" si="49"/>
        <v>6</v>
      </c>
      <c r="J329" s="122">
        <f t="shared" si="50"/>
        <v>2020</v>
      </c>
      <c r="K329" s="64">
        <f t="shared" si="51"/>
        <v>44072</v>
      </c>
      <c r="L329" s="6"/>
      <c r="M329" s="6"/>
      <c r="O329" s="208">
        <v>43974</v>
      </c>
      <c r="P329" s="209">
        <f t="shared" si="52"/>
        <v>18192.34</v>
      </c>
      <c r="Q329" s="209">
        <f>+SUMIF('A DEPOSITAR'!$D$2:$D$998,(O329-2),'A DEPOSITAR'!$H$2:$H$998)</f>
        <v>0</v>
      </c>
      <c r="R329" s="210">
        <f t="shared" si="53"/>
        <v>-18192.34</v>
      </c>
      <c r="S329" s="210">
        <f t="shared" si="55"/>
        <v>1597944.1200000003</v>
      </c>
      <c r="T329" s="209">
        <f t="shared" si="54"/>
        <v>0</v>
      </c>
      <c r="U329" s="209">
        <f>+SUMIFS('A DEPOSITAR'!$H$2:$H$998,'A DEPOSITAR'!$D$2:$D$998,(O329-2),'A DEPOSITAR'!$I$2:$I$998,"A Depositar")</f>
        <v>0</v>
      </c>
      <c r="V329" s="6"/>
      <c r="W329" s="6"/>
      <c r="X329" s="6"/>
      <c r="Y329" s="6"/>
      <c r="Z329" s="6"/>
    </row>
    <row r="330" spans="1:26" ht="12.75" x14ac:dyDescent="0.2">
      <c r="A330" s="31">
        <v>44020</v>
      </c>
      <c r="B330" s="29" t="s">
        <v>199</v>
      </c>
      <c r="C330" s="29">
        <v>78212389</v>
      </c>
      <c r="D330" s="30">
        <v>2500</v>
      </c>
      <c r="E330" s="29" t="s">
        <v>22</v>
      </c>
      <c r="F330" s="7">
        <v>43981</v>
      </c>
      <c r="G330" s="18"/>
      <c r="H330" s="16">
        <f t="shared" si="48"/>
        <v>8</v>
      </c>
      <c r="I330" s="16">
        <f t="shared" si="49"/>
        <v>7</v>
      </c>
      <c r="J330" s="122">
        <f t="shared" si="50"/>
        <v>2020</v>
      </c>
      <c r="K330" s="64">
        <f t="shared" si="51"/>
        <v>44080</v>
      </c>
      <c r="L330" s="6"/>
      <c r="M330" s="6"/>
      <c r="O330" s="208">
        <v>43975</v>
      </c>
      <c r="P330" s="209">
        <f t="shared" si="52"/>
        <v>0</v>
      </c>
      <c r="Q330" s="209">
        <f>+SUMIF('A DEPOSITAR'!$D$2:$D$998,(O330-2),'A DEPOSITAR'!$H$2:$H$998)</f>
        <v>10000</v>
      </c>
      <c r="R330" s="210">
        <f t="shared" si="53"/>
        <v>10000</v>
      </c>
      <c r="S330" s="210">
        <f t="shared" si="55"/>
        <v>1607944.1200000003</v>
      </c>
      <c r="T330" s="209">
        <f t="shared" si="54"/>
        <v>0</v>
      </c>
      <c r="U330" s="209">
        <f>+SUMIFS('A DEPOSITAR'!$H$2:$H$998,'A DEPOSITAR'!$D$2:$D$998,(O330-2),'A DEPOSITAR'!$I$2:$I$998,"A Depositar")</f>
        <v>0</v>
      </c>
      <c r="V330" s="6"/>
      <c r="W330" s="6"/>
      <c r="X330" s="6"/>
      <c r="Y330" s="6"/>
      <c r="Z330" s="6"/>
    </row>
    <row r="331" spans="1:26" ht="12.75" x14ac:dyDescent="0.2">
      <c r="A331" s="31">
        <v>44034</v>
      </c>
      <c r="B331" s="29" t="s">
        <v>199</v>
      </c>
      <c r="C331" s="29">
        <v>78212390</v>
      </c>
      <c r="D331" s="30">
        <v>2500</v>
      </c>
      <c r="E331" s="29" t="s">
        <v>22</v>
      </c>
      <c r="F331" s="7">
        <v>43981</v>
      </c>
      <c r="G331" s="18"/>
      <c r="H331" s="16">
        <f t="shared" si="48"/>
        <v>22</v>
      </c>
      <c r="I331" s="16">
        <f t="shared" si="49"/>
        <v>7</v>
      </c>
      <c r="J331" s="122">
        <f t="shared" si="50"/>
        <v>2020</v>
      </c>
      <c r="K331" s="64">
        <f t="shared" si="51"/>
        <v>44094</v>
      </c>
      <c r="L331" s="6"/>
      <c r="M331" s="6"/>
      <c r="O331" s="208">
        <v>43976</v>
      </c>
      <c r="P331" s="209">
        <f t="shared" si="52"/>
        <v>0</v>
      </c>
      <c r="Q331" s="209">
        <f>+SUMIF('A DEPOSITAR'!$D$2:$D$998,(O331-2),'A DEPOSITAR'!$H$2:$H$998)</f>
        <v>0</v>
      </c>
      <c r="R331" s="210">
        <f t="shared" si="53"/>
        <v>0</v>
      </c>
      <c r="S331" s="210">
        <f t="shared" si="55"/>
        <v>1607944.1200000003</v>
      </c>
      <c r="T331" s="209">
        <f t="shared" si="54"/>
        <v>0</v>
      </c>
      <c r="U331" s="209">
        <f>+SUMIFS('A DEPOSITAR'!$H$2:$H$998,'A DEPOSITAR'!$D$2:$D$998,(O331-2),'A DEPOSITAR'!$I$2:$I$998,"A Depositar")</f>
        <v>0</v>
      </c>
      <c r="V331" s="6"/>
      <c r="W331" s="6"/>
      <c r="X331" s="6"/>
      <c r="Y331" s="6"/>
      <c r="Z331" s="6"/>
    </row>
    <row r="332" spans="1:26" ht="12.75" x14ac:dyDescent="0.2">
      <c r="A332" s="31">
        <v>44051</v>
      </c>
      <c r="B332" s="29" t="s">
        <v>199</v>
      </c>
      <c r="C332" s="29">
        <v>78212391</v>
      </c>
      <c r="D332" s="30">
        <v>2500</v>
      </c>
      <c r="E332" s="29" t="s">
        <v>22</v>
      </c>
      <c r="F332" s="7">
        <v>43981</v>
      </c>
      <c r="G332" s="18"/>
      <c r="H332" s="16">
        <f t="shared" si="48"/>
        <v>8</v>
      </c>
      <c r="I332" s="16">
        <f t="shared" si="49"/>
        <v>8</v>
      </c>
      <c r="J332" s="122">
        <f t="shared" si="50"/>
        <v>2020</v>
      </c>
      <c r="K332" s="64">
        <f t="shared" si="51"/>
        <v>44111</v>
      </c>
      <c r="L332" s="6"/>
      <c r="M332" s="6"/>
      <c r="O332" s="208">
        <v>43977</v>
      </c>
      <c r="P332" s="209">
        <f t="shared" si="52"/>
        <v>0</v>
      </c>
      <c r="Q332" s="209">
        <f>+SUMIF('A DEPOSITAR'!$D$2:$D$998,(O332-2),'A DEPOSITAR'!$H$2:$H$998)</f>
        <v>0</v>
      </c>
      <c r="R332" s="210">
        <f t="shared" si="53"/>
        <v>0</v>
      </c>
      <c r="S332" s="210">
        <f t="shared" si="55"/>
        <v>1607944.1200000003</v>
      </c>
      <c r="T332" s="209">
        <f t="shared" si="54"/>
        <v>0</v>
      </c>
      <c r="U332" s="209">
        <f>+SUMIFS('A DEPOSITAR'!$H$2:$H$998,'A DEPOSITAR'!$D$2:$D$998,(O332-2),'A DEPOSITAR'!$I$2:$I$998,"A Depositar")</f>
        <v>0</v>
      </c>
      <c r="V332" s="6"/>
      <c r="W332" s="6"/>
      <c r="X332" s="6"/>
      <c r="Y332" s="6"/>
      <c r="Z332" s="6"/>
    </row>
    <row r="333" spans="1:26" ht="12.75" x14ac:dyDescent="0.2">
      <c r="A333" s="31">
        <v>44074</v>
      </c>
      <c r="B333" s="29" t="s">
        <v>222</v>
      </c>
      <c r="C333" s="29">
        <v>78212392</v>
      </c>
      <c r="D333" s="30">
        <v>7977</v>
      </c>
      <c r="E333" s="29" t="s">
        <v>22</v>
      </c>
      <c r="F333" s="7">
        <v>43986</v>
      </c>
      <c r="G333" s="18"/>
      <c r="H333" s="16">
        <f t="shared" si="48"/>
        <v>31</v>
      </c>
      <c r="I333" s="16">
        <f t="shared" si="49"/>
        <v>8</v>
      </c>
      <c r="J333" s="122">
        <f t="shared" si="50"/>
        <v>2020</v>
      </c>
      <c r="K333" s="64">
        <f t="shared" si="51"/>
        <v>44134</v>
      </c>
      <c r="L333" s="6"/>
      <c r="M333" s="6"/>
      <c r="O333" s="208">
        <v>43978</v>
      </c>
      <c r="P333" s="209">
        <f t="shared" si="52"/>
        <v>0</v>
      </c>
      <c r="Q333" s="209">
        <f>+SUMIF('A DEPOSITAR'!$D$2:$D$998,(O333-2),'A DEPOSITAR'!$H$2:$H$998)</f>
        <v>0</v>
      </c>
      <c r="R333" s="210">
        <f t="shared" si="53"/>
        <v>0</v>
      </c>
      <c r="S333" s="210">
        <f t="shared" si="55"/>
        <v>1607944.1200000003</v>
      </c>
      <c r="T333" s="209">
        <f t="shared" si="54"/>
        <v>0</v>
      </c>
      <c r="U333" s="209">
        <f>+SUMIFS('A DEPOSITAR'!$H$2:$H$998,'A DEPOSITAR'!$D$2:$D$998,(O333-2),'A DEPOSITAR'!$I$2:$I$998,"A Depositar")</f>
        <v>0</v>
      </c>
      <c r="V333" s="6"/>
      <c r="W333" s="6"/>
      <c r="X333" s="6"/>
      <c r="Y333" s="6"/>
      <c r="Z333" s="6"/>
    </row>
    <row r="334" spans="1:26" ht="12.75" x14ac:dyDescent="0.2">
      <c r="A334" s="31">
        <v>44043</v>
      </c>
      <c r="B334" s="29" t="s">
        <v>222</v>
      </c>
      <c r="C334" s="29">
        <v>78212393</v>
      </c>
      <c r="D334" s="30">
        <v>8510</v>
      </c>
      <c r="E334" s="29" t="s">
        <v>22</v>
      </c>
      <c r="F334" s="7">
        <v>43986</v>
      </c>
      <c r="G334" s="18"/>
      <c r="H334" s="16">
        <f t="shared" si="48"/>
        <v>31</v>
      </c>
      <c r="I334" s="16">
        <f t="shared" si="49"/>
        <v>7</v>
      </c>
      <c r="J334" s="122">
        <f t="shared" si="50"/>
        <v>2020</v>
      </c>
      <c r="K334" s="64">
        <f t="shared" si="51"/>
        <v>44103</v>
      </c>
      <c r="L334" s="6"/>
      <c r="M334" s="6"/>
      <c r="O334" s="208">
        <v>43979</v>
      </c>
      <c r="P334" s="209">
        <f t="shared" si="52"/>
        <v>0</v>
      </c>
      <c r="Q334" s="209">
        <f>+SUMIF('A DEPOSITAR'!$D$2:$D$998,(O334-2),'A DEPOSITAR'!$H$2:$H$998)</f>
        <v>0</v>
      </c>
      <c r="R334" s="210">
        <f t="shared" si="53"/>
        <v>0</v>
      </c>
      <c r="S334" s="210">
        <f t="shared" si="55"/>
        <v>1607944.1200000003</v>
      </c>
      <c r="T334" s="209">
        <f t="shared" si="54"/>
        <v>0</v>
      </c>
      <c r="U334" s="209">
        <f>+SUMIFS('A DEPOSITAR'!$H$2:$H$998,'A DEPOSITAR'!$D$2:$D$998,(O334-2),'A DEPOSITAR'!$I$2:$I$998,"A Depositar")</f>
        <v>0</v>
      </c>
      <c r="V334" s="6"/>
      <c r="W334" s="6"/>
      <c r="X334" s="6"/>
      <c r="Y334" s="6"/>
      <c r="Z334" s="6"/>
    </row>
    <row r="335" spans="1:26" ht="12.75" x14ac:dyDescent="0.2">
      <c r="A335" s="31">
        <v>44065</v>
      </c>
      <c r="B335" s="29" t="s">
        <v>222</v>
      </c>
      <c r="C335" s="29">
        <v>78212394</v>
      </c>
      <c r="D335" s="30">
        <v>8513</v>
      </c>
      <c r="E335" s="29" t="s">
        <v>22</v>
      </c>
      <c r="F335" s="7">
        <v>43986</v>
      </c>
      <c r="G335" s="18"/>
      <c r="H335" s="16">
        <f t="shared" si="48"/>
        <v>22</v>
      </c>
      <c r="I335" s="16">
        <f t="shared" si="49"/>
        <v>8</v>
      </c>
      <c r="J335" s="122">
        <f t="shared" si="50"/>
        <v>2020</v>
      </c>
      <c r="K335" s="64">
        <f t="shared" si="51"/>
        <v>44125</v>
      </c>
      <c r="L335" s="6"/>
      <c r="M335" s="6"/>
      <c r="O335" s="208">
        <v>43980</v>
      </c>
      <c r="P335" s="209">
        <f t="shared" si="52"/>
        <v>0</v>
      </c>
      <c r="Q335" s="209">
        <f>+SUMIF('A DEPOSITAR'!$D$2:$D$998,(O335-2),'A DEPOSITAR'!$H$2:$H$998)</f>
        <v>0</v>
      </c>
      <c r="R335" s="210">
        <f t="shared" si="53"/>
        <v>0</v>
      </c>
      <c r="S335" s="210">
        <f t="shared" si="55"/>
        <v>1607944.1200000003</v>
      </c>
      <c r="T335" s="209">
        <f t="shared" si="54"/>
        <v>0</v>
      </c>
      <c r="U335" s="209">
        <f>+SUMIFS('A DEPOSITAR'!$H$2:$H$998,'A DEPOSITAR'!$D$2:$D$998,(O335-2),'A DEPOSITAR'!$I$2:$I$998,"A Depositar")</f>
        <v>0</v>
      </c>
      <c r="V335" s="6"/>
      <c r="W335" s="6"/>
      <c r="X335" s="6"/>
      <c r="Y335" s="6"/>
      <c r="Z335" s="6"/>
    </row>
    <row r="336" spans="1:26" ht="12.75" x14ac:dyDescent="0.2">
      <c r="A336" s="31">
        <v>44034</v>
      </c>
      <c r="B336" s="29" t="s">
        <v>96</v>
      </c>
      <c r="C336" s="29">
        <v>78212395</v>
      </c>
      <c r="D336" s="30">
        <v>11010.26</v>
      </c>
      <c r="E336" s="29" t="s">
        <v>22</v>
      </c>
      <c r="F336" s="7">
        <v>44005</v>
      </c>
      <c r="G336" s="18"/>
      <c r="H336" s="16">
        <f t="shared" si="48"/>
        <v>22</v>
      </c>
      <c r="I336" s="16">
        <f t="shared" si="49"/>
        <v>7</v>
      </c>
      <c r="J336" s="122">
        <f t="shared" si="50"/>
        <v>2020</v>
      </c>
      <c r="K336" s="64">
        <f t="shared" si="51"/>
        <v>44094</v>
      </c>
      <c r="L336" s="6"/>
      <c r="M336" s="6"/>
      <c r="O336" s="208">
        <v>43981</v>
      </c>
      <c r="P336" s="209">
        <f t="shared" si="52"/>
        <v>48332.78</v>
      </c>
      <c r="Q336" s="209">
        <f>+SUMIF('A DEPOSITAR'!$D$2:$D$998,(O336-2),'A DEPOSITAR'!$H$2:$H$998)</f>
        <v>25000</v>
      </c>
      <c r="R336" s="210">
        <f t="shared" si="53"/>
        <v>-23332.78</v>
      </c>
      <c r="S336" s="210">
        <f t="shared" si="55"/>
        <v>1584611.3400000003</v>
      </c>
      <c r="T336" s="209">
        <f t="shared" si="54"/>
        <v>0</v>
      </c>
      <c r="U336" s="209">
        <f>+SUMIFS('A DEPOSITAR'!$H$2:$H$998,'A DEPOSITAR'!$D$2:$D$998,(O336-2),'A DEPOSITAR'!$I$2:$I$998,"A Depositar")</f>
        <v>0</v>
      </c>
      <c r="V336" s="6"/>
      <c r="W336" s="6"/>
      <c r="X336" s="6"/>
      <c r="Y336" s="6"/>
      <c r="Z336" s="6"/>
    </row>
    <row r="337" spans="1:26" ht="12.75" x14ac:dyDescent="0.2">
      <c r="A337" s="31">
        <v>44050</v>
      </c>
      <c r="B337" s="29" t="s">
        <v>96</v>
      </c>
      <c r="C337" s="29">
        <v>78212396</v>
      </c>
      <c r="D337" s="30">
        <v>11020</v>
      </c>
      <c r="E337" s="29" t="s">
        <v>22</v>
      </c>
      <c r="F337" s="7">
        <v>44005</v>
      </c>
      <c r="G337" s="18"/>
      <c r="H337" s="16">
        <f t="shared" si="48"/>
        <v>7</v>
      </c>
      <c r="I337" s="16">
        <f t="shared" si="49"/>
        <v>8</v>
      </c>
      <c r="J337" s="122">
        <f t="shared" si="50"/>
        <v>2020</v>
      </c>
      <c r="K337" s="64">
        <f t="shared" si="51"/>
        <v>44110</v>
      </c>
      <c r="L337" s="6"/>
      <c r="M337" s="6"/>
      <c r="O337" s="208">
        <v>43982</v>
      </c>
      <c r="P337" s="209">
        <f t="shared" si="52"/>
        <v>0</v>
      </c>
      <c r="Q337" s="209">
        <f>+SUMIF('A DEPOSITAR'!$D$2:$D$998,(O337-2),'A DEPOSITAR'!$H$2:$H$998)</f>
        <v>9000</v>
      </c>
      <c r="R337" s="210">
        <f t="shared" si="53"/>
        <v>9000</v>
      </c>
      <c r="S337" s="210">
        <f t="shared" si="55"/>
        <v>1593611.3400000003</v>
      </c>
      <c r="T337" s="209">
        <f t="shared" si="54"/>
        <v>0</v>
      </c>
      <c r="U337" s="209">
        <f>+SUMIFS('A DEPOSITAR'!$H$2:$H$998,'A DEPOSITAR'!$D$2:$D$998,(O337-2),'A DEPOSITAR'!$I$2:$I$998,"A Depositar")</f>
        <v>0</v>
      </c>
      <c r="V337" s="6"/>
      <c r="W337" s="6"/>
      <c r="X337" s="6"/>
      <c r="Y337" s="6"/>
      <c r="Z337" s="6"/>
    </row>
    <row r="338" spans="1:26" ht="12.75" x14ac:dyDescent="0.2">
      <c r="A338" s="31">
        <v>44019</v>
      </c>
      <c r="B338" s="29" t="s">
        <v>96</v>
      </c>
      <c r="C338" s="29">
        <v>78212397</v>
      </c>
      <c r="D338" s="30">
        <v>11030</v>
      </c>
      <c r="E338" s="29" t="s">
        <v>22</v>
      </c>
      <c r="F338" s="7">
        <v>44005</v>
      </c>
      <c r="G338" s="18"/>
      <c r="H338" s="16">
        <f t="shared" si="48"/>
        <v>7</v>
      </c>
      <c r="I338" s="16">
        <f t="shared" si="49"/>
        <v>7</v>
      </c>
      <c r="J338" s="122">
        <f t="shared" si="50"/>
        <v>2020</v>
      </c>
      <c r="K338" s="64">
        <f t="shared" si="51"/>
        <v>44079</v>
      </c>
      <c r="L338" s="6"/>
      <c r="M338" s="6"/>
      <c r="O338" s="208">
        <v>43983</v>
      </c>
      <c r="P338" s="209">
        <f t="shared" si="52"/>
        <v>0</v>
      </c>
      <c r="Q338" s="209">
        <f>+SUMIF('A DEPOSITAR'!$D$2:$D$998,(O338-2),'A DEPOSITAR'!$H$2:$H$998)</f>
        <v>0</v>
      </c>
      <c r="R338" s="210">
        <f t="shared" si="53"/>
        <v>0</v>
      </c>
      <c r="S338" s="210">
        <f t="shared" si="55"/>
        <v>1593611.3400000003</v>
      </c>
      <c r="T338" s="209">
        <f t="shared" si="54"/>
        <v>0</v>
      </c>
      <c r="U338" s="209">
        <f>+SUMIFS('A DEPOSITAR'!$H$2:$H$998,'A DEPOSITAR'!$D$2:$D$998,(O338-2),'A DEPOSITAR'!$I$2:$I$998,"A Depositar")</f>
        <v>0</v>
      </c>
      <c r="V338" s="6"/>
      <c r="W338" s="6"/>
      <c r="X338" s="6"/>
      <c r="Y338" s="6"/>
      <c r="Z338" s="6"/>
    </row>
    <row r="339" spans="1:26" ht="12.75" x14ac:dyDescent="0.2">
      <c r="A339" s="31">
        <v>44034</v>
      </c>
      <c r="B339" s="29" t="s">
        <v>98</v>
      </c>
      <c r="C339" s="29">
        <v>78212398</v>
      </c>
      <c r="D339" s="30">
        <v>7054.4</v>
      </c>
      <c r="E339" s="29" t="s">
        <v>22</v>
      </c>
      <c r="F339" s="7">
        <v>44005</v>
      </c>
      <c r="G339" s="18"/>
      <c r="H339" s="16">
        <f t="shared" si="48"/>
        <v>22</v>
      </c>
      <c r="I339" s="16">
        <f t="shared" si="49"/>
        <v>7</v>
      </c>
      <c r="J339" s="122">
        <f t="shared" si="50"/>
        <v>2020</v>
      </c>
      <c r="K339" s="64">
        <f t="shared" si="51"/>
        <v>44094</v>
      </c>
      <c r="L339" s="6"/>
      <c r="M339" s="6"/>
      <c r="O339" s="208">
        <v>43984</v>
      </c>
      <c r="P339" s="209">
        <f t="shared" si="52"/>
        <v>0</v>
      </c>
      <c r="Q339" s="209">
        <f>+SUMIF('A DEPOSITAR'!$D$2:$D$998,(O339-2),'A DEPOSITAR'!$H$2:$H$998)</f>
        <v>0</v>
      </c>
      <c r="R339" s="210">
        <f t="shared" si="53"/>
        <v>0</v>
      </c>
      <c r="S339" s="210">
        <f t="shared" si="55"/>
        <v>1593611.3400000003</v>
      </c>
      <c r="T339" s="209">
        <f t="shared" si="54"/>
        <v>0</v>
      </c>
      <c r="U339" s="209">
        <f>+SUMIFS('A DEPOSITAR'!$H$2:$H$998,'A DEPOSITAR'!$D$2:$D$998,(O339-2),'A DEPOSITAR'!$I$2:$I$998,"A Depositar")</f>
        <v>0</v>
      </c>
      <c r="V339" s="6"/>
      <c r="W339" s="6"/>
      <c r="X339" s="6"/>
      <c r="Y339" s="6"/>
      <c r="Z339" s="6"/>
    </row>
    <row r="340" spans="1:26" ht="12.75" x14ac:dyDescent="0.2">
      <c r="A340" s="31">
        <v>44050</v>
      </c>
      <c r="B340" s="29" t="s">
        <v>98</v>
      </c>
      <c r="C340" s="29">
        <v>78212399</v>
      </c>
      <c r="D340" s="30">
        <v>7150</v>
      </c>
      <c r="E340" s="29" t="s">
        <v>22</v>
      </c>
      <c r="F340" s="7">
        <v>44005</v>
      </c>
      <c r="G340" s="18"/>
      <c r="H340" s="16">
        <f t="shared" si="48"/>
        <v>7</v>
      </c>
      <c r="I340" s="16">
        <f t="shared" si="49"/>
        <v>8</v>
      </c>
      <c r="J340" s="122">
        <f t="shared" si="50"/>
        <v>2020</v>
      </c>
      <c r="K340" s="64">
        <f t="shared" si="51"/>
        <v>44110</v>
      </c>
      <c r="L340" s="6"/>
      <c r="M340" s="6"/>
      <c r="O340" s="208">
        <v>43985</v>
      </c>
      <c r="P340" s="209">
        <f t="shared" si="52"/>
        <v>0</v>
      </c>
      <c r="Q340" s="209">
        <f>+SUMIF('A DEPOSITAR'!$D$2:$D$998,(O340-2),'A DEPOSITAR'!$H$2:$H$998)</f>
        <v>0</v>
      </c>
      <c r="R340" s="210">
        <f t="shared" si="53"/>
        <v>0</v>
      </c>
      <c r="S340" s="210">
        <f t="shared" si="55"/>
        <v>1593611.3400000003</v>
      </c>
      <c r="T340" s="209">
        <f t="shared" si="54"/>
        <v>0</v>
      </c>
      <c r="U340" s="209">
        <f>+SUMIFS('A DEPOSITAR'!$H$2:$H$998,'A DEPOSITAR'!$D$2:$D$998,(O340-2),'A DEPOSITAR'!$I$2:$I$998,"A Depositar")</f>
        <v>0</v>
      </c>
      <c r="V340" s="6"/>
      <c r="W340" s="6"/>
      <c r="X340" s="6"/>
      <c r="Y340" s="6"/>
      <c r="Z340" s="6"/>
    </row>
    <row r="341" spans="1:26" ht="12.75" x14ac:dyDescent="0.2">
      <c r="A341" s="31">
        <v>44065</v>
      </c>
      <c r="B341" s="29" t="s">
        <v>98</v>
      </c>
      <c r="C341" s="29">
        <v>78212400</v>
      </c>
      <c r="D341" s="30">
        <v>7180</v>
      </c>
      <c r="E341" s="29" t="s">
        <v>22</v>
      </c>
      <c r="F341" s="7">
        <v>44005</v>
      </c>
      <c r="G341" s="18"/>
      <c r="H341" s="16">
        <f t="shared" si="48"/>
        <v>22</v>
      </c>
      <c r="I341" s="16">
        <f t="shared" si="49"/>
        <v>8</v>
      </c>
      <c r="J341" s="122">
        <f t="shared" si="50"/>
        <v>2020</v>
      </c>
      <c r="K341" s="64">
        <f t="shared" si="51"/>
        <v>44125</v>
      </c>
      <c r="L341" s="6"/>
      <c r="M341" s="6"/>
      <c r="O341" s="208">
        <v>43986</v>
      </c>
      <c r="P341" s="209">
        <f t="shared" si="52"/>
        <v>0</v>
      </c>
      <c r="Q341" s="209">
        <f>+SUMIF('A DEPOSITAR'!$D$2:$D$998,(O341-2),'A DEPOSITAR'!$H$2:$H$998)</f>
        <v>0</v>
      </c>
      <c r="R341" s="210">
        <f t="shared" si="53"/>
        <v>0</v>
      </c>
      <c r="S341" s="210">
        <f t="shared" si="55"/>
        <v>1593611.3400000003</v>
      </c>
      <c r="T341" s="209">
        <f t="shared" si="54"/>
        <v>0</v>
      </c>
      <c r="U341" s="209">
        <f>+SUMIFS('A DEPOSITAR'!$H$2:$H$998,'A DEPOSITAR'!$D$2:$D$998,(O341-2),'A DEPOSITAR'!$I$2:$I$998,"A Depositar")</f>
        <v>0</v>
      </c>
      <c r="V341" s="6"/>
      <c r="W341" s="6"/>
      <c r="X341" s="6"/>
      <c r="Y341" s="6"/>
      <c r="Z341" s="6"/>
    </row>
    <row r="342" spans="1:26" ht="12.75" x14ac:dyDescent="0.2">
      <c r="A342" s="31">
        <v>44081</v>
      </c>
      <c r="B342" s="29" t="s">
        <v>98</v>
      </c>
      <c r="C342" s="29">
        <v>78212401</v>
      </c>
      <c r="D342" s="30">
        <v>7170</v>
      </c>
      <c r="E342" s="29" t="s">
        <v>327</v>
      </c>
      <c r="F342" s="7">
        <v>44005</v>
      </c>
      <c r="G342" s="18"/>
      <c r="H342" s="16">
        <f t="shared" si="48"/>
        <v>7</v>
      </c>
      <c r="I342" s="16">
        <f t="shared" si="49"/>
        <v>9</v>
      </c>
      <c r="J342" s="122">
        <f t="shared" si="50"/>
        <v>2020</v>
      </c>
      <c r="K342" s="64">
        <f t="shared" si="51"/>
        <v>44141</v>
      </c>
      <c r="L342" s="6"/>
      <c r="M342" s="6"/>
      <c r="O342" s="208">
        <v>43987</v>
      </c>
      <c r="P342" s="209">
        <f t="shared" si="52"/>
        <v>0</v>
      </c>
      <c r="Q342" s="209">
        <f>+SUMIF('A DEPOSITAR'!$D$2:$D$998,(O342-2),'A DEPOSITAR'!$H$2:$H$998)</f>
        <v>0</v>
      </c>
      <c r="R342" s="210">
        <f t="shared" si="53"/>
        <v>0</v>
      </c>
      <c r="S342" s="210">
        <f t="shared" si="55"/>
        <v>1593611.3400000003</v>
      </c>
      <c r="T342" s="209">
        <f t="shared" si="54"/>
        <v>0</v>
      </c>
      <c r="U342" s="209">
        <f>+SUMIFS('A DEPOSITAR'!$H$2:$H$998,'A DEPOSITAR'!$D$2:$D$998,(O342-2),'A DEPOSITAR'!$I$2:$I$998,"A Depositar")</f>
        <v>0</v>
      </c>
      <c r="V342" s="6"/>
      <c r="W342" s="6"/>
      <c r="X342" s="6"/>
      <c r="Y342" s="6"/>
      <c r="Z342" s="6"/>
    </row>
    <row r="343" spans="1:26" ht="12.75" x14ac:dyDescent="0.2">
      <c r="A343" s="31">
        <v>44034</v>
      </c>
      <c r="B343" s="29" t="s">
        <v>94</v>
      </c>
      <c r="C343" s="29">
        <v>78212402</v>
      </c>
      <c r="D343" s="30">
        <v>4010</v>
      </c>
      <c r="E343" s="29" t="s">
        <v>22</v>
      </c>
      <c r="F343" s="7">
        <v>44005</v>
      </c>
      <c r="G343" s="18"/>
      <c r="H343" s="16">
        <f t="shared" ref="H343:H406" si="56">DAY(A343)</f>
        <v>22</v>
      </c>
      <c r="I343" s="16">
        <f t="shared" ref="I343:I406" si="57">MONTH(A343)</f>
        <v>7</v>
      </c>
      <c r="J343" s="122">
        <f t="shared" ref="J343:J406" si="58">YEAR(A343)</f>
        <v>2020</v>
      </c>
      <c r="K343" s="64">
        <f t="shared" si="51"/>
        <v>44094</v>
      </c>
      <c r="L343" s="6"/>
      <c r="M343" s="6"/>
      <c r="O343" s="208">
        <v>43988</v>
      </c>
      <c r="P343" s="209">
        <f t="shared" si="52"/>
        <v>0</v>
      </c>
      <c r="Q343" s="209">
        <f>+SUMIF('A DEPOSITAR'!$D$2:$D$998,(O343-2),'A DEPOSITAR'!$H$2:$H$998)</f>
        <v>0</v>
      </c>
      <c r="R343" s="210">
        <f t="shared" si="53"/>
        <v>0</v>
      </c>
      <c r="S343" s="210">
        <f t="shared" si="55"/>
        <v>1593611.3400000003</v>
      </c>
      <c r="T343" s="209">
        <f t="shared" si="54"/>
        <v>0</v>
      </c>
      <c r="U343" s="209">
        <f>+SUMIFS('A DEPOSITAR'!$H$2:$H$998,'A DEPOSITAR'!$D$2:$D$998,(O343-2),'A DEPOSITAR'!$I$2:$I$998,"A Depositar")</f>
        <v>0</v>
      </c>
      <c r="V343" s="6"/>
      <c r="W343" s="6"/>
      <c r="X343" s="6"/>
      <c r="Y343" s="6"/>
      <c r="Z343" s="6"/>
    </row>
    <row r="344" spans="1:26" ht="12.75" x14ac:dyDescent="0.2">
      <c r="A344" s="31">
        <v>44050</v>
      </c>
      <c r="B344" s="29" t="s">
        <v>94</v>
      </c>
      <c r="C344" s="29">
        <v>78212403</v>
      </c>
      <c r="D344" s="30">
        <v>4020</v>
      </c>
      <c r="E344" s="29" t="s">
        <v>22</v>
      </c>
      <c r="F344" s="7">
        <v>44005</v>
      </c>
      <c r="G344" s="18"/>
      <c r="H344" s="16">
        <f t="shared" si="56"/>
        <v>7</v>
      </c>
      <c r="I344" s="16">
        <f t="shared" si="57"/>
        <v>8</v>
      </c>
      <c r="J344" s="122">
        <f t="shared" si="58"/>
        <v>2020</v>
      </c>
      <c r="K344" s="64">
        <f t="shared" si="51"/>
        <v>44110</v>
      </c>
      <c r="L344" s="6"/>
      <c r="M344" s="6"/>
      <c r="O344" s="208">
        <v>43989</v>
      </c>
      <c r="P344" s="209">
        <f t="shared" si="52"/>
        <v>5500</v>
      </c>
      <c r="Q344" s="209">
        <f>+SUMIF('A DEPOSITAR'!$D$2:$D$998,(O344-2),'A DEPOSITAR'!$H$2:$H$998)</f>
        <v>8908</v>
      </c>
      <c r="R344" s="210">
        <f t="shared" si="53"/>
        <v>3408</v>
      </c>
      <c r="S344" s="210">
        <f t="shared" si="55"/>
        <v>1597019.3400000003</v>
      </c>
      <c r="T344" s="209">
        <f t="shared" si="54"/>
        <v>0</v>
      </c>
      <c r="U344" s="209">
        <f>+SUMIFS('A DEPOSITAR'!$H$2:$H$998,'A DEPOSITAR'!$D$2:$D$998,(O344-2),'A DEPOSITAR'!$I$2:$I$998,"A Depositar")</f>
        <v>0</v>
      </c>
      <c r="V344" s="6"/>
      <c r="W344" s="6"/>
      <c r="X344" s="6"/>
      <c r="Y344" s="6"/>
      <c r="Z344" s="6"/>
    </row>
    <row r="345" spans="1:26" ht="12.75" x14ac:dyDescent="0.2">
      <c r="A345" s="31">
        <v>44065</v>
      </c>
      <c r="B345" s="29" t="s">
        <v>94</v>
      </c>
      <c r="C345" s="29">
        <v>78212404</v>
      </c>
      <c r="D345" s="30">
        <v>4030</v>
      </c>
      <c r="E345" s="29" t="s">
        <v>22</v>
      </c>
      <c r="F345" s="7">
        <v>44005</v>
      </c>
      <c r="G345" s="18"/>
      <c r="H345" s="16">
        <f t="shared" si="56"/>
        <v>22</v>
      </c>
      <c r="I345" s="16">
        <f t="shared" si="57"/>
        <v>8</v>
      </c>
      <c r="J345" s="122">
        <f t="shared" si="58"/>
        <v>2020</v>
      </c>
      <c r="K345" s="64">
        <f t="shared" si="51"/>
        <v>44125</v>
      </c>
      <c r="L345" s="6"/>
      <c r="M345" s="6"/>
      <c r="O345" s="208">
        <v>43990</v>
      </c>
      <c r="P345" s="209">
        <f t="shared" si="52"/>
        <v>23680</v>
      </c>
      <c r="Q345" s="209">
        <f>+SUMIF('A DEPOSITAR'!$D$2:$D$998,(O345-2),'A DEPOSITAR'!$H$2:$H$998)</f>
        <v>0</v>
      </c>
      <c r="R345" s="210">
        <f t="shared" si="53"/>
        <v>-23680</v>
      </c>
      <c r="S345" s="210">
        <f t="shared" si="55"/>
        <v>1573339.3400000003</v>
      </c>
      <c r="T345" s="209">
        <f t="shared" si="54"/>
        <v>0</v>
      </c>
      <c r="U345" s="209">
        <f>+SUMIFS('A DEPOSITAR'!$H$2:$H$998,'A DEPOSITAR'!$D$2:$D$998,(O345-2),'A DEPOSITAR'!$I$2:$I$998,"A Depositar")</f>
        <v>0</v>
      </c>
      <c r="V345" s="6"/>
      <c r="W345" s="6"/>
      <c r="X345" s="6"/>
      <c r="Y345" s="6"/>
      <c r="Z345" s="6"/>
    </row>
    <row r="346" spans="1:26" ht="12.75" x14ac:dyDescent="0.2">
      <c r="A346" s="36">
        <v>44073</v>
      </c>
      <c r="B346" s="18" t="s">
        <v>94</v>
      </c>
      <c r="C346" s="29">
        <v>78212405</v>
      </c>
      <c r="D346" s="37">
        <v>4040.8</v>
      </c>
      <c r="E346" s="18" t="s">
        <v>22</v>
      </c>
      <c r="F346" s="7">
        <v>44005</v>
      </c>
      <c r="G346" s="18"/>
      <c r="H346" s="16">
        <f t="shared" si="56"/>
        <v>30</v>
      </c>
      <c r="I346" s="16">
        <f t="shared" si="57"/>
        <v>8</v>
      </c>
      <c r="J346" s="122">
        <f t="shared" si="58"/>
        <v>2020</v>
      </c>
      <c r="K346" s="64">
        <f t="shared" si="51"/>
        <v>44133</v>
      </c>
      <c r="L346" s="6"/>
      <c r="M346" s="6"/>
      <c r="O346" s="208">
        <v>43991</v>
      </c>
      <c r="P346" s="209">
        <f t="shared" si="52"/>
        <v>0</v>
      </c>
      <c r="Q346" s="209">
        <f>+SUMIF('A DEPOSITAR'!$D$2:$D$998,(O346-2),'A DEPOSITAR'!$H$2:$H$998)</f>
        <v>0</v>
      </c>
      <c r="R346" s="210">
        <f t="shared" si="53"/>
        <v>0</v>
      </c>
      <c r="S346" s="210">
        <f t="shared" si="55"/>
        <v>1573339.3400000003</v>
      </c>
      <c r="T346" s="209">
        <f t="shared" si="54"/>
        <v>0</v>
      </c>
      <c r="U346" s="209">
        <f>+SUMIFS('A DEPOSITAR'!$H$2:$H$998,'A DEPOSITAR'!$D$2:$D$998,(O346-2),'A DEPOSITAR'!$I$2:$I$998,"A Depositar")</f>
        <v>0</v>
      </c>
      <c r="V346" s="6"/>
      <c r="W346" s="6"/>
      <c r="X346" s="6"/>
      <c r="Y346" s="6"/>
      <c r="Z346" s="6"/>
    </row>
    <row r="347" spans="1:26" ht="12.75" x14ac:dyDescent="0.2">
      <c r="A347" s="36">
        <v>44028</v>
      </c>
      <c r="B347" s="18" t="s">
        <v>139</v>
      </c>
      <c r="C347" s="29">
        <v>78212406</v>
      </c>
      <c r="D347" s="37">
        <v>8090</v>
      </c>
      <c r="E347" s="18" t="s">
        <v>22</v>
      </c>
      <c r="F347" s="7">
        <v>44008</v>
      </c>
      <c r="G347" s="18"/>
      <c r="H347" s="16">
        <f t="shared" si="56"/>
        <v>16</v>
      </c>
      <c r="I347" s="16">
        <f t="shared" si="57"/>
        <v>7</v>
      </c>
      <c r="J347" s="122">
        <f t="shared" si="58"/>
        <v>2020</v>
      </c>
      <c r="K347" s="64">
        <f t="shared" si="51"/>
        <v>44088</v>
      </c>
      <c r="L347" s="6"/>
      <c r="M347" s="6"/>
      <c r="O347" s="208">
        <v>43992</v>
      </c>
      <c r="P347" s="209">
        <f t="shared" si="52"/>
        <v>0</v>
      </c>
      <c r="Q347" s="209">
        <f>+SUMIF('A DEPOSITAR'!$D$2:$D$998,(O347-2),'A DEPOSITAR'!$H$2:$H$998)</f>
        <v>0</v>
      </c>
      <c r="R347" s="210">
        <f t="shared" si="53"/>
        <v>0</v>
      </c>
      <c r="S347" s="210">
        <f t="shared" si="55"/>
        <v>1573339.3400000003</v>
      </c>
      <c r="T347" s="209">
        <f t="shared" si="54"/>
        <v>0</v>
      </c>
      <c r="U347" s="209">
        <f>+SUMIFS('A DEPOSITAR'!$H$2:$H$998,'A DEPOSITAR'!$D$2:$D$998,(O347-2),'A DEPOSITAR'!$I$2:$I$998,"A Depositar")</f>
        <v>0</v>
      </c>
      <c r="V347" s="6"/>
      <c r="W347" s="6"/>
      <c r="X347" s="6"/>
      <c r="Y347" s="6"/>
      <c r="Z347" s="6"/>
    </row>
    <row r="348" spans="1:26" ht="12.75" x14ac:dyDescent="0.2">
      <c r="A348" s="31">
        <v>44034</v>
      </c>
      <c r="B348" s="29" t="s">
        <v>139</v>
      </c>
      <c r="C348" s="29">
        <v>78212407</v>
      </c>
      <c r="D348" s="30">
        <v>8100</v>
      </c>
      <c r="E348" s="29" t="s">
        <v>22</v>
      </c>
      <c r="F348" s="7">
        <v>44008</v>
      </c>
      <c r="G348" s="18"/>
      <c r="H348" s="16">
        <f t="shared" si="56"/>
        <v>22</v>
      </c>
      <c r="I348" s="16">
        <f t="shared" si="57"/>
        <v>7</v>
      </c>
      <c r="J348" s="122">
        <f t="shared" si="58"/>
        <v>2020</v>
      </c>
      <c r="K348" s="64">
        <f t="shared" si="51"/>
        <v>44094</v>
      </c>
      <c r="L348" s="6"/>
      <c r="M348" s="6"/>
      <c r="O348" s="208">
        <v>43993</v>
      </c>
      <c r="P348" s="209">
        <f t="shared" si="52"/>
        <v>0</v>
      </c>
      <c r="Q348" s="209">
        <f>+SUMIF('A DEPOSITAR'!$D$2:$D$998,(O348-2),'A DEPOSITAR'!$H$2:$H$998)</f>
        <v>0</v>
      </c>
      <c r="R348" s="210">
        <f t="shared" si="53"/>
        <v>0</v>
      </c>
      <c r="S348" s="210">
        <f t="shared" si="55"/>
        <v>1573339.3400000003</v>
      </c>
      <c r="T348" s="209">
        <f t="shared" si="54"/>
        <v>0</v>
      </c>
      <c r="U348" s="209">
        <f>+SUMIFS('A DEPOSITAR'!$H$2:$H$998,'A DEPOSITAR'!$D$2:$D$998,(O348-2),'A DEPOSITAR'!$I$2:$I$998,"A Depositar")</f>
        <v>0</v>
      </c>
      <c r="V348" s="6"/>
      <c r="W348" s="6"/>
      <c r="X348" s="6"/>
      <c r="Y348" s="6"/>
      <c r="Z348" s="6"/>
    </row>
    <row r="349" spans="1:26" ht="12.75" x14ac:dyDescent="0.2">
      <c r="A349" s="31">
        <v>44042</v>
      </c>
      <c r="B349" s="29" t="s">
        <v>139</v>
      </c>
      <c r="C349" s="29">
        <v>78212408</v>
      </c>
      <c r="D349" s="30">
        <v>8200</v>
      </c>
      <c r="E349" s="29" t="s">
        <v>22</v>
      </c>
      <c r="F349" s="7">
        <v>44008</v>
      </c>
      <c r="G349" s="18"/>
      <c r="H349" s="16">
        <f t="shared" si="56"/>
        <v>30</v>
      </c>
      <c r="I349" s="16">
        <f t="shared" si="57"/>
        <v>7</v>
      </c>
      <c r="J349" s="122">
        <f t="shared" si="58"/>
        <v>2020</v>
      </c>
      <c r="K349" s="64">
        <f t="shared" si="51"/>
        <v>44102</v>
      </c>
      <c r="L349" s="6"/>
      <c r="M349" s="6"/>
      <c r="O349" s="208">
        <v>43994</v>
      </c>
      <c r="P349" s="209">
        <f t="shared" si="52"/>
        <v>0</v>
      </c>
      <c r="Q349" s="209">
        <f>+SUMIF('A DEPOSITAR'!$D$2:$D$998,(O349-2),'A DEPOSITAR'!$H$2:$H$998)</f>
        <v>10000</v>
      </c>
      <c r="R349" s="210">
        <f t="shared" si="53"/>
        <v>10000</v>
      </c>
      <c r="S349" s="210">
        <f t="shared" si="55"/>
        <v>1583339.3400000003</v>
      </c>
      <c r="T349" s="209">
        <f t="shared" si="54"/>
        <v>0</v>
      </c>
      <c r="U349" s="209">
        <f>+SUMIFS('A DEPOSITAR'!$H$2:$H$998,'A DEPOSITAR'!$D$2:$D$998,(O349-2),'A DEPOSITAR'!$I$2:$I$998,"A Depositar")</f>
        <v>0</v>
      </c>
      <c r="V349" s="6"/>
      <c r="W349" s="6"/>
      <c r="X349" s="6"/>
      <c r="Y349" s="6"/>
      <c r="Z349" s="6"/>
    </row>
    <row r="350" spans="1:26" ht="12.75" x14ac:dyDescent="0.2">
      <c r="A350" s="31">
        <v>44051</v>
      </c>
      <c r="B350" s="29" t="s">
        <v>139</v>
      </c>
      <c r="C350" s="29">
        <v>78212409</v>
      </c>
      <c r="D350" s="30">
        <v>8300</v>
      </c>
      <c r="E350" s="29" t="s">
        <v>22</v>
      </c>
      <c r="F350" s="7">
        <v>44008</v>
      </c>
      <c r="G350" s="18"/>
      <c r="H350" s="16">
        <f t="shared" si="56"/>
        <v>8</v>
      </c>
      <c r="I350" s="16">
        <f t="shared" si="57"/>
        <v>8</v>
      </c>
      <c r="J350" s="122">
        <f t="shared" si="58"/>
        <v>2020</v>
      </c>
      <c r="K350" s="64">
        <f t="shared" si="51"/>
        <v>44111</v>
      </c>
      <c r="L350" s="6"/>
      <c r="M350" s="6"/>
      <c r="O350" s="208">
        <v>43995</v>
      </c>
      <c r="P350" s="209">
        <f t="shared" si="52"/>
        <v>0</v>
      </c>
      <c r="Q350" s="209">
        <f>+SUMIF('A DEPOSITAR'!$D$2:$D$998,(O350-2),'A DEPOSITAR'!$H$2:$H$998)</f>
        <v>0</v>
      </c>
      <c r="R350" s="210">
        <f t="shared" si="53"/>
        <v>0</v>
      </c>
      <c r="S350" s="210">
        <f t="shared" si="55"/>
        <v>1583339.3400000003</v>
      </c>
      <c r="T350" s="209">
        <f t="shared" si="54"/>
        <v>0</v>
      </c>
      <c r="U350" s="209">
        <f>+SUMIFS('A DEPOSITAR'!$H$2:$H$998,'A DEPOSITAR'!$D$2:$D$998,(O350-2),'A DEPOSITAR'!$I$2:$I$998,"A Depositar")</f>
        <v>0</v>
      </c>
      <c r="V350" s="6"/>
      <c r="W350" s="6"/>
      <c r="X350" s="6"/>
      <c r="Y350" s="6"/>
      <c r="Z350" s="6"/>
    </row>
    <row r="351" spans="1:26" ht="12.75" x14ac:dyDescent="0.2">
      <c r="A351" s="31">
        <v>44051</v>
      </c>
      <c r="B351" s="29" t="s">
        <v>821</v>
      </c>
      <c r="C351" s="29">
        <v>78212410</v>
      </c>
      <c r="D351" s="30">
        <v>9006</v>
      </c>
      <c r="E351" s="29" t="s">
        <v>22</v>
      </c>
      <c r="F351" s="7">
        <v>44008</v>
      </c>
      <c r="G351" s="18"/>
      <c r="H351" s="16">
        <f t="shared" si="56"/>
        <v>8</v>
      </c>
      <c r="I351" s="16">
        <f t="shared" si="57"/>
        <v>8</v>
      </c>
      <c r="J351" s="122">
        <f t="shared" si="58"/>
        <v>2020</v>
      </c>
      <c r="K351" s="64">
        <f t="shared" si="51"/>
        <v>44111</v>
      </c>
      <c r="L351" s="6"/>
      <c r="M351" s="6"/>
      <c r="O351" s="208">
        <v>43996</v>
      </c>
      <c r="P351" s="209">
        <f t="shared" si="52"/>
        <v>0</v>
      </c>
      <c r="Q351" s="209">
        <f>+SUMIF('A DEPOSITAR'!$D$2:$D$998,(O351-2),'A DEPOSITAR'!$H$2:$H$998)</f>
        <v>0</v>
      </c>
      <c r="R351" s="210">
        <f t="shared" si="53"/>
        <v>0</v>
      </c>
      <c r="S351" s="210">
        <f t="shared" si="55"/>
        <v>1583339.3400000003</v>
      </c>
      <c r="T351" s="209">
        <f t="shared" si="54"/>
        <v>0</v>
      </c>
      <c r="U351" s="209">
        <f>+SUMIFS('A DEPOSITAR'!$H$2:$H$998,'A DEPOSITAR'!$D$2:$D$998,(O351-2),'A DEPOSITAR'!$I$2:$I$998,"A Depositar")</f>
        <v>0</v>
      </c>
      <c r="V351" s="6"/>
      <c r="W351" s="6"/>
      <c r="X351" s="6"/>
      <c r="Y351" s="6"/>
      <c r="Z351" s="6"/>
    </row>
    <row r="352" spans="1:26" ht="12.75" x14ac:dyDescent="0.2">
      <c r="A352" s="31">
        <v>44059</v>
      </c>
      <c r="B352" s="29" t="s">
        <v>821</v>
      </c>
      <c r="C352" s="29">
        <v>78212411</v>
      </c>
      <c r="D352" s="30">
        <v>9100</v>
      </c>
      <c r="E352" s="29" t="s">
        <v>22</v>
      </c>
      <c r="F352" s="7">
        <v>44008</v>
      </c>
      <c r="G352" s="18"/>
      <c r="H352" s="16">
        <f t="shared" si="56"/>
        <v>16</v>
      </c>
      <c r="I352" s="16">
        <f t="shared" si="57"/>
        <v>8</v>
      </c>
      <c r="J352" s="122">
        <f t="shared" si="58"/>
        <v>2020</v>
      </c>
      <c r="K352" s="64">
        <f t="shared" si="51"/>
        <v>44119</v>
      </c>
      <c r="L352" s="6"/>
      <c r="M352" s="6"/>
      <c r="O352" s="208">
        <v>43997</v>
      </c>
      <c r="P352" s="209">
        <f t="shared" si="52"/>
        <v>0</v>
      </c>
      <c r="Q352" s="209">
        <f>+SUMIF('A DEPOSITAR'!$D$2:$D$998,(O352-2),'A DEPOSITAR'!$H$2:$H$998)</f>
        <v>0</v>
      </c>
      <c r="R352" s="210">
        <f t="shared" si="53"/>
        <v>0</v>
      </c>
      <c r="S352" s="210">
        <f t="shared" si="55"/>
        <v>1583339.3400000003</v>
      </c>
      <c r="T352" s="209">
        <f t="shared" si="54"/>
        <v>0</v>
      </c>
      <c r="U352" s="209">
        <f>+SUMIFS('A DEPOSITAR'!$H$2:$H$998,'A DEPOSITAR'!$D$2:$D$998,(O352-2),'A DEPOSITAR'!$I$2:$I$998,"A Depositar")</f>
        <v>0</v>
      </c>
      <c r="V352" s="6"/>
      <c r="W352" s="6"/>
      <c r="X352" s="6"/>
      <c r="Y352" s="6"/>
      <c r="Z352" s="6"/>
    </row>
    <row r="353" spans="1:26" ht="12.75" x14ac:dyDescent="0.2">
      <c r="A353" s="31">
        <v>44065</v>
      </c>
      <c r="B353" s="29" t="s">
        <v>821</v>
      </c>
      <c r="C353" s="29">
        <v>78212412</v>
      </c>
      <c r="D353" s="30">
        <v>9204</v>
      </c>
      <c r="E353" s="29" t="s">
        <v>22</v>
      </c>
      <c r="F353" s="7">
        <v>44008</v>
      </c>
      <c r="G353" s="18"/>
      <c r="H353" s="16">
        <f t="shared" si="56"/>
        <v>22</v>
      </c>
      <c r="I353" s="16">
        <f t="shared" si="57"/>
        <v>8</v>
      </c>
      <c r="J353" s="122">
        <f t="shared" si="58"/>
        <v>2020</v>
      </c>
      <c r="K353" s="64">
        <f t="shared" si="51"/>
        <v>44125</v>
      </c>
      <c r="L353" s="6"/>
      <c r="M353" s="6"/>
      <c r="O353" s="208">
        <v>43998</v>
      </c>
      <c r="P353" s="209">
        <f t="shared" si="52"/>
        <v>31623.530000000002</v>
      </c>
      <c r="Q353" s="209">
        <f>+SUMIF('A DEPOSITAR'!$D$2:$D$998,(O353-2),'A DEPOSITAR'!$H$2:$H$998)</f>
        <v>0</v>
      </c>
      <c r="R353" s="210">
        <f t="shared" si="53"/>
        <v>-31623.530000000002</v>
      </c>
      <c r="S353" s="210">
        <f t="shared" si="55"/>
        <v>1551715.8100000003</v>
      </c>
      <c r="T353" s="209">
        <f t="shared" si="54"/>
        <v>0</v>
      </c>
      <c r="U353" s="209">
        <f>+SUMIFS('A DEPOSITAR'!$H$2:$H$998,'A DEPOSITAR'!$D$2:$D$998,(O353-2),'A DEPOSITAR'!$I$2:$I$998,"A Depositar")</f>
        <v>0</v>
      </c>
      <c r="V353" s="6"/>
      <c r="W353" s="6"/>
      <c r="X353" s="6"/>
      <c r="Y353" s="6"/>
      <c r="Z353" s="6"/>
    </row>
    <row r="354" spans="1:26" ht="12.75" x14ac:dyDescent="0.2">
      <c r="A354" s="31">
        <v>44082</v>
      </c>
      <c r="B354" s="29" t="s">
        <v>821</v>
      </c>
      <c r="C354" s="29">
        <v>78212413</v>
      </c>
      <c r="D354" s="30">
        <v>9240</v>
      </c>
      <c r="E354" s="29" t="s">
        <v>22</v>
      </c>
      <c r="F354" s="7">
        <v>44008</v>
      </c>
      <c r="G354" s="18"/>
      <c r="H354" s="16">
        <f t="shared" si="56"/>
        <v>8</v>
      </c>
      <c r="I354" s="16">
        <f t="shared" si="57"/>
        <v>9</v>
      </c>
      <c r="J354" s="122">
        <f t="shared" si="58"/>
        <v>2020</v>
      </c>
      <c r="K354" s="64">
        <f t="shared" si="51"/>
        <v>44142</v>
      </c>
      <c r="L354" s="6"/>
      <c r="M354" s="6"/>
      <c r="O354" s="208">
        <v>43999</v>
      </c>
      <c r="P354" s="209">
        <f t="shared" si="52"/>
        <v>0</v>
      </c>
      <c r="Q354" s="209">
        <f>+SUMIF('A DEPOSITAR'!$D$2:$D$998,(O354-2),'A DEPOSITAR'!$H$2:$H$998)</f>
        <v>30000</v>
      </c>
      <c r="R354" s="210">
        <f t="shared" si="53"/>
        <v>30000</v>
      </c>
      <c r="S354" s="210">
        <f t="shared" si="55"/>
        <v>1581715.8100000003</v>
      </c>
      <c r="T354" s="209">
        <f t="shared" si="54"/>
        <v>0</v>
      </c>
      <c r="U354" s="209">
        <f>+SUMIFS('A DEPOSITAR'!$H$2:$H$998,'A DEPOSITAR'!$D$2:$D$998,(O354-2),'A DEPOSITAR'!$I$2:$I$998,"A Depositar")</f>
        <v>0</v>
      </c>
      <c r="V354" s="6"/>
      <c r="W354" s="6"/>
      <c r="X354" s="6"/>
      <c r="Y354" s="6"/>
      <c r="Z354" s="6"/>
    </row>
    <row r="355" spans="1:26" ht="12.75" x14ac:dyDescent="0.2">
      <c r="A355" s="31">
        <v>44073</v>
      </c>
      <c r="B355" s="29" t="s">
        <v>821</v>
      </c>
      <c r="C355" s="29">
        <v>78212414</v>
      </c>
      <c r="D355" s="30">
        <v>9060</v>
      </c>
      <c r="E355" s="29" t="s">
        <v>22</v>
      </c>
      <c r="F355" s="7">
        <v>44008</v>
      </c>
      <c r="G355" s="18"/>
      <c r="H355" s="16">
        <f t="shared" si="56"/>
        <v>30</v>
      </c>
      <c r="I355" s="16">
        <f t="shared" si="57"/>
        <v>8</v>
      </c>
      <c r="J355" s="122">
        <f t="shared" si="58"/>
        <v>2020</v>
      </c>
      <c r="K355" s="64">
        <f t="shared" si="51"/>
        <v>44133</v>
      </c>
      <c r="L355" s="6"/>
      <c r="M355" s="6"/>
      <c r="O355" s="208">
        <v>44000</v>
      </c>
      <c r="P355" s="209">
        <f t="shared" si="52"/>
        <v>0</v>
      </c>
      <c r="Q355" s="209">
        <f>+SUMIF('A DEPOSITAR'!$D$2:$D$998,(O355-2),'A DEPOSITAR'!$H$2:$H$998)</f>
        <v>0</v>
      </c>
      <c r="R355" s="210">
        <f t="shared" si="53"/>
        <v>0</v>
      </c>
      <c r="S355" s="210">
        <f t="shared" si="55"/>
        <v>1581715.8100000003</v>
      </c>
      <c r="T355" s="209">
        <f t="shared" si="54"/>
        <v>0</v>
      </c>
      <c r="U355" s="209">
        <f>+SUMIFS('A DEPOSITAR'!$H$2:$H$998,'A DEPOSITAR'!$D$2:$D$998,(O355-2),'A DEPOSITAR'!$I$2:$I$998,"A Depositar")</f>
        <v>0</v>
      </c>
      <c r="V355" s="6"/>
      <c r="W355" s="6"/>
      <c r="X355" s="6"/>
      <c r="Y355" s="6"/>
      <c r="Z355" s="6"/>
    </row>
    <row r="356" spans="1:26" ht="12.75" x14ac:dyDescent="0.2">
      <c r="A356" s="31">
        <v>44090</v>
      </c>
      <c r="B356" s="29" t="s">
        <v>821</v>
      </c>
      <c r="C356" s="29">
        <v>78212415</v>
      </c>
      <c r="D356" s="30">
        <v>9390</v>
      </c>
      <c r="E356" s="29" t="s">
        <v>22</v>
      </c>
      <c r="F356" s="7">
        <v>44008</v>
      </c>
      <c r="G356" s="18"/>
      <c r="H356" s="16">
        <f t="shared" si="56"/>
        <v>16</v>
      </c>
      <c r="I356" s="16">
        <f t="shared" si="57"/>
        <v>9</v>
      </c>
      <c r="J356" s="122">
        <f t="shared" si="58"/>
        <v>2020</v>
      </c>
      <c r="K356" s="64">
        <f t="shared" si="51"/>
        <v>44150</v>
      </c>
      <c r="L356" s="6"/>
      <c r="M356" s="6"/>
      <c r="O356" s="208">
        <v>44001</v>
      </c>
      <c r="P356" s="209">
        <f t="shared" si="52"/>
        <v>0</v>
      </c>
      <c r="Q356" s="209">
        <f>+SUMIF('A DEPOSITAR'!$D$2:$D$998,(O356-2),'A DEPOSITAR'!$H$2:$H$998)</f>
        <v>0</v>
      </c>
      <c r="R356" s="210">
        <f t="shared" si="53"/>
        <v>0</v>
      </c>
      <c r="S356" s="210">
        <f t="shared" si="55"/>
        <v>1581715.8100000003</v>
      </c>
      <c r="T356" s="209">
        <f t="shared" si="54"/>
        <v>0</v>
      </c>
      <c r="U356" s="209">
        <f>+SUMIFS('A DEPOSITAR'!$H$2:$H$998,'A DEPOSITAR'!$D$2:$D$998,(O356-2),'A DEPOSITAR'!$I$2:$I$998,"A Depositar")</f>
        <v>0</v>
      </c>
      <c r="V356" s="6"/>
      <c r="W356" s="6"/>
      <c r="X356" s="6"/>
      <c r="Y356" s="6"/>
      <c r="Z356" s="6"/>
    </row>
    <row r="357" spans="1:26" ht="12.75" x14ac:dyDescent="0.2">
      <c r="A357" s="31">
        <v>44094</v>
      </c>
      <c r="B357" s="29" t="s">
        <v>833</v>
      </c>
      <c r="C357" s="29">
        <v>78212416</v>
      </c>
      <c r="D357" s="30">
        <v>25000</v>
      </c>
      <c r="E357" s="29" t="s">
        <v>22</v>
      </c>
      <c r="F357" s="7">
        <v>44032</v>
      </c>
      <c r="G357" s="18"/>
      <c r="H357" s="16">
        <f t="shared" si="56"/>
        <v>20</v>
      </c>
      <c r="I357" s="16">
        <f t="shared" si="57"/>
        <v>9</v>
      </c>
      <c r="J357" s="122">
        <f t="shared" si="58"/>
        <v>2020</v>
      </c>
      <c r="K357" s="64">
        <f t="shared" si="51"/>
        <v>44154</v>
      </c>
      <c r="L357" s="6"/>
      <c r="M357" s="6"/>
      <c r="O357" s="208">
        <v>44002</v>
      </c>
      <c r="P357" s="209">
        <f t="shared" si="52"/>
        <v>0</v>
      </c>
      <c r="Q357" s="209">
        <f>+SUMIF('A DEPOSITAR'!$D$2:$D$998,(O357-2),'A DEPOSITAR'!$H$2:$H$998)</f>
        <v>0</v>
      </c>
      <c r="R357" s="210">
        <f t="shared" si="53"/>
        <v>0</v>
      </c>
      <c r="S357" s="210">
        <f t="shared" si="55"/>
        <v>1581715.8100000003</v>
      </c>
      <c r="T357" s="209">
        <f t="shared" si="54"/>
        <v>0</v>
      </c>
      <c r="U357" s="209">
        <f>+SUMIFS('A DEPOSITAR'!$H$2:$H$998,'A DEPOSITAR'!$D$2:$D$998,(O357-2),'A DEPOSITAR'!$I$2:$I$998,"A Depositar")</f>
        <v>0</v>
      </c>
      <c r="V357" s="6"/>
      <c r="W357" s="6"/>
      <c r="X357" s="6"/>
      <c r="Y357" s="6"/>
      <c r="Z357" s="6"/>
    </row>
    <row r="358" spans="1:26" ht="12.75" x14ac:dyDescent="0.2">
      <c r="A358" s="31">
        <v>44104</v>
      </c>
      <c r="B358" s="29" t="s">
        <v>833</v>
      </c>
      <c r="C358" s="29">
        <v>78212417</v>
      </c>
      <c r="D358" s="30">
        <v>26000</v>
      </c>
      <c r="E358" s="29" t="s">
        <v>22</v>
      </c>
      <c r="F358" s="7">
        <v>44032</v>
      </c>
      <c r="G358" s="18"/>
      <c r="H358" s="16">
        <f t="shared" si="56"/>
        <v>30</v>
      </c>
      <c r="I358" s="16">
        <f t="shared" si="57"/>
        <v>9</v>
      </c>
      <c r="J358" s="122">
        <f t="shared" si="58"/>
        <v>2020</v>
      </c>
      <c r="K358" s="64">
        <f t="shared" si="51"/>
        <v>44164</v>
      </c>
      <c r="L358" s="6"/>
      <c r="M358" s="6"/>
      <c r="O358" s="208">
        <v>44003</v>
      </c>
      <c r="P358" s="209">
        <f t="shared" si="52"/>
        <v>0</v>
      </c>
      <c r="Q358" s="209">
        <f>+SUMIF('A DEPOSITAR'!$D$2:$D$998,(O358-2),'A DEPOSITAR'!$H$2:$H$998)</f>
        <v>0</v>
      </c>
      <c r="R358" s="210">
        <f t="shared" si="53"/>
        <v>0</v>
      </c>
      <c r="S358" s="210">
        <f t="shared" si="55"/>
        <v>1581715.8100000003</v>
      </c>
      <c r="T358" s="209">
        <f t="shared" si="54"/>
        <v>0</v>
      </c>
      <c r="U358" s="209">
        <f>+SUMIFS('A DEPOSITAR'!$H$2:$H$998,'A DEPOSITAR'!$D$2:$D$998,(O358-2),'A DEPOSITAR'!$I$2:$I$998,"A Depositar")</f>
        <v>0</v>
      </c>
      <c r="V358" s="6"/>
      <c r="W358" s="6"/>
      <c r="X358" s="6"/>
      <c r="Y358" s="6"/>
      <c r="Z358" s="6"/>
    </row>
    <row r="359" spans="1:26" ht="12.75" x14ac:dyDescent="0.2">
      <c r="A359" s="31">
        <v>44112</v>
      </c>
      <c r="B359" s="29" t="s">
        <v>833</v>
      </c>
      <c r="C359" s="29">
        <v>78212418</v>
      </c>
      <c r="D359" s="30">
        <v>27061</v>
      </c>
      <c r="E359" s="29" t="s">
        <v>22</v>
      </c>
      <c r="F359" s="7">
        <v>44032</v>
      </c>
      <c r="G359" s="18"/>
      <c r="H359" s="16">
        <f t="shared" si="56"/>
        <v>8</v>
      </c>
      <c r="I359" s="16">
        <f t="shared" si="57"/>
        <v>10</v>
      </c>
      <c r="J359" s="122">
        <f t="shared" si="58"/>
        <v>2020</v>
      </c>
      <c r="K359" s="64">
        <f t="shared" si="51"/>
        <v>44172</v>
      </c>
      <c r="L359" s="6"/>
      <c r="M359" s="6"/>
      <c r="O359" s="208">
        <v>44004</v>
      </c>
      <c r="P359" s="209">
        <f t="shared" si="52"/>
        <v>48702.5</v>
      </c>
      <c r="Q359" s="209">
        <f>+SUMIF('A DEPOSITAR'!$D$2:$D$998,(O359-2),'A DEPOSITAR'!$H$2:$H$998)</f>
        <v>0</v>
      </c>
      <c r="R359" s="210">
        <f t="shared" si="53"/>
        <v>-48702.5</v>
      </c>
      <c r="S359" s="210">
        <f t="shared" si="55"/>
        <v>1533013.3100000003</v>
      </c>
      <c r="T359" s="209">
        <f t="shared" si="54"/>
        <v>0</v>
      </c>
      <c r="U359" s="209">
        <f>+SUMIFS('A DEPOSITAR'!$H$2:$H$998,'A DEPOSITAR'!$D$2:$D$998,(O359-2),'A DEPOSITAR'!$I$2:$I$998,"A Depositar")</f>
        <v>0</v>
      </c>
      <c r="V359" s="6"/>
      <c r="W359" s="6"/>
      <c r="X359" s="6"/>
      <c r="Y359" s="6"/>
      <c r="Z359" s="6"/>
    </row>
    <row r="360" spans="1:26" ht="12.75" x14ac:dyDescent="0.2">
      <c r="A360" s="31">
        <v>44120</v>
      </c>
      <c r="B360" s="29" t="s">
        <v>833</v>
      </c>
      <c r="C360" s="29">
        <v>78212419</v>
      </c>
      <c r="D360" s="30">
        <v>27800</v>
      </c>
      <c r="E360" s="29" t="s">
        <v>22</v>
      </c>
      <c r="F360" s="7">
        <v>44032</v>
      </c>
      <c r="G360" s="18"/>
      <c r="H360" s="16">
        <f t="shared" si="56"/>
        <v>16</v>
      </c>
      <c r="I360" s="16">
        <f t="shared" si="57"/>
        <v>10</v>
      </c>
      <c r="J360" s="122">
        <f t="shared" si="58"/>
        <v>2020</v>
      </c>
      <c r="K360" s="64">
        <f t="shared" si="51"/>
        <v>44180</v>
      </c>
      <c r="L360" s="6"/>
      <c r="M360" s="6"/>
      <c r="O360" s="208">
        <v>44005</v>
      </c>
      <c r="P360" s="209">
        <f t="shared" si="52"/>
        <v>17500.91</v>
      </c>
      <c r="Q360" s="209">
        <f>+SUMIF('A DEPOSITAR'!$D$2:$D$998,(O360-2),'A DEPOSITAR'!$H$2:$H$998)</f>
        <v>0</v>
      </c>
      <c r="R360" s="210">
        <f t="shared" si="53"/>
        <v>-17500.91</v>
      </c>
      <c r="S360" s="210">
        <f t="shared" si="55"/>
        <v>1515512.4000000004</v>
      </c>
      <c r="T360" s="209">
        <f t="shared" si="54"/>
        <v>0</v>
      </c>
      <c r="U360" s="209">
        <f>+SUMIFS('A DEPOSITAR'!$H$2:$H$998,'A DEPOSITAR'!$D$2:$D$998,(O360-2),'A DEPOSITAR'!$I$2:$I$998,"A Depositar")</f>
        <v>0</v>
      </c>
      <c r="V360" s="6"/>
      <c r="W360" s="6"/>
      <c r="X360" s="6"/>
      <c r="Y360" s="6"/>
      <c r="Z360" s="6"/>
    </row>
    <row r="361" spans="1:26" s="182" customFormat="1" ht="12.75" x14ac:dyDescent="0.2">
      <c r="A361" s="36">
        <v>44126</v>
      </c>
      <c r="B361" s="29" t="s">
        <v>833</v>
      </c>
      <c r="C361" s="29">
        <v>78212420</v>
      </c>
      <c r="D361" s="50">
        <v>28000</v>
      </c>
      <c r="E361" s="29" t="s">
        <v>22</v>
      </c>
      <c r="F361" s="34">
        <v>44032</v>
      </c>
      <c r="G361" s="29"/>
      <c r="H361" s="49">
        <f t="shared" si="56"/>
        <v>22</v>
      </c>
      <c r="I361" s="49">
        <f t="shared" si="57"/>
        <v>10</v>
      </c>
      <c r="J361" s="122">
        <f t="shared" si="58"/>
        <v>2020</v>
      </c>
      <c r="K361" s="64">
        <f t="shared" si="51"/>
        <v>44186</v>
      </c>
      <c r="L361" s="10"/>
      <c r="M361" s="10"/>
      <c r="N361" s="197"/>
      <c r="O361" s="208">
        <v>44006</v>
      </c>
      <c r="P361" s="209">
        <f t="shared" si="52"/>
        <v>0</v>
      </c>
      <c r="Q361" s="209">
        <f>+SUMIF('A DEPOSITAR'!$D$2:$D$998,(O361-2),'A DEPOSITAR'!$H$2:$H$998)</f>
        <v>30000</v>
      </c>
      <c r="R361" s="210">
        <f t="shared" si="53"/>
        <v>30000</v>
      </c>
      <c r="S361" s="210">
        <f t="shared" si="55"/>
        <v>1545512.4000000004</v>
      </c>
      <c r="T361" s="209">
        <f t="shared" si="54"/>
        <v>0</v>
      </c>
      <c r="U361" s="209">
        <f>+SUMIFS('A DEPOSITAR'!$H$2:$H$998,'A DEPOSITAR'!$D$2:$D$998,(O361-2),'A DEPOSITAR'!$I$2:$I$998,"A Depositar")</f>
        <v>0</v>
      </c>
      <c r="V361" s="10"/>
      <c r="W361" s="10"/>
      <c r="X361" s="10"/>
      <c r="Y361" s="10"/>
      <c r="Z361" s="10"/>
    </row>
    <row r="362" spans="1:26" s="182" customFormat="1" ht="12.75" x14ac:dyDescent="0.2">
      <c r="A362" s="36">
        <v>44134</v>
      </c>
      <c r="B362" s="29" t="s">
        <v>833</v>
      </c>
      <c r="C362" s="29">
        <v>78212421</v>
      </c>
      <c r="D362" s="50">
        <v>29000</v>
      </c>
      <c r="E362" s="29" t="s">
        <v>22</v>
      </c>
      <c r="F362" s="34">
        <v>44032</v>
      </c>
      <c r="G362" s="29"/>
      <c r="H362" s="49">
        <f t="shared" si="56"/>
        <v>30</v>
      </c>
      <c r="I362" s="49">
        <f t="shared" si="57"/>
        <v>10</v>
      </c>
      <c r="J362" s="122">
        <f t="shared" si="58"/>
        <v>2020</v>
      </c>
      <c r="K362" s="64">
        <f t="shared" si="51"/>
        <v>44194</v>
      </c>
      <c r="L362" s="10"/>
      <c r="M362" s="10"/>
      <c r="N362" s="197"/>
      <c r="O362" s="208">
        <v>44007</v>
      </c>
      <c r="P362" s="209">
        <f t="shared" si="52"/>
        <v>0</v>
      </c>
      <c r="Q362" s="209">
        <f>+SUMIF('A DEPOSITAR'!$D$2:$D$998,(O362-2),'A DEPOSITAR'!$H$2:$H$998)</f>
        <v>0</v>
      </c>
      <c r="R362" s="210">
        <f t="shared" si="53"/>
        <v>0</v>
      </c>
      <c r="S362" s="210">
        <f t="shared" si="55"/>
        <v>1545512.4000000004</v>
      </c>
      <c r="T362" s="209">
        <f t="shared" si="54"/>
        <v>0</v>
      </c>
      <c r="U362" s="209">
        <f>+SUMIFS('A DEPOSITAR'!$H$2:$H$998,'A DEPOSITAR'!$D$2:$D$998,(O362-2),'A DEPOSITAR'!$I$2:$I$998,"A Depositar")</f>
        <v>0</v>
      </c>
      <c r="V362" s="10"/>
      <c r="W362" s="10"/>
      <c r="X362" s="10"/>
      <c r="Y362" s="10"/>
      <c r="Z362" s="10"/>
    </row>
    <row r="363" spans="1:26" s="182" customFormat="1" ht="12.75" x14ac:dyDescent="0.2">
      <c r="A363" s="36">
        <v>44112</v>
      </c>
      <c r="B363" s="29" t="s">
        <v>147</v>
      </c>
      <c r="C363" s="29">
        <v>78212422</v>
      </c>
      <c r="D363" s="50">
        <v>6706</v>
      </c>
      <c r="E363" s="29" t="s">
        <v>22</v>
      </c>
      <c r="F363" s="34">
        <v>44049</v>
      </c>
      <c r="G363" s="29"/>
      <c r="H363" s="49">
        <f t="shared" si="56"/>
        <v>8</v>
      </c>
      <c r="I363" s="49">
        <f t="shared" si="57"/>
        <v>10</v>
      </c>
      <c r="J363" s="122">
        <f t="shared" si="58"/>
        <v>2020</v>
      </c>
      <c r="K363" s="64">
        <f t="shared" si="51"/>
        <v>44172</v>
      </c>
      <c r="L363" s="10"/>
      <c r="M363" s="10"/>
      <c r="N363" s="197"/>
      <c r="O363" s="208">
        <v>44008</v>
      </c>
      <c r="P363" s="209">
        <f t="shared" si="52"/>
        <v>0</v>
      </c>
      <c r="Q363" s="209">
        <f>+SUMIF('A DEPOSITAR'!$D$2:$D$998,(O363-2),'A DEPOSITAR'!$H$2:$H$998)</f>
        <v>5000</v>
      </c>
      <c r="R363" s="210">
        <f t="shared" si="53"/>
        <v>5000</v>
      </c>
      <c r="S363" s="210">
        <f t="shared" si="55"/>
        <v>1550512.4000000004</v>
      </c>
      <c r="T363" s="209">
        <f t="shared" si="54"/>
        <v>0</v>
      </c>
      <c r="U363" s="209">
        <f>+SUMIFS('A DEPOSITAR'!$H$2:$H$998,'A DEPOSITAR'!$D$2:$D$998,(O363-2),'A DEPOSITAR'!$I$2:$I$998,"A Depositar")</f>
        <v>0</v>
      </c>
      <c r="V363" s="10"/>
      <c r="W363" s="10"/>
      <c r="X363" s="10"/>
      <c r="Y363" s="10"/>
      <c r="Z363" s="10"/>
    </row>
    <row r="364" spans="1:26" s="182" customFormat="1" ht="12.75" x14ac:dyDescent="0.2">
      <c r="A364" s="36">
        <v>44120</v>
      </c>
      <c r="B364" s="29" t="s">
        <v>147</v>
      </c>
      <c r="C364" s="29">
        <v>78212423</v>
      </c>
      <c r="D364" s="50">
        <v>6800</v>
      </c>
      <c r="E364" s="29" t="s">
        <v>22</v>
      </c>
      <c r="F364" s="34">
        <v>44049</v>
      </c>
      <c r="G364" s="29"/>
      <c r="H364" s="49">
        <f t="shared" si="56"/>
        <v>16</v>
      </c>
      <c r="I364" s="49">
        <f t="shared" si="57"/>
        <v>10</v>
      </c>
      <c r="J364" s="122">
        <f t="shared" si="58"/>
        <v>2020</v>
      </c>
      <c r="K364" s="64">
        <f t="shared" si="51"/>
        <v>44180</v>
      </c>
      <c r="L364" s="10"/>
      <c r="M364" s="10"/>
      <c r="N364" s="197"/>
      <c r="O364" s="208">
        <v>44009</v>
      </c>
      <c r="P364" s="209">
        <f t="shared" si="52"/>
        <v>0</v>
      </c>
      <c r="Q364" s="209">
        <f>+SUMIF('A DEPOSITAR'!$D$2:$D$998,(O364-2),'A DEPOSITAR'!$H$2:$H$998)</f>
        <v>24000</v>
      </c>
      <c r="R364" s="210">
        <f t="shared" si="53"/>
        <v>24000</v>
      </c>
      <c r="S364" s="210">
        <f t="shared" si="55"/>
        <v>1574512.4000000004</v>
      </c>
      <c r="T364" s="209">
        <f t="shared" si="54"/>
        <v>0</v>
      </c>
      <c r="U364" s="209">
        <f>+SUMIFS('A DEPOSITAR'!$H$2:$H$998,'A DEPOSITAR'!$D$2:$D$998,(O364-2),'A DEPOSITAR'!$I$2:$I$998,"A Depositar")</f>
        <v>0</v>
      </c>
      <c r="V364" s="10"/>
      <c r="W364" s="10"/>
      <c r="X364" s="10"/>
      <c r="Y364" s="10"/>
      <c r="Z364" s="10"/>
    </row>
    <row r="365" spans="1:26" s="182" customFormat="1" ht="12.75" x14ac:dyDescent="0.2">
      <c r="A365" s="36">
        <v>44126</v>
      </c>
      <c r="B365" s="29" t="s">
        <v>147</v>
      </c>
      <c r="C365" s="29">
        <v>78212424</v>
      </c>
      <c r="D365" s="50">
        <v>6850</v>
      </c>
      <c r="E365" s="29" t="s">
        <v>22</v>
      </c>
      <c r="F365" s="34">
        <v>44049</v>
      </c>
      <c r="G365" s="29"/>
      <c r="H365" s="49">
        <f t="shared" si="56"/>
        <v>22</v>
      </c>
      <c r="I365" s="49">
        <f t="shared" si="57"/>
        <v>10</v>
      </c>
      <c r="J365" s="122">
        <f t="shared" si="58"/>
        <v>2020</v>
      </c>
      <c r="K365" s="64">
        <f t="shared" si="51"/>
        <v>44186</v>
      </c>
      <c r="L365" s="10"/>
      <c r="M365" s="10"/>
      <c r="N365" s="197"/>
      <c r="O365" s="208">
        <v>44010</v>
      </c>
      <c r="P365" s="209">
        <f t="shared" si="52"/>
        <v>0</v>
      </c>
      <c r="Q365" s="209">
        <f>+SUMIF('A DEPOSITAR'!$D$2:$D$998,(O365-2),'A DEPOSITAR'!$H$2:$H$998)</f>
        <v>8816.81</v>
      </c>
      <c r="R365" s="210">
        <f t="shared" si="53"/>
        <v>8816.81</v>
      </c>
      <c r="S365" s="210">
        <f t="shared" si="55"/>
        <v>1583329.2100000004</v>
      </c>
      <c r="T365" s="209">
        <f t="shared" si="54"/>
        <v>0</v>
      </c>
      <c r="U365" s="209">
        <f>+SUMIFS('A DEPOSITAR'!$H$2:$H$998,'A DEPOSITAR'!$D$2:$D$998,(O365-2),'A DEPOSITAR'!$I$2:$I$998,"A Depositar")</f>
        <v>0</v>
      </c>
      <c r="V365" s="10"/>
      <c r="W365" s="10"/>
      <c r="X365" s="10"/>
      <c r="Y365" s="10"/>
      <c r="Z365" s="10"/>
    </row>
    <row r="366" spans="1:26" s="182" customFormat="1" ht="12.75" x14ac:dyDescent="0.2">
      <c r="A366" s="36">
        <v>44134</v>
      </c>
      <c r="B366" s="29" t="s">
        <v>147</v>
      </c>
      <c r="C366" s="29">
        <v>78212425</v>
      </c>
      <c r="D366" s="50">
        <v>6890</v>
      </c>
      <c r="E366" s="29" t="s">
        <v>22</v>
      </c>
      <c r="F366" s="34">
        <v>44049</v>
      </c>
      <c r="G366" s="29"/>
      <c r="H366" s="49">
        <f t="shared" si="56"/>
        <v>30</v>
      </c>
      <c r="I366" s="49">
        <f t="shared" si="57"/>
        <v>10</v>
      </c>
      <c r="J366" s="122">
        <f t="shared" si="58"/>
        <v>2020</v>
      </c>
      <c r="K366" s="64">
        <f t="shared" si="51"/>
        <v>44194</v>
      </c>
      <c r="L366" s="10"/>
      <c r="M366" s="10"/>
      <c r="N366" s="197"/>
      <c r="O366" s="208">
        <v>44011</v>
      </c>
      <c r="P366" s="209">
        <f t="shared" si="52"/>
        <v>0</v>
      </c>
      <c r="Q366" s="209">
        <f>+SUMIF('A DEPOSITAR'!$D$2:$D$998,(O366-2),'A DEPOSITAR'!$H$2:$H$998)</f>
        <v>0</v>
      </c>
      <c r="R366" s="210">
        <f t="shared" si="53"/>
        <v>0</v>
      </c>
      <c r="S366" s="210">
        <f t="shared" si="55"/>
        <v>1583329.2100000004</v>
      </c>
      <c r="T366" s="209">
        <f t="shared" si="54"/>
        <v>0</v>
      </c>
      <c r="U366" s="209">
        <f>+SUMIFS('A DEPOSITAR'!$H$2:$H$998,'A DEPOSITAR'!$D$2:$D$998,(O366-2),'A DEPOSITAR'!$I$2:$I$998,"A Depositar")</f>
        <v>0</v>
      </c>
      <c r="V366" s="10"/>
      <c r="W366" s="10"/>
      <c r="X366" s="10"/>
      <c r="Y366" s="10"/>
      <c r="Z366" s="10"/>
    </row>
    <row r="367" spans="1:26" s="182" customFormat="1" ht="12.75" x14ac:dyDescent="0.2">
      <c r="A367" s="36">
        <v>44143</v>
      </c>
      <c r="B367" s="29" t="s">
        <v>147</v>
      </c>
      <c r="C367" s="29">
        <v>79702826</v>
      </c>
      <c r="D367" s="50">
        <v>7300</v>
      </c>
      <c r="E367" s="29" t="s">
        <v>22</v>
      </c>
      <c r="F367" s="34">
        <v>44049</v>
      </c>
      <c r="G367" s="29"/>
      <c r="H367" s="49">
        <f t="shared" si="56"/>
        <v>8</v>
      </c>
      <c r="I367" s="49">
        <f t="shared" si="57"/>
        <v>11</v>
      </c>
      <c r="J367" s="122">
        <f t="shared" si="58"/>
        <v>2020</v>
      </c>
      <c r="K367" s="64">
        <f t="shared" si="51"/>
        <v>44203</v>
      </c>
      <c r="L367" s="10"/>
      <c r="M367" s="10">
        <v>80197</v>
      </c>
      <c r="N367" s="197"/>
      <c r="O367" s="208">
        <v>44012</v>
      </c>
      <c r="P367" s="209">
        <f t="shared" si="52"/>
        <v>71200.179999999993</v>
      </c>
      <c r="Q367" s="209">
        <f>+SUMIF('A DEPOSITAR'!$D$2:$D$998,(O367-2),'A DEPOSITAR'!$H$2:$H$998)</f>
        <v>0</v>
      </c>
      <c r="R367" s="210">
        <f t="shared" si="53"/>
        <v>-71200.179999999993</v>
      </c>
      <c r="S367" s="210">
        <f t="shared" si="55"/>
        <v>1512129.0300000005</v>
      </c>
      <c r="T367" s="209">
        <f t="shared" si="54"/>
        <v>0</v>
      </c>
      <c r="U367" s="209">
        <f>+SUMIFS('A DEPOSITAR'!$H$2:$H$998,'A DEPOSITAR'!$D$2:$D$998,(O367-2),'A DEPOSITAR'!$I$2:$I$998,"A Depositar")</f>
        <v>0</v>
      </c>
      <c r="V367" s="10"/>
      <c r="W367" s="10"/>
      <c r="X367" s="10"/>
      <c r="Y367" s="10"/>
      <c r="Z367" s="10"/>
    </row>
    <row r="368" spans="1:26" s="182" customFormat="1" ht="12.75" x14ac:dyDescent="0.2">
      <c r="A368" s="36">
        <v>44151</v>
      </c>
      <c r="B368" s="29" t="s">
        <v>147</v>
      </c>
      <c r="C368" s="29">
        <v>79702827</v>
      </c>
      <c r="D368" s="50">
        <v>7340.8</v>
      </c>
      <c r="E368" s="29" t="s">
        <v>22</v>
      </c>
      <c r="F368" s="34">
        <v>44049</v>
      </c>
      <c r="G368" s="29"/>
      <c r="H368" s="49">
        <f t="shared" si="56"/>
        <v>16</v>
      </c>
      <c r="I368" s="49">
        <f t="shared" si="57"/>
        <v>11</v>
      </c>
      <c r="J368" s="122">
        <f t="shared" si="58"/>
        <v>2020</v>
      </c>
      <c r="K368" s="64">
        <f t="shared" si="51"/>
        <v>44211</v>
      </c>
      <c r="L368" s="10"/>
      <c r="M368" s="10">
        <v>35870</v>
      </c>
      <c r="N368" s="197"/>
      <c r="O368" s="208">
        <v>44013</v>
      </c>
      <c r="P368" s="209">
        <f t="shared" si="52"/>
        <v>0</v>
      </c>
      <c r="Q368" s="209">
        <f>+SUMIF('A DEPOSITAR'!$D$2:$D$998,(O368-2),'A DEPOSITAR'!$H$2:$H$998)</f>
        <v>6000</v>
      </c>
      <c r="R368" s="210">
        <f t="shared" si="53"/>
        <v>6000</v>
      </c>
      <c r="S368" s="210">
        <f t="shared" si="55"/>
        <v>1518129.0300000005</v>
      </c>
      <c r="T368" s="209">
        <f t="shared" si="54"/>
        <v>0</v>
      </c>
      <c r="U368" s="209">
        <f>+SUMIFS('A DEPOSITAR'!$H$2:$H$998,'A DEPOSITAR'!$D$2:$D$998,(O368-2),'A DEPOSITAR'!$I$2:$I$998,"A Depositar")</f>
        <v>0</v>
      </c>
      <c r="V368" s="10"/>
      <c r="W368" s="10"/>
      <c r="X368" s="10"/>
      <c r="Y368" s="10"/>
      <c r="Z368" s="10"/>
    </row>
    <row r="369" spans="1:26" s="182" customFormat="1" ht="12.75" x14ac:dyDescent="0.2">
      <c r="A369" s="36">
        <v>44181</v>
      </c>
      <c r="B369" s="29" t="s">
        <v>147</v>
      </c>
      <c r="C369" s="29">
        <v>79702828</v>
      </c>
      <c r="D369" s="50">
        <v>11000</v>
      </c>
      <c r="E369" s="29" t="s">
        <v>22</v>
      </c>
      <c r="F369" s="34">
        <v>44053</v>
      </c>
      <c r="G369" s="29"/>
      <c r="H369" s="49">
        <f t="shared" si="56"/>
        <v>16</v>
      </c>
      <c r="I369" s="49">
        <f t="shared" si="57"/>
        <v>12</v>
      </c>
      <c r="J369" s="122">
        <f t="shared" si="58"/>
        <v>2020</v>
      </c>
      <c r="K369" s="64">
        <f t="shared" si="51"/>
        <v>44241</v>
      </c>
      <c r="L369" s="10"/>
      <c r="M369" s="10">
        <f>M367-M368</f>
        <v>44327</v>
      </c>
      <c r="N369" s="197"/>
      <c r="O369" s="208">
        <v>44014</v>
      </c>
      <c r="P369" s="209">
        <f t="shared" si="52"/>
        <v>0</v>
      </c>
      <c r="Q369" s="209">
        <f>+SUMIF('A DEPOSITAR'!$D$2:$D$998,(O369-2),'A DEPOSITAR'!$H$2:$H$998)</f>
        <v>116646.5</v>
      </c>
      <c r="R369" s="210">
        <f t="shared" si="53"/>
        <v>116646.5</v>
      </c>
      <c r="S369" s="210">
        <f t="shared" si="55"/>
        <v>1634775.5300000005</v>
      </c>
      <c r="T369" s="209">
        <f t="shared" si="54"/>
        <v>0</v>
      </c>
      <c r="U369" s="209">
        <f>+SUMIFS('A DEPOSITAR'!$H$2:$H$998,'A DEPOSITAR'!$D$2:$D$998,(O369-2),'A DEPOSITAR'!$I$2:$I$998,"A Depositar")</f>
        <v>0</v>
      </c>
      <c r="V369" s="10"/>
      <c r="W369" s="10"/>
      <c r="X369" s="10"/>
      <c r="Y369" s="10"/>
      <c r="Z369" s="10"/>
    </row>
    <row r="370" spans="1:26" s="182" customFormat="1" ht="12.75" x14ac:dyDescent="0.2">
      <c r="A370" s="36">
        <v>44187</v>
      </c>
      <c r="B370" s="29" t="s">
        <v>147</v>
      </c>
      <c r="C370" s="29">
        <v>79702829</v>
      </c>
      <c r="D370" s="50">
        <v>12500</v>
      </c>
      <c r="E370" s="29" t="s">
        <v>22</v>
      </c>
      <c r="F370" s="34">
        <v>44053</v>
      </c>
      <c r="G370" s="29"/>
      <c r="H370" s="49">
        <f t="shared" si="56"/>
        <v>22</v>
      </c>
      <c r="I370" s="49">
        <f t="shared" si="57"/>
        <v>12</v>
      </c>
      <c r="J370" s="122">
        <f t="shared" si="58"/>
        <v>2020</v>
      </c>
      <c r="K370" s="64">
        <f t="shared" si="51"/>
        <v>44247</v>
      </c>
      <c r="L370" s="10"/>
      <c r="M370" s="10">
        <v>24000</v>
      </c>
      <c r="N370" s="197"/>
      <c r="O370" s="208">
        <v>44015</v>
      </c>
      <c r="P370" s="209">
        <f t="shared" si="52"/>
        <v>0</v>
      </c>
      <c r="Q370" s="209">
        <f>+SUMIF('A DEPOSITAR'!$D$2:$D$998,(O370-2),'A DEPOSITAR'!$H$2:$H$998)</f>
        <v>0</v>
      </c>
      <c r="R370" s="210">
        <f t="shared" si="53"/>
        <v>0</v>
      </c>
      <c r="S370" s="210">
        <f t="shared" si="55"/>
        <v>1634775.5300000005</v>
      </c>
      <c r="T370" s="209">
        <f t="shared" si="54"/>
        <v>0</v>
      </c>
      <c r="U370" s="209">
        <f>+SUMIFS('A DEPOSITAR'!$H$2:$H$998,'A DEPOSITAR'!$D$2:$D$998,(O370-2),'A DEPOSITAR'!$I$2:$I$998,"A Depositar")</f>
        <v>0</v>
      </c>
      <c r="V370" s="10"/>
      <c r="W370" s="10"/>
      <c r="X370" s="10"/>
      <c r="Y370" s="10"/>
      <c r="Z370" s="10"/>
    </row>
    <row r="371" spans="1:26" s="182" customFormat="1" ht="12.75" x14ac:dyDescent="0.2">
      <c r="A371" s="36">
        <v>44195</v>
      </c>
      <c r="B371" s="29" t="s">
        <v>147</v>
      </c>
      <c r="C371" s="29">
        <v>79702830</v>
      </c>
      <c r="D371" s="50">
        <v>12370</v>
      </c>
      <c r="E371" s="29" t="s">
        <v>22</v>
      </c>
      <c r="F371" s="34">
        <v>44053</v>
      </c>
      <c r="G371" s="29"/>
      <c r="H371" s="49">
        <f t="shared" si="56"/>
        <v>30</v>
      </c>
      <c r="I371" s="49">
        <f t="shared" si="57"/>
        <v>12</v>
      </c>
      <c r="J371" s="122">
        <f t="shared" si="58"/>
        <v>2020</v>
      </c>
      <c r="K371" s="64">
        <f t="shared" si="51"/>
        <v>44255</v>
      </c>
      <c r="L371" s="10"/>
      <c r="M371" s="10">
        <f>M369-M370</f>
        <v>20327</v>
      </c>
      <c r="N371" s="197"/>
      <c r="O371" s="208">
        <v>44016</v>
      </c>
      <c r="P371" s="209">
        <f t="shared" si="52"/>
        <v>0</v>
      </c>
      <c r="Q371" s="209">
        <f>+SUMIF('A DEPOSITAR'!$D$2:$D$998,(O371-2),'A DEPOSITAR'!$H$2:$H$998)</f>
        <v>30000</v>
      </c>
      <c r="R371" s="210">
        <f t="shared" si="53"/>
        <v>30000</v>
      </c>
      <c r="S371" s="210">
        <f t="shared" si="55"/>
        <v>1664775.5300000005</v>
      </c>
      <c r="T371" s="209">
        <f t="shared" si="54"/>
        <v>0</v>
      </c>
      <c r="U371" s="209">
        <f>+SUMIFS('A DEPOSITAR'!$H$2:$H$998,'A DEPOSITAR'!$D$2:$D$998,(O371-2),'A DEPOSITAR'!$I$2:$I$998,"A Depositar")</f>
        <v>0</v>
      </c>
      <c r="V371" s="10"/>
      <c r="W371" s="10"/>
      <c r="X371" s="10"/>
      <c r="Y371" s="10"/>
      <c r="Z371" s="10"/>
    </row>
    <row r="372" spans="1:26" s="182" customFormat="1" ht="12.75" x14ac:dyDescent="0.2">
      <c r="A372" s="36">
        <v>44179</v>
      </c>
      <c r="B372" s="29" t="s">
        <v>212</v>
      </c>
      <c r="C372" s="29">
        <v>79702831</v>
      </c>
      <c r="D372" s="50">
        <v>13000</v>
      </c>
      <c r="E372" s="29" t="s">
        <v>755</v>
      </c>
      <c r="F372" s="34">
        <v>44053</v>
      </c>
      <c r="G372" s="29"/>
      <c r="H372" s="49">
        <f t="shared" si="56"/>
        <v>14</v>
      </c>
      <c r="I372" s="49">
        <f t="shared" si="57"/>
        <v>12</v>
      </c>
      <c r="J372" s="122">
        <f t="shared" si="58"/>
        <v>2020</v>
      </c>
      <c r="K372" s="64">
        <f t="shared" si="51"/>
        <v>44239</v>
      </c>
      <c r="L372" s="10"/>
      <c r="M372" s="10"/>
      <c r="N372" s="197"/>
      <c r="O372" s="208">
        <v>44017</v>
      </c>
      <c r="P372" s="209">
        <f t="shared" si="52"/>
        <v>0</v>
      </c>
      <c r="Q372" s="209">
        <f>+SUMIF('A DEPOSITAR'!$D$2:$D$998,(O372-2),'A DEPOSITAR'!$H$2:$H$998)</f>
        <v>0</v>
      </c>
      <c r="R372" s="210">
        <f t="shared" si="53"/>
        <v>0</v>
      </c>
      <c r="S372" s="210">
        <f t="shared" si="55"/>
        <v>1664775.5300000005</v>
      </c>
      <c r="T372" s="209">
        <f t="shared" si="54"/>
        <v>0</v>
      </c>
      <c r="U372" s="209">
        <f>+SUMIFS('A DEPOSITAR'!$H$2:$H$998,'A DEPOSITAR'!$D$2:$D$998,(O372-2),'A DEPOSITAR'!$I$2:$I$998,"A Depositar")</f>
        <v>0</v>
      </c>
      <c r="V372" s="10"/>
      <c r="W372" s="10"/>
      <c r="X372" s="10"/>
      <c r="Y372" s="10"/>
      <c r="Z372" s="10"/>
    </row>
    <row r="373" spans="1:26" s="182" customFormat="1" ht="12.75" x14ac:dyDescent="0.2">
      <c r="A373" s="36">
        <v>44151</v>
      </c>
      <c r="B373" s="29" t="s">
        <v>222</v>
      </c>
      <c r="C373" s="29">
        <v>79702832</v>
      </c>
      <c r="D373" s="50">
        <v>11500</v>
      </c>
      <c r="E373" s="29" t="s">
        <v>22</v>
      </c>
      <c r="F373" s="34">
        <v>44053</v>
      </c>
      <c r="G373" s="29"/>
      <c r="H373" s="49">
        <f t="shared" si="56"/>
        <v>16</v>
      </c>
      <c r="I373" s="49">
        <f t="shared" si="57"/>
        <v>11</v>
      </c>
      <c r="J373" s="122">
        <f t="shared" si="58"/>
        <v>2020</v>
      </c>
      <c r="K373" s="64">
        <f t="shared" si="51"/>
        <v>44211</v>
      </c>
      <c r="L373" s="10"/>
      <c r="M373" s="10"/>
      <c r="N373" s="197"/>
      <c r="O373" s="208">
        <v>44018</v>
      </c>
      <c r="P373" s="209">
        <f t="shared" si="52"/>
        <v>0</v>
      </c>
      <c r="Q373" s="209">
        <f>+SUMIF('A DEPOSITAR'!$D$2:$D$998,(O373-2),'A DEPOSITAR'!$H$2:$H$998)</f>
        <v>0</v>
      </c>
      <c r="R373" s="210">
        <f t="shared" si="53"/>
        <v>0</v>
      </c>
      <c r="S373" s="210">
        <f t="shared" si="55"/>
        <v>1664775.5300000005</v>
      </c>
      <c r="T373" s="209">
        <f t="shared" si="54"/>
        <v>0</v>
      </c>
      <c r="U373" s="209">
        <f>+SUMIFS('A DEPOSITAR'!$H$2:$H$998,'A DEPOSITAR'!$D$2:$D$998,(O373-2),'A DEPOSITAR'!$I$2:$I$998,"A Depositar")</f>
        <v>0</v>
      </c>
      <c r="V373" s="10"/>
      <c r="W373" s="10"/>
      <c r="X373" s="10"/>
      <c r="Y373" s="10"/>
      <c r="Z373" s="10"/>
    </row>
    <row r="374" spans="1:26" s="182" customFormat="1" ht="12.75" x14ac:dyDescent="0.2">
      <c r="A374" s="36">
        <v>44090</v>
      </c>
      <c r="B374" s="29" t="s">
        <v>139</v>
      </c>
      <c r="C374" s="29">
        <v>79702833</v>
      </c>
      <c r="D374" s="50">
        <v>8800</v>
      </c>
      <c r="E374" s="29" t="s">
        <v>22</v>
      </c>
      <c r="F374" s="34">
        <v>44054</v>
      </c>
      <c r="G374" s="29"/>
      <c r="H374" s="49">
        <f t="shared" si="56"/>
        <v>16</v>
      </c>
      <c r="I374" s="49">
        <f t="shared" si="57"/>
        <v>9</v>
      </c>
      <c r="J374" s="122">
        <f t="shared" si="58"/>
        <v>2020</v>
      </c>
      <c r="K374" s="64">
        <f t="shared" si="51"/>
        <v>44150</v>
      </c>
      <c r="L374" s="10"/>
      <c r="M374" s="10"/>
      <c r="N374" s="197"/>
      <c r="O374" s="208">
        <v>44019</v>
      </c>
      <c r="P374" s="209">
        <f t="shared" si="52"/>
        <v>11030</v>
      </c>
      <c r="Q374" s="209">
        <f>+SUMIF('A DEPOSITAR'!$D$2:$D$998,(O374-2),'A DEPOSITAR'!$H$2:$H$998)</f>
        <v>0</v>
      </c>
      <c r="R374" s="210">
        <f t="shared" si="53"/>
        <v>-11030</v>
      </c>
      <c r="S374" s="210">
        <f t="shared" si="55"/>
        <v>1653745.5300000005</v>
      </c>
      <c r="T374" s="209">
        <f t="shared" si="54"/>
        <v>0</v>
      </c>
      <c r="U374" s="209">
        <f>+SUMIFS('A DEPOSITAR'!$H$2:$H$998,'A DEPOSITAR'!$D$2:$D$998,(O374-2),'A DEPOSITAR'!$I$2:$I$998,"A Depositar")</f>
        <v>0</v>
      </c>
      <c r="V374" s="10"/>
      <c r="W374" s="10"/>
      <c r="X374" s="10"/>
      <c r="Y374" s="10"/>
      <c r="Z374" s="10"/>
    </row>
    <row r="375" spans="1:26" s="182" customFormat="1" ht="12.75" x14ac:dyDescent="0.2">
      <c r="A375" s="36">
        <v>44096</v>
      </c>
      <c r="B375" s="29" t="s">
        <v>139</v>
      </c>
      <c r="C375" s="29">
        <v>79702834</v>
      </c>
      <c r="D375" s="50">
        <v>8900</v>
      </c>
      <c r="E375" s="29" t="s">
        <v>22</v>
      </c>
      <c r="F375" s="34">
        <v>44054</v>
      </c>
      <c r="G375" s="29"/>
      <c r="H375" s="49">
        <f t="shared" si="56"/>
        <v>22</v>
      </c>
      <c r="I375" s="49">
        <f t="shared" si="57"/>
        <v>9</v>
      </c>
      <c r="J375" s="122">
        <f t="shared" si="58"/>
        <v>2020</v>
      </c>
      <c r="K375" s="64">
        <f t="shared" si="51"/>
        <v>44156</v>
      </c>
      <c r="L375" s="10"/>
      <c r="M375" s="10"/>
      <c r="N375" s="197"/>
      <c r="O375" s="208">
        <v>44020</v>
      </c>
      <c r="P375" s="209">
        <f t="shared" si="52"/>
        <v>31100</v>
      </c>
      <c r="Q375" s="209">
        <f>+SUMIF('A DEPOSITAR'!$D$2:$D$998,(O375-2),'A DEPOSITAR'!$H$2:$H$998)</f>
        <v>0</v>
      </c>
      <c r="R375" s="210">
        <f t="shared" si="53"/>
        <v>-31100</v>
      </c>
      <c r="S375" s="210">
        <f t="shared" si="55"/>
        <v>1622645.5300000005</v>
      </c>
      <c r="T375" s="209">
        <f t="shared" si="54"/>
        <v>0</v>
      </c>
      <c r="U375" s="209">
        <f>+SUMIFS('A DEPOSITAR'!$H$2:$H$998,'A DEPOSITAR'!$D$2:$D$998,(O375-2),'A DEPOSITAR'!$I$2:$I$998,"A Depositar")</f>
        <v>0</v>
      </c>
      <c r="V375" s="10"/>
      <c r="W375" s="10"/>
      <c r="X375" s="10"/>
      <c r="Y375" s="10"/>
      <c r="Z375" s="10"/>
    </row>
    <row r="376" spans="1:26" s="182" customFormat="1" ht="12.75" x14ac:dyDescent="0.2">
      <c r="A376" s="36">
        <v>44104</v>
      </c>
      <c r="B376" s="29" t="s">
        <v>139</v>
      </c>
      <c r="C376" s="29">
        <v>79702835</v>
      </c>
      <c r="D376" s="50">
        <v>9070</v>
      </c>
      <c r="E376" s="29" t="s">
        <v>22</v>
      </c>
      <c r="F376" s="34">
        <v>44054</v>
      </c>
      <c r="G376" s="29"/>
      <c r="H376" s="49">
        <f t="shared" si="56"/>
        <v>30</v>
      </c>
      <c r="I376" s="49">
        <f t="shared" si="57"/>
        <v>9</v>
      </c>
      <c r="J376" s="122">
        <f t="shared" si="58"/>
        <v>2020</v>
      </c>
      <c r="K376" s="64">
        <f t="shared" si="51"/>
        <v>44164</v>
      </c>
      <c r="L376" s="10"/>
      <c r="M376" s="10"/>
      <c r="N376" s="197"/>
      <c r="O376" s="208">
        <v>44021</v>
      </c>
      <c r="P376" s="209">
        <f t="shared" si="52"/>
        <v>0</v>
      </c>
      <c r="Q376" s="209">
        <f>+SUMIF('A DEPOSITAR'!$D$2:$D$998,(O376-2),'A DEPOSITAR'!$H$2:$H$998)</f>
        <v>0</v>
      </c>
      <c r="R376" s="210">
        <f t="shared" si="53"/>
        <v>0</v>
      </c>
      <c r="S376" s="210">
        <f t="shared" si="55"/>
        <v>1622645.5300000005</v>
      </c>
      <c r="T376" s="209">
        <f t="shared" si="54"/>
        <v>0</v>
      </c>
      <c r="U376" s="209">
        <f>+SUMIFS('A DEPOSITAR'!$H$2:$H$998,'A DEPOSITAR'!$D$2:$D$998,(O376-2),'A DEPOSITAR'!$I$2:$I$998,"A Depositar")</f>
        <v>0</v>
      </c>
      <c r="V376" s="10"/>
      <c r="W376" s="10"/>
      <c r="X376" s="10"/>
      <c r="Y376" s="10"/>
      <c r="Z376" s="10"/>
    </row>
    <row r="377" spans="1:26" s="182" customFormat="1" ht="12.75" x14ac:dyDescent="0.2">
      <c r="A377" s="36">
        <v>44112</v>
      </c>
      <c r="B377" s="29" t="s">
        <v>139</v>
      </c>
      <c r="C377" s="29">
        <v>79702836</v>
      </c>
      <c r="D377" s="50">
        <v>9000</v>
      </c>
      <c r="E377" s="29" t="s">
        <v>22</v>
      </c>
      <c r="F377" s="34">
        <v>44054</v>
      </c>
      <c r="G377" s="29"/>
      <c r="H377" s="49">
        <f t="shared" si="56"/>
        <v>8</v>
      </c>
      <c r="I377" s="49">
        <f t="shared" si="57"/>
        <v>10</v>
      </c>
      <c r="J377" s="122">
        <f t="shared" si="58"/>
        <v>2020</v>
      </c>
      <c r="K377" s="64">
        <f t="shared" si="51"/>
        <v>44172</v>
      </c>
      <c r="L377" s="10"/>
      <c r="M377" s="10"/>
      <c r="N377" s="197"/>
      <c r="O377" s="208">
        <v>44022</v>
      </c>
      <c r="P377" s="209">
        <f t="shared" si="52"/>
        <v>0</v>
      </c>
      <c r="Q377" s="209">
        <f>+SUMIF('A DEPOSITAR'!$D$2:$D$998,(O377-2),'A DEPOSITAR'!$H$2:$H$998)</f>
        <v>0</v>
      </c>
      <c r="R377" s="210">
        <f t="shared" si="53"/>
        <v>0</v>
      </c>
      <c r="S377" s="210">
        <f t="shared" si="55"/>
        <v>1622645.5300000005</v>
      </c>
      <c r="T377" s="209">
        <f t="shared" si="54"/>
        <v>0</v>
      </c>
      <c r="U377" s="209">
        <f>+SUMIFS('A DEPOSITAR'!$H$2:$H$998,'A DEPOSITAR'!$D$2:$D$998,(O377-2),'A DEPOSITAR'!$I$2:$I$998,"A Depositar")</f>
        <v>0</v>
      </c>
      <c r="V377" s="10"/>
      <c r="W377" s="10"/>
      <c r="X377" s="10"/>
      <c r="Y377" s="10"/>
      <c r="Z377" s="10"/>
    </row>
    <row r="378" spans="1:26" s="182" customFormat="1" ht="12.75" x14ac:dyDescent="0.2">
      <c r="A378" s="36">
        <v>44120</v>
      </c>
      <c r="B378" s="29" t="s">
        <v>139</v>
      </c>
      <c r="C378" s="29">
        <v>79702837</v>
      </c>
      <c r="D378" s="50">
        <v>9100</v>
      </c>
      <c r="E378" s="29" t="s">
        <v>22</v>
      </c>
      <c r="F378" s="34">
        <v>44054</v>
      </c>
      <c r="G378" s="29"/>
      <c r="H378" s="49">
        <f t="shared" si="56"/>
        <v>16</v>
      </c>
      <c r="I378" s="49">
        <f t="shared" si="57"/>
        <v>10</v>
      </c>
      <c r="J378" s="122">
        <f t="shared" si="58"/>
        <v>2020</v>
      </c>
      <c r="K378" s="64">
        <f t="shared" si="51"/>
        <v>44180</v>
      </c>
      <c r="L378" s="10"/>
      <c r="M378" s="10"/>
      <c r="N378" s="197"/>
      <c r="O378" s="208">
        <v>44023</v>
      </c>
      <c r="P378" s="209">
        <f t="shared" si="52"/>
        <v>0</v>
      </c>
      <c r="Q378" s="209">
        <f>+SUMIF('A DEPOSITAR'!$D$2:$D$998,(O378-2),'A DEPOSITAR'!$H$2:$H$998)</f>
        <v>0</v>
      </c>
      <c r="R378" s="210">
        <f t="shared" si="53"/>
        <v>0</v>
      </c>
      <c r="S378" s="210">
        <f t="shared" si="55"/>
        <v>1622645.5300000005</v>
      </c>
      <c r="T378" s="209">
        <f t="shared" si="54"/>
        <v>0</v>
      </c>
      <c r="U378" s="209">
        <f>+SUMIFS('A DEPOSITAR'!$H$2:$H$998,'A DEPOSITAR'!$D$2:$D$998,(O378-2),'A DEPOSITAR'!$I$2:$I$998,"A Depositar")</f>
        <v>0</v>
      </c>
      <c r="V378" s="10"/>
      <c r="W378" s="10"/>
      <c r="X378" s="10"/>
      <c r="Y378" s="10"/>
      <c r="Z378" s="10"/>
    </row>
    <row r="379" spans="1:26" ht="12.75" x14ac:dyDescent="0.2">
      <c r="A379" s="36">
        <v>44151</v>
      </c>
      <c r="B379" s="18" t="s">
        <v>833</v>
      </c>
      <c r="C379" s="18">
        <v>79702838</v>
      </c>
      <c r="D379" s="37">
        <v>7762</v>
      </c>
      <c r="E379" s="18" t="s">
        <v>22</v>
      </c>
      <c r="F379" s="7">
        <v>44070</v>
      </c>
      <c r="G379" s="18"/>
      <c r="H379" s="16">
        <f t="shared" si="56"/>
        <v>16</v>
      </c>
      <c r="I379" s="16">
        <f t="shared" si="57"/>
        <v>11</v>
      </c>
      <c r="J379" s="122">
        <f t="shared" si="58"/>
        <v>2020</v>
      </c>
      <c r="K379" s="64">
        <f t="shared" si="51"/>
        <v>44211</v>
      </c>
      <c r="L379" s="6"/>
      <c r="M379" s="6"/>
      <c r="O379" s="208">
        <v>44024</v>
      </c>
      <c r="P379" s="209">
        <f t="shared" si="52"/>
        <v>0</v>
      </c>
      <c r="Q379" s="209">
        <f>+SUMIF('A DEPOSITAR'!$D$2:$D$998,(O379-2),'A DEPOSITAR'!$H$2:$H$998)</f>
        <v>14880.25</v>
      </c>
      <c r="R379" s="210">
        <f t="shared" si="53"/>
        <v>14880.25</v>
      </c>
      <c r="S379" s="210">
        <f t="shared" si="55"/>
        <v>1637525.7800000005</v>
      </c>
      <c r="T379" s="209">
        <f t="shared" si="54"/>
        <v>0</v>
      </c>
      <c r="U379" s="209">
        <f>+SUMIFS('A DEPOSITAR'!$H$2:$H$998,'A DEPOSITAR'!$D$2:$D$998,(O379-2),'A DEPOSITAR'!$I$2:$I$998,"A Depositar")</f>
        <v>0</v>
      </c>
      <c r="V379" s="6"/>
      <c r="W379" s="6"/>
      <c r="X379" s="6"/>
      <c r="Y379" s="6"/>
      <c r="Z379" s="6"/>
    </row>
    <row r="380" spans="1:26" ht="12.75" x14ac:dyDescent="0.2">
      <c r="A380" s="36">
        <v>44155</v>
      </c>
      <c r="B380" s="29" t="s">
        <v>833</v>
      </c>
      <c r="C380" s="18">
        <v>79702839</v>
      </c>
      <c r="D380" s="37">
        <v>7800</v>
      </c>
      <c r="E380" s="18" t="s">
        <v>22</v>
      </c>
      <c r="F380" s="34">
        <v>44070</v>
      </c>
      <c r="G380" s="18"/>
      <c r="H380" s="16">
        <f t="shared" si="56"/>
        <v>20</v>
      </c>
      <c r="I380" s="16">
        <f t="shared" si="57"/>
        <v>11</v>
      </c>
      <c r="J380" s="122">
        <f t="shared" si="58"/>
        <v>2020</v>
      </c>
      <c r="K380" s="64">
        <f t="shared" si="51"/>
        <v>44215</v>
      </c>
      <c r="L380" s="6"/>
      <c r="M380" s="6"/>
      <c r="O380" s="208">
        <v>44025</v>
      </c>
      <c r="P380" s="209">
        <f t="shared" si="52"/>
        <v>5200</v>
      </c>
      <c r="Q380" s="209">
        <f>+SUMIF('A DEPOSITAR'!$D$2:$D$998,(O380-2),'A DEPOSITAR'!$H$2:$H$998)</f>
        <v>47517</v>
      </c>
      <c r="R380" s="210">
        <f t="shared" si="53"/>
        <v>42317</v>
      </c>
      <c r="S380" s="210">
        <f t="shared" si="55"/>
        <v>1679842.7800000005</v>
      </c>
      <c r="T380" s="209">
        <f t="shared" si="54"/>
        <v>0</v>
      </c>
      <c r="U380" s="209">
        <f>+SUMIFS('A DEPOSITAR'!$H$2:$H$998,'A DEPOSITAR'!$D$2:$D$998,(O380-2),'A DEPOSITAR'!$I$2:$I$998,"A Depositar")</f>
        <v>0</v>
      </c>
      <c r="V380" s="6"/>
      <c r="W380" s="6"/>
      <c r="X380" s="6"/>
      <c r="Y380" s="6"/>
      <c r="Z380" s="6"/>
    </row>
    <row r="381" spans="1:26" ht="12.75" x14ac:dyDescent="0.2">
      <c r="A381" s="36">
        <v>44165</v>
      </c>
      <c r="B381" s="29" t="s">
        <v>833</v>
      </c>
      <c r="C381" s="29">
        <v>79702840</v>
      </c>
      <c r="D381" s="37">
        <v>7850</v>
      </c>
      <c r="E381" s="18" t="s">
        <v>22</v>
      </c>
      <c r="F381" s="34">
        <v>44070</v>
      </c>
      <c r="G381" s="18"/>
      <c r="H381" s="16">
        <f t="shared" si="56"/>
        <v>30</v>
      </c>
      <c r="I381" s="16">
        <f t="shared" si="57"/>
        <v>11</v>
      </c>
      <c r="J381" s="122">
        <f t="shared" si="58"/>
        <v>2020</v>
      </c>
      <c r="K381" s="64">
        <f t="shared" si="51"/>
        <v>44225</v>
      </c>
      <c r="L381" s="6"/>
      <c r="M381" s="6"/>
      <c r="O381" s="208">
        <v>44026</v>
      </c>
      <c r="P381" s="209">
        <f t="shared" si="52"/>
        <v>0</v>
      </c>
      <c r="Q381" s="209">
        <f>+SUMIF('A DEPOSITAR'!$D$2:$D$998,(O381-2),'A DEPOSITAR'!$H$2:$H$998)</f>
        <v>0</v>
      </c>
      <c r="R381" s="210">
        <f t="shared" si="53"/>
        <v>0</v>
      </c>
      <c r="S381" s="210">
        <f t="shared" si="55"/>
        <v>1679842.7800000005</v>
      </c>
      <c r="T381" s="209">
        <f t="shared" si="54"/>
        <v>0</v>
      </c>
      <c r="U381" s="209">
        <f>+SUMIFS('A DEPOSITAR'!$H$2:$H$998,'A DEPOSITAR'!$D$2:$D$998,(O381-2),'A DEPOSITAR'!$I$2:$I$998,"A Depositar")</f>
        <v>0</v>
      </c>
      <c r="V381" s="6"/>
      <c r="W381" s="6"/>
      <c r="X381" s="6"/>
      <c r="Y381" s="6"/>
      <c r="Z381" s="6"/>
    </row>
    <row r="382" spans="1:26" ht="12.75" x14ac:dyDescent="0.2">
      <c r="A382" s="36">
        <v>44173</v>
      </c>
      <c r="B382" s="29" t="s">
        <v>833</v>
      </c>
      <c r="C382" s="29">
        <v>79702841</v>
      </c>
      <c r="D382" s="37">
        <v>7900</v>
      </c>
      <c r="E382" s="18" t="s">
        <v>22</v>
      </c>
      <c r="F382" s="34">
        <v>44070</v>
      </c>
      <c r="G382" s="18"/>
      <c r="H382" s="16">
        <f t="shared" si="56"/>
        <v>8</v>
      </c>
      <c r="I382" s="16">
        <f t="shared" si="57"/>
        <v>12</v>
      </c>
      <c r="J382" s="122">
        <f t="shared" si="58"/>
        <v>2020</v>
      </c>
      <c r="K382" s="64">
        <f t="shared" si="51"/>
        <v>44233</v>
      </c>
      <c r="L382" s="6"/>
      <c r="M382" s="6"/>
      <c r="O382" s="208">
        <v>44027</v>
      </c>
      <c r="P382" s="209">
        <f t="shared" si="52"/>
        <v>0</v>
      </c>
      <c r="Q382" s="209">
        <f>+SUMIF('A DEPOSITAR'!$D$2:$D$998,(O382-2),'A DEPOSITAR'!$H$2:$H$998)</f>
        <v>27350</v>
      </c>
      <c r="R382" s="210">
        <f t="shared" si="53"/>
        <v>27350</v>
      </c>
      <c r="S382" s="210">
        <f t="shared" si="55"/>
        <v>1707192.7800000005</v>
      </c>
      <c r="T382" s="209">
        <f t="shared" si="54"/>
        <v>0</v>
      </c>
      <c r="U382" s="209">
        <f>+SUMIFS('A DEPOSITAR'!$H$2:$H$998,'A DEPOSITAR'!$D$2:$D$998,(O382-2),'A DEPOSITAR'!$I$2:$I$998,"A Depositar")</f>
        <v>0</v>
      </c>
      <c r="V382" s="6"/>
      <c r="W382" s="6"/>
      <c r="X382" s="6"/>
      <c r="Y382" s="6"/>
      <c r="Z382" s="6"/>
    </row>
    <row r="383" spans="1:26" ht="12.75" x14ac:dyDescent="0.2">
      <c r="A383" s="36">
        <v>44099</v>
      </c>
      <c r="B383" s="29" t="s">
        <v>23</v>
      </c>
      <c r="C383" s="29">
        <v>79702842</v>
      </c>
      <c r="D383" s="37">
        <v>13500</v>
      </c>
      <c r="E383" s="18" t="s">
        <v>22</v>
      </c>
      <c r="F383" s="34">
        <v>44078</v>
      </c>
      <c r="G383" s="18"/>
      <c r="H383" s="16">
        <f t="shared" si="56"/>
        <v>25</v>
      </c>
      <c r="I383" s="16">
        <f t="shared" si="57"/>
        <v>9</v>
      </c>
      <c r="J383" s="122">
        <f t="shared" si="58"/>
        <v>2020</v>
      </c>
      <c r="K383" s="64">
        <f t="shared" si="51"/>
        <v>44159</v>
      </c>
      <c r="L383" s="6"/>
      <c r="M383" s="6"/>
      <c r="O383" s="208">
        <v>44028</v>
      </c>
      <c r="P383" s="209">
        <f t="shared" si="52"/>
        <v>31824.230000000003</v>
      </c>
      <c r="Q383" s="209">
        <f>+SUMIF('A DEPOSITAR'!$D$2:$D$998,(O383-2),'A DEPOSITAR'!$H$2:$H$998)</f>
        <v>0</v>
      </c>
      <c r="R383" s="210">
        <f t="shared" si="53"/>
        <v>-31824.230000000003</v>
      </c>
      <c r="S383" s="210">
        <f t="shared" si="55"/>
        <v>1675368.5500000005</v>
      </c>
      <c r="T383" s="209">
        <f t="shared" si="54"/>
        <v>0</v>
      </c>
      <c r="U383" s="209">
        <f>+SUMIFS('A DEPOSITAR'!$H$2:$H$998,'A DEPOSITAR'!$D$2:$D$998,(O383-2),'A DEPOSITAR'!$I$2:$I$998,"A Depositar")</f>
        <v>0</v>
      </c>
      <c r="V383" s="6"/>
      <c r="W383" s="6"/>
      <c r="X383" s="6"/>
      <c r="Y383" s="6"/>
      <c r="Z383" s="6"/>
    </row>
    <row r="384" spans="1:26" ht="12.75" x14ac:dyDescent="0.2">
      <c r="A384" s="36">
        <v>44112</v>
      </c>
      <c r="B384" s="29" t="s">
        <v>23</v>
      </c>
      <c r="C384" s="29">
        <v>79702843</v>
      </c>
      <c r="D384" s="37">
        <v>10000</v>
      </c>
      <c r="E384" s="18" t="s">
        <v>22</v>
      </c>
      <c r="F384" s="34">
        <v>44078</v>
      </c>
      <c r="G384" s="18"/>
      <c r="H384" s="16">
        <f t="shared" si="56"/>
        <v>8</v>
      </c>
      <c r="I384" s="16">
        <f t="shared" si="57"/>
        <v>10</v>
      </c>
      <c r="J384" s="122">
        <f t="shared" si="58"/>
        <v>2020</v>
      </c>
      <c r="K384" s="64">
        <f t="shared" si="51"/>
        <v>44172</v>
      </c>
      <c r="L384" s="6"/>
      <c r="M384" s="6"/>
      <c r="O384" s="208">
        <v>44029</v>
      </c>
      <c r="P384" s="209">
        <f t="shared" si="52"/>
        <v>0</v>
      </c>
      <c r="Q384" s="209">
        <f>+SUMIF('A DEPOSITAR'!$D$2:$D$998,(O384-2),'A DEPOSITAR'!$H$2:$H$998)</f>
        <v>25330</v>
      </c>
      <c r="R384" s="210">
        <f t="shared" si="53"/>
        <v>25330</v>
      </c>
      <c r="S384" s="210">
        <f t="shared" si="55"/>
        <v>1700698.5500000005</v>
      </c>
      <c r="T384" s="209">
        <f t="shared" si="54"/>
        <v>0</v>
      </c>
      <c r="U384" s="209">
        <f>+SUMIFS('A DEPOSITAR'!$H$2:$H$998,'A DEPOSITAR'!$D$2:$D$998,(O384-2),'A DEPOSITAR'!$I$2:$I$998,"A Depositar")</f>
        <v>0</v>
      </c>
      <c r="V384" s="6"/>
      <c r="W384" s="6"/>
      <c r="X384" s="6"/>
      <c r="Y384" s="6"/>
      <c r="Z384" s="6"/>
    </row>
    <row r="385" spans="1:26" ht="12.75" x14ac:dyDescent="0.2">
      <c r="A385" s="36">
        <v>44134</v>
      </c>
      <c r="B385" s="29" t="s">
        <v>756</v>
      </c>
      <c r="C385" s="29">
        <v>79702844</v>
      </c>
      <c r="D385" s="37">
        <v>3600</v>
      </c>
      <c r="E385" s="18" t="s">
        <v>22</v>
      </c>
      <c r="F385" s="34">
        <v>44081</v>
      </c>
      <c r="G385" s="18"/>
      <c r="H385" s="16">
        <f t="shared" si="56"/>
        <v>30</v>
      </c>
      <c r="I385" s="16">
        <f t="shared" si="57"/>
        <v>10</v>
      </c>
      <c r="J385" s="122">
        <f t="shared" si="58"/>
        <v>2020</v>
      </c>
      <c r="K385" s="64">
        <f t="shared" si="51"/>
        <v>44194</v>
      </c>
      <c r="L385" s="6"/>
      <c r="M385" s="6"/>
      <c r="O385" s="208">
        <v>44030</v>
      </c>
      <c r="P385" s="209">
        <f t="shared" si="52"/>
        <v>0</v>
      </c>
      <c r="Q385" s="209">
        <f>+SUMIF('A DEPOSITAR'!$D$2:$D$998,(O385-2),'A DEPOSITAR'!$H$2:$H$998)</f>
        <v>95757</v>
      </c>
      <c r="R385" s="210">
        <f t="shared" si="53"/>
        <v>95757</v>
      </c>
      <c r="S385" s="210">
        <f t="shared" si="55"/>
        <v>1796455.5500000005</v>
      </c>
      <c r="T385" s="209">
        <f t="shared" si="54"/>
        <v>0</v>
      </c>
      <c r="U385" s="209">
        <f>+SUMIFS('A DEPOSITAR'!$H$2:$H$998,'A DEPOSITAR'!$D$2:$D$998,(O385-2),'A DEPOSITAR'!$I$2:$I$998,"A Depositar")</f>
        <v>0</v>
      </c>
      <c r="V385" s="6"/>
      <c r="W385" s="6"/>
      <c r="X385" s="6"/>
      <c r="Y385" s="6"/>
      <c r="Z385" s="6"/>
    </row>
    <row r="386" spans="1:26" ht="12.75" x14ac:dyDescent="0.2">
      <c r="A386" s="36">
        <v>44142</v>
      </c>
      <c r="B386" s="29" t="s">
        <v>756</v>
      </c>
      <c r="C386" s="29">
        <v>79702845</v>
      </c>
      <c r="D386" s="37">
        <v>3675</v>
      </c>
      <c r="E386" s="18" t="s">
        <v>22</v>
      </c>
      <c r="F386" s="34">
        <v>44081</v>
      </c>
      <c r="G386" s="18"/>
      <c r="H386" s="16">
        <f t="shared" si="56"/>
        <v>7</v>
      </c>
      <c r="I386" s="16">
        <f t="shared" si="57"/>
        <v>11</v>
      </c>
      <c r="J386" s="122">
        <f t="shared" si="58"/>
        <v>2020</v>
      </c>
      <c r="K386" s="64">
        <f t="shared" ref="K386:K443" si="59">A386+60</f>
        <v>44202</v>
      </c>
      <c r="L386" s="6"/>
      <c r="M386" s="6"/>
      <c r="O386" s="208">
        <v>44031</v>
      </c>
      <c r="P386" s="209">
        <f t="shared" si="52"/>
        <v>0</v>
      </c>
      <c r="Q386" s="209">
        <f>+SUMIF('A DEPOSITAR'!$D$2:$D$998,(O386-2),'A DEPOSITAR'!$H$2:$H$998)</f>
        <v>23353.8</v>
      </c>
      <c r="R386" s="210">
        <f t="shared" si="53"/>
        <v>23353.8</v>
      </c>
      <c r="S386" s="210">
        <f t="shared" si="55"/>
        <v>1819809.3500000006</v>
      </c>
      <c r="T386" s="209">
        <f t="shared" si="54"/>
        <v>0</v>
      </c>
      <c r="U386" s="209">
        <f>+SUMIFS('A DEPOSITAR'!$H$2:$H$998,'A DEPOSITAR'!$D$2:$D$998,(O386-2),'A DEPOSITAR'!$I$2:$I$998,"A Depositar")</f>
        <v>0</v>
      </c>
      <c r="V386" s="6"/>
      <c r="W386" s="6"/>
      <c r="X386" s="6"/>
      <c r="Y386" s="6"/>
      <c r="Z386" s="6"/>
    </row>
    <row r="387" spans="1:26" ht="12.75" x14ac:dyDescent="0.2">
      <c r="A387" s="36">
        <v>44165</v>
      </c>
      <c r="B387" s="29" t="s">
        <v>833</v>
      </c>
      <c r="C387" s="29">
        <v>79702846</v>
      </c>
      <c r="D387" s="37">
        <v>4009</v>
      </c>
      <c r="E387" s="18" t="s">
        <v>22</v>
      </c>
      <c r="F387" s="34">
        <v>44099</v>
      </c>
      <c r="G387" s="18"/>
      <c r="H387" s="16">
        <f t="shared" si="56"/>
        <v>30</v>
      </c>
      <c r="I387" s="16">
        <f t="shared" si="57"/>
        <v>11</v>
      </c>
      <c r="J387" s="122">
        <f t="shared" si="58"/>
        <v>2020</v>
      </c>
      <c r="K387" s="64">
        <f t="shared" si="59"/>
        <v>44225</v>
      </c>
      <c r="L387" s="6"/>
      <c r="M387" s="6"/>
      <c r="O387" s="208">
        <v>44032</v>
      </c>
      <c r="P387" s="209">
        <f t="shared" ref="P387:P443" si="60">+SUMIF($A$2:$A$998,O387,$D$2:$D$998)</f>
        <v>0</v>
      </c>
      <c r="Q387" s="209">
        <f>+SUMIF('A DEPOSITAR'!$D$2:$D$998,(O387-2),'A DEPOSITAR'!$H$2:$H$998)</f>
        <v>0</v>
      </c>
      <c r="R387" s="210">
        <f t="shared" ref="R387:R443" si="61">+Q387-P387</f>
        <v>0</v>
      </c>
      <c r="S387" s="210">
        <f t="shared" si="55"/>
        <v>1819809.3500000006</v>
      </c>
      <c r="T387" s="209">
        <f t="shared" ref="T387:T443" si="62">+SUMIFS($D$2:$D$998,$A$2:$A$998,O387,$E$2:$E$998,"A Pagar")</f>
        <v>0</v>
      </c>
      <c r="U387" s="209">
        <f>+SUMIFS('A DEPOSITAR'!$H$2:$H$998,'A DEPOSITAR'!$D$2:$D$998,(O387-2),'A DEPOSITAR'!$I$2:$I$998,"A Depositar")</f>
        <v>0</v>
      </c>
      <c r="V387" s="6"/>
      <c r="W387" s="6"/>
      <c r="X387" s="6"/>
      <c r="Y387" s="6"/>
      <c r="Z387" s="6"/>
    </row>
    <row r="388" spans="1:26" ht="12.75" x14ac:dyDescent="0.2">
      <c r="A388" s="36">
        <v>44173</v>
      </c>
      <c r="B388" s="29" t="s">
        <v>833</v>
      </c>
      <c r="C388" s="29">
        <v>79702847</v>
      </c>
      <c r="D388" s="50">
        <v>4010</v>
      </c>
      <c r="E388" s="18" t="s">
        <v>22</v>
      </c>
      <c r="F388" s="7">
        <v>44099</v>
      </c>
      <c r="G388" s="18"/>
      <c r="H388" s="16">
        <f t="shared" si="56"/>
        <v>8</v>
      </c>
      <c r="I388" s="16">
        <f t="shared" si="57"/>
        <v>12</v>
      </c>
      <c r="J388" s="122">
        <f t="shared" si="58"/>
        <v>2020</v>
      </c>
      <c r="K388" s="64">
        <f t="shared" si="59"/>
        <v>44233</v>
      </c>
      <c r="L388" s="6"/>
      <c r="M388" s="6"/>
      <c r="O388" s="208">
        <v>44033</v>
      </c>
      <c r="P388" s="209">
        <f t="shared" si="60"/>
        <v>0</v>
      </c>
      <c r="Q388" s="209">
        <f>+SUMIF('A DEPOSITAR'!$D$2:$D$998,(O388-2),'A DEPOSITAR'!$H$2:$H$998)</f>
        <v>32100</v>
      </c>
      <c r="R388" s="210">
        <f t="shared" si="61"/>
        <v>32100</v>
      </c>
      <c r="S388" s="210">
        <f t="shared" ref="S388:S443" si="63">+S387+R388</f>
        <v>1851909.3500000006</v>
      </c>
      <c r="T388" s="209">
        <f t="shared" si="62"/>
        <v>0</v>
      </c>
      <c r="U388" s="209">
        <f>+SUMIFS('A DEPOSITAR'!$H$2:$H$998,'A DEPOSITAR'!$D$2:$D$998,(O388-2),'A DEPOSITAR'!$I$2:$I$998,"A Depositar")</f>
        <v>0</v>
      </c>
      <c r="V388" s="6"/>
      <c r="W388" s="6"/>
      <c r="X388" s="6"/>
      <c r="Y388" s="6"/>
      <c r="Z388" s="6"/>
    </row>
    <row r="389" spans="1:26" ht="12.75" x14ac:dyDescent="0.2">
      <c r="A389" s="36">
        <v>44181</v>
      </c>
      <c r="B389" s="29" t="s">
        <v>833</v>
      </c>
      <c r="C389" s="29">
        <v>79702848</v>
      </c>
      <c r="D389" s="50">
        <v>4020</v>
      </c>
      <c r="E389" s="18" t="s">
        <v>22</v>
      </c>
      <c r="F389" s="7">
        <v>44099</v>
      </c>
      <c r="G389" s="18"/>
      <c r="H389" s="16">
        <f t="shared" si="56"/>
        <v>16</v>
      </c>
      <c r="I389" s="16">
        <f t="shared" si="57"/>
        <v>12</v>
      </c>
      <c r="J389" s="122">
        <f t="shared" si="58"/>
        <v>2020</v>
      </c>
      <c r="K389" s="64">
        <f t="shared" si="59"/>
        <v>44241</v>
      </c>
      <c r="L389" s="6"/>
      <c r="M389" s="6"/>
      <c r="O389" s="208">
        <v>44034</v>
      </c>
      <c r="P389" s="209">
        <f t="shared" si="60"/>
        <v>45774.66</v>
      </c>
      <c r="Q389" s="209">
        <f>+SUMIF('A DEPOSITAR'!$D$2:$D$998,(O389-2),'A DEPOSITAR'!$H$2:$H$998)</f>
        <v>49900.5</v>
      </c>
      <c r="R389" s="210">
        <f t="shared" si="61"/>
        <v>4125.8399999999965</v>
      </c>
      <c r="S389" s="210">
        <f t="shared" si="63"/>
        <v>1856035.1900000006</v>
      </c>
      <c r="T389" s="209">
        <f t="shared" si="62"/>
        <v>0</v>
      </c>
      <c r="U389" s="209">
        <f>+SUMIFS('A DEPOSITAR'!$H$2:$H$998,'A DEPOSITAR'!$D$2:$D$998,(O389-2),'A DEPOSITAR'!$I$2:$I$998,"A Depositar")</f>
        <v>0</v>
      </c>
      <c r="V389" s="6"/>
      <c r="W389" s="6"/>
      <c r="X389" s="6"/>
      <c r="Y389" s="6"/>
      <c r="Z389" s="6"/>
    </row>
    <row r="390" spans="1:26" ht="12.75" x14ac:dyDescent="0.2">
      <c r="A390" s="36">
        <v>44134</v>
      </c>
      <c r="B390" s="18" t="s">
        <v>139</v>
      </c>
      <c r="C390" s="29">
        <v>79702849</v>
      </c>
      <c r="D390" s="37">
        <v>6852</v>
      </c>
      <c r="E390" s="18" t="s">
        <v>22</v>
      </c>
      <c r="F390" s="7">
        <v>44102</v>
      </c>
      <c r="G390" s="18"/>
      <c r="H390" s="16">
        <f t="shared" si="56"/>
        <v>30</v>
      </c>
      <c r="I390" s="16">
        <f t="shared" si="57"/>
        <v>10</v>
      </c>
      <c r="J390" s="122">
        <f t="shared" si="58"/>
        <v>2020</v>
      </c>
      <c r="K390" s="64">
        <f t="shared" si="59"/>
        <v>44194</v>
      </c>
      <c r="L390" s="6"/>
      <c r="M390" s="6"/>
      <c r="O390" s="208">
        <v>44035</v>
      </c>
      <c r="P390" s="209">
        <f t="shared" si="60"/>
        <v>17063.88</v>
      </c>
      <c r="Q390" s="209">
        <f>+SUMIF('A DEPOSITAR'!$D$2:$D$998,(O390-2),'A DEPOSITAR'!$H$2:$H$998)</f>
        <v>0</v>
      </c>
      <c r="R390" s="210">
        <f t="shared" si="61"/>
        <v>-17063.88</v>
      </c>
      <c r="S390" s="210">
        <f t="shared" si="63"/>
        <v>1838971.3100000008</v>
      </c>
      <c r="T390" s="209">
        <f t="shared" si="62"/>
        <v>0</v>
      </c>
      <c r="U390" s="209">
        <f>+SUMIFS('A DEPOSITAR'!$H$2:$H$998,'A DEPOSITAR'!$D$2:$D$998,(O390-2),'A DEPOSITAR'!$I$2:$I$998,"A Depositar")</f>
        <v>0</v>
      </c>
      <c r="V390" s="6"/>
      <c r="W390" s="6"/>
      <c r="X390" s="6"/>
      <c r="Y390" s="6"/>
      <c r="Z390" s="6"/>
    </row>
    <row r="391" spans="1:26" ht="12.75" x14ac:dyDescent="0.2">
      <c r="A391" s="36">
        <v>44181</v>
      </c>
      <c r="B391" s="29" t="s">
        <v>934</v>
      </c>
      <c r="C391" s="29">
        <v>79702850</v>
      </c>
      <c r="D391" s="37">
        <v>7463.03</v>
      </c>
      <c r="E391" s="18" t="s">
        <v>22</v>
      </c>
      <c r="F391" s="7">
        <v>44111</v>
      </c>
      <c r="G391" s="18"/>
      <c r="H391" s="16">
        <f t="shared" si="56"/>
        <v>16</v>
      </c>
      <c r="I391" s="16">
        <f t="shared" si="57"/>
        <v>12</v>
      </c>
      <c r="J391" s="122">
        <f t="shared" si="58"/>
        <v>2020</v>
      </c>
      <c r="K391" s="64">
        <f t="shared" si="59"/>
        <v>44241</v>
      </c>
      <c r="L391" s="6"/>
      <c r="M391" s="6"/>
      <c r="O391" s="208">
        <v>44036</v>
      </c>
      <c r="P391" s="209">
        <f t="shared" si="60"/>
        <v>0</v>
      </c>
      <c r="Q391" s="209">
        <f>+SUMIF('A DEPOSITAR'!$D$2:$D$998,(O391-2),'A DEPOSITAR'!$H$2:$H$998)</f>
        <v>0</v>
      </c>
      <c r="R391" s="210">
        <f t="shared" si="61"/>
        <v>0</v>
      </c>
      <c r="S391" s="210">
        <f t="shared" si="63"/>
        <v>1838971.3100000008</v>
      </c>
      <c r="T391" s="209">
        <f t="shared" si="62"/>
        <v>0</v>
      </c>
      <c r="U391" s="209">
        <f>+SUMIFS('A DEPOSITAR'!$H$2:$H$998,'A DEPOSITAR'!$D$2:$D$998,(O391-2),'A DEPOSITAR'!$I$2:$I$998,"A Depositar")</f>
        <v>0</v>
      </c>
      <c r="V391" s="6"/>
      <c r="W391" s="6"/>
      <c r="X391" s="6"/>
      <c r="Y391" s="6"/>
      <c r="Z391" s="6"/>
    </row>
    <row r="392" spans="1:26" ht="12.75" x14ac:dyDescent="0.2">
      <c r="A392" s="36">
        <v>44157</v>
      </c>
      <c r="B392" s="29" t="s">
        <v>833</v>
      </c>
      <c r="C392" s="29">
        <v>79702851</v>
      </c>
      <c r="D392" s="37">
        <v>7720</v>
      </c>
      <c r="E392" s="18" t="s">
        <v>22</v>
      </c>
      <c r="F392" s="7">
        <v>44111</v>
      </c>
      <c r="G392" s="18"/>
      <c r="H392" s="16">
        <f t="shared" si="56"/>
        <v>22</v>
      </c>
      <c r="I392" s="16">
        <f t="shared" si="57"/>
        <v>11</v>
      </c>
      <c r="J392" s="122">
        <f t="shared" si="58"/>
        <v>2020</v>
      </c>
      <c r="K392" s="64">
        <f t="shared" si="59"/>
        <v>44217</v>
      </c>
      <c r="L392" s="6"/>
      <c r="M392" s="6"/>
      <c r="O392" s="208">
        <v>44037</v>
      </c>
      <c r="P392" s="209">
        <f t="shared" si="60"/>
        <v>0</v>
      </c>
      <c r="Q392" s="209">
        <f>+SUMIF('A DEPOSITAR'!$D$2:$D$998,(O392-2),'A DEPOSITAR'!$H$2:$H$998)</f>
        <v>0</v>
      </c>
      <c r="R392" s="210">
        <f t="shared" si="61"/>
        <v>0</v>
      </c>
      <c r="S392" s="210">
        <f t="shared" si="63"/>
        <v>1838971.3100000008</v>
      </c>
      <c r="T392" s="209">
        <f t="shared" si="62"/>
        <v>0</v>
      </c>
      <c r="U392" s="209">
        <f>+SUMIFS('A DEPOSITAR'!$H$2:$H$998,'A DEPOSITAR'!$D$2:$D$998,(O392-2),'A DEPOSITAR'!$I$2:$I$998,"A Depositar")</f>
        <v>0</v>
      </c>
      <c r="V392" s="6"/>
      <c r="W392" s="6"/>
      <c r="X392" s="6"/>
      <c r="Y392" s="6"/>
      <c r="Z392" s="6"/>
    </row>
    <row r="393" spans="1:26" ht="12.75" x14ac:dyDescent="0.2">
      <c r="A393" s="36">
        <v>44165</v>
      </c>
      <c r="B393" s="18" t="s">
        <v>833</v>
      </c>
      <c r="C393" s="29">
        <v>79702852</v>
      </c>
      <c r="D393" s="37">
        <v>8720</v>
      </c>
      <c r="E393" s="18" t="s">
        <v>22</v>
      </c>
      <c r="F393" s="7">
        <v>44111</v>
      </c>
      <c r="G393" s="18"/>
      <c r="H393" s="16">
        <f t="shared" si="56"/>
        <v>30</v>
      </c>
      <c r="I393" s="16">
        <f t="shared" si="57"/>
        <v>11</v>
      </c>
      <c r="J393" s="122">
        <f t="shared" si="58"/>
        <v>2020</v>
      </c>
      <c r="K393" s="64">
        <f t="shared" si="59"/>
        <v>44225</v>
      </c>
      <c r="L393" s="6"/>
      <c r="M393" s="6"/>
      <c r="O393" s="208">
        <v>44038</v>
      </c>
      <c r="P393" s="209">
        <f t="shared" si="60"/>
        <v>0</v>
      </c>
      <c r="Q393" s="209">
        <f>+SUMIF('A DEPOSITAR'!$D$2:$D$998,(O393-2),'A DEPOSITAR'!$H$2:$H$998)</f>
        <v>37665</v>
      </c>
      <c r="R393" s="210">
        <f t="shared" si="61"/>
        <v>37665</v>
      </c>
      <c r="S393" s="210">
        <f t="shared" si="63"/>
        <v>1876636.3100000008</v>
      </c>
      <c r="T393" s="209">
        <f t="shared" si="62"/>
        <v>0</v>
      </c>
      <c r="U393" s="209">
        <f>+SUMIFS('A DEPOSITAR'!$H$2:$H$998,'A DEPOSITAR'!$D$2:$D$998,(O393-2),'A DEPOSITAR'!$I$2:$I$998,"A Depositar")</f>
        <v>0</v>
      </c>
      <c r="V393" s="6"/>
      <c r="W393" s="6"/>
      <c r="X393" s="6"/>
      <c r="Y393" s="6"/>
      <c r="Z393" s="6"/>
    </row>
    <row r="394" spans="1:26" ht="12.75" x14ac:dyDescent="0.2">
      <c r="A394" s="36">
        <v>44173</v>
      </c>
      <c r="B394" s="18" t="s">
        <v>833</v>
      </c>
      <c r="C394" s="29">
        <v>79702853</v>
      </c>
      <c r="D394" s="37">
        <v>9720</v>
      </c>
      <c r="E394" s="18" t="s">
        <v>22</v>
      </c>
      <c r="F394" s="7">
        <v>44111</v>
      </c>
      <c r="G394" s="18"/>
      <c r="H394" s="16">
        <f t="shared" si="56"/>
        <v>8</v>
      </c>
      <c r="I394" s="16">
        <f t="shared" si="57"/>
        <v>12</v>
      </c>
      <c r="J394" s="122">
        <f t="shared" si="58"/>
        <v>2020</v>
      </c>
      <c r="K394" s="64">
        <f t="shared" si="59"/>
        <v>44233</v>
      </c>
      <c r="L394" s="6"/>
      <c r="M394" s="6"/>
      <c r="O394" s="208">
        <v>44039</v>
      </c>
      <c r="P394" s="209">
        <f t="shared" si="60"/>
        <v>0</v>
      </c>
      <c r="Q394" s="209">
        <f>+SUMIF('A DEPOSITAR'!$D$2:$D$998,(O394-2),'A DEPOSITAR'!$H$2:$H$998)</f>
        <v>20000</v>
      </c>
      <c r="R394" s="210">
        <f t="shared" si="61"/>
        <v>20000</v>
      </c>
      <c r="S394" s="210">
        <f t="shared" si="63"/>
        <v>1896636.3100000008</v>
      </c>
      <c r="T394" s="209">
        <f t="shared" si="62"/>
        <v>0</v>
      </c>
      <c r="U394" s="209">
        <f>+SUMIFS('A DEPOSITAR'!$H$2:$H$998,'A DEPOSITAR'!$D$2:$D$998,(O394-2),'A DEPOSITAR'!$I$2:$I$998,"A Depositar")</f>
        <v>0</v>
      </c>
      <c r="V394" s="6"/>
      <c r="W394" s="6"/>
      <c r="X394" s="6"/>
      <c r="Y394" s="6"/>
      <c r="Z394" s="6"/>
    </row>
    <row r="395" spans="1:26" ht="12.75" x14ac:dyDescent="0.2">
      <c r="A395" s="36">
        <v>44181</v>
      </c>
      <c r="B395" s="18" t="s">
        <v>833</v>
      </c>
      <c r="C395" s="18">
        <v>79702854</v>
      </c>
      <c r="D395" s="37">
        <v>24000</v>
      </c>
      <c r="E395" s="18" t="s">
        <v>22</v>
      </c>
      <c r="F395" s="7">
        <v>44125</v>
      </c>
      <c r="G395" s="18"/>
      <c r="H395" s="16">
        <f t="shared" si="56"/>
        <v>16</v>
      </c>
      <c r="I395" s="16">
        <f t="shared" si="57"/>
        <v>12</v>
      </c>
      <c r="J395" s="122">
        <f t="shared" si="58"/>
        <v>2020</v>
      </c>
      <c r="K395" s="64">
        <f t="shared" si="59"/>
        <v>44241</v>
      </c>
      <c r="L395" s="6"/>
      <c r="M395" s="6"/>
      <c r="O395" s="208">
        <v>44040</v>
      </c>
      <c r="P395" s="209">
        <f t="shared" si="60"/>
        <v>0</v>
      </c>
      <c r="Q395" s="209">
        <f>+SUMIF('A DEPOSITAR'!$D$2:$D$998,(O395-2),'A DEPOSITAR'!$H$2:$H$998)</f>
        <v>0</v>
      </c>
      <c r="R395" s="210">
        <f t="shared" si="61"/>
        <v>0</v>
      </c>
      <c r="S395" s="210">
        <f t="shared" si="63"/>
        <v>1896636.3100000008</v>
      </c>
      <c r="T395" s="209">
        <f t="shared" si="62"/>
        <v>0</v>
      </c>
      <c r="U395" s="209">
        <f>+SUMIFS('A DEPOSITAR'!$H$2:$H$998,'A DEPOSITAR'!$D$2:$D$998,(O395-2),'A DEPOSITAR'!$I$2:$I$998,"A Depositar")</f>
        <v>0</v>
      </c>
      <c r="V395" s="6"/>
      <c r="W395" s="6"/>
      <c r="X395" s="6"/>
      <c r="Y395" s="6"/>
      <c r="Z395" s="6"/>
    </row>
    <row r="396" spans="1:26" ht="12.75" x14ac:dyDescent="0.2">
      <c r="A396" s="36">
        <v>44187</v>
      </c>
      <c r="B396" s="18" t="s">
        <v>833</v>
      </c>
      <c r="C396" s="18">
        <v>79702855</v>
      </c>
      <c r="D396" s="37">
        <v>20327</v>
      </c>
      <c r="E396" s="18" t="s">
        <v>22</v>
      </c>
      <c r="F396" s="7">
        <v>44125</v>
      </c>
      <c r="G396" s="18"/>
      <c r="H396" s="16">
        <f t="shared" si="56"/>
        <v>22</v>
      </c>
      <c r="I396" s="16">
        <f t="shared" si="57"/>
        <v>12</v>
      </c>
      <c r="J396" s="122">
        <f t="shared" si="58"/>
        <v>2020</v>
      </c>
      <c r="K396" s="64">
        <f t="shared" si="59"/>
        <v>44247</v>
      </c>
      <c r="L396" s="6"/>
      <c r="M396" s="6"/>
      <c r="O396" s="208">
        <v>44041</v>
      </c>
      <c r="P396" s="209">
        <f t="shared" si="60"/>
        <v>0</v>
      </c>
      <c r="Q396" s="209">
        <f>+SUMIF('A DEPOSITAR'!$D$2:$D$998,(O396-2),'A DEPOSITAR'!$H$2:$H$998)</f>
        <v>0</v>
      </c>
      <c r="R396" s="210">
        <f t="shared" si="61"/>
        <v>0</v>
      </c>
      <c r="S396" s="210">
        <f t="shared" si="63"/>
        <v>1896636.3100000008</v>
      </c>
      <c r="T396" s="209">
        <f t="shared" si="62"/>
        <v>0</v>
      </c>
      <c r="U396" s="209">
        <f>+SUMIFS('A DEPOSITAR'!$H$2:$H$998,'A DEPOSITAR'!$D$2:$D$998,(O396-2),'A DEPOSITAR'!$I$2:$I$998,"A Depositar")</f>
        <v>0</v>
      </c>
      <c r="V396" s="6"/>
      <c r="W396" s="6"/>
      <c r="X396" s="6"/>
      <c r="Y396" s="6"/>
      <c r="Z396" s="6"/>
    </row>
    <row r="397" spans="1:26" ht="12.75" x14ac:dyDescent="0.2">
      <c r="A397" s="36">
        <v>44146</v>
      </c>
      <c r="B397" s="18" t="s">
        <v>122</v>
      </c>
      <c r="C397" s="29">
        <v>79702856</v>
      </c>
      <c r="D397" s="37">
        <v>0</v>
      </c>
      <c r="E397" s="18" t="s">
        <v>22</v>
      </c>
      <c r="F397" s="7">
        <v>44126</v>
      </c>
      <c r="G397" s="18" t="s">
        <v>1056</v>
      </c>
      <c r="H397" s="16">
        <f t="shared" si="56"/>
        <v>11</v>
      </c>
      <c r="I397" s="16">
        <f t="shared" si="57"/>
        <v>11</v>
      </c>
      <c r="J397" s="122">
        <f t="shared" si="58"/>
        <v>2020</v>
      </c>
      <c r="K397" s="64">
        <f t="shared" si="59"/>
        <v>44206</v>
      </c>
      <c r="L397" s="6"/>
      <c r="M397" s="6"/>
      <c r="O397" s="208">
        <v>44042</v>
      </c>
      <c r="P397" s="209">
        <f t="shared" si="60"/>
        <v>32960.229999999996</v>
      </c>
      <c r="Q397" s="209">
        <f>+SUMIF('A DEPOSITAR'!$D$2:$D$998,(O397-2),'A DEPOSITAR'!$H$2:$H$998)</f>
        <v>20000</v>
      </c>
      <c r="R397" s="210">
        <f t="shared" si="61"/>
        <v>-12960.229999999996</v>
      </c>
      <c r="S397" s="210">
        <f t="shared" si="63"/>
        <v>1883676.0800000008</v>
      </c>
      <c r="T397" s="209">
        <f t="shared" si="62"/>
        <v>0</v>
      </c>
      <c r="U397" s="209">
        <f>+SUMIFS('A DEPOSITAR'!$H$2:$H$998,'A DEPOSITAR'!$D$2:$D$998,(O397-2),'A DEPOSITAR'!$I$2:$I$998,"A Depositar")</f>
        <v>0</v>
      </c>
      <c r="V397" s="6"/>
      <c r="W397" s="6"/>
      <c r="X397" s="6"/>
      <c r="Y397" s="6"/>
      <c r="Z397" s="6"/>
    </row>
    <row r="398" spans="1:26" ht="12.75" x14ac:dyDescent="0.2">
      <c r="A398" s="36">
        <v>44151</v>
      </c>
      <c r="B398" s="18" t="s">
        <v>1057</v>
      </c>
      <c r="C398" s="18">
        <v>79702857</v>
      </c>
      <c r="D398" s="37">
        <v>4648</v>
      </c>
      <c r="E398" s="18" t="s">
        <v>22</v>
      </c>
      <c r="F398" s="7">
        <v>44148</v>
      </c>
      <c r="G398" s="18"/>
      <c r="H398" s="16">
        <f t="shared" si="56"/>
        <v>16</v>
      </c>
      <c r="I398" s="16">
        <f t="shared" si="57"/>
        <v>11</v>
      </c>
      <c r="J398" s="122">
        <f t="shared" si="58"/>
        <v>2020</v>
      </c>
      <c r="K398" s="64">
        <f t="shared" si="59"/>
        <v>44211</v>
      </c>
      <c r="L398" s="6"/>
      <c r="M398" s="6"/>
      <c r="O398" s="208">
        <v>44043</v>
      </c>
      <c r="P398" s="209">
        <f t="shared" si="60"/>
        <v>8510</v>
      </c>
      <c r="Q398" s="209">
        <f>+SUMIF('A DEPOSITAR'!$D$2:$D$998,(O398-2),'A DEPOSITAR'!$H$2:$H$998)</f>
        <v>8237.5</v>
      </c>
      <c r="R398" s="210">
        <f t="shared" si="61"/>
        <v>-272.5</v>
      </c>
      <c r="S398" s="210">
        <f t="shared" si="63"/>
        <v>1883403.5800000008</v>
      </c>
      <c r="T398" s="209">
        <f t="shared" si="62"/>
        <v>0</v>
      </c>
      <c r="U398" s="209">
        <f>+SUMIFS('A DEPOSITAR'!$H$2:$H$998,'A DEPOSITAR'!$D$2:$D$998,(O398-2),'A DEPOSITAR'!$I$2:$I$998,"A Depositar")</f>
        <v>0</v>
      </c>
      <c r="V398" s="6"/>
      <c r="W398" s="6"/>
      <c r="X398" s="6"/>
      <c r="Y398" s="6"/>
      <c r="Z398" s="6"/>
    </row>
    <row r="399" spans="1:26" ht="12.75" x14ac:dyDescent="0.2">
      <c r="A399" s="36">
        <v>44285</v>
      </c>
      <c r="B399" s="18" t="s">
        <v>1041</v>
      </c>
      <c r="C399" s="18">
        <v>79702858</v>
      </c>
      <c r="D399" s="37">
        <v>10500</v>
      </c>
      <c r="E399" s="18" t="s">
        <v>892</v>
      </c>
      <c r="F399" s="7">
        <v>44148</v>
      </c>
      <c r="G399" s="18" t="s">
        <v>1175</v>
      </c>
      <c r="H399" s="16">
        <f t="shared" si="56"/>
        <v>30</v>
      </c>
      <c r="I399" s="16">
        <f t="shared" si="57"/>
        <v>3</v>
      </c>
      <c r="J399" s="122">
        <f t="shared" si="58"/>
        <v>2021</v>
      </c>
      <c r="K399" s="64">
        <f t="shared" si="59"/>
        <v>44345</v>
      </c>
      <c r="L399" s="6"/>
      <c r="M399" s="6"/>
      <c r="O399" s="208">
        <v>44044</v>
      </c>
      <c r="P399" s="209">
        <f t="shared" si="60"/>
        <v>0</v>
      </c>
      <c r="Q399" s="209">
        <f>+SUMIF('A DEPOSITAR'!$D$2:$D$998,(O399-2),'A DEPOSITAR'!$H$2:$H$998)</f>
        <v>43901.599999999999</v>
      </c>
      <c r="R399" s="210">
        <f t="shared" si="61"/>
        <v>43901.599999999999</v>
      </c>
      <c r="S399" s="210">
        <f t="shared" si="63"/>
        <v>1927305.1800000009</v>
      </c>
      <c r="T399" s="209">
        <f t="shared" si="62"/>
        <v>0</v>
      </c>
      <c r="U399" s="209">
        <f>+SUMIFS('A DEPOSITAR'!$H$2:$H$998,'A DEPOSITAR'!$D$2:$D$998,(O399-2),'A DEPOSITAR'!$I$2:$I$998,"A Depositar")</f>
        <v>0</v>
      </c>
      <c r="V399" s="6"/>
      <c r="W399" s="6"/>
      <c r="X399" s="6"/>
      <c r="Y399" s="6"/>
      <c r="Z399" s="6"/>
    </row>
    <row r="400" spans="1:26" ht="12.75" x14ac:dyDescent="0.2">
      <c r="A400" s="36">
        <v>44212</v>
      </c>
      <c r="B400" s="18" t="s">
        <v>94</v>
      </c>
      <c r="C400" s="18">
        <v>79702859</v>
      </c>
      <c r="D400" s="37">
        <v>11636.92</v>
      </c>
      <c r="E400" s="18" t="s">
        <v>892</v>
      </c>
      <c r="F400" s="7">
        <v>44148</v>
      </c>
      <c r="G400" s="18" t="s">
        <v>1113</v>
      </c>
      <c r="H400" s="16">
        <f t="shared" si="56"/>
        <v>16</v>
      </c>
      <c r="I400" s="16">
        <f t="shared" si="57"/>
        <v>1</v>
      </c>
      <c r="J400" s="122">
        <f t="shared" si="58"/>
        <v>2021</v>
      </c>
      <c r="K400" s="64">
        <f t="shared" si="59"/>
        <v>44272</v>
      </c>
      <c r="L400" s="6"/>
      <c r="M400" s="6"/>
      <c r="O400" s="208">
        <v>44045</v>
      </c>
      <c r="P400" s="209">
        <f t="shared" si="60"/>
        <v>0</v>
      </c>
      <c r="Q400" s="209">
        <f>+SUMIF('A DEPOSITAR'!$D$2:$D$998,(O400-2),'A DEPOSITAR'!$H$2:$H$998)</f>
        <v>70104</v>
      </c>
      <c r="R400" s="210">
        <f t="shared" si="61"/>
        <v>70104</v>
      </c>
      <c r="S400" s="210">
        <f t="shared" si="63"/>
        <v>1997409.1800000009</v>
      </c>
      <c r="T400" s="209">
        <f t="shared" si="62"/>
        <v>0</v>
      </c>
      <c r="U400" s="209">
        <f>+SUMIFS('A DEPOSITAR'!$H$2:$H$998,'A DEPOSITAR'!$D$2:$D$998,(O400-2),'A DEPOSITAR'!$I$2:$I$998,"A Depositar")</f>
        <v>0</v>
      </c>
      <c r="V400" s="6"/>
      <c r="W400" s="6"/>
      <c r="X400" s="6"/>
      <c r="Y400" s="6"/>
      <c r="Z400" s="6"/>
    </row>
    <row r="401" spans="1:26" ht="12.75" x14ac:dyDescent="0.2">
      <c r="A401" s="36">
        <v>44187</v>
      </c>
      <c r="B401" s="18" t="s">
        <v>1058</v>
      </c>
      <c r="C401" s="18">
        <v>79702860</v>
      </c>
      <c r="D401" s="37">
        <v>4569.37</v>
      </c>
      <c r="E401" s="18" t="s">
        <v>22</v>
      </c>
      <c r="F401" s="7">
        <v>44153</v>
      </c>
      <c r="G401" s="18"/>
      <c r="H401" s="16">
        <f t="shared" si="56"/>
        <v>22</v>
      </c>
      <c r="I401" s="16">
        <f t="shared" si="57"/>
        <v>12</v>
      </c>
      <c r="J401" s="122">
        <f t="shared" si="58"/>
        <v>2020</v>
      </c>
      <c r="K401" s="64">
        <f t="shared" si="59"/>
        <v>44247</v>
      </c>
      <c r="L401" s="6"/>
      <c r="M401" s="6"/>
      <c r="O401" s="208">
        <v>44046</v>
      </c>
      <c r="P401" s="209">
        <f t="shared" si="60"/>
        <v>0</v>
      </c>
      <c r="Q401" s="209">
        <f>+SUMIF('A DEPOSITAR'!$D$2:$D$998,(O401-2),'A DEPOSITAR'!$H$2:$H$998)</f>
        <v>20000</v>
      </c>
      <c r="R401" s="210">
        <f t="shared" si="61"/>
        <v>20000</v>
      </c>
      <c r="S401" s="210">
        <f t="shared" si="63"/>
        <v>2017409.1800000009</v>
      </c>
      <c r="T401" s="209">
        <f t="shared" si="62"/>
        <v>0</v>
      </c>
      <c r="U401" s="209">
        <f>+SUMIFS('A DEPOSITAR'!$H$2:$H$998,'A DEPOSITAR'!$D$2:$D$998,(O401-2),'A DEPOSITAR'!$I$2:$I$998,"A Depositar")</f>
        <v>0</v>
      </c>
      <c r="V401" s="6"/>
      <c r="W401" s="6"/>
      <c r="X401" s="6"/>
      <c r="Y401" s="6"/>
      <c r="Z401" s="6"/>
    </row>
    <row r="402" spans="1:26" ht="12.75" x14ac:dyDescent="0.2">
      <c r="A402" s="36">
        <v>44181</v>
      </c>
      <c r="B402" s="18" t="s">
        <v>1041</v>
      </c>
      <c r="C402" s="29">
        <v>79702861</v>
      </c>
      <c r="D402" s="37">
        <v>10000</v>
      </c>
      <c r="E402" s="18" t="s">
        <v>22</v>
      </c>
      <c r="F402" s="7">
        <v>44154</v>
      </c>
      <c r="G402" s="18"/>
      <c r="H402" s="16">
        <f t="shared" si="56"/>
        <v>16</v>
      </c>
      <c r="I402" s="16">
        <f t="shared" si="57"/>
        <v>12</v>
      </c>
      <c r="J402" s="122">
        <f t="shared" si="58"/>
        <v>2020</v>
      </c>
      <c r="K402" s="64">
        <f t="shared" si="59"/>
        <v>44241</v>
      </c>
      <c r="L402" s="6"/>
      <c r="M402" s="6"/>
      <c r="O402" s="208">
        <v>44047</v>
      </c>
      <c r="P402" s="209">
        <f t="shared" si="60"/>
        <v>0</v>
      </c>
      <c r="Q402" s="209">
        <f>+SUMIF('A DEPOSITAR'!$D$2:$D$998,(O402-2),'A DEPOSITAR'!$H$2:$H$998)</f>
        <v>50000</v>
      </c>
      <c r="R402" s="210">
        <f t="shared" si="61"/>
        <v>50000</v>
      </c>
      <c r="S402" s="210">
        <f t="shared" si="63"/>
        <v>2067409.1800000009</v>
      </c>
      <c r="T402" s="209">
        <f t="shared" si="62"/>
        <v>0</v>
      </c>
      <c r="U402" s="209">
        <f>+SUMIFS('A DEPOSITAR'!$H$2:$H$998,'A DEPOSITAR'!$D$2:$D$998,(O402-2),'A DEPOSITAR'!$I$2:$I$998,"A Depositar")</f>
        <v>0</v>
      </c>
      <c r="V402" s="6"/>
      <c r="W402" s="6"/>
      <c r="X402" s="6"/>
      <c r="Y402" s="6"/>
      <c r="Z402" s="6"/>
    </row>
    <row r="403" spans="1:26" ht="12.75" x14ac:dyDescent="0.2">
      <c r="A403" s="36">
        <v>44187</v>
      </c>
      <c r="B403" s="18" t="s">
        <v>1041</v>
      </c>
      <c r="C403" s="29">
        <v>79702862</v>
      </c>
      <c r="D403" s="37">
        <v>10000</v>
      </c>
      <c r="E403" s="18" t="s">
        <v>22</v>
      </c>
      <c r="F403" s="7">
        <v>44154</v>
      </c>
      <c r="G403" s="18"/>
      <c r="H403" s="16">
        <f t="shared" si="56"/>
        <v>22</v>
      </c>
      <c r="I403" s="16">
        <f t="shared" si="57"/>
        <v>12</v>
      </c>
      <c r="J403" s="122">
        <f t="shared" si="58"/>
        <v>2020</v>
      </c>
      <c r="K403" s="64">
        <f t="shared" si="59"/>
        <v>44247</v>
      </c>
      <c r="L403" s="6"/>
      <c r="M403" s="6"/>
      <c r="O403" s="208">
        <v>44048</v>
      </c>
      <c r="P403" s="209">
        <f t="shared" si="60"/>
        <v>0</v>
      </c>
      <c r="Q403" s="209">
        <f>+SUMIF('A DEPOSITAR'!$D$2:$D$998,(O403-2),'A DEPOSITAR'!$H$2:$H$998)</f>
        <v>0</v>
      </c>
      <c r="R403" s="210">
        <f t="shared" si="61"/>
        <v>0</v>
      </c>
      <c r="S403" s="210">
        <f t="shared" si="63"/>
        <v>2067409.1800000009</v>
      </c>
      <c r="T403" s="209">
        <f t="shared" si="62"/>
        <v>0</v>
      </c>
      <c r="U403" s="209">
        <f>+SUMIFS('A DEPOSITAR'!$H$2:$H$998,'A DEPOSITAR'!$D$2:$D$998,(O403-2),'A DEPOSITAR'!$I$2:$I$998,"A Depositar")</f>
        <v>0</v>
      </c>
      <c r="V403" s="6"/>
      <c r="W403" s="6"/>
      <c r="X403" s="6"/>
      <c r="Y403" s="6"/>
      <c r="Z403" s="6"/>
    </row>
    <row r="404" spans="1:26" ht="12.75" x14ac:dyDescent="0.2">
      <c r="A404" s="36">
        <v>44195</v>
      </c>
      <c r="B404" s="18" t="s">
        <v>1041</v>
      </c>
      <c r="C404" s="29">
        <v>79702863</v>
      </c>
      <c r="D404" s="37">
        <v>10000</v>
      </c>
      <c r="E404" s="18" t="s">
        <v>22</v>
      </c>
      <c r="F404" s="7">
        <v>44154</v>
      </c>
      <c r="G404" s="18"/>
      <c r="H404" s="16">
        <f t="shared" si="56"/>
        <v>30</v>
      </c>
      <c r="I404" s="16">
        <f t="shared" si="57"/>
        <v>12</v>
      </c>
      <c r="J404" s="122">
        <f t="shared" si="58"/>
        <v>2020</v>
      </c>
      <c r="K404" s="64">
        <f t="shared" si="59"/>
        <v>44255</v>
      </c>
      <c r="L404" s="6"/>
      <c r="M404" s="6"/>
      <c r="O404" s="208">
        <v>44049</v>
      </c>
      <c r="P404" s="209">
        <f t="shared" si="60"/>
        <v>0</v>
      </c>
      <c r="Q404" s="209">
        <f>+SUMIF('A DEPOSITAR'!$D$2:$D$998,(O404-2),'A DEPOSITAR'!$H$2:$H$998)</f>
        <v>0</v>
      </c>
      <c r="R404" s="210">
        <f t="shared" si="61"/>
        <v>0</v>
      </c>
      <c r="S404" s="210">
        <f t="shared" si="63"/>
        <v>2067409.1800000009</v>
      </c>
      <c r="T404" s="209">
        <f t="shared" si="62"/>
        <v>0</v>
      </c>
      <c r="U404" s="209">
        <f>+SUMIFS('A DEPOSITAR'!$H$2:$H$998,'A DEPOSITAR'!$D$2:$D$998,(O404-2),'A DEPOSITAR'!$I$2:$I$998,"A Depositar")</f>
        <v>0</v>
      </c>
      <c r="V404" s="6"/>
      <c r="W404" s="6"/>
      <c r="X404" s="6"/>
      <c r="Y404" s="6"/>
      <c r="Z404" s="6"/>
    </row>
    <row r="405" spans="1:26" ht="12.75" x14ac:dyDescent="0.2">
      <c r="A405" s="36">
        <v>44212</v>
      </c>
      <c r="B405" s="29" t="s">
        <v>1041</v>
      </c>
      <c r="C405" s="29">
        <v>79702864</v>
      </c>
      <c r="D405" s="37">
        <v>10000</v>
      </c>
      <c r="E405" s="29" t="s">
        <v>22</v>
      </c>
      <c r="F405" s="7">
        <v>44154</v>
      </c>
      <c r="G405" s="18"/>
      <c r="H405" s="16">
        <f t="shared" si="56"/>
        <v>16</v>
      </c>
      <c r="I405" s="16">
        <f t="shared" si="57"/>
        <v>1</v>
      </c>
      <c r="J405" s="122">
        <f t="shared" si="58"/>
        <v>2021</v>
      </c>
      <c r="K405" s="64">
        <f t="shared" si="59"/>
        <v>44272</v>
      </c>
      <c r="L405" s="6"/>
      <c r="M405" s="6"/>
      <c r="O405" s="208">
        <v>44050</v>
      </c>
      <c r="P405" s="209">
        <f t="shared" si="60"/>
        <v>40690</v>
      </c>
      <c r="Q405" s="209">
        <f>+SUMIF('A DEPOSITAR'!$D$2:$D$998,(O405-2),'A DEPOSITAR'!$H$2:$H$998)</f>
        <v>0</v>
      </c>
      <c r="R405" s="210">
        <f t="shared" si="61"/>
        <v>-40690</v>
      </c>
      <c r="S405" s="210">
        <f t="shared" si="63"/>
        <v>2026719.1800000009</v>
      </c>
      <c r="T405" s="209">
        <f t="shared" si="62"/>
        <v>0</v>
      </c>
      <c r="U405" s="209">
        <f>+SUMIFS('A DEPOSITAR'!$H$2:$H$998,'A DEPOSITAR'!$D$2:$D$998,(O405-2),'A DEPOSITAR'!$I$2:$I$998,"A Depositar")</f>
        <v>0</v>
      </c>
      <c r="V405" s="6"/>
      <c r="W405" s="6"/>
      <c r="X405" s="6"/>
      <c r="Y405" s="6"/>
      <c r="Z405" s="6"/>
    </row>
    <row r="406" spans="1:26" ht="12.75" x14ac:dyDescent="0.2">
      <c r="A406" s="36">
        <v>44226</v>
      </c>
      <c r="B406" s="29" t="s">
        <v>1041</v>
      </c>
      <c r="C406" s="29">
        <v>79702865</v>
      </c>
      <c r="D406" s="37">
        <v>12386</v>
      </c>
      <c r="E406" s="29" t="s">
        <v>22</v>
      </c>
      <c r="F406" s="7">
        <v>44154</v>
      </c>
      <c r="G406" s="18"/>
      <c r="H406" s="16">
        <f t="shared" si="56"/>
        <v>30</v>
      </c>
      <c r="I406" s="16">
        <f t="shared" si="57"/>
        <v>1</v>
      </c>
      <c r="J406" s="122">
        <f t="shared" si="58"/>
        <v>2021</v>
      </c>
      <c r="K406" s="64">
        <f t="shared" si="59"/>
        <v>44286</v>
      </c>
      <c r="L406" s="6"/>
      <c r="M406" s="6"/>
      <c r="O406" s="208">
        <v>44051</v>
      </c>
      <c r="P406" s="209">
        <f t="shared" si="60"/>
        <v>30806</v>
      </c>
      <c r="Q406" s="209">
        <f>+SUMIF('A DEPOSITAR'!$D$2:$D$998,(O406-2),'A DEPOSITAR'!$H$2:$H$998)</f>
        <v>12000</v>
      </c>
      <c r="R406" s="210">
        <f t="shared" si="61"/>
        <v>-18806</v>
      </c>
      <c r="S406" s="210">
        <f t="shared" si="63"/>
        <v>2007913.1800000009</v>
      </c>
      <c r="T406" s="209">
        <f t="shared" si="62"/>
        <v>0</v>
      </c>
      <c r="U406" s="209">
        <f>+SUMIFS('A DEPOSITAR'!$H$2:$H$998,'A DEPOSITAR'!$D$2:$D$998,(O406-2),'A DEPOSITAR'!$I$2:$I$998,"A Depositar")</f>
        <v>0</v>
      </c>
      <c r="V406" s="6"/>
      <c r="W406" s="6"/>
      <c r="X406" s="6"/>
      <c r="Y406" s="6"/>
      <c r="Z406" s="6"/>
    </row>
    <row r="407" spans="1:26" ht="12.75" x14ac:dyDescent="0.2">
      <c r="A407" s="36">
        <v>44218</v>
      </c>
      <c r="B407" s="29" t="s">
        <v>1041</v>
      </c>
      <c r="C407" s="29">
        <v>79702866</v>
      </c>
      <c r="D407" s="37">
        <v>10000</v>
      </c>
      <c r="E407" s="29" t="s">
        <v>22</v>
      </c>
      <c r="F407" s="7">
        <v>44154</v>
      </c>
      <c r="G407" s="18"/>
      <c r="H407" s="16">
        <f t="shared" ref="H407:H443" si="64">DAY(A407)</f>
        <v>22</v>
      </c>
      <c r="I407" s="16">
        <f t="shared" ref="I407:I443" si="65">MONTH(A407)</f>
        <v>1</v>
      </c>
      <c r="J407" s="122">
        <f t="shared" ref="J407:J443" si="66">YEAR(A407)</f>
        <v>2021</v>
      </c>
      <c r="K407" s="64">
        <f t="shared" si="59"/>
        <v>44278</v>
      </c>
      <c r="L407" s="6"/>
      <c r="M407" s="6"/>
      <c r="O407" s="208">
        <v>44052</v>
      </c>
      <c r="P407" s="209">
        <f t="shared" si="60"/>
        <v>0</v>
      </c>
      <c r="Q407" s="209">
        <f>+SUMIF('A DEPOSITAR'!$D$2:$D$998,(O407-2),'A DEPOSITAR'!$H$2:$H$998)</f>
        <v>0</v>
      </c>
      <c r="R407" s="210">
        <f t="shared" si="61"/>
        <v>0</v>
      </c>
      <c r="S407" s="210">
        <f t="shared" si="63"/>
        <v>2007913.1800000009</v>
      </c>
      <c r="T407" s="209">
        <f t="shared" si="62"/>
        <v>0</v>
      </c>
      <c r="U407" s="209">
        <f>+SUMIFS('A DEPOSITAR'!$H$2:$H$998,'A DEPOSITAR'!$D$2:$D$998,(O407-2),'A DEPOSITAR'!$I$2:$I$998,"A Depositar")</f>
        <v>0</v>
      </c>
      <c r="V407" s="6"/>
      <c r="W407" s="6"/>
      <c r="X407" s="6"/>
      <c r="Y407" s="6"/>
      <c r="Z407" s="6"/>
    </row>
    <row r="408" spans="1:26" ht="12.75" x14ac:dyDescent="0.2">
      <c r="A408" s="80">
        <v>43703</v>
      </c>
      <c r="B408" s="81" t="s">
        <v>201</v>
      </c>
      <c r="C408" s="81" t="s">
        <v>202</v>
      </c>
      <c r="D408" s="82">
        <v>14039.38</v>
      </c>
      <c r="E408" s="81" t="s">
        <v>22</v>
      </c>
      <c r="F408" s="83">
        <v>43675</v>
      </c>
      <c r="G408" s="81"/>
      <c r="H408" s="84">
        <f t="shared" si="64"/>
        <v>26</v>
      </c>
      <c r="I408" s="84">
        <f t="shared" si="65"/>
        <v>8</v>
      </c>
      <c r="J408" s="123">
        <f t="shared" si="66"/>
        <v>2019</v>
      </c>
      <c r="K408" s="64">
        <f t="shared" si="59"/>
        <v>43763</v>
      </c>
      <c r="L408" s="6"/>
      <c r="M408" s="6"/>
      <c r="O408" s="208">
        <v>44053</v>
      </c>
      <c r="P408" s="209">
        <f t="shared" si="60"/>
        <v>0</v>
      </c>
      <c r="Q408" s="209">
        <f>+SUMIF('A DEPOSITAR'!$D$2:$D$998,(O408-2),'A DEPOSITAR'!$H$2:$H$998)</f>
        <v>34200</v>
      </c>
      <c r="R408" s="210">
        <f t="shared" si="61"/>
        <v>34200</v>
      </c>
      <c r="S408" s="210">
        <f t="shared" si="63"/>
        <v>2042113.1800000009</v>
      </c>
      <c r="T408" s="209">
        <f t="shared" si="62"/>
        <v>0</v>
      </c>
      <c r="U408" s="209">
        <f>+SUMIFS('A DEPOSITAR'!$H$2:$H$998,'A DEPOSITAR'!$D$2:$D$998,(O408-2),'A DEPOSITAR'!$I$2:$I$998,"A Depositar")</f>
        <v>0</v>
      </c>
      <c r="V408" s="6"/>
      <c r="W408" s="6"/>
      <c r="X408" s="6"/>
      <c r="Y408" s="6"/>
      <c r="Z408" s="6"/>
    </row>
    <row r="409" spans="1:26" ht="12.75" x14ac:dyDescent="0.2">
      <c r="A409" s="80">
        <v>43734</v>
      </c>
      <c r="B409" s="81" t="s">
        <v>201</v>
      </c>
      <c r="C409" s="81" t="s">
        <v>202</v>
      </c>
      <c r="D409" s="82">
        <v>13731.5</v>
      </c>
      <c r="E409" s="81" t="s">
        <v>22</v>
      </c>
      <c r="F409" s="83">
        <v>43675</v>
      </c>
      <c r="G409" s="81"/>
      <c r="H409" s="84">
        <f t="shared" si="64"/>
        <v>26</v>
      </c>
      <c r="I409" s="84">
        <f t="shared" si="65"/>
        <v>9</v>
      </c>
      <c r="J409" s="123">
        <f t="shared" si="66"/>
        <v>2019</v>
      </c>
      <c r="K409" s="64">
        <f t="shared" si="59"/>
        <v>43794</v>
      </c>
      <c r="L409" s="6"/>
      <c r="M409" s="6"/>
      <c r="O409" s="208">
        <v>44054</v>
      </c>
      <c r="P409" s="209">
        <f t="shared" si="60"/>
        <v>0</v>
      </c>
      <c r="Q409" s="209">
        <f>+SUMIF('A DEPOSITAR'!$D$2:$D$998,(O409-2),'A DEPOSITAR'!$H$2:$H$998)</f>
        <v>0</v>
      </c>
      <c r="R409" s="210">
        <f t="shared" si="61"/>
        <v>0</v>
      </c>
      <c r="S409" s="210">
        <f t="shared" si="63"/>
        <v>2042113.1800000009</v>
      </c>
      <c r="T409" s="209">
        <f t="shared" si="62"/>
        <v>0</v>
      </c>
      <c r="U409" s="209">
        <f>+SUMIFS('A DEPOSITAR'!$H$2:$H$998,'A DEPOSITAR'!$D$2:$D$998,(O409-2),'A DEPOSITAR'!$I$2:$I$998,"A Depositar")</f>
        <v>0</v>
      </c>
      <c r="V409" s="6"/>
      <c r="W409" s="6"/>
      <c r="X409" s="6"/>
      <c r="Y409" s="6"/>
      <c r="Z409" s="6"/>
    </row>
    <row r="410" spans="1:26" ht="12.75" x14ac:dyDescent="0.2">
      <c r="A410" s="80">
        <v>43764</v>
      </c>
      <c r="B410" s="81" t="s">
        <v>201</v>
      </c>
      <c r="C410" s="81" t="s">
        <v>202</v>
      </c>
      <c r="D410" s="82">
        <v>13393.83</v>
      </c>
      <c r="E410" s="81" t="s">
        <v>22</v>
      </c>
      <c r="F410" s="83">
        <v>43675</v>
      </c>
      <c r="G410" s="81"/>
      <c r="H410" s="84">
        <f t="shared" si="64"/>
        <v>26</v>
      </c>
      <c r="I410" s="84">
        <f t="shared" si="65"/>
        <v>10</v>
      </c>
      <c r="J410" s="123">
        <f t="shared" si="66"/>
        <v>2019</v>
      </c>
      <c r="K410" s="64">
        <f t="shared" si="59"/>
        <v>43824</v>
      </c>
      <c r="L410" s="6"/>
      <c r="M410" s="6"/>
      <c r="O410" s="208">
        <v>44055</v>
      </c>
      <c r="P410" s="209">
        <f t="shared" si="60"/>
        <v>0</v>
      </c>
      <c r="Q410" s="209">
        <f>+SUMIF('A DEPOSITAR'!$D$2:$D$998,(O410-2),'A DEPOSITAR'!$H$2:$H$998)</f>
        <v>100000</v>
      </c>
      <c r="R410" s="210">
        <f t="shared" si="61"/>
        <v>100000</v>
      </c>
      <c r="S410" s="210">
        <f t="shared" si="63"/>
        <v>2142113.1800000006</v>
      </c>
      <c r="T410" s="209">
        <f t="shared" si="62"/>
        <v>0</v>
      </c>
      <c r="U410" s="209">
        <f>+SUMIFS('A DEPOSITAR'!$H$2:$H$998,'A DEPOSITAR'!$D$2:$D$998,(O410-2),'A DEPOSITAR'!$I$2:$I$998,"A Depositar")</f>
        <v>0</v>
      </c>
      <c r="V410" s="6"/>
      <c r="W410" s="6"/>
      <c r="X410" s="6"/>
      <c r="Y410" s="6"/>
      <c r="Z410" s="6"/>
    </row>
    <row r="411" spans="1:26" ht="12.75" x14ac:dyDescent="0.2">
      <c r="A411" s="80">
        <v>43795</v>
      </c>
      <c r="B411" s="81" t="s">
        <v>201</v>
      </c>
      <c r="C411" s="81" t="s">
        <v>202</v>
      </c>
      <c r="D411" s="82">
        <v>13115.75</v>
      </c>
      <c r="E411" s="81" t="s">
        <v>22</v>
      </c>
      <c r="F411" s="83">
        <v>43675</v>
      </c>
      <c r="G411" s="81"/>
      <c r="H411" s="84">
        <f t="shared" si="64"/>
        <v>26</v>
      </c>
      <c r="I411" s="84">
        <f t="shared" si="65"/>
        <v>11</v>
      </c>
      <c r="J411" s="123">
        <f t="shared" si="66"/>
        <v>2019</v>
      </c>
      <c r="K411" s="64">
        <f t="shared" si="59"/>
        <v>43855</v>
      </c>
      <c r="L411" s="6"/>
      <c r="M411" s="6"/>
      <c r="O411" s="208">
        <v>44056</v>
      </c>
      <c r="P411" s="209">
        <f t="shared" si="60"/>
        <v>0</v>
      </c>
      <c r="Q411" s="209">
        <f>+SUMIF('A DEPOSITAR'!$D$2:$D$998,(O411-2),'A DEPOSITAR'!$H$2:$H$998)</f>
        <v>0</v>
      </c>
      <c r="R411" s="210">
        <f t="shared" si="61"/>
        <v>0</v>
      </c>
      <c r="S411" s="210">
        <f t="shared" si="63"/>
        <v>2142113.1800000006</v>
      </c>
      <c r="T411" s="209">
        <f t="shared" si="62"/>
        <v>0</v>
      </c>
      <c r="U411" s="209">
        <f>+SUMIFS('A DEPOSITAR'!$H$2:$H$998,'A DEPOSITAR'!$D$2:$D$998,(O411-2),'A DEPOSITAR'!$I$2:$I$998,"A Depositar")</f>
        <v>0</v>
      </c>
      <c r="V411" s="6"/>
      <c r="W411" s="6"/>
      <c r="X411" s="6"/>
      <c r="Y411" s="6"/>
      <c r="Z411" s="6"/>
    </row>
    <row r="412" spans="1:26" ht="12.75" x14ac:dyDescent="0.2">
      <c r="A412" s="80">
        <v>43825</v>
      </c>
      <c r="B412" s="81" t="s">
        <v>201</v>
      </c>
      <c r="C412" s="81" t="s">
        <v>202</v>
      </c>
      <c r="D412" s="82">
        <v>12558.15</v>
      </c>
      <c r="E412" s="81" t="s">
        <v>22</v>
      </c>
      <c r="F412" s="83">
        <v>43675</v>
      </c>
      <c r="G412" s="81"/>
      <c r="H412" s="84">
        <f t="shared" si="64"/>
        <v>26</v>
      </c>
      <c r="I412" s="84">
        <f t="shared" si="65"/>
        <v>12</v>
      </c>
      <c r="J412" s="123">
        <f t="shared" si="66"/>
        <v>2019</v>
      </c>
      <c r="K412" s="64">
        <f t="shared" si="59"/>
        <v>43885</v>
      </c>
      <c r="L412" s="6"/>
      <c r="M412" s="6"/>
      <c r="O412" s="208">
        <v>44057</v>
      </c>
      <c r="P412" s="209">
        <f t="shared" si="60"/>
        <v>0</v>
      </c>
      <c r="Q412" s="209">
        <f>+SUMIF('A DEPOSITAR'!$D$2:$D$998,(O412-2),'A DEPOSITAR'!$H$2:$H$998)</f>
        <v>0</v>
      </c>
      <c r="R412" s="210">
        <f t="shared" si="61"/>
        <v>0</v>
      </c>
      <c r="S412" s="210">
        <f t="shared" si="63"/>
        <v>2142113.1800000006</v>
      </c>
      <c r="T412" s="209">
        <f t="shared" si="62"/>
        <v>0</v>
      </c>
      <c r="U412" s="209">
        <f>+SUMIFS('A DEPOSITAR'!$H$2:$H$998,'A DEPOSITAR'!$D$2:$D$998,(O412-2),'A DEPOSITAR'!$I$2:$I$998,"A Depositar")</f>
        <v>0</v>
      </c>
      <c r="V412" s="6"/>
      <c r="W412" s="6"/>
      <c r="X412" s="6"/>
      <c r="Y412" s="6"/>
      <c r="Z412" s="6"/>
    </row>
    <row r="413" spans="1:26" ht="12.75" x14ac:dyDescent="0.2">
      <c r="A413" s="201">
        <v>43903</v>
      </c>
      <c r="B413" s="81" t="s">
        <v>201</v>
      </c>
      <c r="C413" s="81" t="s">
        <v>204</v>
      </c>
      <c r="D413" s="82">
        <v>17315.48</v>
      </c>
      <c r="E413" s="81" t="s">
        <v>22</v>
      </c>
      <c r="F413" s="83">
        <v>43675</v>
      </c>
      <c r="G413" s="81"/>
      <c r="H413" s="202">
        <f t="shared" si="64"/>
        <v>13</v>
      </c>
      <c r="I413" s="202">
        <f t="shared" si="65"/>
        <v>3</v>
      </c>
      <c r="J413" s="123">
        <f t="shared" si="66"/>
        <v>2020</v>
      </c>
      <c r="K413" s="64">
        <f t="shared" si="59"/>
        <v>43963</v>
      </c>
      <c r="L413" s="6"/>
      <c r="M413" s="6"/>
      <c r="O413" s="208">
        <v>44058</v>
      </c>
      <c r="P413" s="209">
        <f t="shared" si="60"/>
        <v>0</v>
      </c>
      <c r="Q413" s="209">
        <f>+SUMIF('A DEPOSITAR'!$D$2:$D$998,(O413-2),'A DEPOSITAR'!$H$2:$H$998)</f>
        <v>0</v>
      </c>
      <c r="R413" s="210">
        <f t="shared" si="61"/>
        <v>0</v>
      </c>
      <c r="S413" s="210">
        <f t="shared" si="63"/>
        <v>2142113.1800000006</v>
      </c>
      <c r="T413" s="209">
        <f t="shared" si="62"/>
        <v>0</v>
      </c>
      <c r="U413" s="209">
        <f>+SUMIFS('A DEPOSITAR'!$H$2:$H$998,'A DEPOSITAR'!$D$2:$D$998,(O413-2),'A DEPOSITAR'!$I$2:$I$998,"A Depositar")</f>
        <v>0</v>
      </c>
      <c r="V413" s="6"/>
      <c r="W413" s="6"/>
      <c r="X413" s="6"/>
      <c r="Y413" s="6"/>
      <c r="Z413" s="6"/>
    </row>
    <row r="414" spans="1:26" ht="12.75" x14ac:dyDescent="0.2">
      <c r="A414" s="201">
        <v>43690</v>
      </c>
      <c r="B414" s="81" t="s">
        <v>201</v>
      </c>
      <c r="C414" s="81" t="s">
        <v>205</v>
      </c>
      <c r="D414" s="82">
        <v>22215.52</v>
      </c>
      <c r="E414" s="81" t="s">
        <v>22</v>
      </c>
      <c r="F414" s="83">
        <v>43675</v>
      </c>
      <c r="G414" s="81"/>
      <c r="H414" s="202">
        <f t="shared" si="64"/>
        <v>13</v>
      </c>
      <c r="I414" s="202">
        <f t="shared" si="65"/>
        <v>8</v>
      </c>
      <c r="J414" s="123">
        <f t="shared" si="66"/>
        <v>2019</v>
      </c>
      <c r="K414" s="64">
        <f t="shared" si="59"/>
        <v>43750</v>
      </c>
      <c r="L414" s="6"/>
      <c r="M414" s="6"/>
      <c r="O414" s="208">
        <v>44059</v>
      </c>
      <c r="P414" s="209">
        <f t="shared" si="60"/>
        <v>53242.89</v>
      </c>
      <c r="Q414" s="209">
        <f>+SUMIF('A DEPOSITAR'!$D$2:$D$998,(O414-2),'A DEPOSITAR'!$H$2:$H$998)</f>
        <v>0</v>
      </c>
      <c r="R414" s="210">
        <f t="shared" si="61"/>
        <v>-53242.89</v>
      </c>
      <c r="S414" s="210">
        <f t="shared" si="63"/>
        <v>2088870.2900000007</v>
      </c>
      <c r="T414" s="209">
        <f t="shared" si="62"/>
        <v>0</v>
      </c>
      <c r="U414" s="209">
        <f>+SUMIFS('A DEPOSITAR'!$H$2:$H$998,'A DEPOSITAR'!$D$2:$D$998,(O414-2),'A DEPOSITAR'!$I$2:$I$998,"A Depositar")</f>
        <v>0</v>
      </c>
      <c r="V414" s="6"/>
      <c r="W414" s="6"/>
      <c r="X414" s="6"/>
      <c r="Y414" s="6"/>
      <c r="Z414" s="6"/>
    </row>
    <row r="415" spans="1:26" ht="12.75" x14ac:dyDescent="0.2">
      <c r="A415" s="201">
        <v>43721</v>
      </c>
      <c r="B415" s="81" t="s">
        <v>201</v>
      </c>
      <c r="C415" s="81" t="s">
        <v>205</v>
      </c>
      <c r="D415" s="82">
        <v>21651.93</v>
      </c>
      <c r="E415" s="81" t="s">
        <v>22</v>
      </c>
      <c r="F415" s="83">
        <v>43675</v>
      </c>
      <c r="G415" s="81"/>
      <c r="H415" s="202">
        <f t="shared" si="64"/>
        <v>13</v>
      </c>
      <c r="I415" s="202">
        <f t="shared" si="65"/>
        <v>9</v>
      </c>
      <c r="J415" s="123">
        <f t="shared" si="66"/>
        <v>2019</v>
      </c>
      <c r="K415" s="64">
        <f t="shared" si="59"/>
        <v>43781</v>
      </c>
      <c r="L415" s="6">
        <v>16666.669999999998</v>
      </c>
      <c r="M415" s="6"/>
      <c r="O415" s="208">
        <v>44060</v>
      </c>
      <c r="P415" s="209">
        <f t="shared" si="60"/>
        <v>0</v>
      </c>
      <c r="Q415" s="209">
        <f>+SUMIF('A DEPOSITAR'!$D$2:$D$998,(O415-2),'A DEPOSITAR'!$H$2:$H$998)</f>
        <v>70135.11</v>
      </c>
      <c r="R415" s="210">
        <f t="shared" si="61"/>
        <v>70135.11</v>
      </c>
      <c r="S415" s="210">
        <f t="shared" si="63"/>
        <v>2159005.4000000008</v>
      </c>
      <c r="T415" s="209">
        <f t="shared" si="62"/>
        <v>0</v>
      </c>
      <c r="U415" s="209">
        <f>+SUMIFS('A DEPOSITAR'!$H$2:$H$998,'A DEPOSITAR'!$D$2:$D$998,(O415-2),'A DEPOSITAR'!$I$2:$I$998,"A Depositar")</f>
        <v>0</v>
      </c>
      <c r="V415" s="6"/>
      <c r="W415" s="6"/>
      <c r="X415" s="6"/>
      <c r="Y415" s="6"/>
      <c r="Z415" s="6"/>
    </row>
    <row r="416" spans="1:26" ht="12.75" x14ac:dyDescent="0.2">
      <c r="A416" s="201">
        <v>43751</v>
      </c>
      <c r="B416" s="81" t="s">
        <v>201</v>
      </c>
      <c r="C416" s="81" t="s">
        <v>205</v>
      </c>
      <c r="D416" s="82">
        <v>20639.27</v>
      </c>
      <c r="E416" s="81" t="s">
        <v>22</v>
      </c>
      <c r="F416" s="83">
        <v>43675</v>
      </c>
      <c r="G416" s="81"/>
      <c r="H416" s="202">
        <f t="shared" si="64"/>
        <v>13</v>
      </c>
      <c r="I416" s="202">
        <f t="shared" si="65"/>
        <v>10</v>
      </c>
      <c r="J416" s="123">
        <f t="shared" si="66"/>
        <v>2019</v>
      </c>
      <c r="K416" s="64">
        <f t="shared" si="59"/>
        <v>43811</v>
      </c>
      <c r="L416" s="6">
        <v>4369.8599999999997</v>
      </c>
      <c r="M416" s="6"/>
      <c r="O416" s="208">
        <v>44061</v>
      </c>
      <c r="P416" s="209">
        <f t="shared" si="60"/>
        <v>0</v>
      </c>
      <c r="Q416" s="209">
        <f>+SUMIF('A DEPOSITAR'!$D$2:$D$998,(O416-2),'A DEPOSITAR'!$H$2:$H$998)</f>
        <v>0</v>
      </c>
      <c r="R416" s="210">
        <f t="shared" si="61"/>
        <v>0</v>
      </c>
      <c r="S416" s="210">
        <f t="shared" si="63"/>
        <v>2159005.4000000008</v>
      </c>
      <c r="T416" s="209">
        <f t="shared" si="62"/>
        <v>0</v>
      </c>
      <c r="U416" s="209">
        <f>+SUMIFS('A DEPOSITAR'!$H$2:$H$998,'A DEPOSITAR'!$D$2:$D$998,(O416-2),'A DEPOSITAR'!$I$2:$I$998,"A Depositar")</f>
        <v>0</v>
      </c>
      <c r="V416" s="6"/>
      <c r="W416" s="6"/>
      <c r="X416" s="6"/>
      <c r="Y416" s="6"/>
      <c r="Z416" s="6"/>
    </row>
    <row r="417" spans="1:26" ht="12.75" x14ac:dyDescent="0.2">
      <c r="A417" s="201">
        <v>43782</v>
      </c>
      <c r="B417" s="81" t="s">
        <v>201</v>
      </c>
      <c r="C417" s="81" t="s">
        <v>205</v>
      </c>
      <c r="D417" s="82">
        <v>20134.7</v>
      </c>
      <c r="E417" s="81" t="s">
        <v>22</v>
      </c>
      <c r="F417" s="83">
        <v>43675</v>
      </c>
      <c r="G417" s="81"/>
      <c r="H417" s="202">
        <f t="shared" si="64"/>
        <v>13</v>
      </c>
      <c r="I417" s="202">
        <f t="shared" si="65"/>
        <v>11</v>
      </c>
      <c r="J417" s="123">
        <f t="shared" si="66"/>
        <v>2019</v>
      </c>
      <c r="K417" s="64">
        <f t="shared" si="59"/>
        <v>43842</v>
      </c>
      <c r="L417" s="6">
        <f>SUM(L415:L416)</f>
        <v>21036.53</v>
      </c>
      <c r="M417" s="6"/>
      <c r="O417" s="208">
        <v>44062</v>
      </c>
      <c r="P417" s="209">
        <f t="shared" si="60"/>
        <v>0</v>
      </c>
      <c r="Q417" s="209">
        <f>+SUMIF('A DEPOSITAR'!$D$2:$D$998,(O417-2),'A DEPOSITAR'!$H$2:$H$998)</f>
        <v>0</v>
      </c>
      <c r="R417" s="210">
        <f t="shared" si="61"/>
        <v>0</v>
      </c>
      <c r="S417" s="210">
        <f t="shared" si="63"/>
        <v>2159005.4000000008</v>
      </c>
      <c r="T417" s="209">
        <f t="shared" si="62"/>
        <v>0</v>
      </c>
      <c r="U417" s="209">
        <f>+SUMIFS('A DEPOSITAR'!$H$2:$H$998,'A DEPOSITAR'!$D$2:$D$998,(O417-2),'A DEPOSITAR'!$I$2:$I$998,"A Depositar")</f>
        <v>0</v>
      </c>
      <c r="V417" s="6"/>
      <c r="W417" s="6"/>
      <c r="X417" s="6"/>
      <c r="Y417" s="6"/>
      <c r="Z417" s="6"/>
    </row>
    <row r="418" spans="1:26" ht="12.75" x14ac:dyDescent="0.2">
      <c r="A418" s="201">
        <v>43812</v>
      </c>
      <c r="B418" s="81" t="s">
        <v>201</v>
      </c>
      <c r="C418" s="81" t="s">
        <v>205</v>
      </c>
      <c r="D418" s="82">
        <v>19351.599999999999</v>
      </c>
      <c r="E418" s="81" t="s">
        <v>22</v>
      </c>
      <c r="F418" s="83">
        <v>43675</v>
      </c>
      <c r="G418" s="81"/>
      <c r="H418" s="202">
        <f t="shared" si="64"/>
        <v>13</v>
      </c>
      <c r="I418" s="202">
        <f t="shared" si="65"/>
        <v>12</v>
      </c>
      <c r="J418" s="123">
        <f t="shared" si="66"/>
        <v>2019</v>
      </c>
      <c r="K418" s="64">
        <f t="shared" si="59"/>
        <v>43872</v>
      </c>
      <c r="L418" s="6"/>
      <c r="M418" s="6"/>
      <c r="O418" s="208">
        <v>44063</v>
      </c>
      <c r="P418" s="209">
        <f t="shared" si="60"/>
        <v>4981</v>
      </c>
      <c r="Q418" s="209">
        <f>+SUMIF('A DEPOSITAR'!$D$2:$D$998,(O418-2),'A DEPOSITAR'!$H$2:$H$998)</f>
        <v>0</v>
      </c>
      <c r="R418" s="210">
        <f t="shared" si="61"/>
        <v>-4981</v>
      </c>
      <c r="S418" s="210">
        <f t="shared" si="63"/>
        <v>2154024.4000000008</v>
      </c>
      <c r="T418" s="209">
        <f t="shared" si="62"/>
        <v>0</v>
      </c>
      <c r="U418" s="209">
        <f>+SUMIFS('A DEPOSITAR'!$H$2:$H$998,'A DEPOSITAR'!$D$2:$D$998,(O418-2),'A DEPOSITAR'!$I$2:$I$998,"A Depositar")</f>
        <v>0</v>
      </c>
      <c r="V418" s="6"/>
      <c r="W418" s="6"/>
      <c r="X418" s="6"/>
      <c r="Y418" s="6"/>
      <c r="Z418" s="6"/>
    </row>
    <row r="419" spans="1:26" ht="12.75" x14ac:dyDescent="0.2">
      <c r="A419" s="201">
        <v>43843</v>
      </c>
      <c r="B419" s="81" t="s">
        <v>201</v>
      </c>
      <c r="C419" s="81" t="s">
        <v>205</v>
      </c>
      <c r="D419" s="82">
        <v>18747.490000000002</v>
      </c>
      <c r="E419" s="81" t="s">
        <v>22</v>
      </c>
      <c r="F419" s="83">
        <v>43675</v>
      </c>
      <c r="G419" s="81"/>
      <c r="H419" s="202">
        <f t="shared" si="64"/>
        <v>13</v>
      </c>
      <c r="I419" s="202">
        <f t="shared" si="65"/>
        <v>1</v>
      </c>
      <c r="J419" s="123">
        <f t="shared" si="66"/>
        <v>2020</v>
      </c>
      <c r="K419" s="64">
        <f t="shared" si="59"/>
        <v>43903</v>
      </c>
      <c r="L419" s="6"/>
      <c r="M419" s="6"/>
      <c r="O419" s="208">
        <v>44064</v>
      </c>
      <c r="P419" s="209">
        <f t="shared" si="60"/>
        <v>18150</v>
      </c>
      <c r="Q419" s="209">
        <f>+SUMIF('A DEPOSITAR'!$D$2:$D$998,(O419-2),'A DEPOSITAR'!$H$2:$H$998)</f>
        <v>0</v>
      </c>
      <c r="R419" s="210">
        <f t="shared" si="61"/>
        <v>-18150</v>
      </c>
      <c r="S419" s="210">
        <f t="shared" si="63"/>
        <v>2135874.4000000008</v>
      </c>
      <c r="T419" s="209">
        <f t="shared" si="62"/>
        <v>0</v>
      </c>
      <c r="U419" s="209">
        <f>+SUMIFS('A DEPOSITAR'!$H$2:$H$998,'A DEPOSITAR'!$D$2:$D$998,(O419-2),'A DEPOSITAR'!$I$2:$I$998,"A Depositar")</f>
        <v>0</v>
      </c>
      <c r="V419" s="6"/>
      <c r="W419" s="6"/>
      <c r="X419" s="6"/>
      <c r="Y419" s="6"/>
      <c r="Z419" s="6"/>
    </row>
    <row r="420" spans="1:26" ht="12.75" x14ac:dyDescent="0.2">
      <c r="A420" s="201">
        <v>43874</v>
      </c>
      <c r="B420" s="81" t="s">
        <v>201</v>
      </c>
      <c r="C420" s="81" t="s">
        <v>205</v>
      </c>
      <c r="D420" s="82">
        <v>18087.439999999999</v>
      </c>
      <c r="E420" s="81" t="s">
        <v>22</v>
      </c>
      <c r="F420" s="83">
        <v>43675</v>
      </c>
      <c r="G420" s="81"/>
      <c r="H420" s="202">
        <f t="shared" si="64"/>
        <v>13</v>
      </c>
      <c r="I420" s="202">
        <f t="shared" si="65"/>
        <v>2</v>
      </c>
      <c r="J420" s="123">
        <f t="shared" si="66"/>
        <v>2020</v>
      </c>
      <c r="K420" s="64">
        <f t="shared" si="59"/>
        <v>43934</v>
      </c>
      <c r="L420" s="6"/>
      <c r="M420" s="6"/>
      <c r="O420" s="208">
        <v>44065</v>
      </c>
      <c r="P420" s="209">
        <f t="shared" si="60"/>
        <v>57947</v>
      </c>
      <c r="Q420" s="209">
        <f>+SUMIF('A DEPOSITAR'!$D$2:$D$998,(O420-2),'A DEPOSITAR'!$H$2:$H$998)</f>
        <v>19623</v>
      </c>
      <c r="R420" s="210">
        <f t="shared" si="61"/>
        <v>-38324</v>
      </c>
      <c r="S420" s="210">
        <f t="shared" si="63"/>
        <v>2097550.4000000008</v>
      </c>
      <c r="T420" s="209">
        <f t="shared" si="62"/>
        <v>0</v>
      </c>
      <c r="U420" s="209">
        <f>+SUMIFS('A DEPOSITAR'!$H$2:$H$998,'A DEPOSITAR'!$D$2:$D$998,(O420-2),'A DEPOSITAR'!$I$2:$I$998,"A Depositar")</f>
        <v>0</v>
      </c>
      <c r="V420" s="6"/>
      <c r="W420" s="6"/>
      <c r="X420" s="6"/>
      <c r="Y420" s="6"/>
      <c r="Z420" s="6"/>
    </row>
    <row r="421" spans="1:26" ht="12.75" x14ac:dyDescent="0.2">
      <c r="A421" s="201">
        <v>43792</v>
      </c>
      <c r="B421" s="81" t="s">
        <v>201</v>
      </c>
      <c r="C421" s="81" t="s">
        <v>819</v>
      </c>
      <c r="D421" s="82">
        <v>20361.18</v>
      </c>
      <c r="E421" s="81" t="s">
        <v>22</v>
      </c>
      <c r="F421" s="83">
        <v>43669</v>
      </c>
      <c r="G421" s="81"/>
      <c r="H421" s="202">
        <f t="shared" si="64"/>
        <v>23</v>
      </c>
      <c r="I421" s="202">
        <f t="shared" si="65"/>
        <v>11</v>
      </c>
      <c r="J421" s="123">
        <f t="shared" si="66"/>
        <v>2019</v>
      </c>
      <c r="K421" s="64">
        <f t="shared" si="59"/>
        <v>43852</v>
      </c>
      <c r="L421" s="6"/>
      <c r="M421" s="6"/>
      <c r="O421" s="208">
        <v>44066</v>
      </c>
      <c r="P421" s="209">
        <f t="shared" si="60"/>
        <v>0</v>
      </c>
      <c r="Q421" s="209">
        <f>+SUMIF('A DEPOSITAR'!$D$2:$D$998,(O421-2),'A DEPOSITAR'!$H$2:$H$998)</f>
        <v>0</v>
      </c>
      <c r="R421" s="210">
        <f t="shared" si="61"/>
        <v>0</v>
      </c>
      <c r="S421" s="210">
        <f t="shared" si="63"/>
        <v>2097550.4000000008</v>
      </c>
      <c r="T421" s="209">
        <f t="shared" si="62"/>
        <v>0</v>
      </c>
      <c r="U421" s="209">
        <f>+SUMIFS('A DEPOSITAR'!$H$2:$H$998,'A DEPOSITAR'!$D$2:$D$998,(O421-2),'A DEPOSITAR'!$I$2:$I$998,"A Depositar")</f>
        <v>0</v>
      </c>
      <c r="V421" s="6"/>
      <c r="W421" s="6"/>
      <c r="X421" s="6"/>
      <c r="Y421" s="6"/>
      <c r="Z421" s="6"/>
    </row>
    <row r="422" spans="1:26" ht="12.75" x14ac:dyDescent="0.2">
      <c r="A422" s="201">
        <v>43822</v>
      </c>
      <c r="B422" s="81" t="s">
        <v>201</v>
      </c>
      <c r="C422" s="81" t="s">
        <v>819</v>
      </c>
      <c r="D422" s="82">
        <v>20003.650000000001</v>
      </c>
      <c r="E422" s="81" t="s">
        <v>22</v>
      </c>
      <c r="F422" s="83">
        <v>43669</v>
      </c>
      <c r="G422" s="81"/>
      <c r="H422" s="202">
        <f t="shared" si="64"/>
        <v>23</v>
      </c>
      <c r="I422" s="202">
        <f t="shared" si="65"/>
        <v>12</v>
      </c>
      <c r="J422" s="123">
        <f t="shared" si="66"/>
        <v>2019</v>
      </c>
      <c r="K422" s="64">
        <f t="shared" si="59"/>
        <v>43882</v>
      </c>
      <c r="L422" s="6"/>
      <c r="M422" s="6"/>
      <c r="O422" s="208">
        <v>44067</v>
      </c>
      <c r="P422" s="209">
        <f t="shared" si="60"/>
        <v>0</v>
      </c>
      <c r="Q422" s="209">
        <f>+SUMIF('A DEPOSITAR'!$D$2:$D$998,(O422-2),'A DEPOSITAR'!$H$2:$H$998)</f>
        <v>70000</v>
      </c>
      <c r="R422" s="210">
        <f t="shared" si="61"/>
        <v>70000</v>
      </c>
      <c r="S422" s="210">
        <f t="shared" si="63"/>
        <v>2167550.4000000008</v>
      </c>
      <c r="T422" s="209">
        <f t="shared" si="62"/>
        <v>0</v>
      </c>
      <c r="U422" s="209">
        <f>+SUMIFS('A DEPOSITAR'!$H$2:$H$998,'A DEPOSITAR'!$D$2:$D$998,(O422-2),'A DEPOSITAR'!$I$2:$I$998,"A Depositar")</f>
        <v>0</v>
      </c>
      <c r="V422" s="6"/>
      <c r="W422" s="6"/>
      <c r="X422" s="6"/>
      <c r="Y422" s="6"/>
      <c r="Z422" s="6"/>
    </row>
    <row r="423" spans="1:26" ht="12.75" x14ac:dyDescent="0.2">
      <c r="A423" s="201">
        <v>43853</v>
      </c>
      <c r="B423" s="81" t="s">
        <v>201</v>
      </c>
      <c r="C423" s="81" t="s">
        <v>819</v>
      </c>
      <c r="D423" s="82">
        <v>19540.18</v>
      </c>
      <c r="E423" s="81" t="s">
        <v>22</v>
      </c>
      <c r="F423" s="83">
        <v>43669</v>
      </c>
      <c r="G423" s="81"/>
      <c r="H423" s="202">
        <f t="shared" si="64"/>
        <v>23</v>
      </c>
      <c r="I423" s="202">
        <f t="shared" si="65"/>
        <v>1</v>
      </c>
      <c r="J423" s="123">
        <f t="shared" si="66"/>
        <v>2020</v>
      </c>
      <c r="K423" s="64">
        <f t="shared" si="59"/>
        <v>43913</v>
      </c>
      <c r="L423" s="6"/>
      <c r="M423" s="6"/>
      <c r="O423" s="208">
        <v>44068</v>
      </c>
      <c r="P423" s="209">
        <f t="shared" si="60"/>
        <v>0</v>
      </c>
      <c r="Q423" s="209">
        <f>+SUMIF('A DEPOSITAR'!$D$2:$D$998,(O423-2),'A DEPOSITAR'!$H$2:$H$998)</f>
        <v>5000</v>
      </c>
      <c r="R423" s="210">
        <f t="shared" si="61"/>
        <v>5000</v>
      </c>
      <c r="S423" s="210">
        <f t="shared" si="63"/>
        <v>2172550.4000000008</v>
      </c>
      <c r="T423" s="209">
        <f t="shared" si="62"/>
        <v>0</v>
      </c>
      <c r="U423" s="209">
        <f>+SUMIFS('A DEPOSITAR'!$H$2:$H$998,'A DEPOSITAR'!$D$2:$D$998,(O423-2),'A DEPOSITAR'!$I$2:$I$998,"A Depositar")</f>
        <v>0</v>
      </c>
      <c r="V423" s="6"/>
      <c r="W423" s="6"/>
      <c r="X423" s="6"/>
      <c r="Y423" s="6"/>
      <c r="Z423" s="6"/>
    </row>
    <row r="424" spans="1:26" ht="12.75" x14ac:dyDescent="0.2">
      <c r="A424" s="201">
        <v>43884</v>
      </c>
      <c r="B424" s="81" t="s">
        <v>201</v>
      </c>
      <c r="C424" s="81" t="s">
        <v>819</v>
      </c>
      <c r="D424" s="82">
        <v>19248.849999999999</v>
      </c>
      <c r="E424" s="81" t="s">
        <v>22</v>
      </c>
      <c r="F424" s="83">
        <v>43669</v>
      </c>
      <c r="G424" s="81"/>
      <c r="H424" s="202">
        <f t="shared" si="64"/>
        <v>23</v>
      </c>
      <c r="I424" s="202">
        <f t="shared" si="65"/>
        <v>2</v>
      </c>
      <c r="J424" s="123">
        <f t="shared" si="66"/>
        <v>2020</v>
      </c>
      <c r="K424" s="64">
        <f t="shared" si="59"/>
        <v>43944</v>
      </c>
      <c r="L424" s="6"/>
      <c r="M424" s="6"/>
      <c r="O424" s="208">
        <v>44069</v>
      </c>
      <c r="P424" s="209">
        <f t="shared" si="60"/>
        <v>0</v>
      </c>
      <c r="Q424" s="209">
        <f>+SUMIF('A DEPOSITAR'!$D$2:$D$998,(O424-2),'A DEPOSITAR'!$H$2:$H$998)</f>
        <v>12454.62</v>
      </c>
      <c r="R424" s="210">
        <f t="shared" si="61"/>
        <v>12454.62</v>
      </c>
      <c r="S424" s="210">
        <f t="shared" si="63"/>
        <v>2185005.0200000009</v>
      </c>
      <c r="T424" s="209">
        <f t="shared" si="62"/>
        <v>0</v>
      </c>
      <c r="U424" s="209">
        <f>+SUMIFS('A DEPOSITAR'!$H$2:$H$998,'A DEPOSITAR'!$D$2:$D$998,(O424-2),'A DEPOSITAR'!$I$2:$I$998,"A Depositar")</f>
        <v>0</v>
      </c>
      <c r="V424" s="6"/>
      <c r="W424" s="6"/>
      <c r="X424" s="6"/>
      <c r="Y424" s="6"/>
      <c r="Z424" s="6"/>
    </row>
    <row r="425" spans="1:26" ht="12.75" x14ac:dyDescent="0.2">
      <c r="A425" s="201">
        <v>43913</v>
      </c>
      <c r="B425" s="81" t="s">
        <v>201</v>
      </c>
      <c r="C425" s="81" t="s">
        <v>819</v>
      </c>
      <c r="D425" s="82">
        <v>19116.439999999999</v>
      </c>
      <c r="E425" s="81" t="s">
        <v>22</v>
      </c>
      <c r="F425" s="83">
        <v>43669</v>
      </c>
      <c r="G425" s="81"/>
      <c r="H425" s="202">
        <f t="shared" si="64"/>
        <v>23</v>
      </c>
      <c r="I425" s="202">
        <f t="shared" si="65"/>
        <v>3</v>
      </c>
      <c r="J425" s="123">
        <f t="shared" si="66"/>
        <v>2020</v>
      </c>
      <c r="K425" s="64">
        <f t="shared" si="59"/>
        <v>43973</v>
      </c>
      <c r="L425" s="6"/>
      <c r="M425" s="6"/>
      <c r="O425" s="208">
        <v>44070</v>
      </c>
      <c r="P425" s="209">
        <f t="shared" si="60"/>
        <v>0</v>
      </c>
      <c r="Q425" s="209">
        <f>+SUMIF('A DEPOSITAR'!$D$2:$D$998,(O425-2),'A DEPOSITAR'!$H$2:$H$998)</f>
        <v>54088.43</v>
      </c>
      <c r="R425" s="210">
        <f t="shared" si="61"/>
        <v>54088.43</v>
      </c>
      <c r="S425" s="210">
        <f t="shared" si="63"/>
        <v>2239093.4500000011</v>
      </c>
      <c r="T425" s="209">
        <f t="shared" si="62"/>
        <v>0</v>
      </c>
      <c r="U425" s="209">
        <f>+SUMIFS('A DEPOSITAR'!$H$2:$H$998,'A DEPOSITAR'!$D$2:$D$998,(O425-2),'A DEPOSITAR'!$I$2:$I$998,"A Depositar")</f>
        <v>0</v>
      </c>
      <c r="V425" s="6"/>
      <c r="W425" s="6"/>
      <c r="X425" s="6"/>
      <c r="Y425" s="6"/>
      <c r="Z425" s="6"/>
    </row>
    <row r="426" spans="1:26" ht="12.75" x14ac:dyDescent="0.2">
      <c r="A426" s="201">
        <v>43944</v>
      </c>
      <c r="B426" s="81" t="s">
        <v>201</v>
      </c>
      <c r="C426" s="81" t="s">
        <v>819</v>
      </c>
      <c r="D426" s="82">
        <v>18507.3</v>
      </c>
      <c r="E426" s="81" t="s">
        <v>22</v>
      </c>
      <c r="F426" s="83">
        <v>43669</v>
      </c>
      <c r="G426" s="81"/>
      <c r="H426" s="202">
        <f t="shared" si="64"/>
        <v>23</v>
      </c>
      <c r="I426" s="202">
        <f t="shared" si="65"/>
        <v>4</v>
      </c>
      <c r="J426" s="123">
        <f t="shared" si="66"/>
        <v>2020</v>
      </c>
      <c r="K426" s="64">
        <f t="shared" si="59"/>
        <v>44004</v>
      </c>
      <c r="L426" s="6" t="s">
        <v>770</v>
      </c>
      <c r="M426" s="6"/>
      <c r="O426" s="208">
        <v>44071</v>
      </c>
      <c r="P426" s="209">
        <f t="shared" si="60"/>
        <v>0</v>
      </c>
      <c r="Q426" s="209">
        <f>+SUMIF('A DEPOSITAR'!$D$2:$D$998,(O426-2),'A DEPOSITAR'!$H$2:$H$998)</f>
        <v>5000</v>
      </c>
      <c r="R426" s="210">
        <f t="shared" si="61"/>
        <v>5000</v>
      </c>
      <c r="S426" s="210">
        <f t="shared" si="63"/>
        <v>2244093.4500000011</v>
      </c>
      <c r="T426" s="209">
        <f t="shared" si="62"/>
        <v>0</v>
      </c>
      <c r="U426" s="209">
        <f>+SUMIFS('A DEPOSITAR'!$H$2:$H$998,'A DEPOSITAR'!$D$2:$D$998,(O426-2),'A DEPOSITAR'!$I$2:$I$998,"A Depositar")</f>
        <v>0</v>
      </c>
      <c r="V426" s="6"/>
      <c r="W426" s="6"/>
      <c r="X426" s="6"/>
      <c r="Y426" s="6"/>
      <c r="Z426" s="6"/>
    </row>
    <row r="427" spans="1:26" ht="12.75" x14ac:dyDescent="0.2">
      <c r="A427" s="201">
        <v>43974</v>
      </c>
      <c r="B427" s="81" t="s">
        <v>201</v>
      </c>
      <c r="C427" s="81" t="s">
        <v>819</v>
      </c>
      <c r="D427" s="82">
        <f>16984.47+1207.87</f>
        <v>18192.34</v>
      </c>
      <c r="E427" s="81" t="s">
        <v>22</v>
      </c>
      <c r="F427" s="83">
        <v>43669</v>
      </c>
      <c r="G427" s="81"/>
      <c r="H427" s="202">
        <f t="shared" si="64"/>
        <v>23</v>
      </c>
      <c r="I427" s="202">
        <f t="shared" si="65"/>
        <v>5</v>
      </c>
      <c r="J427" s="123">
        <f t="shared" si="66"/>
        <v>2020</v>
      </c>
      <c r="K427" s="64">
        <f t="shared" si="59"/>
        <v>44034</v>
      </c>
      <c r="L427" s="6"/>
      <c r="M427" s="6"/>
      <c r="N427">
        <v>3575.34</v>
      </c>
      <c r="O427" s="208">
        <v>44072</v>
      </c>
      <c r="P427" s="209">
        <f t="shared" si="60"/>
        <v>0</v>
      </c>
      <c r="Q427" s="209">
        <f>+SUMIF('A DEPOSITAR'!$D$2:$D$998,(O427-2),'A DEPOSITAR'!$H$2:$H$998)</f>
        <v>30000</v>
      </c>
      <c r="R427" s="210">
        <f t="shared" si="61"/>
        <v>30000</v>
      </c>
      <c r="S427" s="210">
        <f t="shared" si="63"/>
        <v>2274093.4500000011</v>
      </c>
      <c r="T427" s="209">
        <f t="shared" si="62"/>
        <v>0</v>
      </c>
      <c r="U427" s="209">
        <f>+SUMIFS('A DEPOSITAR'!$H$2:$H$998,'A DEPOSITAR'!$D$2:$D$998,(O427-2),'A DEPOSITAR'!$I$2:$I$998,"A Depositar")</f>
        <v>0</v>
      </c>
      <c r="V427" s="6"/>
      <c r="W427" s="6"/>
      <c r="X427" s="6"/>
      <c r="Y427" s="6"/>
      <c r="Z427" s="6"/>
    </row>
    <row r="428" spans="1:26" ht="12.75" x14ac:dyDescent="0.2">
      <c r="A428" s="201">
        <v>44005</v>
      </c>
      <c r="B428" s="81" t="s">
        <v>201</v>
      </c>
      <c r="C428" s="81" t="s">
        <v>819</v>
      </c>
      <c r="D428" s="82">
        <f>16679.91+821</f>
        <v>17500.91</v>
      </c>
      <c r="E428" s="81" t="s">
        <v>22</v>
      </c>
      <c r="F428" s="83">
        <v>43669</v>
      </c>
      <c r="G428" s="81"/>
      <c r="H428" s="202">
        <f t="shared" si="64"/>
        <v>23</v>
      </c>
      <c r="I428" s="202">
        <f t="shared" si="65"/>
        <v>6</v>
      </c>
      <c r="J428" s="123">
        <f t="shared" si="66"/>
        <v>2020</v>
      </c>
      <c r="K428" s="64">
        <f t="shared" si="59"/>
        <v>44065</v>
      </c>
      <c r="L428" s="6"/>
      <c r="M428" s="6"/>
      <c r="N428">
        <v>1218.26</v>
      </c>
      <c r="O428" s="208">
        <v>44073</v>
      </c>
      <c r="P428" s="209">
        <f t="shared" si="60"/>
        <v>66699.98000000001</v>
      </c>
      <c r="Q428" s="209">
        <f>+SUMIF('A DEPOSITAR'!$D$2:$D$998,(O428-2),'A DEPOSITAR'!$H$2:$H$998)</f>
        <v>34825</v>
      </c>
      <c r="R428" s="210">
        <f t="shared" si="61"/>
        <v>-31874.98000000001</v>
      </c>
      <c r="S428" s="210">
        <f t="shared" si="63"/>
        <v>2242218.4700000011</v>
      </c>
      <c r="T428" s="209">
        <f t="shared" si="62"/>
        <v>0</v>
      </c>
      <c r="U428" s="209">
        <f>+SUMIFS('A DEPOSITAR'!$H$2:$H$998,'A DEPOSITAR'!$D$2:$D$998,(O428-2),'A DEPOSITAR'!$I$2:$I$998,"A Depositar")</f>
        <v>0</v>
      </c>
      <c r="V428" s="6"/>
      <c r="W428" s="6"/>
      <c r="X428" s="6"/>
      <c r="Y428" s="6"/>
      <c r="Z428" s="6"/>
    </row>
    <row r="429" spans="1:26" ht="12.75" x14ac:dyDescent="0.2">
      <c r="A429" s="201">
        <v>44035</v>
      </c>
      <c r="B429" s="81" t="s">
        <v>201</v>
      </c>
      <c r="C429" s="81" t="s">
        <v>819</v>
      </c>
      <c r="D429" s="82">
        <v>17063.88</v>
      </c>
      <c r="E429" s="81" t="s">
        <v>22</v>
      </c>
      <c r="F429" s="83">
        <v>43669</v>
      </c>
      <c r="G429" s="81"/>
      <c r="H429" s="202">
        <f t="shared" si="64"/>
        <v>23</v>
      </c>
      <c r="I429" s="202">
        <f t="shared" si="65"/>
        <v>7</v>
      </c>
      <c r="J429" s="123">
        <f t="shared" si="66"/>
        <v>2020</v>
      </c>
      <c r="K429" s="64">
        <f t="shared" si="59"/>
        <v>44095</v>
      </c>
      <c r="L429" s="6"/>
      <c r="M429" s="6"/>
      <c r="N429">
        <f>N428+N427</f>
        <v>4793.6000000000004</v>
      </c>
      <c r="O429" s="208">
        <v>44074</v>
      </c>
      <c r="P429" s="209">
        <f t="shared" si="60"/>
        <v>7977</v>
      </c>
      <c r="Q429" s="209">
        <f>+SUMIF('A DEPOSITAR'!$D$2:$D$998,(O429-2),'A DEPOSITAR'!$H$2:$H$998)</f>
        <v>116000</v>
      </c>
      <c r="R429" s="210">
        <f t="shared" si="61"/>
        <v>108023</v>
      </c>
      <c r="S429" s="210">
        <f t="shared" si="63"/>
        <v>2350241.4700000011</v>
      </c>
      <c r="T429" s="209">
        <f t="shared" si="62"/>
        <v>0</v>
      </c>
      <c r="U429" s="209">
        <f>+SUMIFS('A DEPOSITAR'!$H$2:$H$998,'A DEPOSITAR'!$D$2:$D$998,(O429-2),'A DEPOSITAR'!$I$2:$I$998,"A Depositar")</f>
        <v>0</v>
      </c>
      <c r="V429" s="6"/>
      <c r="W429" s="6"/>
      <c r="X429" s="6"/>
      <c r="Y429" s="6"/>
      <c r="Z429" s="6"/>
    </row>
    <row r="430" spans="1:26" ht="12.75" x14ac:dyDescent="0.2">
      <c r="A430" s="201">
        <v>43860</v>
      </c>
      <c r="B430" s="81" t="s">
        <v>201</v>
      </c>
      <c r="C430" s="81" t="s">
        <v>366</v>
      </c>
      <c r="D430" s="82">
        <v>21592.69</v>
      </c>
      <c r="E430" s="81" t="s">
        <v>22</v>
      </c>
      <c r="F430" s="83">
        <v>43829</v>
      </c>
      <c r="G430" s="81"/>
      <c r="H430" s="202">
        <f t="shared" si="64"/>
        <v>30</v>
      </c>
      <c r="I430" s="202">
        <f t="shared" si="65"/>
        <v>1</v>
      </c>
      <c r="J430" s="123">
        <f t="shared" si="66"/>
        <v>2020</v>
      </c>
      <c r="K430" s="64">
        <f t="shared" si="59"/>
        <v>43920</v>
      </c>
      <c r="L430" s="6"/>
      <c r="M430" s="6"/>
      <c r="O430" s="208">
        <v>44075</v>
      </c>
      <c r="P430" s="209">
        <f t="shared" si="60"/>
        <v>0</v>
      </c>
      <c r="Q430" s="209">
        <f>+SUMIF('A DEPOSITAR'!$D$2:$D$998,(O430-2),'A DEPOSITAR'!$H$2:$H$998)</f>
        <v>107896</v>
      </c>
      <c r="R430" s="210">
        <f t="shared" si="61"/>
        <v>107896</v>
      </c>
      <c r="S430" s="210">
        <f t="shared" si="63"/>
        <v>2458137.4700000011</v>
      </c>
      <c r="T430" s="209">
        <f t="shared" si="62"/>
        <v>0</v>
      </c>
      <c r="U430" s="209">
        <f>+SUMIFS('A DEPOSITAR'!$H$2:$H$998,'A DEPOSITAR'!$D$2:$D$998,(O430-2),'A DEPOSITAR'!$I$2:$I$998,"A Depositar")</f>
        <v>0</v>
      </c>
      <c r="V430" s="6"/>
      <c r="W430" s="6"/>
      <c r="X430" s="6"/>
      <c r="Y430" s="6"/>
      <c r="Z430" s="6"/>
    </row>
    <row r="431" spans="1:26" ht="12.75" x14ac:dyDescent="0.2">
      <c r="A431" s="201">
        <v>43890</v>
      </c>
      <c r="B431" s="81" t="s">
        <v>201</v>
      </c>
      <c r="C431" s="81" t="s">
        <v>366</v>
      </c>
      <c r="D431" s="82">
        <v>21036.53</v>
      </c>
      <c r="E431" s="81" t="s">
        <v>22</v>
      </c>
      <c r="F431" s="83">
        <v>43829</v>
      </c>
      <c r="G431" s="81"/>
      <c r="H431" s="202">
        <f t="shared" si="64"/>
        <v>29</v>
      </c>
      <c r="I431" s="202">
        <f t="shared" si="65"/>
        <v>2</v>
      </c>
      <c r="J431" s="123">
        <f t="shared" si="66"/>
        <v>2020</v>
      </c>
      <c r="K431" s="64">
        <f t="shared" si="59"/>
        <v>43950</v>
      </c>
      <c r="L431" s="6"/>
      <c r="M431" s="6"/>
      <c r="O431" s="208">
        <v>44076</v>
      </c>
      <c r="P431" s="209">
        <f t="shared" si="60"/>
        <v>0</v>
      </c>
      <c r="Q431" s="209">
        <f>+SUMIF('A DEPOSITAR'!$D$2:$D$998,(O431-2),'A DEPOSITAR'!$H$2:$H$998)</f>
        <v>169749</v>
      </c>
      <c r="R431" s="210">
        <f t="shared" si="61"/>
        <v>169749</v>
      </c>
      <c r="S431" s="210">
        <f t="shared" si="63"/>
        <v>2627886.4700000011</v>
      </c>
      <c r="T431" s="209">
        <f t="shared" si="62"/>
        <v>0</v>
      </c>
      <c r="U431" s="209">
        <f>+SUMIFS('A DEPOSITAR'!$H$2:$H$998,'A DEPOSITAR'!$D$2:$D$998,(O431-2),'A DEPOSITAR'!$I$2:$I$998,"A Depositar")</f>
        <v>0</v>
      </c>
      <c r="V431" s="6"/>
      <c r="W431" s="6"/>
      <c r="X431" s="6"/>
      <c r="Y431" s="6"/>
      <c r="Z431" s="6"/>
    </row>
    <row r="432" spans="1:26" ht="12.75" x14ac:dyDescent="0.2">
      <c r="A432" s="201">
        <v>43920</v>
      </c>
      <c r="B432" s="81" t="s">
        <v>201</v>
      </c>
      <c r="C432" s="81" t="s">
        <v>366</v>
      </c>
      <c r="D432" s="82">
        <v>20771.689999999999</v>
      </c>
      <c r="E432" s="81" t="s">
        <v>22</v>
      </c>
      <c r="F432" s="83">
        <v>43829</v>
      </c>
      <c r="G432" s="81"/>
      <c r="H432" s="202">
        <f t="shared" si="64"/>
        <v>30</v>
      </c>
      <c r="I432" s="202">
        <f t="shared" si="65"/>
        <v>3</v>
      </c>
      <c r="J432" s="123">
        <f t="shared" si="66"/>
        <v>2020</v>
      </c>
      <c r="K432" s="64">
        <f t="shared" si="59"/>
        <v>43980</v>
      </c>
      <c r="L432" s="6"/>
      <c r="M432" s="6"/>
      <c r="O432" s="208">
        <v>44077</v>
      </c>
      <c r="P432" s="209">
        <f t="shared" si="60"/>
        <v>0</v>
      </c>
      <c r="Q432" s="209">
        <f>+SUMIF('A DEPOSITAR'!$D$2:$D$998,(O432-2),'A DEPOSITAR'!$H$2:$H$998)</f>
        <v>0</v>
      </c>
      <c r="R432" s="210">
        <f t="shared" si="61"/>
        <v>0</v>
      </c>
      <c r="S432" s="210">
        <f t="shared" si="63"/>
        <v>2627886.4700000011</v>
      </c>
      <c r="T432" s="209">
        <f t="shared" si="62"/>
        <v>0</v>
      </c>
      <c r="U432" s="209">
        <f>+SUMIFS('A DEPOSITAR'!$H$2:$H$998,'A DEPOSITAR'!$D$2:$D$998,(O432-2),'A DEPOSITAR'!$I$2:$I$998,"A Depositar")</f>
        <v>0</v>
      </c>
      <c r="V432" s="6"/>
      <c r="W432" s="6"/>
      <c r="X432" s="6"/>
      <c r="Y432" s="6"/>
      <c r="Z432" s="6"/>
    </row>
    <row r="433" spans="1:26" ht="12.75" x14ac:dyDescent="0.2">
      <c r="A433" s="201">
        <v>43951</v>
      </c>
      <c r="B433" s="81" t="s">
        <v>201</v>
      </c>
      <c r="C433" s="81" t="s">
        <v>366</v>
      </c>
      <c r="D433" s="82">
        <f>17289.04+3575.34</f>
        <v>20864.38</v>
      </c>
      <c r="E433" s="81" t="s">
        <v>22</v>
      </c>
      <c r="F433" s="83">
        <v>43829</v>
      </c>
      <c r="G433" s="81"/>
      <c r="H433" s="202">
        <f t="shared" si="64"/>
        <v>30</v>
      </c>
      <c r="I433" s="202">
        <f t="shared" si="65"/>
        <v>4</v>
      </c>
      <c r="J433" s="123">
        <f t="shared" si="66"/>
        <v>2020</v>
      </c>
      <c r="K433" s="64">
        <f t="shared" si="59"/>
        <v>44011</v>
      </c>
      <c r="L433" s="6" t="s">
        <v>771</v>
      </c>
      <c r="M433" s="6"/>
      <c r="O433" s="208">
        <v>44078</v>
      </c>
      <c r="P433" s="209">
        <f t="shared" si="60"/>
        <v>0</v>
      </c>
      <c r="Q433" s="209">
        <f>+SUMIF('A DEPOSITAR'!$D$2:$D$998,(O433-2),'A DEPOSITAR'!$H$2:$H$998)</f>
        <v>0</v>
      </c>
      <c r="R433" s="210">
        <f t="shared" si="61"/>
        <v>0</v>
      </c>
      <c r="S433" s="210">
        <f t="shared" si="63"/>
        <v>2627886.4700000011</v>
      </c>
      <c r="T433" s="209">
        <f t="shared" si="62"/>
        <v>0</v>
      </c>
      <c r="U433" s="209">
        <f>+SUMIFS('A DEPOSITAR'!$H$2:$H$998,'A DEPOSITAR'!$D$2:$D$998,(O433-2),'A DEPOSITAR'!$I$2:$I$998,"A Depositar")</f>
        <v>0</v>
      </c>
      <c r="V433" s="6"/>
      <c r="W433" s="6"/>
      <c r="X433" s="6"/>
      <c r="Y433" s="6"/>
      <c r="Z433" s="6"/>
    </row>
    <row r="434" spans="1:26" ht="12.75" x14ac:dyDescent="0.2">
      <c r="A434" s="201">
        <v>43981</v>
      </c>
      <c r="B434" s="81" t="s">
        <v>201</v>
      </c>
      <c r="C434" s="81" t="s">
        <v>366</v>
      </c>
      <c r="D434" s="82">
        <f>16891.78+3221</f>
        <v>20112.78</v>
      </c>
      <c r="E434" s="81" t="s">
        <v>22</v>
      </c>
      <c r="F434" s="83">
        <v>43829</v>
      </c>
      <c r="G434" s="81"/>
      <c r="H434" s="202">
        <f t="shared" si="64"/>
        <v>30</v>
      </c>
      <c r="I434" s="202">
        <f t="shared" si="65"/>
        <v>5</v>
      </c>
      <c r="J434" s="123">
        <f t="shared" si="66"/>
        <v>2020</v>
      </c>
      <c r="K434" s="64">
        <f t="shared" si="59"/>
        <v>44041</v>
      </c>
      <c r="L434" s="6"/>
      <c r="M434" s="6"/>
      <c r="N434">
        <f>397.25+16666.63</f>
        <v>17063.88</v>
      </c>
      <c r="O434" s="208">
        <v>44079</v>
      </c>
      <c r="P434" s="209">
        <f t="shared" si="60"/>
        <v>0</v>
      </c>
      <c r="Q434" s="209">
        <f>+SUMIF('A DEPOSITAR'!$D$2:$D$998,(O434-2),'A DEPOSITAR'!$H$2:$H$998)</f>
        <v>0</v>
      </c>
      <c r="R434" s="210">
        <f t="shared" si="61"/>
        <v>0</v>
      </c>
      <c r="S434" s="210">
        <f t="shared" si="63"/>
        <v>2627886.4700000011</v>
      </c>
      <c r="T434" s="209">
        <f t="shared" si="62"/>
        <v>0</v>
      </c>
      <c r="U434" s="209">
        <f>+SUMIFS('A DEPOSITAR'!$H$2:$H$998,'A DEPOSITAR'!$D$2:$D$998,(O434-2),'A DEPOSITAR'!$I$2:$I$998,"A Depositar")</f>
        <v>0</v>
      </c>
      <c r="V434" s="6"/>
      <c r="W434" s="6"/>
      <c r="X434" s="6"/>
      <c r="Y434" s="6"/>
      <c r="Z434" s="6"/>
    </row>
    <row r="435" spans="1:26" ht="12.75" x14ac:dyDescent="0.2">
      <c r="A435" s="201">
        <v>44012</v>
      </c>
      <c r="B435" s="81" t="s">
        <v>201</v>
      </c>
      <c r="C435" s="81" t="s">
        <v>366</v>
      </c>
      <c r="D435" s="82">
        <v>19540.18</v>
      </c>
      <c r="E435" s="81" t="s">
        <v>22</v>
      </c>
      <c r="F435" s="83">
        <v>43829</v>
      </c>
      <c r="G435" s="81"/>
      <c r="H435" s="202">
        <f t="shared" si="64"/>
        <v>30</v>
      </c>
      <c r="I435" s="202">
        <f t="shared" si="65"/>
        <v>6</v>
      </c>
      <c r="J435" s="123">
        <f t="shared" si="66"/>
        <v>2020</v>
      </c>
      <c r="K435" s="64">
        <f t="shared" si="59"/>
        <v>44072</v>
      </c>
      <c r="L435" s="10"/>
      <c r="M435" s="10"/>
      <c r="N435" s="199"/>
      <c r="O435" s="208">
        <v>44080</v>
      </c>
      <c r="P435" s="209">
        <f t="shared" si="60"/>
        <v>0</v>
      </c>
      <c r="Q435" s="209">
        <f>+SUMIF('A DEPOSITAR'!$D$2:$D$998,(O435-2),'A DEPOSITAR'!$H$2:$H$998)</f>
        <v>0</v>
      </c>
      <c r="R435" s="210">
        <f t="shared" si="61"/>
        <v>0</v>
      </c>
      <c r="S435" s="210">
        <f t="shared" si="63"/>
        <v>2627886.4700000011</v>
      </c>
      <c r="T435" s="209">
        <f t="shared" si="62"/>
        <v>0</v>
      </c>
      <c r="U435" s="209">
        <f>+SUMIFS('A DEPOSITAR'!$H$2:$H$998,'A DEPOSITAR'!$D$2:$D$998,(O435-2),'A DEPOSITAR'!$I$2:$I$998,"A Depositar")</f>
        <v>0</v>
      </c>
      <c r="V435" s="10"/>
      <c r="W435" s="10"/>
      <c r="X435" s="10"/>
      <c r="Y435" s="10"/>
      <c r="Z435" s="10"/>
    </row>
    <row r="436" spans="1:26" ht="12.75" x14ac:dyDescent="0.2">
      <c r="A436" s="201">
        <v>44042</v>
      </c>
      <c r="B436" s="81" t="s">
        <v>201</v>
      </c>
      <c r="C436" s="81" t="s">
        <v>366</v>
      </c>
      <c r="D436" s="82">
        <v>19050.23</v>
      </c>
      <c r="E436" s="81" t="s">
        <v>22</v>
      </c>
      <c r="F436" s="83">
        <v>43829</v>
      </c>
      <c r="G436" s="81"/>
      <c r="H436" s="202">
        <f t="shared" si="64"/>
        <v>30</v>
      </c>
      <c r="I436" s="202">
        <f t="shared" si="65"/>
        <v>7</v>
      </c>
      <c r="J436" s="123">
        <f t="shared" si="66"/>
        <v>2020</v>
      </c>
      <c r="K436" s="64">
        <f t="shared" si="59"/>
        <v>44102</v>
      </c>
      <c r="L436" s="10"/>
      <c r="M436" s="10"/>
      <c r="N436" s="199"/>
      <c r="O436" s="208">
        <v>44081</v>
      </c>
      <c r="P436" s="209">
        <f t="shared" si="60"/>
        <v>16170</v>
      </c>
      <c r="Q436" s="209">
        <f>+SUMIF('A DEPOSITAR'!$D$2:$D$998,(O436-2),'A DEPOSITAR'!$H$2:$H$998)</f>
        <v>57541</v>
      </c>
      <c r="R436" s="210">
        <f t="shared" si="61"/>
        <v>41371</v>
      </c>
      <c r="S436" s="210">
        <f t="shared" si="63"/>
        <v>2669257.4700000011</v>
      </c>
      <c r="T436" s="209">
        <f t="shared" si="62"/>
        <v>0</v>
      </c>
      <c r="U436" s="209">
        <f>+SUMIFS('A DEPOSITAR'!$H$2:$H$998,'A DEPOSITAR'!$D$2:$D$998,(O436-2),'A DEPOSITAR'!$I$2:$I$998,"A Depositar")</f>
        <v>0</v>
      </c>
      <c r="V436" s="10"/>
      <c r="W436" s="10"/>
      <c r="X436" s="10"/>
      <c r="Y436" s="10"/>
      <c r="Z436" s="10"/>
    </row>
    <row r="437" spans="1:26" ht="12.75" x14ac:dyDescent="0.2">
      <c r="A437" s="201">
        <v>44073</v>
      </c>
      <c r="B437" s="81" t="s">
        <v>201</v>
      </c>
      <c r="C437" s="81" t="s">
        <v>366</v>
      </c>
      <c r="D437" s="82">
        <f>16666.67+2052.51</f>
        <v>18719.18</v>
      </c>
      <c r="E437" s="81" t="s">
        <v>22</v>
      </c>
      <c r="F437" s="83">
        <v>43829</v>
      </c>
      <c r="G437" s="81"/>
      <c r="H437" s="202">
        <f t="shared" si="64"/>
        <v>30</v>
      </c>
      <c r="I437" s="202">
        <f t="shared" si="65"/>
        <v>8</v>
      </c>
      <c r="J437" s="123">
        <f t="shared" si="66"/>
        <v>2020</v>
      </c>
      <c r="K437" s="64">
        <f t="shared" si="59"/>
        <v>44133</v>
      </c>
      <c r="L437" s="10"/>
      <c r="M437" s="10"/>
      <c r="N437" s="199"/>
      <c r="O437" s="208">
        <v>44082</v>
      </c>
      <c r="P437" s="209">
        <f t="shared" si="60"/>
        <v>25340</v>
      </c>
      <c r="Q437" s="209">
        <f>+SUMIF('A DEPOSITAR'!$D$2:$D$998,(O437-2),'A DEPOSITAR'!$H$2:$H$998)</f>
        <v>78097.33</v>
      </c>
      <c r="R437" s="210">
        <f t="shared" si="61"/>
        <v>52757.33</v>
      </c>
      <c r="S437" s="210">
        <f t="shared" si="63"/>
        <v>2722014.8000000012</v>
      </c>
      <c r="T437" s="209">
        <f t="shared" si="62"/>
        <v>0</v>
      </c>
      <c r="U437" s="209">
        <f>+SUMIFS('A DEPOSITAR'!$H$2:$H$998,'A DEPOSITAR'!$D$2:$D$998,(O437-2),'A DEPOSITAR'!$I$2:$I$998,"A Depositar")</f>
        <v>0</v>
      </c>
      <c r="V437" s="10"/>
      <c r="W437" s="10"/>
      <c r="X437" s="10"/>
      <c r="Y437" s="10"/>
      <c r="Z437" s="10"/>
    </row>
    <row r="438" spans="1:26" ht="12.75" x14ac:dyDescent="0.2">
      <c r="A438" s="201">
        <v>44104</v>
      </c>
      <c r="B438" s="81" t="s">
        <v>201</v>
      </c>
      <c r="C438" s="81" t="s">
        <v>366</v>
      </c>
      <c r="D438" s="82">
        <v>18308.669999999998</v>
      </c>
      <c r="E438" s="81" t="s">
        <v>22</v>
      </c>
      <c r="F438" s="83">
        <v>43829</v>
      </c>
      <c r="G438" s="81"/>
      <c r="H438" s="202">
        <f t="shared" si="64"/>
        <v>30</v>
      </c>
      <c r="I438" s="202">
        <f t="shared" si="65"/>
        <v>9</v>
      </c>
      <c r="J438" s="123">
        <f t="shared" si="66"/>
        <v>2020</v>
      </c>
      <c r="K438" s="64">
        <f t="shared" si="59"/>
        <v>44164</v>
      </c>
      <c r="L438" s="10"/>
      <c r="M438" s="10"/>
      <c r="N438" s="199"/>
      <c r="O438" s="208">
        <v>44083</v>
      </c>
      <c r="P438" s="209">
        <f t="shared" si="60"/>
        <v>0</v>
      </c>
      <c r="Q438" s="209">
        <f>+SUMIF('A DEPOSITAR'!$D$2:$D$998,(O438-2),'A DEPOSITAR'!$H$2:$H$998)</f>
        <v>0</v>
      </c>
      <c r="R438" s="210">
        <f t="shared" si="61"/>
        <v>0</v>
      </c>
      <c r="S438" s="210">
        <f t="shared" si="63"/>
        <v>2722014.8000000012</v>
      </c>
      <c r="T438" s="209">
        <f t="shared" si="62"/>
        <v>0</v>
      </c>
      <c r="U438" s="209">
        <f>+SUMIFS('A DEPOSITAR'!$H$2:$H$998,'A DEPOSITAR'!$D$2:$D$998,(O438-2),'A DEPOSITAR'!$I$2:$I$998,"A Depositar")</f>
        <v>0</v>
      </c>
      <c r="V438" s="10"/>
      <c r="W438" s="10"/>
      <c r="X438" s="10"/>
      <c r="Y438" s="10"/>
      <c r="Z438" s="10"/>
    </row>
    <row r="439" spans="1:26" ht="12.75" x14ac:dyDescent="0.2">
      <c r="A439" s="201">
        <v>44134</v>
      </c>
      <c r="B439" s="81" t="s">
        <v>201</v>
      </c>
      <c r="C439" s="81" t="s">
        <v>366</v>
      </c>
      <c r="D439" s="82">
        <v>17858.45</v>
      </c>
      <c r="E439" s="81" t="s">
        <v>22</v>
      </c>
      <c r="F439" s="83">
        <v>43829</v>
      </c>
      <c r="G439" s="81"/>
      <c r="H439" s="202">
        <f t="shared" si="64"/>
        <v>30</v>
      </c>
      <c r="I439" s="202">
        <f t="shared" si="65"/>
        <v>10</v>
      </c>
      <c r="J439" s="123">
        <f t="shared" si="66"/>
        <v>2020</v>
      </c>
      <c r="K439" s="64">
        <f t="shared" si="59"/>
        <v>44194</v>
      </c>
      <c r="L439" s="10"/>
      <c r="M439" s="10"/>
      <c r="N439" s="199">
        <f>16666.67+1191.78</f>
        <v>17858.449999999997</v>
      </c>
      <c r="O439" s="208">
        <v>44084</v>
      </c>
      <c r="P439" s="209">
        <f t="shared" si="60"/>
        <v>0</v>
      </c>
      <c r="Q439" s="209">
        <f>+SUMIF('A DEPOSITAR'!$D$2:$D$998,(O439-2),'A DEPOSITAR'!$H$2:$H$998)</f>
        <v>36063.31</v>
      </c>
      <c r="R439" s="210">
        <f t="shared" si="61"/>
        <v>36063.31</v>
      </c>
      <c r="S439" s="210">
        <f t="shared" si="63"/>
        <v>2758078.1100000013</v>
      </c>
      <c r="T439" s="209">
        <f t="shared" si="62"/>
        <v>0</v>
      </c>
      <c r="U439" s="209">
        <f>+SUMIFS('A DEPOSITAR'!$H$2:$H$998,'A DEPOSITAR'!$D$2:$D$998,(O439-2),'A DEPOSITAR'!$I$2:$I$998,"A Depositar")</f>
        <v>0</v>
      </c>
      <c r="V439" s="10"/>
      <c r="W439" s="10"/>
      <c r="X439" s="10"/>
      <c r="Y439" s="10"/>
      <c r="Z439" s="10"/>
    </row>
    <row r="440" spans="1:26" ht="12.75" x14ac:dyDescent="0.2">
      <c r="A440" s="201">
        <v>44165</v>
      </c>
      <c r="B440" s="81" t="s">
        <v>201</v>
      </c>
      <c r="C440" s="81" t="s">
        <v>366</v>
      </c>
      <c r="D440" s="82">
        <f>16666.67+821</f>
        <v>17487.669999999998</v>
      </c>
      <c r="E440" s="81" t="s">
        <v>22</v>
      </c>
      <c r="F440" s="83">
        <v>43829</v>
      </c>
      <c r="G440" s="81"/>
      <c r="H440" s="202">
        <f t="shared" si="64"/>
        <v>30</v>
      </c>
      <c r="I440" s="202">
        <f t="shared" si="65"/>
        <v>11</v>
      </c>
      <c r="J440" s="123">
        <f t="shared" si="66"/>
        <v>2020</v>
      </c>
      <c r="K440" s="64">
        <f t="shared" si="59"/>
        <v>44225</v>
      </c>
      <c r="L440" s="10"/>
      <c r="M440" s="10"/>
      <c r="N440" s="199"/>
      <c r="O440" s="208">
        <v>44085</v>
      </c>
      <c r="P440" s="209">
        <f t="shared" si="60"/>
        <v>0</v>
      </c>
      <c r="Q440" s="209">
        <f>+SUMIF('A DEPOSITAR'!$D$2:$D$998,(O440-2),'A DEPOSITAR'!$H$2:$H$998)</f>
        <v>5000</v>
      </c>
      <c r="R440" s="210">
        <f t="shared" si="61"/>
        <v>5000</v>
      </c>
      <c r="S440" s="210">
        <f t="shared" si="63"/>
        <v>2763078.1100000013</v>
      </c>
      <c r="T440" s="209">
        <f t="shared" si="62"/>
        <v>0</v>
      </c>
      <c r="U440" s="209">
        <f>+SUMIFS('A DEPOSITAR'!$H$2:$H$998,'A DEPOSITAR'!$D$2:$D$998,(O440-2),'A DEPOSITAR'!$I$2:$I$998,"A Depositar")</f>
        <v>0</v>
      </c>
      <c r="V440" s="10"/>
      <c r="W440" s="10"/>
      <c r="X440" s="10"/>
      <c r="Y440" s="10"/>
      <c r="Z440" s="10"/>
    </row>
    <row r="441" spans="1:26" ht="12.75" x14ac:dyDescent="0.2">
      <c r="A441" s="201">
        <v>44195</v>
      </c>
      <c r="B441" s="81" t="s">
        <v>201</v>
      </c>
      <c r="C441" s="81" t="s">
        <v>366</v>
      </c>
      <c r="D441" s="82">
        <f>16666.63+397.25</f>
        <v>17063.88</v>
      </c>
      <c r="E441" s="81" t="s">
        <v>22</v>
      </c>
      <c r="F441" s="83">
        <v>43829</v>
      </c>
      <c r="G441" s="81"/>
      <c r="H441" s="202">
        <f t="shared" si="64"/>
        <v>30</v>
      </c>
      <c r="I441" s="202">
        <f t="shared" si="65"/>
        <v>12</v>
      </c>
      <c r="J441" s="123">
        <f t="shared" si="66"/>
        <v>2020</v>
      </c>
      <c r="K441" s="64">
        <f t="shared" si="59"/>
        <v>44255</v>
      </c>
      <c r="L441" s="10"/>
      <c r="M441" s="10"/>
      <c r="N441" s="199"/>
      <c r="O441" s="208">
        <v>44086</v>
      </c>
      <c r="P441" s="209">
        <f t="shared" si="60"/>
        <v>0</v>
      </c>
      <c r="Q441" s="209">
        <f>+SUMIF('A DEPOSITAR'!$D$2:$D$998,(O441-2),'A DEPOSITAR'!$H$2:$H$998)</f>
        <v>33587</v>
      </c>
      <c r="R441" s="210">
        <f t="shared" si="61"/>
        <v>33587</v>
      </c>
      <c r="S441" s="210">
        <f t="shared" si="63"/>
        <v>2796665.1100000013</v>
      </c>
      <c r="T441" s="209">
        <f t="shared" si="62"/>
        <v>0</v>
      </c>
      <c r="U441" s="209">
        <f>+SUMIFS('A DEPOSITAR'!$H$2:$H$998,'A DEPOSITAR'!$D$2:$D$998,(O441-2),'A DEPOSITAR'!$I$2:$I$998,"A Depositar")</f>
        <v>0</v>
      </c>
      <c r="V441" s="10"/>
      <c r="W441" s="10"/>
      <c r="X441" s="10"/>
      <c r="Y441" s="10"/>
      <c r="Z441" s="10"/>
    </row>
    <row r="442" spans="1:26" ht="12.75" x14ac:dyDescent="0.2">
      <c r="A442" s="102">
        <v>43906</v>
      </c>
      <c r="B442" s="103" t="s">
        <v>365</v>
      </c>
      <c r="C442" s="103" t="s">
        <v>230</v>
      </c>
      <c r="D442" s="104">
        <v>12412.65</v>
      </c>
      <c r="E442" s="103" t="s">
        <v>22</v>
      </c>
      <c r="F442" s="105">
        <v>43864</v>
      </c>
      <c r="G442" s="103"/>
      <c r="H442" s="106">
        <f t="shared" si="64"/>
        <v>16</v>
      </c>
      <c r="I442" s="106">
        <f t="shared" si="65"/>
        <v>3</v>
      </c>
      <c r="J442" s="124">
        <f t="shared" si="66"/>
        <v>2020</v>
      </c>
      <c r="K442" s="175">
        <f t="shared" si="59"/>
        <v>43966</v>
      </c>
      <c r="L442" s="181"/>
      <c r="M442" s="181"/>
      <c r="N442" s="182"/>
      <c r="O442" s="208">
        <v>44087</v>
      </c>
      <c r="P442" s="209">
        <f t="shared" si="60"/>
        <v>0</v>
      </c>
      <c r="Q442" s="209">
        <f>+SUMIF('A DEPOSITAR'!$D$2:$D$998,(O442-2),'A DEPOSITAR'!$H$2:$H$998)</f>
        <v>43095.22</v>
      </c>
      <c r="R442" s="210">
        <f t="shared" si="61"/>
        <v>43095.22</v>
      </c>
      <c r="S442" s="210">
        <f t="shared" si="63"/>
        <v>2839760.3300000015</v>
      </c>
      <c r="T442" s="209">
        <f t="shared" si="62"/>
        <v>0</v>
      </c>
      <c r="U442" s="209">
        <f>+SUMIFS('A DEPOSITAR'!$H$2:$H$998,'A DEPOSITAR'!$D$2:$D$998,(O442-2),'A DEPOSITAR'!$I$2:$I$998,"A Depositar")</f>
        <v>0</v>
      </c>
      <c r="V442" s="181"/>
      <c r="W442" s="181"/>
      <c r="X442" s="181"/>
      <c r="Y442" s="181"/>
      <c r="Z442" s="181"/>
    </row>
    <row r="443" spans="1:26" ht="12.75" x14ac:dyDescent="0.2">
      <c r="A443" s="102">
        <v>43846</v>
      </c>
      <c r="B443" s="103" t="s">
        <v>301</v>
      </c>
      <c r="C443" s="103" t="s">
        <v>230</v>
      </c>
      <c r="D443" s="104">
        <v>2970.88</v>
      </c>
      <c r="E443" s="103" t="s">
        <v>22</v>
      </c>
      <c r="F443" s="105">
        <v>43829</v>
      </c>
      <c r="G443" s="103"/>
      <c r="H443" s="106">
        <f t="shared" si="64"/>
        <v>16</v>
      </c>
      <c r="I443" s="106">
        <f t="shared" si="65"/>
        <v>1</v>
      </c>
      <c r="J443" s="124">
        <f t="shared" si="66"/>
        <v>2020</v>
      </c>
      <c r="K443" s="175">
        <f t="shared" si="59"/>
        <v>43906</v>
      </c>
      <c r="L443" s="181"/>
      <c r="M443" s="181"/>
      <c r="N443" s="182"/>
      <c r="O443" s="208">
        <v>44088</v>
      </c>
      <c r="P443" s="209">
        <f t="shared" si="60"/>
        <v>0</v>
      </c>
      <c r="Q443" s="209">
        <f>+SUMIF('A DEPOSITAR'!$D$2:$D$998,(O443-2),'A DEPOSITAR'!$H$2:$H$998)</f>
        <v>91209.77</v>
      </c>
      <c r="R443" s="210">
        <f t="shared" si="61"/>
        <v>91209.77</v>
      </c>
      <c r="S443" s="210">
        <f t="shared" si="63"/>
        <v>2930970.1000000015</v>
      </c>
      <c r="T443" s="209">
        <f t="shared" si="62"/>
        <v>0</v>
      </c>
      <c r="U443" s="209">
        <f>+SUMIFS('A DEPOSITAR'!$H$2:$H$998,'A DEPOSITAR'!$D$2:$D$998,(O443-2),'A DEPOSITAR'!$I$2:$I$998,"A Depositar")</f>
        <v>0</v>
      </c>
      <c r="V443" s="181"/>
      <c r="W443" s="181"/>
      <c r="X443" s="181"/>
      <c r="Y443" s="181"/>
      <c r="Z443" s="181"/>
    </row>
    <row r="444" spans="1:26" ht="12.75" x14ac:dyDescent="0.2">
      <c r="A444" s="36">
        <v>44181</v>
      </c>
      <c r="B444" s="29" t="s">
        <v>939</v>
      </c>
      <c r="C444" s="29" t="s">
        <v>230</v>
      </c>
      <c r="D444" s="50">
        <v>1048.56</v>
      </c>
      <c r="E444" s="29" t="s">
        <v>22</v>
      </c>
      <c r="F444" s="34">
        <v>44116</v>
      </c>
      <c r="G444" s="29"/>
      <c r="H444" s="49">
        <f t="shared" ref="H444:H475" si="67">DAY(A444)</f>
        <v>16</v>
      </c>
      <c r="I444" s="49">
        <f t="shared" ref="I444:I475" si="68">MONTH(A444)</f>
        <v>12</v>
      </c>
      <c r="J444" s="122">
        <f t="shared" ref="J444:J475" si="69">YEAR(A444)</f>
        <v>2020</v>
      </c>
      <c r="K444" s="64">
        <f t="shared" ref="K444:K475" si="70">A444+60</f>
        <v>44241</v>
      </c>
      <c r="L444" s="10"/>
      <c r="M444" s="10"/>
      <c r="N444" s="199"/>
      <c r="O444" s="208">
        <v>44092</v>
      </c>
      <c r="P444" s="209">
        <f t="shared" ref="P444:P475" si="71">+SUMIF($A$2:$A$998,O444,$D$2:$D$998)</f>
        <v>0</v>
      </c>
      <c r="Q444" s="209">
        <f>+SUMIF('A DEPOSITAR'!$D$2:$D$998,(O444-2),'A DEPOSITAR'!$H$2:$H$998)</f>
        <v>0</v>
      </c>
      <c r="R444" s="210">
        <f t="shared" ref="R444:R475" si="72">+Q444-P444</f>
        <v>0</v>
      </c>
      <c r="S444" s="210">
        <f t="shared" ref="S444:S475" si="73">+S443+R444</f>
        <v>2930970.1000000015</v>
      </c>
      <c r="T444" s="209">
        <f t="shared" ref="T444:T475" si="74">+SUMIFS($D$2:$D$998,$A$2:$A$998,O444,$E$2:$E$998,"A Pagar")</f>
        <v>0</v>
      </c>
      <c r="U444" s="209">
        <f>+SUMIFS('A DEPOSITAR'!$H$2:$H$998,'A DEPOSITAR'!$D$2:$D$998,(O444-2),'A DEPOSITAR'!$I$2:$I$998,"A Depositar")</f>
        <v>0</v>
      </c>
      <c r="V444" s="10"/>
      <c r="W444" s="10"/>
      <c r="X444" s="10"/>
      <c r="Y444" s="10"/>
      <c r="Z444" s="10"/>
    </row>
    <row r="445" spans="1:26" ht="12.75" x14ac:dyDescent="0.2">
      <c r="A445" s="36">
        <v>44455</v>
      </c>
      <c r="B445" s="29" t="s">
        <v>939</v>
      </c>
      <c r="C445" s="29" t="s">
        <v>425</v>
      </c>
      <c r="D445" s="213">
        <v>1229.22</v>
      </c>
      <c r="E445" s="29" t="s">
        <v>22</v>
      </c>
      <c r="F445" s="34">
        <v>44116</v>
      </c>
      <c r="G445" s="29" t="s">
        <v>1284</v>
      </c>
      <c r="H445" s="49">
        <f t="shared" si="67"/>
        <v>16</v>
      </c>
      <c r="I445" s="49">
        <f t="shared" si="68"/>
        <v>9</v>
      </c>
      <c r="J445" s="122">
        <f t="shared" si="69"/>
        <v>2021</v>
      </c>
      <c r="K445" s="64">
        <f t="shared" si="70"/>
        <v>44515</v>
      </c>
      <c r="L445" s="10"/>
      <c r="M445" s="10"/>
      <c r="N445" s="199"/>
      <c r="O445" s="208">
        <v>44097</v>
      </c>
      <c r="P445" s="209">
        <f t="shared" si="71"/>
        <v>0</v>
      </c>
      <c r="Q445" s="209">
        <f>+SUMIF('A DEPOSITAR'!$D$2:$D$998,(O445-2),'A DEPOSITAR'!$H$2:$H$998)</f>
        <v>29500</v>
      </c>
      <c r="R445" s="210">
        <f t="shared" si="72"/>
        <v>29500</v>
      </c>
      <c r="S445" s="210">
        <f t="shared" si="73"/>
        <v>2960470.1000000015</v>
      </c>
      <c r="T445" s="209">
        <f t="shared" si="74"/>
        <v>0</v>
      </c>
      <c r="U445" s="209">
        <f>+SUMIFS('A DEPOSITAR'!$H$2:$H$998,'A DEPOSITAR'!$D$2:$D$998,(O445-2),'A DEPOSITAR'!$I$2:$I$998,"A Depositar")</f>
        <v>0</v>
      </c>
      <c r="V445" s="10"/>
      <c r="W445" s="10"/>
      <c r="X445" s="10"/>
      <c r="Y445" s="10"/>
      <c r="Z445" s="10"/>
    </row>
    <row r="446" spans="1:26" ht="12.75" x14ac:dyDescent="0.2">
      <c r="A446" s="36">
        <v>44485</v>
      </c>
      <c r="B446" s="29" t="s">
        <v>939</v>
      </c>
      <c r="C446" s="29" t="s">
        <v>427</v>
      </c>
      <c r="D446" s="213">
        <v>1249.3</v>
      </c>
      <c r="E446" s="29" t="s">
        <v>22</v>
      </c>
      <c r="F446" s="34">
        <v>44116</v>
      </c>
      <c r="G446" s="29" t="s">
        <v>1296</v>
      </c>
      <c r="H446" s="49">
        <f t="shared" si="67"/>
        <v>16</v>
      </c>
      <c r="I446" s="49">
        <f t="shared" si="68"/>
        <v>10</v>
      </c>
      <c r="J446" s="122">
        <f t="shared" si="69"/>
        <v>2021</v>
      </c>
      <c r="K446" s="64">
        <f t="shared" si="70"/>
        <v>44545</v>
      </c>
      <c r="L446" s="10"/>
      <c r="M446" s="10"/>
      <c r="N446" s="199"/>
      <c r="O446" s="208">
        <v>44101</v>
      </c>
      <c r="P446" s="209">
        <f t="shared" si="71"/>
        <v>0</v>
      </c>
      <c r="Q446" s="209">
        <f>+SUMIF('A DEPOSITAR'!$D$2:$D$998,(O446-2),'A DEPOSITAR'!$H$2:$H$998)</f>
        <v>0</v>
      </c>
      <c r="R446" s="210">
        <f t="shared" si="72"/>
        <v>0</v>
      </c>
      <c r="S446" s="210">
        <f t="shared" si="73"/>
        <v>2960470.1000000015</v>
      </c>
      <c r="T446" s="209">
        <f t="shared" si="74"/>
        <v>0</v>
      </c>
      <c r="U446" s="209">
        <f>+SUMIFS('A DEPOSITAR'!$H$2:$H$998,'A DEPOSITAR'!$D$2:$D$998,(O446-2),'A DEPOSITAR'!$I$2:$I$998,"A Depositar")</f>
        <v>0</v>
      </c>
      <c r="V446" s="10"/>
      <c r="W446" s="10"/>
      <c r="X446" s="10"/>
      <c r="Y446" s="10"/>
      <c r="Z446" s="10"/>
    </row>
    <row r="447" spans="1:26" ht="12.75" x14ac:dyDescent="0.2">
      <c r="A447" s="36">
        <v>44516</v>
      </c>
      <c r="B447" s="29" t="s">
        <v>939</v>
      </c>
      <c r="C447" s="29" t="s">
        <v>428</v>
      </c>
      <c r="D447" s="50">
        <v>1269.3699999999999</v>
      </c>
      <c r="E447" s="29" t="s">
        <v>136</v>
      </c>
      <c r="F447" s="34">
        <v>44116</v>
      </c>
      <c r="G447" s="29"/>
      <c r="H447" s="49">
        <f t="shared" si="67"/>
        <v>16</v>
      </c>
      <c r="I447" s="49">
        <f t="shared" si="68"/>
        <v>11</v>
      </c>
      <c r="J447" s="122">
        <f t="shared" si="69"/>
        <v>2021</v>
      </c>
      <c r="K447" s="64">
        <f t="shared" si="70"/>
        <v>44576</v>
      </c>
      <c r="L447" s="10"/>
      <c r="M447" s="10"/>
      <c r="N447" s="199"/>
      <c r="O447" s="208">
        <v>44105</v>
      </c>
      <c r="P447" s="209">
        <f t="shared" si="71"/>
        <v>0</v>
      </c>
      <c r="Q447" s="209">
        <f>+SUMIF('A DEPOSITAR'!$D$2:$D$998,(O447-2),'A DEPOSITAR'!$H$2:$H$998)</f>
        <v>6054</v>
      </c>
      <c r="R447" s="210">
        <f t="shared" si="72"/>
        <v>6054</v>
      </c>
      <c r="S447" s="210">
        <f t="shared" si="73"/>
        <v>2966524.1000000015</v>
      </c>
      <c r="T447" s="209">
        <f t="shared" si="74"/>
        <v>0</v>
      </c>
      <c r="U447" s="209">
        <f>+SUMIFS('A DEPOSITAR'!$H$2:$H$998,'A DEPOSITAR'!$D$2:$D$998,(O447-2),'A DEPOSITAR'!$I$2:$I$998,"A Depositar")</f>
        <v>0</v>
      </c>
      <c r="V447" s="10"/>
      <c r="W447" s="10"/>
      <c r="X447" s="10"/>
      <c r="Y447" s="10"/>
      <c r="Z447" s="10"/>
    </row>
    <row r="448" spans="1:26" ht="12.75" x14ac:dyDescent="0.2">
      <c r="A448" s="177">
        <v>44028</v>
      </c>
      <c r="B448" s="178" t="s">
        <v>418</v>
      </c>
      <c r="C448" s="178" t="s">
        <v>230</v>
      </c>
      <c r="D448" s="179">
        <v>3621.58</v>
      </c>
      <c r="E448" s="103" t="s">
        <v>22</v>
      </c>
      <c r="F448" s="180">
        <v>43892</v>
      </c>
      <c r="G448" s="103"/>
      <c r="H448" s="106">
        <f t="shared" si="67"/>
        <v>16</v>
      </c>
      <c r="I448" s="106">
        <f t="shared" si="68"/>
        <v>7</v>
      </c>
      <c r="J448" s="124">
        <f t="shared" si="69"/>
        <v>2020</v>
      </c>
      <c r="K448" s="175">
        <f t="shared" si="70"/>
        <v>44088</v>
      </c>
      <c r="L448" s="181"/>
      <c r="M448" s="181"/>
      <c r="N448" s="182"/>
      <c r="O448" s="208">
        <v>44093</v>
      </c>
      <c r="P448" s="209">
        <f t="shared" si="71"/>
        <v>0</v>
      </c>
      <c r="Q448" s="209">
        <f>+SUMIF('A DEPOSITAR'!$D$2:$D$998,(O448-2),'A DEPOSITAR'!$H$2:$H$998)</f>
        <v>0</v>
      </c>
      <c r="R448" s="210">
        <f t="shared" si="72"/>
        <v>0</v>
      </c>
      <c r="S448" s="210">
        <f t="shared" si="73"/>
        <v>2966524.1000000015</v>
      </c>
      <c r="T448" s="209">
        <f t="shared" si="74"/>
        <v>0</v>
      </c>
      <c r="U448" s="209">
        <f>+SUMIFS('A DEPOSITAR'!$H$2:$H$998,'A DEPOSITAR'!$D$2:$D$998,(O448-2),'A DEPOSITAR'!$I$2:$I$998,"A Depositar")</f>
        <v>0</v>
      </c>
      <c r="V448" s="181"/>
      <c r="W448" s="181"/>
      <c r="X448" s="181"/>
      <c r="Y448" s="181"/>
      <c r="Z448" s="181"/>
    </row>
    <row r="449" spans="1:26" ht="12.75" x14ac:dyDescent="0.2">
      <c r="A449" s="102">
        <v>43815</v>
      </c>
      <c r="B449" s="103" t="s">
        <v>229</v>
      </c>
      <c r="C449" s="103" t="s">
        <v>230</v>
      </c>
      <c r="D449" s="104">
        <v>1153.93</v>
      </c>
      <c r="E449" s="103" t="s">
        <v>22</v>
      </c>
      <c r="F449" s="105">
        <v>43780</v>
      </c>
      <c r="G449" s="103"/>
      <c r="H449" s="106">
        <f t="shared" si="67"/>
        <v>16</v>
      </c>
      <c r="I449" s="106">
        <f t="shared" si="68"/>
        <v>12</v>
      </c>
      <c r="J449" s="124">
        <f t="shared" si="69"/>
        <v>2019</v>
      </c>
      <c r="K449" s="175">
        <f t="shared" si="70"/>
        <v>43875</v>
      </c>
      <c r="L449" s="6"/>
      <c r="M449" s="6"/>
      <c r="O449" s="208">
        <v>44094</v>
      </c>
      <c r="P449" s="209">
        <f t="shared" si="71"/>
        <v>25000</v>
      </c>
      <c r="Q449" s="209">
        <f>+SUMIF('A DEPOSITAR'!$D$2:$D$998,(O449-2),'A DEPOSITAR'!$H$2:$H$998)</f>
        <v>20000</v>
      </c>
      <c r="R449" s="210">
        <f t="shared" si="72"/>
        <v>-5000</v>
      </c>
      <c r="S449" s="210">
        <f t="shared" si="73"/>
        <v>2961524.1000000015</v>
      </c>
      <c r="T449" s="209">
        <f t="shared" si="74"/>
        <v>0</v>
      </c>
      <c r="U449" s="209">
        <f>+SUMIFS('A DEPOSITAR'!$H$2:$H$998,'A DEPOSITAR'!$D$2:$D$998,(O449-2),'A DEPOSITAR'!$I$2:$I$998,"A Depositar")</f>
        <v>0</v>
      </c>
      <c r="V449" s="6"/>
      <c r="W449" s="6"/>
      <c r="X449" s="6"/>
      <c r="Y449" s="6"/>
      <c r="Z449" s="6"/>
    </row>
    <row r="450" spans="1:26" ht="12.75" x14ac:dyDescent="0.2">
      <c r="A450" s="36">
        <v>44546</v>
      </c>
      <c r="B450" s="29" t="s">
        <v>939</v>
      </c>
      <c r="C450" s="29" t="s">
        <v>429</v>
      </c>
      <c r="D450" s="37">
        <v>1289.45</v>
      </c>
      <c r="E450" s="29" t="s">
        <v>136</v>
      </c>
      <c r="F450" s="34">
        <v>44116</v>
      </c>
      <c r="G450" s="18"/>
      <c r="H450" s="16">
        <f t="shared" si="67"/>
        <v>16</v>
      </c>
      <c r="I450" s="16">
        <f t="shared" si="68"/>
        <v>12</v>
      </c>
      <c r="J450" s="122">
        <f t="shared" si="69"/>
        <v>2021</v>
      </c>
      <c r="K450" s="64">
        <f t="shared" si="70"/>
        <v>44606</v>
      </c>
      <c r="L450" s="6"/>
      <c r="M450" s="6"/>
      <c r="O450" s="208">
        <v>44109</v>
      </c>
      <c r="P450" s="209">
        <f t="shared" si="71"/>
        <v>0</v>
      </c>
      <c r="Q450" s="209">
        <f>+SUMIF('A DEPOSITAR'!$D$2:$D$998,(O450-2),'A DEPOSITAR'!$H$2:$H$998)</f>
        <v>22500</v>
      </c>
      <c r="R450" s="210">
        <f t="shared" si="72"/>
        <v>22500</v>
      </c>
      <c r="S450" s="210">
        <f t="shared" si="73"/>
        <v>2984024.1000000015</v>
      </c>
      <c r="T450" s="209">
        <f t="shared" si="74"/>
        <v>0</v>
      </c>
      <c r="U450" s="209">
        <f>+SUMIFS('A DEPOSITAR'!$H$2:$H$998,'A DEPOSITAR'!$D$2:$D$998,(O450-2),'A DEPOSITAR'!$I$2:$I$998,"A Depositar")</f>
        <v>0</v>
      </c>
      <c r="V450" s="6"/>
      <c r="W450" s="6"/>
      <c r="X450" s="6"/>
      <c r="Y450" s="6"/>
      <c r="Z450" s="6"/>
    </row>
    <row r="451" spans="1:26" ht="12.75" x14ac:dyDescent="0.2">
      <c r="A451" s="36">
        <v>44577</v>
      </c>
      <c r="B451" s="29" t="s">
        <v>939</v>
      </c>
      <c r="C451" s="29" t="s">
        <v>430</v>
      </c>
      <c r="D451" s="37">
        <v>1309.52</v>
      </c>
      <c r="E451" s="29" t="s">
        <v>136</v>
      </c>
      <c r="F451" s="34">
        <v>44116</v>
      </c>
      <c r="G451" s="18"/>
      <c r="H451" s="16">
        <f t="shared" si="67"/>
        <v>16</v>
      </c>
      <c r="I451" s="16">
        <f t="shared" si="68"/>
        <v>1</v>
      </c>
      <c r="J451" s="122">
        <f t="shared" si="69"/>
        <v>2022</v>
      </c>
      <c r="K451" s="64">
        <f t="shared" si="70"/>
        <v>44637</v>
      </c>
      <c r="L451" s="6"/>
      <c r="M451" s="6"/>
      <c r="O451" s="208">
        <v>44113</v>
      </c>
      <c r="P451" s="209">
        <f t="shared" si="71"/>
        <v>0</v>
      </c>
      <c r="Q451" s="209">
        <f>+SUMIF('A DEPOSITAR'!$D$2:$D$998,(O451-2),'A DEPOSITAR'!$H$2:$H$998)</f>
        <v>32900</v>
      </c>
      <c r="R451" s="210">
        <f t="shared" si="72"/>
        <v>32900</v>
      </c>
      <c r="S451" s="210">
        <f t="shared" si="73"/>
        <v>3016924.1000000015</v>
      </c>
      <c r="T451" s="209">
        <f t="shared" si="74"/>
        <v>0</v>
      </c>
      <c r="U451" s="209">
        <f>+SUMIFS('A DEPOSITAR'!$H$2:$H$998,'A DEPOSITAR'!$D$2:$D$998,(O451-2),'A DEPOSITAR'!$I$2:$I$998,"A Depositar")</f>
        <v>0</v>
      </c>
      <c r="V451" s="6"/>
      <c r="W451" s="6"/>
      <c r="X451" s="6"/>
      <c r="Y451" s="6"/>
      <c r="Z451" s="6"/>
    </row>
    <row r="452" spans="1:26" ht="12.75" x14ac:dyDescent="0.2">
      <c r="A452" s="36">
        <v>44608</v>
      </c>
      <c r="B452" s="29" t="s">
        <v>939</v>
      </c>
      <c r="C452" s="29" t="s">
        <v>431</v>
      </c>
      <c r="D452" s="37">
        <v>1329.59</v>
      </c>
      <c r="E452" s="29" t="s">
        <v>136</v>
      </c>
      <c r="F452" s="7">
        <v>44116</v>
      </c>
      <c r="G452" s="18"/>
      <c r="H452" s="16">
        <f t="shared" si="67"/>
        <v>16</v>
      </c>
      <c r="I452" s="16">
        <f t="shared" si="68"/>
        <v>2</v>
      </c>
      <c r="J452" s="122">
        <f t="shared" si="69"/>
        <v>2022</v>
      </c>
      <c r="K452" s="64">
        <f t="shared" si="70"/>
        <v>44668</v>
      </c>
      <c r="L452" s="6"/>
      <c r="M452" s="6"/>
      <c r="O452" s="208">
        <v>44117</v>
      </c>
      <c r="P452" s="209">
        <f t="shared" si="71"/>
        <v>0</v>
      </c>
      <c r="Q452" s="209">
        <f>+SUMIF('A DEPOSITAR'!$D$2:$D$998,(O452-2),'A DEPOSITAR'!$H$2:$H$998)</f>
        <v>0</v>
      </c>
      <c r="R452" s="210">
        <f t="shared" si="72"/>
        <v>0</v>
      </c>
      <c r="S452" s="210">
        <f t="shared" si="73"/>
        <v>3016924.1000000015</v>
      </c>
      <c r="T452" s="209">
        <f t="shared" si="74"/>
        <v>0</v>
      </c>
      <c r="U452" s="209">
        <f>+SUMIFS('A DEPOSITAR'!$H$2:$H$998,'A DEPOSITAR'!$D$2:$D$998,(O452-2),'A DEPOSITAR'!$I$2:$I$998,"A Depositar")</f>
        <v>0</v>
      </c>
      <c r="V452" s="6"/>
      <c r="W452" s="6"/>
      <c r="X452" s="6"/>
      <c r="Y452" s="6"/>
      <c r="Z452" s="6"/>
    </row>
    <row r="453" spans="1:26" ht="12.75" x14ac:dyDescent="0.2">
      <c r="A453" s="177">
        <v>44302</v>
      </c>
      <c r="B453" s="178" t="s">
        <v>418</v>
      </c>
      <c r="C453" s="178" t="s">
        <v>425</v>
      </c>
      <c r="D453" s="179">
        <v>4484.0200000000004</v>
      </c>
      <c r="E453" s="103" t="s">
        <v>327</v>
      </c>
      <c r="F453" s="180">
        <v>43892</v>
      </c>
      <c r="G453" s="103"/>
      <c r="H453" s="106">
        <f t="shared" si="67"/>
        <v>16</v>
      </c>
      <c r="I453" s="106">
        <f t="shared" si="68"/>
        <v>4</v>
      </c>
      <c r="J453" s="124">
        <f t="shared" si="69"/>
        <v>2021</v>
      </c>
      <c r="K453" s="175">
        <f t="shared" si="70"/>
        <v>44362</v>
      </c>
      <c r="L453" s="181"/>
      <c r="M453" s="181"/>
      <c r="N453" s="182"/>
      <c r="O453" s="208">
        <v>44098</v>
      </c>
      <c r="P453" s="209">
        <f t="shared" si="71"/>
        <v>0</v>
      </c>
      <c r="Q453" s="209">
        <f>+SUMIF('A DEPOSITAR'!$D$2:$D$998,(O453-2),'A DEPOSITAR'!$H$2:$H$998)</f>
        <v>0</v>
      </c>
      <c r="R453" s="210">
        <f t="shared" si="72"/>
        <v>0</v>
      </c>
      <c r="S453" s="210">
        <f t="shared" si="73"/>
        <v>3016924.1000000015</v>
      </c>
      <c r="T453" s="209">
        <f t="shared" si="74"/>
        <v>0</v>
      </c>
      <c r="U453" s="209">
        <f>+SUMIFS('A DEPOSITAR'!$H$2:$H$998,'A DEPOSITAR'!$D$2:$D$998,(O453-2),'A DEPOSITAR'!$I$2:$I$998,"A Depositar")</f>
        <v>0</v>
      </c>
      <c r="V453" s="181"/>
      <c r="W453" s="181"/>
      <c r="X453" s="181"/>
      <c r="Y453" s="181"/>
      <c r="Z453" s="181"/>
    </row>
    <row r="454" spans="1:26" ht="12.75" x14ac:dyDescent="0.2">
      <c r="A454" s="36">
        <v>44636</v>
      </c>
      <c r="B454" s="29" t="s">
        <v>939</v>
      </c>
      <c r="C454" s="29" t="s">
        <v>432</v>
      </c>
      <c r="D454" s="37">
        <v>1349.66</v>
      </c>
      <c r="E454" s="29" t="s">
        <v>136</v>
      </c>
      <c r="F454" s="34">
        <v>44116</v>
      </c>
      <c r="G454" s="18"/>
      <c r="H454" s="16">
        <f t="shared" si="67"/>
        <v>16</v>
      </c>
      <c r="I454" s="16">
        <f t="shared" si="68"/>
        <v>3</v>
      </c>
      <c r="J454" s="122">
        <f t="shared" si="69"/>
        <v>2022</v>
      </c>
      <c r="K454" s="64">
        <f t="shared" si="70"/>
        <v>44696</v>
      </c>
      <c r="L454" s="6"/>
      <c r="M454" s="6"/>
      <c r="O454" s="208">
        <v>44121</v>
      </c>
      <c r="P454" s="209">
        <f t="shared" si="71"/>
        <v>0</v>
      </c>
      <c r="Q454" s="209">
        <f>+SUMIF('A DEPOSITAR'!$D$2:$D$998,(O454-2),'A DEPOSITAR'!$H$2:$H$998)</f>
        <v>102081</v>
      </c>
      <c r="R454" s="210">
        <f t="shared" si="72"/>
        <v>102081</v>
      </c>
      <c r="S454" s="210">
        <f t="shared" si="73"/>
        <v>3119005.1000000015</v>
      </c>
      <c r="T454" s="209">
        <f t="shared" si="74"/>
        <v>0</v>
      </c>
      <c r="U454" s="209">
        <f>+SUMIFS('A DEPOSITAR'!$H$2:$H$998,'A DEPOSITAR'!$D$2:$D$998,(O454-2),'A DEPOSITAR'!$I$2:$I$998,"A Depositar")</f>
        <v>0</v>
      </c>
      <c r="V454" s="6"/>
      <c r="W454" s="6"/>
      <c r="X454" s="6"/>
      <c r="Y454" s="6"/>
      <c r="Z454" s="6"/>
    </row>
    <row r="455" spans="1:26" ht="12.75" x14ac:dyDescent="0.2">
      <c r="A455" s="36">
        <v>44667</v>
      </c>
      <c r="B455" s="29" t="s">
        <v>939</v>
      </c>
      <c r="C455" s="29" t="s">
        <v>433</v>
      </c>
      <c r="D455" s="37">
        <v>1369.75</v>
      </c>
      <c r="E455" s="29" t="s">
        <v>136</v>
      </c>
      <c r="F455" s="34">
        <v>44116</v>
      </c>
      <c r="G455" s="18"/>
      <c r="H455" s="16">
        <f t="shared" si="67"/>
        <v>16</v>
      </c>
      <c r="I455" s="16">
        <f t="shared" si="68"/>
        <v>4</v>
      </c>
      <c r="J455" s="122">
        <f t="shared" si="69"/>
        <v>2022</v>
      </c>
      <c r="K455" s="64">
        <f t="shared" si="70"/>
        <v>44727</v>
      </c>
      <c r="L455" s="6"/>
      <c r="M455" s="6"/>
      <c r="O455" s="208">
        <v>44125</v>
      </c>
      <c r="P455" s="209">
        <f t="shared" si="71"/>
        <v>0</v>
      </c>
      <c r="Q455" s="209">
        <f>+SUMIF('A DEPOSITAR'!$D$2:$D$998,(O455-2),'A DEPOSITAR'!$H$2:$H$998)</f>
        <v>0</v>
      </c>
      <c r="R455" s="210">
        <f t="shared" si="72"/>
        <v>0</v>
      </c>
      <c r="S455" s="210">
        <f t="shared" si="73"/>
        <v>3119005.1000000015</v>
      </c>
      <c r="T455" s="209">
        <f t="shared" si="74"/>
        <v>0</v>
      </c>
      <c r="U455" s="209">
        <f>+SUMIFS('A DEPOSITAR'!$H$2:$H$998,'A DEPOSITAR'!$D$2:$D$998,(O455-2),'A DEPOSITAR'!$I$2:$I$998,"A Depositar")</f>
        <v>0</v>
      </c>
      <c r="V455" s="6"/>
      <c r="W455" s="6"/>
      <c r="X455" s="6"/>
      <c r="Y455" s="6"/>
      <c r="Z455" s="6"/>
    </row>
    <row r="456" spans="1:26" ht="12.75" x14ac:dyDescent="0.2">
      <c r="A456" s="36">
        <v>44697</v>
      </c>
      <c r="B456" s="29" t="s">
        <v>939</v>
      </c>
      <c r="C456" s="29" t="s">
        <v>434</v>
      </c>
      <c r="D456" s="37">
        <v>1389.82</v>
      </c>
      <c r="E456" s="29" t="s">
        <v>136</v>
      </c>
      <c r="F456" s="34">
        <v>44116</v>
      </c>
      <c r="G456" s="18"/>
      <c r="H456" s="16">
        <f t="shared" si="67"/>
        <v>16</v>
      </c>
      <c r="I456" s="16">
        <f t="shared" si="68"/>
        <v>5</v>
      </c>
      <c r="J456" s="122">
        <f t="shared" si="69"/>
        <v>2022</v>
      </c>
      <c r="K456" s="64">
        <f t="shared" si="70"/>
        <v>44757</v>
      </c>
      <c r="L456" s="6"/>
      <c r="M456" s="6"/>
      <c r="O456" s="208">
        <v>44129</v>
      </c>
      <c r="P456" s="209">
        <f t="shared" si="71"/>
        <v>0</v>
      </c>
      <c r="Q456" s="209">
        <f>+SUMIF('A DEPOSITAR'!$D$2:$D$998,(O456-2),'A DEPOSITAR'!$H$2:$H$998)</f>
        <v>45000</v>
      </c>
      <c r="R456" s="210">
        <f t="shared" si="72"/>
        <v>45000</v>
      </c>
      <c r="S456" s="210">
        <f t="shared" si="73"/>
        <v>3164005.1000000015</v>
      </c>
      <c r="T456" s="209">
        <f t="shared" si="74"/>
        <v>0</v>
      </c>
      <c r="U456" s="209">
        <f>+SUMIFS('A DEPOSITAR'!$H$2:$H$998,'A DEPOSITAR'!$D$2:$D$998,(O456-2),'A DEPOSITAR'!$I$2:$I$998,"A Depositar")</f>
        <v>0</v>
      </c>
      <c r="V456" s="6"/>
      <c r="W456" s="6"/>
      <c r="X456" s="6"/>
      <c r="Y456" s="6"/>
      <c r="Z456" s="6"/>
    </row>
    <row r="457" spans="1:26" ht="12.75" x14ac:dyDescent="0.2">
      <c r="A457" s="177">
        <v>44332</v>
      </c>
      <c r="B457" s="178" t="s">
        <v>418</v>
      </c>
      <c r="C457" s="178" t="s">
        <v>427</v>
      </c>
      <c r="D457" s="179">
        <v>4576.3100000000004</v>
      </c>
      <c r="E457" s="103" t="s">
        <v>327</v>
      </c>
      <c r="F457" s="180">
        <v>43892</v>
      </c>
      <c r="G457" s="103"/>
      <c r="H457" s="106">
        <f t="shared" si="67"/>
        <v>16</v>
      </c>
      <c r="I457" s="106">
        <f t="shared" si="68"/>
        <v>5</v>
      </c>
      <c r="J457" s="124">
        <f t="shared" si="69"/>
        <v>2021</v>
      </c>
      <c r="K457" s="175">
        <f t="shared" si="70"/>
        <v>44392</v>
      </c>
      <c r="L457" s="181"/>
      <c r="M457" s="181"/>
      <c r="N457" s="182"/>
      <c r="O457" s="208">
        <v>44102</v>
      </c>
      <c r="P457" s="209">
        <f t="shared" si="71"/>
        <v>0</v>
      </c>
      <c r="Q457" s="209">
        <f>+SUMIF('A DEPOSITAR'!$D$2:$D$998,(O457-2),'A DEPOSITAR'!$H$2:$H$998)</f>
        <v>41684.770000000004</v>
      </c>
      <c r="R457" s="210">
        <f t="shared" si="72"/>
        <v>41684.770000000004</v>
      </c>
      <c r="S457" s="210">
        <f t="shared" si="73"/>
        <v>3205689.8700000015</v>
      </c>
      <c r="T457" s="209">
        <f t="shared" si="74"/>
        <v>0</v>
      </c>
      <c r="U457" s="209">
        <f>+SUMIFS('A DEPOSITAR'!$H$2:$H$998,'A DEPOSITAR'!$D$2:$D$998,(O457-2),'A DEPOSITAR'!$I$2:$I$998,"A Depositar")</f>
        <v>0</v>
      </c>
      <c r="V457" s="181"/>
      <c r="W457" s="181"/>
      <c r="X457" s="181"/>
      <c r="Y457" s="181"/>
      <c r="Z457" s="181"/>
    </row>
    <row r="458" spans="1:26" ht="12.75" x14ac:dyDescent="0.2">
      <c r="A458" s="36">
        <v>44728</v>
      </c>
      <c r="B458" s="29" t="s">
        <v>939</v>
      </c>
      <c r="C458" s="29" t="s">
        <v>940</v>
      </c>
      <c r="D458" s="37">
        <v>1409.89</v>
      </c>
      <c r="E458" s="29" t="s">
        <v>136</v>
      </c>
      <c r="F458" s="34">
        <v>44116</v>
      </c>
      <c r="G458" s="18"/>
      <c r="H458" s="16">
        <f t="shared" si="67"/>
        <v>16</v>
      </c>
      <c r="I458" s="16">
        <f t="shared" si="68"/>
        <v>6</v>
      </c>
      <c r="J458" s="122">
        <f t="shared" si="69"/>
        <v>2022</v>
      </c>
      <c r="K458" s="64">
        <f t="shared" si="70"/>
        <v>44788</v>
      </c>
      <c r="L458" s="6"/>
      <c r="M458" s="6"/>
      <c r="O458" s="208">
        <v>44133</v>
      </c>
      <c r="P458" s="209">
        <f t="shared" si="71"/>
        <v>0</v>
      </c>
      <c r="Q458" s="209">
        <f>+SUMIF('A DEPOSITAR'!$D$2:$D$998,(O458-2),'A DEPOSITAR'!$H$2:$H$998)</f>
        <v>0</v>
      </c>
      <c r="R458" s="210">
        <f t="shared" si="72"/>
        <v>0</v>
      </c>
      <c r="S458" s="210">
        <f t="shared" si="73"/>
        <v>3205689.8700000015</v>
      </c>
      <c r="T458" s="209">
        <f t="shared" si="74"/>
        <v>0</v>
      </c>
      <c r="U458" s="209">
        <f>+SUMIFS('A DEPOSITAR'!$H$2:$H$998,'A DEPOSITAR'!$D$2:$D$998,(O458-2),'A DEPOSITAR'!$I$2:$I$998,"A Depositar")</f>
        <v>0</v>
      </c>
      <c r="V458" s="6"/>
      <c r="W458" s="6"/>
      <c r="X458" s="6"/>
      <c r="Y458" s="6"/>
      <c r="Z458" s="6"/>
    </row>
    <row r="459" spans="1:26" ht="12.75" x14ac:dyDescent="0.2">
      <c r="A459" s="36">
        <v>44212</v>
      </c>
      <c r="B459" s="29" t="s">
        <v>939</v>
      </c>
      <c r="C459" s="29" t="s">
        <v>231</v>
      </c>
      <c r="D459" s="37">
        <v>1068.6300000000001</v>
      </c>
      <c r="E459" s="29" t="s">
        <v>22</v>
      </c>
      <c r="F459" s="34">
        <v>44116</v>
      </c>
      <c r="G459" s="18"/>
      <c r="H459" s="16">
        <f t="shared" si="67"/>
        <v>16</v>
      </c>
      <c r="I459" s="16">
        <f t="shared" si="68"/>
        <v>1</v>
      </c>
      <c r="J459" s="122">
        <f t="shared" si="69"/>
        <v>2021</v>
      </c>
      <c r="K459" s="64">
        <f t="shared" si="70"/>
        <v>44272</v>
      </c>
      <c r="L459" s="6"/>
      <c r="M459" s="6"/>
      <c r="O459" s="208">
        <v>44139</v>
      </c>
      <c r="P459" s="209">
        <f t="shared" si="71"/>
        <v>0</v>
      </c>
      <c r="Q459" s="209">
        <f>+SUMIF('A DEPOSITAR'!$D$2:$D$998,(O459-2),'A DEPOSITAR'!$H$2:$H$998)</f>
        <v>42472.39</v>
      </c>
      <c r="R459" s="210">
        <f t="shared" si="72"/>
        <v>42472.39</v>
      </c>
      <c r="S459" s="210">
        <f t="shared" si="73"/>
        <v>3248162.2600000016</v>
      </c>
      <c r="T459" s="209">
        <f t="shared" si="74"/>
        <v>0</v>
      </c>
      <c r="U459" s="209">
        <f>+SUMIFS('A DEPOSITAR'!$H$2:$H$998,'A DEPOSITAR'!$D$2:$D$998,(O459-2),'A DEPOSITAR'!$I$2:$I$998,"A Depositar")</f>
        <v>0</v>
      </c>
      <c r="V459" s="6"/>
      <c r="W459" s="6"/>
      <c r="X459" s="6"/>
      <c r="Y459" s="6"/>
      <c r="Z459" s="6"/>
    </row>
    <row r="460" spans="1:26" ht="12.75" x14ac:dyDescent="0.2">
      <c r="A460" s="36">
        <v>44758</v>
      </c>
      <c r="B460" s="29" t="s">
        <v>939</v>
      </c>
      <c r="C460" s="29" t="s">
        <v>941</v>
      </c>
      <c r="D460" s="37">
        <v>1429.96</v>
      </c>
      <c r="E460" s="29" t="s">
        <v>136</v>
      </c>
      <c r="F460" s="34">
        <v>44116</v>
      </c>
      <c r="G460" s="18"/>
      <c r="H460" s="16">
        <f t="shared" si="67"/>
        <v>16</v>
      </c>
      <c r="I460" s="16">
        <f t="shared" si="68"/>
        <v>7</v>
      </c>
      <c r="J460" s="122">
        <f t="shared" si="69"/>
        <v>2022</v>
      </c>
      <c r="K460" s="64">
        <f t="shared" si="70"/>
        <v>44818</v>
      </c>
      <c r="L460" s="6"/>
      <c r="M460" s="6"/>
      <c r="O460" s="208">
        <v>44144</v>
      </c>
      <c r="P460" s="209">
        <f t="shared" si="71"/>
        <v>0</v>
      </c>
      <c r="Q460" s="209">
        <f>+SUMIF('A DEPOSITAR'!$D$2:$D$998,(O460-2),'A DEPOSITAR'!$H$2:$H$998)</f>
        <v>0</v>
      </c>
      <c r="R460" s="210">
        <f t="shared" si="72"/>
        <v>0</v>
      </c>
      <c r="S460" s="210">
        <f t="shared" si="73"/>
        <v>3248162.2600000016</v>
      </c>
      <c r="T460" s="209">
        <f t="shared" si="74"/>
        <v>0</v>
      </c>
      <c r="U460" s="209">
        <f>+SUMIFS('A DEPOSITAR'!$H$2:$H$998,'A DEPOSITAR'!$D$2:$D$998,(O460-2),'A DEPOSITAR'!$I$2:$I$998,"A Depositar")</f>
        <v>0</v>
      </c>
      <c r="V460" s="6"/>
      <c r="W460" s="6"/>
      <c r="X460" s="6"/>
      <c r="Y460" s="6"/>
      <c r="Z460" s="6"/>
    </row>
    <row r="461" spans="1:26" ht="12.75" x14ac:dyDescent="0.2">
      <c r="A461" s="177">
        <v>44363</v>
      </c>
      <c r="B461" s="178" t="s">
        <v>418</v>
      </c>
      <c r="C461" s="178" t="s">
        <v>428</v>
      </c>
      <c r="D461" s="179">
        <v>4674.96</v>
      </c>
      <c r="E461" s="103" t="s">
        <v>327</v>
      </c>
      <c r="F461" s="180">
        <v>43892</v>
      </c>
      <c r="G461" s="103"/>
      <c r="H461" s="106">
        <f t="shared" si="67"/>
        <v>16</v>
      </c>
      <c r="I461" s="106">
        <f t="shared" si="68"/>
        <v>6</v>
      </c>
      <c r="J461" s="124">
        <f t="shared" si="69"/>
        <v>2021</v>
      </c>
      <c r="K461" s="175">
        <f t="shared" si="70"/>
        <v>44423</v>
      </c>
      <c r="L461" s="181"/>
      <c r="M461" s="181"/>
      <c r="N461" s="182"/>
      <c r="O461" s="208">
        <v>44106</v>
      </c>
      <c r="P461" s="209">
        <f t="shared" si="71"/>
        <v>0</v>
      </c>
      <c r="Q461" s="209">
        <f>+SUMIF('A DEPOSITAR'!$D$2:$D$998,(O461-2),'A DEPOSITAR'!$H$2:$H$998)</f>
        <v>159795</v>
      </c>
      <c r="R461" s="210">
        <f t="shared" si="72"/>
        <v>159795</v>
      </c>
      <c r="S461" s="210">
        <f t="shared" si="73"/>
        <v>3407957.2600000016</v>
      </c>
      <c r="T461" s="209">
        <f t="shared" si="74"/>
        <v>0</v>
      </c>
      <c r="U461" s="209">
        <f>+SUMIFS('A DEPOSITAR'!$H$2:$H$998,'A DEPOSITAR'!$D$2:$D$998,(O461-2),'A DEPOSITAR'!$I$2:$I$998,"A Depositar")</f>
        <v>0</v>
      </c>
      <c r="V461" s="181"/>
      <c r="W461" s="181"/>
      <c r="X461" s="181"/>
      <c r="Y461" s="181"/>
      <c r="Z461" s="181"/>
    </row>
    <row r="462" spans="1:26" ht="12.75" x14ac:dyDescent="0.2">
      <c r="A462" s="36">
        <v>44789</v>
      </c>
      <c r="B462" s="29" t="s">
        <v>939</v>
      </c>
      <c r="C462" s="29" t="s">
        <v>942</v>
      </c>
      <c r="D462" s="37">
        <v>1450.04</v>
      </c>
      <c r="E462" s="18" t="s">
        <v>136</v>
      </c>
      <c r="F462" s="7">
        <v>44116</v>
      </c>
      <c r="G462" s="18"/>
      <c r="H462" s="16">
        <f t="shared" si="67"/>
        <v>16</v>
      </c>
      <c r="I462" s="16">
        <f t="shared" si="68"/>
        <v>8</v>
      </c>
      <c r="J462" s="122">
        <f t="shared" si="69"/>
        <v>2022</v>
      </c>
      <c r="K462" s="64">
        <f t="shared" si="70"/>
        <v>44849</v>
      </c>
      <c r="L462" s="6"/>
      <c r="M462" s="6"/>
      <c r="O462" s="208">
        <v>44146</v>
      </c>
      <c r="P462" s="209">
        <f t="shared" si="71"/>
        <v>0</v>
      </c>
      <c r="Q462" s="209">
        <f>+SUMIF('A DEPOSITAR'!$D$2:$D$998,(O462-2),'A DEPOSITAR'!$H$2:$H$998)</f>
        <v>0</v>
      </c>
      <c r="R462" s="210">
        <f t="shared" si="72"/>
        <v>0</v>
      </c>
      <c r="S462" s="210">
        <f t="shared" si="73"/>
        <v>3407957.2600000016</v>
      </c>
      <c r="T462" s="209">
        <f t="shared" si="74"/>
        <v>0</v>
      </c>
      <c r="U462" s="209">
        <f>+SUMIFS('A DEPOSITAR'!$H$2:$H$998,'A DEPOSITAR'!$D$2:$D$998,(O462-2),'A DEPOSITAR'!$I$2:$I$998,"A Depositar")</f>
        <v>0</v>
      </c>
      <c r="V462" s="6"/>
      <c r="W462" s="6"/>
      <c r="X462" s="6"/>
      <c r="Y462" s="6"/>
      <c r="Z462" s="6"/>
    </row>
    <row r="463" spans="1:26" ht="12.75" x14ac:dyDescent="0.2">
      <c r="A463" s="36">
        <v>44820</v>
      </c>
      <c r="B463" s="29" t="s">
        <v>939</v>
      </c>
      <c r="C463" s="29" t="s">
        <v>943</v>
      </c>
      <c r="D463" s="37">
        <v>1470.12</v>
      </c>
      <c r="E463" s="18" t="s">
        <v>136</v>
      </c>
      <c r="F463" s="7">
        <v>44116</v>
      </c>
      <c r="G463" s="18"/>
      <c r="H463" s="16">
        <f t="shared" si="67"/>
        <v>16</v>
      </c>
      <c r="I463" s="16">
        <f t="shared" si="68"/>
        <v>9</v>
      </c>
      <c r="J463" s="122">
        <f t="shared" si="69"/>
        <v>2022</v>
      </c>
      <c r="K463" s="64">
        <f t="shared" si="70"/>
        <v>44880</v>
      </c>
      <c r="L463" s="6"/>
      <c r="M463" s="6"/>
      <c r="O463" s="208">
        <v>44148</v>
      </c>
      <c r="P463" s="209">
        <f t="shared" si="71"/>
        <v>0</v>
      </c>
      <c r="Q463" s="209">
        <f>+SUMIF('A DEPOSITAR'!$D$2:$D$998,(O463-2),'A DEPOSITAR'!$H$2:$H$998)</f>
        <v>5000</v>
      </c>
      <c r="R463" s="210">
        <f t="shared" si="72"/>
        <v>5000</v>
      </c>
      <c r="S463" s="210">
        <f t="shared" si="73"/>
        <v>3412957.2600000016</v>
      </c>
      <c r="T463" s="209">
        <f t="shared" si="74"/>
        <v>0</v>
      </c>
      <c r="U463" s="209">
        <f>+SUMIFS('A DEPOSITAR'!$H$2:$H$998,'A DEPOSITAR'!$D$2:$D$998,(O463-2),'A DEPOSITAR'!$I$2:$I$998,"A Depositar")</f>
        <v>0</v>
      </c>
      <c r="V463" s="6"/>
      <c r="W463" s="6"/>
      <c r="X463" s="6"/>
      <c r="Y463" s="6"/>
      <c r="Z463" s="6"/>
    </row>
    <row r="464" spans="1:26" ht="12.75" x14ac:dyDescent="0.2">
      <c r="A464" s="36">
        <v>44850</v>
      </c>
      <c r="B464" s="29" t="s">
        <v>939</v>
      </c>
      <c r="C464" s="29" t="s">
        <v>944</v>
      </c>
      <c r="D464" s="37">
        <v>1490.19</v>
      </c>
      <c r="E464" s="18" t="s">
        <v>136</v>
      </c>
      <c r="F464" s="7">
        <v>44116</v>
      </c>
      <c r="G464" s="18"/>
      <c r="H464" s="16">
        <f t="shared" si="67"/>
        <v>16</v>
      </c>
      <c r="I464" s="16">
        <f t="shared" si="68"/>
        <v>10</v>
      </c>
      <c r="J464" s="122">
        <f t="shared" si="69"/>
        <v>2022</v>
      </c>
      <c r="K464" s="64">
        <f t="shared" si="70"/>
        <v>44910</v>
      </c>
      <c r="L464" s="6"/>
      <c r="M464" s="6"/>
      <c r="O464" s="208">
        <v>44150</v>
      </c>
      <c r="P464" s="209">
        <f t="shared" si="71"/>
        <v>0</v>
      </c>
      <c r="Q464" s="209">
        <f>+SUMIF('A DEPOSITAR'!$D$2:$D$998,(O464-2),'A DEPOSITAR'!$H$2:$H$998)</f>
        <v>10000</v>
      </c>
      <c r="R464" s="210">
        <f t="shared" si="72"/>
        <v>10000</v>
      </c>
      <c r="S464" s="210">
        <f t="shared" si="73"/>
        <v>3422957.2600000016</v>
      </c>
      <c r="T464" s="209">
        <f t="shared" si="74"/>
        <v>0</v>
      </c>
      <c r="U464" s="209">
        <f>+SUMIFS('A DEPOSITAR'!$H$2:$H$998,'A DEPOSITAR'!$D$2:$D$998,(O464-2),'A DEPOSITAR'!$I$2:$I$998,"A Depositar")</f>
        <v>0</v>
      </c>
      <c r="V464" s="6"/>
      <c r="W464" s="6"/>
      <c r="X464" s="6"/>
      <c r="Y464" s="6"/>
      <c r="Z464" s="6"/>
    </row>
    <row r="465" spans="1:26" ht="12.75" x14ac:dyDescent="0.2">
      <c r="A465" s="177">
        <v>44393</v>
      </c>
      <c r="B465" s="178" t="s">
        <v>418</v>
      </c>
      <c r="C465" s="178" t="s">
        <v>429</v>
      </c>
      <c r="D465" s="179">
        <v>4767.25</v>
      </c>
      <c r="E465" s="103" t="s">
        <v>327</v>
      </c>
      <c r="F465" s="180">
        <v>43892</v>
      </c>
      <c r="G465" s="103"/>
      <c r="H465" s="106">
        <f t="shared" si="67"/>
        <v>16</v>
      </c>
      <c r="I465" s="106">
        <f t="shared" si="68"/>
        <v>7</v>
      </c>
      <c r="J465" s="124">
        <f t="shared" si="69"/>
        <v>2021</v>
      </c>
      <c r="K465" s="175">
        <f t="shared" si="70"/>
        <v>44453</v>
      </c>
      <c r="L465" s="181"/>
      <c r="M465" s="181"/>
      <c r="N465" s="182"/>
      <c r="O465" s="208">
        <v>44110</v>
      </c>
      <c r="P465" s="209">
        <f t="shared" si="71"/>
        <v>0</v>
      </c>
      <c r="Q465" s="209">
        <f>+SUMIF('A DEPOSITAR'!$D$2:$D$998,(O465-2),'A DEPOSITAR'!$H$2:$H$998)</f>
        <v>0</v>
      </c>
      <c r="R465" s="210">
        <f t="shared" si="72"/>
        <v>0</v>
      </c>
      <c r="S465" s="210">
        <f t="shared" si="73"/>
        <v>3422957.2600000016</v>
      </c>
      <c r="T465" s="209">
        <f t="shared" si="74"/>
        <v>0</v>
      </c>
      <c r="U465" s="209">
        <f>+SUMIFS('A DEPOSITAR'!$H$2:$H$998,'A DEPOSITAR'!$D$2:$D$998,(O465-2),'A DEPOSITAR'!$I$2:$I$998,"A Depositar")</f>
        <v>0</v>
      </c>
      <c r="V465" s="181"/>
      <c r="W465" s="181"/>
      <c r="X465" s="181"/>
      <c r="Y465" s="181"/>
      <c r="Z465" s="181"/>
    </row>
    <row r="466" spans="1:26" ht="12.75" x14ac:dyDescent="0.2">
      <c r="A466" s="36">
        <v>44881</v>
      </c>
      <c r="B466" s="29" t="s">
        <v>939</v>
      </c>
      <c r="C466" s="29" t="s">
        <v>945</v>
      </c>
      <c r="D466" s="37">
        <v>1510.26</v>
      </c>
      <c r="E466" s="18" t="s">
        <v>136</v>
      </c>
      <c r="F466" s="7">
        <v>44116</v>
      </c>
      <c r="G466" s="18"/>
      <c r="H466" s="16">
        <f t="shared" si="67"/>
        <v>16</v>
      </c>
      <c r="I466" s="16">
        <f t="shared" si="68"/>
        <v>11</v>
      </c>
      <c r="J466" s="122">
        <f t="shared" si="69"/>
        <v>2022</v>
      </c>
      <c r="K466" s="64">
        <f t="shared" si="70"/>
        <v>44941</v>
      </c>
      <c r="L466" s="6"/>
      <c r="M466" s="6"/>
      <c r="O466" s="208">
        <v>44152</v>
      </c>
      <c r="P466" s="209">
        <f t="shared" si="71"/>
        <v>0</v>
      </c>
      <c r="Q466" s="209">
        <f>+SUMIF('A DEPOSITAR'!$D$2:$D$998,(O466-2),'A DEPOSITAR'!$H$2:$H$998)</f>
        <v>19880</v>
      </c>
      <c r="R466" s="210">
        <f t="shared" si="72"/>
        <v>19880</v>
      </c>
      <c r="S466" s="210">
        <f t="shared" si="73"/>
        <v>3442837.2600000016</v>
      </c>
      <c r="T466" s="209">
        <f t="shared" si="74"/>
        <v>0</v>
      </c>
      <c r="U466" s="209">
        <f>+SUMIFS('A DEPOSITAR'!$H$2:$H$998,'A DEPOSITAR'!$D$2:$D$998,(O466-2),'A DEPOSITAR'!$I$2:$I$998,"A Depositar")</f>
        <v>0</v>
      </c>
      <c r="V466" s="6"/>
      <c r="W466" s="6"/>
      <c r="X466" s="6"/>
      <c r="Y466" s="6"/>
      <c r="Z466" s="6"/>
    </row>
    <row r="467" spans="1:26" ht="12.75" x14ac:dyDescent="0.2">
      <c r="A467" s="36">
        <v>44911</v>
      </c>
      <c r="B467" s="29" t="s">
        <v>939</v>
      </c>
      <c r="C467" s="29" t="s">
        <v>946</v>
      </c>
      <c r="D467" s="37">
        <v>1530.34</v>
      </c>
      <c r="E467" s="18" t="s">
        <v>136</v>
      </c>
      <c r="F467" s="7">
        <v>44116</v>
      </c>
      <c r="G467" s="18"/>
      <c r="H467" s="16">
        <f t="shared" si="67"/>
        <v>16</v>
      </c>
      <c r="I467" s="16">
        <f t="shared" si="68"/>
        <v>12</v>
      </c>
      <c r="J467" s="122">
        <f t="shared" si="69"/>
        <v>2022</v>
      </c>
      <c r="K467" s="64">
        <f t="shared" si="70"/>
        <v>44971</v>
      </c>
      <c r="L467" s="6"/>
      <c r="M467" s="6"/>
      <c r="O467" s="208">
        <v>44154</v>
      </c>
      <c r="P467" s="209">
        <f t="shared" si="71"/>
        <v>0</v>
      </c>
      <c r="Q467" s="209">
        <f>+SUMIF('A DEPOSITAR'!$D$2:$D$998,(O467-2),'A DEPOSITAR'!$H$2:$H$998)</f>
        <v>5900</v>
      </c>
      <c r="R467" s="210">
        <f t="shared" si="72"/>
        <v>5900</v>
      </c>
      <c r="S467" s="210">
        <f t="shared" si="73"/>
        <v>3448737.2600000016</v>
      </c>
      <c r="T467" s="209">
        <f t="shared" si="74"/>
        <v>0</v>
      </c>
      <c r="U467" s="209">
        <f>+SUMIFS('A DEPOSITAR'!$H$2:$H$998,'A DEPOSITAR'!$D$2:$D$998,(O467-2),'A DEPOSITAR'!$I$2:$I$998,"A Depositar")</f>
        <v>0</v>
      </c>
      <c r="V467" s="6"/>
      <c r="W467" s="6"/>
      <c r="X467" s="6"/>
      <c r="Y467" s="6"/>
      <c r="Z467" s="6"/>
    </row>
    <row r="468" spans="1:26" ht="12.75" x14ac:dyDescent="0.2">
      <c r="A468" s="36">
        <v>44942</v>
      </c>
      <c r="B468" s="29" t="s">
        <v>939</v>
      </c>
      <c r="C468" s="29" t="s">
        <v>947</v>
      </c>
      <c r="D468" s="37">
        <v>1550.41</v>
      </c>
      <c r="E468" s="18" t="s">
        <v>136</v>
      </c>
      <c r="F468" s="7">
        <v>44116</v>
      </c>
      <c r="G468" s="18"/>
      <c r="H468" s="16">
        <f t="shared" si="67"/>
        <v>16</v>
      </c>
      <c r="I468" s="16">
        <f t="shared" si="68"/>
        <v>1</v>
      </c>
      <c r="J468" s="122">
        <f t="shared" si="69"/>
        <v>2023</v>
      </c>
      <c r="K468" s="64">
        <f t="shared" si="70"/>
        <v>45002</v>
      </c>
      <c r="L468" s="6"/>
      <c r="M468" s="6"/>
      <c r="O468" s="208">
        <v>44156</v>
      </c>
      <c r="P468" s="209">
        <f t="shared" si="71"/>
        <v>0</v>
      </c>
      <c r="Q468" s="209">
        <f>+SUMIF('A DEPOSITAR'!$D$2:$D$998,(O468-2),'A DEPOSITAR'!$H$2:$H$998)</f>
        <v>0</v>
      </c>
      <c r="R468" s="210">
        <f t="shared" si="72"/>
        <v>0</v>
      </c>
      <c r="S468" s="210">
        <f t="shared" si="73"/>
        <v>3448737.2600000016</v>
      </c>
      <c r="T468" s="209">
        <f t="shared" si="74"/>
        <v>0</v>
      </c>
      <c r="U468" s="209">
        <f>+SUMIFS('A DEPOSITAR'!$H$2:$H$998,'A DEPOSITAR'!$D$2:$D$998,(O468-2),'A DEPOSITAR'!$I$2:$I$998,"A Depositar")</f>
        <v>0</v>
      </c>
      <c r="V468" s="6"/>
      <c r="W468" s="6"/>
      <c r="X468" s="6"/>
      <c r="Y468" s="6"/>
      <c r="Z468" s="6"/>
    </row>
    <row r="469" spans="1:26" ht="12.75" x14ac:dyDescent="0.2">
      <c r="A469" s="177">
        <v>44424</v>
      </c>
      <c r="B469" s="178" t="s">
        <v>418</v>
      </c>
      <c r="C469" s="178" t="s">
        <v>430</v>
      </c>
      <c r="D469" s="179">
        <v>4865.8999999999996</v>
      </c>
      <c r="E469" s="103" t="s">
        <v>327</v>
      </c>
      <c r="F469" s="180">
        <v>43892</v>
      </c>
      <c r="G469" s="103"/>
      <c r="H469" s="106">
        <f t="shared" si="67"/>
        <v>16</v>
      </c>
      <c r="I469" s="106">
        <f t="shared" si="68"/>
        <v>8</v>
      </c>
      <c r="J469" s="124">
        <f t="shared" si="69"/>
        <v>2021</v>
      </c>
      <c r="K469" s="175">
        <f t="shared" si="70"/>
        <v>44484</v>
      </c>
      <c r="L469" s="181"/>
      <c r="M469" s="181"/>
      <c r="N469" s="182"/>
      <c r="O469" s="208">
        <v>44114</v>
      </c>
      <c r="P469" s="209">
        <f t="shared" si="71"/>
        <v>0</v>
      </c>
      <c r="Q469" s="209">
        <f>+SUMIF('A DEPOSITAR'!$D$2:$D$998,(O469-2),'A DEPOSITAR'!$H$2:$H$998)</f>
        <v>0</v>
      </c>
      <c r="R469" s="210">
        <f t="shared" si="72"/>
        <v>0</v>
      </c>
      <c r="S469" s="210">
        <f t="shared" si="73"/>
        <v>3448737.2600000016</v>
      </c>
      <c r="T469" s="209">
        <f t="shared" si="74"/>
        <v>0</v>
      </c>
      <c r="U469" s="209">
        <f>+SUMIFS('A DEPOSITAR'!$H$2:$H$998,'A DEPOSITAR'!$D$2:$D$998,(O469-2),'A DEPOSITAR'!$I$2:$I$998,"A Depositar")</f>
        <v>0</v>
      </c>
      <c r="V469" s="181"/>
      <c r="W469" s="181"/>
      <c r="X469" s="181"/>
      <c r="Y469" s="181"/>
      <c r="Z469" s="181"/>
    </row>
    <row r="470" spans="1:26" ht="12.75" x14ac:dyDescent="0.2">
      <c r="A470" s="36">
        <v>44973</v>
      </c>
      <c r="B470" s="29" t="s">
        <v>939</v>
      </c>
      <c r="C470" s="29" t="s">
        <v>948</v>
      </c>
      <c r="D470" s="37">
        <v>1570.48</v>
      </c>
      <c r="E470" s="29" t="s">
        <v>136</v>
      </c>
      <c r="F470" s="7">
        <v>44116</v>
      </c>
      <c r="G470" s="18"/>
      <c r="H470" s="16">
        <f t="shared" si="67"/>
        <v>16</v>
      </c>
      <c r="I470" s="16">
        <f t="shared" si="68"/>
        <v>2</v>
      </c>
      <c r="J470" s="122">
        <f t="shared" si="69"/>
        <v>2023</v>
      </c>
      <c r="K470" s="64">
        <f t="shared" si="70"/>
        <v>45033</v>
      </c>
      <c r="L470" s="6"/>
      <c r="M470" s="6"/>
      <c r="O470" s="208">
        <v>44158</v>
      </c>
      <c r="P470" s="209">
        <f t="shared" si="71"/>
        <v>0</v>
      </c>
      <c r="Q470" s="209">
        <f>+SUMIF('A DEPOSITAR'!$D$2:$D$998,(O470-2),'A DEPOSITAR'!$H$2:$H$998)</f>
        <v>0</v>
      </c>
      <c r="R470" s="210">
        <f t="shared" si="72"/>
        <v>0</v>
      </c>
      <c r="S470" s="210">
        <f t="shared" si="73"/>
        <v>3448737.2600000016</v>
      </c>
      <c r="T470" s="209">
        <f t="shared" si="74"/>
        <v>0</v>
      </c>
      <c r="U470" s="209">
        <f>+SUMIFS('A DEPOSITAR'!$H$2:$H$998,'A DEPOSITAR'!$D$2:$D$998,(O470-2),'A DEPOSITAR'!$I$2:$I$998,"A Depositar")</f>
        <v>0</v>
      </c>
      <c r="V470" s="6"/>
      <c r="W470" s="6"/>
      <c r="X470" s="6"/>
      <c r="Y470" s="6"/>
      <c r="Z470" s="6"/>
    </row>
    <row r="471" spans="1:26" ht="12.75" x14ac:dyDescent="0.2">
      <c r="A471" s="36">
        <v>45001</v>
      </c>
      <c r="B471" s="29" t="s">
        <v>939</v>
      </c>
      <c r="C471" s="29" t="s">
        <v>949</v>
      </c>
      <c r="D471" s="37">
        <v>1590.57</v>
      </c>
      <c r="E471" s="29" t="s">
        <v>136</v>
      </c>
      <c r="F471" s="34">
        <v>44116</v>
      </c>
      <c r="G471" s="18"/>
      <c r="H471" s="16">
        <f t="shared" si="67"/>
        <v>16</v>
      </c>
      <c r="I471" s="16">
        <f t="shared" si="68"/>
        <v>3</v>
      </c>
      <c r="J471" s="122">
        <f t="shared" si="69"/>
        <v>2023</v>
      </c>
      <c r="K471" s="64">
        <f t="shared" si="70"/>
        <v>45061</v>
      </c>
      <c r="L471" s="6"/>
      <c r="M471" s="6"/>
      <c r="O471" s="208">
        <v>44160</v>
      </c>
      <c r="P471" s="209">
        <f t="shared" si="71"/>
        <v>0</v>
      </c>
      <c r="Q471" s="209">
        <f>+SUMIF('A DEPOSITAR'!$D$2:$D$998,(O471-2),'A DEPOSITAR'!$H$2:$H$998)</f>
        <v>0</v>
      </c>
      <c r="R471" s="210">
        <f t="shared" si="72"/>
        <v>0</v>
      </c>
      <c r="S471" s="210">
        <f t="shared" si="73"/>
        <v>3448737.2600000016</v>
      </c>
      <c r="T471" s="209">
        <f t="shared" si="74"/>
        <v>0</v>
      </c>
      <c r="U471" s="209">
        <f>+SUMIFS('A DEPOSITAR'!$H$2:$H$998,'A DEPOSITAR'!$D$2:$D$998,(O471-2),'A DEPOSITAR'!$I$2:$I$998,"A Depositar")</f>
        <v>0</v>
      </c>
      <c r="V471" s="6"/>
      <c r="W471" s="6"/>
      <c r="X471" s="6"/>
      <c r="Y471" s="6"/>
      <c r="Z471" s="6"/>
    </row>
    <row r="472" spans="1:26" ht="12.75" x14ac:dyDescent="0.2">
      <c r="A472" s="36">
        <v>45032</v>
      </c>
      <c r="B472" s="29" t="s">
        <v>939</v>
      </c>
      <c r="C472" s="29" t="s">
        <v>950</v>
      </c>
      <c r="D472" s="37">
        <v>1610.64</v>
      </c>
      <c r="E472" s="29" t="s">
        <v>136</v>
      </c>
      <c r="F472" s="34">
        <v>44116</v>
      </c>
      <c r="G472" s="18"/>
      <c r="H472" s="16">
        <f t="shared" si="67"/>
        <v>16</v>
      </c>
      <c r="I472" s="16">
        <f t="shared" si="68"/>
        <v>4</v>
      </c>
      <c r="J472" s="122">
        <f t="shared" si="69"/>
        <v>2023</v>
      </c>
      <c r="K472" s="64">
        <f t="shared" si="70"/>
        <v>45092</v>
      </c>
      <c r="L472" s="6"/>
      <c r="M472" s="6"/>
      <c r="O472" s="208">
        <v>44162</v>
      </c>
      <c r="P472" s="209">
        <f t="shared" si="71"/>
        <v>0</v>
      </c>
      <c r="Q472" s="209">
        <f>+SUMIF('A DEPOSITAR'!$D$2:$D$998,(O472-2),'A DEPOSITAR'!$H$2:$H$998)</f>
        <v>5100</v>
      </c>
      <c r="R472" s="210">
        <f t="shared" si="72"/>
        <v>5100</v>
      </c>
      <c r="S472" s="210">
        <f t="shared" si="73"/>
        <v>3453837.2600000016</v>
      </c>
      <c r="T472" s="209">
        <f t="shared" si="74"/>
        <v>0</v>
      </c>
      <c r="U472" s="209">
        <f>+SUMIFS('A DEPOSITAR'!$H$2:$H$998,'A DEPOSITAR'!$D$2:$D$998,(O472-2),'A DEPOSITAR'!$I$2:$I$998,"A Depositar")</f>
        <v>0</v>
      </c>
      <c r="V472" s="6"/>
      <c r="W472" s="6"/>
      <c r="X472" s="6"/>
      <c r="Y472" s="6"/>
      <c r="Z472" s="6"/>
    </row>
    <row r="473" spans="1:26" ht="12.75" x14ac:dyDescent="0.2">
      <c r="A473" s="177">
        <v>44455</v>
      </c>
      <c r="B473" s="178" t="s">
        <v>418</v>
      </c>
      <c r="C473" s="178" t="s">
        <v>431</v>
      </c>
      <c r="D473" s="179">
        <v>4961.38</v>
      </c>
      <c r="E473" s="103" t="s">
        <v>327</v>
      </c>
      <c r="F473" s="180">
        <v>43892</v>
      </c>
      <c r="G473" s="103"/>
      <c r="H473" s="106">
        <f t="shared" si="67"/>
        <v>16</v>
      </c>
      <c r="I473" s="106">
        <f t="shared" si="68"/>
        <v>9</v>
      </c>
      <c r="J473" s="124">
        <f t="shared" si="69"/>
        <v>2021</v>
      </c>
      <c r="K473" s="175">
        <f t="shared" si="70"/>
        <v>44515</v>
      </c>
      <c r="L473" s="181"/>
      <c r="M473" s="181"/>
      <c r="N473" s="182"/>
      <c r="O473" s="208">
        <v>44118</v>
      </c>
      <c r="P473" s="209">
        <f t="shared" si="71"/>
        <v>0</v>
      </c>
      <c r="Q473" s="209">
        <f>+SUMIF('A DEPOSITAR'!$D$2:$D$998,(O473-2),'A DEPOSITAR'!$H$2:$H$998)</f>
        <v>20000</v>
      </c>
      <c r="R473" s="210">
        <f t="shared" si="72"/>
        <v>20000</v>
      </c>
      <c r="S473" s="210">
        <f t="shared" si="73"/>
        <v>3473837.2600000016</v>
      </c>
      <c r="T473" s="209">
        <f t="shared" si="74"/>
        <v>0</v>
      </c>
      <c r="U473" s="209">
        <f>+SUMIFS('A DEPOSITAR'!$H$2:$H$998,'A DEPOSITAR'!$D$2:$D$998,(O473-2),'A DEPOSITAR'!$I$2:$I$998,"A Depositar")</f>
        <v>0</v>
      </c>
      <c r="V473" s="181"/>
      <c r="W473" s="181"/>
      <c r="X473" s="181"/>
      <c r="Y473" s="181"/>
      <c r="Z473" s="181"/>
    </row>
    <row r="474" spans="1:26" ht="12.75" x14ac:dyDescent="0.2">
      <c r="A474" s="36">
        <v>44243</v>
      </c>
      <c r="B474" s="29" t="s">
        <v>939</v>
      </c>
      <c r="C474" s="29" t="s">
        <v>232</v>
      </c>
      <c r="D474" s="37">
        <v>1088.7</v>
      </c>
      <c r="E474" s="29" t="s">
        <v>22</v>
      </c>
      <c r="F474" s="34">
        <v>44116</v>
      </c>
      <c r="G474" s="18"/>
      <c r="H474" s="16">
        <f t="shared" si="67"/>
        <v>16</v>
      </c>
      <c r="I474" s="16">
        <f t="shared" si="68"/>
        <v>2</v>
      </c>
      <c r="J474" s="122">
        <f t="shared" si="69"/>
        <v>2021</v>
      </c>
      <c r="K474" s="64">
        <f t="shared" si="70"/>
        <v>44303</v>
      </c>
      <c r="L474" s="6"/>
      <c r="M474" s="6"/>
      <c r="O474" s="208">
        <v>44168</v>
      </c>
      <c r="P474" s="209">
        <f t="shared" si="71"/>
        <v>0</v>
      </c>
      <c r="Q474" s="209">
        <f>+SUMIF('A DEPOSITAR'!$D$2:$D$998,(O474-2),'A DEPOSITAR'!$H$2:$H$998)</f>
        <v>0</v>
      </c>
      <c r="R474" s="210">
        <f t="shared" si="72"/>
        <v>0</v>
      </c>
      <c r="S474" s="210">
        <f t="shared" si="73"/>
        <v>3473837.2600000016</v>
      </c>
      <c r="T474" s="209">
        <f t="shared" si="74"/>
        <v>0</v>
      </c>
      <c r="U474" s="209">
        <f>+SUMIFS('A DEPOSITAR'!$H$2:$H$998,'A DEPOSITAR'!$D$2:$D$998,(O474-2),'A DEPOSITAR'!$I$2:$I$998,"A Depositar")</f>
        <v>0</v>
      </c>
      <c r="V474" s="6"/>
      <c r="W474" s="6"/>
      <c r="X474" s="6"/>
      <c r="Y474" s="6"/>
      <c r="Z474" s="6"/>
    </row>
    <row r="475" spans="1:26" ht="12.75" x14ac:dyDescent="0.2">
      <c r="A475" s="36">
        <v>45062</v>
      </c>
      <c r="B475" s="29" t="s">
        <v>939</v>
      </c>
      <c r="C475" s="29" t="s">
        <v>951</v>
      </c>
      <c r="D475" s="37">
        <v>1630.71</v>
      </c>
      <c r="E475" s="29" t="s">
        <v>136</v>
      </c>
      <c r="F475" s="34">
        <v>44116</v>
      </c>
      <c r="G475" s="18"/>
      <c r="H475" s="16">
        <f t="shared" si="67"/>
        <v>16</v>
      </c>
      <c r="I475" s="16">
        <f t="shared" si="68"/>
        <v>5</v>
      </c>
      <c r="J475" s="122">
        <f t="shared" si="69"/>
        <v>2023</v>
      </c>
      <c r="K475" s="64">
        <f t="shared" si="70"/>
        <v>45122</v>
      </c>
      <c r="L475" s="6"/>
      <c r="M475" s="6"/>
      <c r="O475" s="208">
        <v>44173</v>
      </c>
      <c r="P475" s="209">
        <f t="shared" si="71"/>
        <v>21630</v>
      </c>
      <c r="Q475" s="209">
        <f>+SUMIF('A DEPOSITAR'!$D$2:$D$998,(O475-2),'A DEPOSITAR'!$H$2:$H$998)</f>
        <v>0</v>
      </c>
      <c r="R475" s="210">
        <f t="shared" si="72"/>
        <v>-21630</v>
      </c>
      <c r="S475" s="210">
        <f t="shared" si="73"/>
        <v>3452207.2600000016</v>
      </c>
      <c r="T475" s="209">
        <f t="shared" si="74"/>
        <v>0</v>
      </c>
      <c r="U475" s="209">
        <f>+SUMIFS('A DEPOSITAR'!$H$2:$H$998,'A DEPOSITAR'!$D$2:$D$998,(O475-2),'A DEPOSITAR'!$I$2:$I$998,"A Depositar")</f>
        <v>0</v>
      </c>
      <c r="V475" s="6"/>
      <c r="W475" s="6"/>
      <c r="X475" s="6"/>
      <c r="Y475" s="6"/>
      <c r="Z475" s="6"/>
    </row>
    <row r="476" spans="1:26" ht="12.75" x14ac:dyDescent="0.2">
      <c r="A476" s="36">
        <v>45093</v>
      </c>
      <c r="B476" s="29" t="s">
        <v>939</v>
      </c>
      <c r="C476" s="29" t="s">
        <v>952</v>
      </c>
      <c r="D476" s="37">
        <v>1650.78</v>
      </c>
      <c r="E476" s="29" t="s">
        <v>136</v>
      </c>
      <c r="F476" s="34">
        <v>44116</v>
      </c>
      <c r="G476" s="18"/>
      <c r="H476" s="16">
        <f t="shared" ref="H476:H507" si="75">DAY(A476)</f>
        <v>16</v>
      </c>
      <c r="I476" s="16">
        <f t="shared" ref="I476:I507" si="76">MONTH(A476)</f>
        <v>6</v>
      </c>
      <c r="J476" s="122">
        <f t="shared" ref="J476:J507" si="77">YEAR(A476)</f>
        <v>2023</v>
      </c>
      <c r="K476" s="64">
        <f t="shared" ref="K476:K507" si="78">A476+60</f>
        <v>45153</v>
      </c>
      <c r="L476" s="6"/>
      <c r="M476" s="6"/>
      <c r="O476" s="208">
        <v>44175</v>
      </c>
      <c r="P476" s="209">
        <f t="shared" ref="P476:P507" si="79">+SUMIF($A$2:$A$998,O476,$D$2:$D$998)</f>
        <v>0</v>
      </c>
      <c r="Q476" s="209">
        <f>+SUMIF('A DEPOSITAR'!$D$2:$D$998,(O476-2),'A DEPOSITAR'!$H$2:$H$998)</f>
        <v>0</v>
      </c>
      <c r="R476" s="210">
        <f t="shared" ref="R476:R507" si="80">+Q476-P476</f>
        <v>0</v>
      </c>
      <c r="S476" s="210">
        <f t="shared" ref="S476:S507" si="81">+S475+R476</f>
        <v>3452207.2600000016</v>
      </c>
      <c r="T476" s="209">
        <f t="shared" ref="T476:T507" si="82">+SUMIFS($D$2:$D$998,$A$2:$A$998,O476,$E$2:$E$998,"A Pagar")</f>
        <v>0</v>
      </c>
      <c r="U476" s="209">
        <f>+SUMIFS('A DEPOSITAR'!$H$2:$H$998,'A DEPOSITAR'!$D$2:$D$998,(O476-2),'A DEPOSITAR'!$I$2:$I$998,"A Depositar")</f>
        <v>0</v>
      </c>
      <c r="V476" s="6"/>
      <c r="W476" s="6"/>
      <c r="X476" s="6"/>
      <c r="Y476" s="6"/>
      <c r="Z476" s="6"/>
    </row>
    <row r="477" spans="1:26" ht="12.75" x14ac:dyDescent="0.2">
      <c r="A477" s="177">
        <v>44485</v>
      </c>
      <c r="B477" s="178" t="s">
        <v>418</v>
      </c>
      <c r="C477" s="178" t="s">
        <v>432</v>
      </c>
      <c r="D477" s="179">
        <v>5053.67</v>
      </c>
      <c r="E477" s="103" t="s">
        <v>327</v>
      </c>
      <c r="F477" s="180">
        <v>43892</v>
      </c>
      <c r="G477" s="103"/>
      <c r="H477" s="106">
        <f t="shared" si="75"/>
        <v>16</v>
      </c>
      <c r="I477" s="106">
        <f t="shared" si="76"/>
        <v>10</v>
      </c>
      <c r="J477" s="124">
        <f t="shared" si="77"/>
        <v>2021</v>
      </c>
      <c r="K477" s="175">
        <f t="shared" si="78"/>
        <v>44545</v>
      </c>
      <c r="L477" s="181"/>
      <c r="M477" s="181"/>
      <c r="N477" s="182"/>
      <c r="O477" s="208">
        <v>44122</v>
      </c>
      <c r="P477" s="209">
        <f t="shared" si="79"/>
        <v>0</v>
      </c>
      <c r="Q477" s="209">
        <f>+SUMIF('A DEPOSITAR'!$D$2:$D$998,(O477-2),'A DEPOSITAR'!$H$2:$H$998)</f>
        <v>40000</v>
      </c>
      <c r="R477" s="210">
        <f t="shared" si="80"/>
        <v>40000</v>
      </c>
      <c r="S477" s="210">
        <f t="shared" si="81"/>
        <v>3492207.2600000016</v>
      </c>
      <c r="T477" s="209">
        <f t="shared" si="82"/>
        <v>0</v>
      </c>
      <c r="U477" s="209">
        <f>+SUMIFS('A DEPOSITAR'!$H$2:$H$998,'A DEPOSITAR'!$D$2:$D$998,(O477-2),'A DEPOSITAR'!$I$2:$I$998,"A Depositar")</f>
        <v>0</v>
      </c>
      <c r="V477" s="181"/>
      <c r="W477" s="181"/>
      <c r="X477" s="181"/>
      <c r="Y477" s="181"/>
      <c r="Z477" s="181"/>
    </row>
    <row r="478" spans="1:26" ht="12.75" x14ac:dyDescent="0.2">
      <c r="A478" s="36">
        <v>45123</v>
      </c>
      <c r="B478" s="29" t="s">
        <v>939</v>
      </c>
      <c r="C478" s="29" t="s">
        <v>953</v>
      </c>
      <c r="D478" s="37">
        <v>1670.86</v>
      </c>
      <c r="E478" s="29" t="s">
        <v>136</v>
      </c>
      <c r="F478" s="34">
        <v>44116</v>
      </c>
      <c r="G478" s="18"/>
      <c r="H478" s="16">
        <f t="shared" si="75"/>
        <v>16</v>
      </c>
      <c r="I478" s="16">
        <f t="shared" si="76"/>
        <v>7</v>
      </c>
      <c r="J478" s="122">
        <f t="shared" si="77"/>
        <v>2023</v>
      </c>
      <c r="K478" s="64">
        <f t="shared" si="78"/>
        <v>45183</v>
      </c>
      <c r="L478" s="6"/>
      <c r="M478" s="6"/>
      <c r="O478" s="208">
        <v>44177</v>
      </c>
      <c r="P478" s="209">
        <f t="shared" si="79"/>
        <v>0</v>
      </c>
      <c r="Q478" s="209">
        <f>+SUMIF('A DEPOSITAR'!$D$2:$D$998,(O478-2),'A DEPOSITAR'!$H$2:$H$998)</f>
        <v>0</v>
      </c>
      <c r="R478" s="210">
        <f t="shared" si="80"/>
        <v>0</v>
      </c>
      <c r="S478" s="210">
        <f t="shared" si="81"/>
        <v>3492207.2600000016</v>
      </c>
      <c r="T478" s="209">
        <f t="shared" si="82"/>
        <v>0</v>
      </c>
      <c r="U478" s="209">
        <f>+SUMIFS('A DEPOSITAR'!$H$2:$H$998,'A DEPOSITAR'!$D$2:$D$998,(O478-2),'A DEPOSITAR'!$I$2:$I$998,"A Depositar")</f>
        <v>0</v>
      </c>
      <c r="V478" s="6"/>
      <c r="W478" s="6"/>
      <c r="X478" s="6"/>
      <c r="Y478" s="6"/>
      <c r="Z478" s="6"/>
    </row>
    <row r="479" spans="1:26" ht="12.75" x14ac:dyDescent="0.2">
      <c r="A479" s="36">
        <v>45154</v>
      </c>
      <c r="B479" s="29" t="s">
        <v>939</v>
      </c>
      <c r="C479" s="29" t="s">
        <v>954</v>
      </c>
      <c r="D479" s="37">
        <v>1690.94</v>
      </c>
      <c r="E479" s="29" t="s">
        <v>136</v>
      </c>
      <c r="F479" s="34">
        <v>44116</v>
      </c>
      <c r="G479" s="18"/>
      <c r="H479" s="16">
        <f t="shared" si="75"/>
        <v>16</v>
      </c>
      <c r="I479" s="16">
        <f t="shared" si="76"/>
        <v>8</v>
      </c>
      <c r="J479" s="122">
        <f t="shared" si="77"/>
        <v>2023</v>
      </c>
      <c r="K479" s="64">
        <f t="shared" si="78"/>
        <v>45214</v>
      </c>
      <c r="L479" s="6"/>
      <c r="M479" s="6"/>
      <c r="O479" s="208">
        <v>44179</v>
      </c>
      <c r="P479" s="209">
        <f t="shared" si="79"/>
        <v>13000</v>
      </c>
      <c r="Q479" s="209">
        <f>+SUMIF('A DEPOSITAR'!$D$2:$D$998,(O479-2),'A DEPOSITAR'!$H$2:$H$998)</f>
        <v>0</v>
      </c>
      <c r="R479" s="210">
        <f t="shared" si="80"/>
        <v>-13000</v>
      </c>
      <c r="S479" s="210">
        <f t="shared" si="81"/>
        <v>3479207.2600000016</v>
      </c>
      <c r="T479" s="209">
        <f t="shared" si="82"/>
        <v>0</v>
      </c>
      <c r="U479" s="209">
        <f>+SUMIFS('A DEPOSITAR'!$H$2:$H$998,'A DEPOSITAR'!$D$2:$D$998,(O479-2),'A DEPOSITAR'!$I$2:$I$998,"A Depositar")</f>
        <v>0</v>
      </c>
      <c r="V479" s="6"/>
      <c r="W479" s="6"/>
      <c r="X479" s="6"/>
      <c r="Y479" s="6"/>
      <c r="Z479" s="6"/>
    </row>
    <row r="480" spans="1:26" ht="12.75" x14ac:dyDescent="0.2">
      <c r="A480" s="36">
        <v>45185</v>
      </c>
      <c r="B480" s="29" t="s">
        <v>939</v>
      </c>
      <c r="C480" s="29" t="s">
        <v>955</v>
      </c>
      <c r="D480" s="37">
        <v>1711.01</v>
      </c>
      <c r="E480" s="29" t="s">
        <v>136</v>
      </c>
      <c r="F480" s="34">
        <v>44116</v>
      </c>
      <c r="G480" s="18"/>
      <c r="H480" s="16">
        <f t="shared" si="75"/>
        <v>16</v>
      </c>
      <c r="I480" s="16">
        <f t="shared" si="76"/>
        <v>9</v>
      </c>
      <c r="J480" s="122">
        <f t="shared" si="77"/>
        <v>2023</v>
      </c>
      <c r="K480" s="64">
        <f t="shared" si="78"/>
        <v>45245</v>
      </c>
      <c r="L480" s="6"/>
      <c r="M480" s="6"/>
      <c r="O480" s="208">
        <v>44181</v>
      </c>
      <c r="P480" s="209">
        <f t="shared" si="79"/>
        <v>80689.03</v>
      </c>
      <c r="Q480" s="209">
        <f>+SUMIF('A DEPOSITAR'!$D$2:$D$998,(O480-2),'A DEPOSITAR'!$H$2:$H$998)</f>
        <v>0</v>
      </c>
      <c r="R480" s="210">
        <f t="shared" si="80"/>
        <v>-80689.03</v>
      </c>
      <c r="S480" s="210">
        <f t="shared" si="81"/>
        <v>3398518.2300000018</v>
      </c>
      <c r="T480" s="209">
        <f t="shared" si="82"/>
        <v>0</v>
      </c>
      <c r="U480" s="209">
        <f>+SUMIFS('A DEPOSITAR'!$H$2:$H$998,'A DEPOSITAR'!$D$2:$D$998,(O480-2),'A DEPOSITAR'!$I$2:$I$998,"A Depositar")</f>
        <v>0</v>
      </c>
      <c r="V480" s="6"/>
      <c r="W480" s="6"/>
      <c r="X480" s="6"/>
      <c r="Y480" s="6"/>
      <c r="Z480" s="6"/>
    </row>
    <row r="481" spans="1:26" ht="12.75" x14ac:dyDescent="0.2">
      <c r="A481" s="177">
        <v>44516</v>
      </c>
      <c r="B481" s="178" t="s">
        <v>418</v>
      </c>
      <c r="C481" s="178" t="s">
        <v>433</v>
      </c>
      <c r="D481" s="179">
        <v>5152.32</v>
      </c>
      <c r="E481" s="103" t="s">
        <v>327</v>
      </c>
      <c r="F481" s="180">
        <v>43892</v>
      </c>
      <c r="G481" s="103"/>
      <c r="H481" s="106">
        <f t="shared" si="75"/>
        <v>16</v>
      </c>
      <c r="I481" s="106">
        <f t="shared" si="76"/>
        <v>11</v>
      </c>
      <c r="J481" s="124">
        <f t="shared" si="77"/>
        <v>2021</v>
      </c>
      <c r="K481" s="175">
        <f t="shared" si="78"/>
        <v>44576</v>
      </c>
      <c r="L481" s="181"/>
      <c r="M481" s="181"/>
      <c r="N481" s="182"/>
      <c r="O481" s="208">
        <v>44126</v>
      </c>
      <c r="P481" s="209">
        <f t="shared" si="79"/>
        <v>34850</v>
      </c>
      <c r="Q481" s="209">
        <f>+SUMIF('A DEPOSITAR'!$D$2:$D$998,(O481-2),'A DEPOSITAR'!$H$2:$H$998)</f>
        <v>89820</v>
      </c>
      <c r="R481" s="210">
        <f t="shared" si="80"/>
        <v>54970</v>
      </c>
      <c r="S481" s="210">
        <f t="shared" si="81"/>
        <v>3453488.2300000018</v>
      </c>
      <c r="T481" s="209">
        <f t="shared" si="82"/>
        <v>0</v>
      </c>
      <c r="U481" s="209">
        <f>+SUMIFS('A DEPOSITAR'!$H$2:$H$998,'A DEPOSITAR'!$D$2:$D$998,(O481-2),'A DEPOSITAR'!$I$2:$I$998,"A Depositar")</f>
        <v>0</v>
      </c>
      <c r="V481" s="181"/>
      <c r="W481" s="181"/>
      <c r="X481" s="181"/>
      <c r="Y481" s="181"/>
      <c r="Z481" s="181"/>
    </row>
    <row r="482" spans="1:26" ht="12.75" x14ac:dyDescent="0.2">
      <c r="A482" s="36">
        <v>45215</v>
      </c>
      <c r="B482" s="29" t="s">
        <v>939</v>
      </c>
      <c r="C482" s="29" t="s">
        <v>956</v>
      </c>
      <c r="D482" s="37">
        <v>1731.08</v>
      </c>
      <c r="E482" s="29" t="s">
        <v>136</v>
      </c>
      <c r="F482" s="34">
        <v>44116</v>
      </c>
      <c r="G482" s="18"/>
      <c r="H482" s="16">
        <f t="shared" si="75"/>
        <v>16</v>
      </c>
      <c r="I482" s="16">
        <f t="shared" si="76"/>
        <v>10</v>
      </c>
      <c r="J482" s="122">
        <f t="shared" si="77"/>
        <v>2023</v>
      </c>
      <c r="K482" s="64">
        <f t="shared" si="78"/>
        <v>45275</v>
      </c>
      <c r="L482" s="6"/>
      <c r="M482" s="6"/>
      <c r="O482" s="208">
        <v>44183</v>
      </c>
      <c r="P482" s="209">
        <f t="shared" si="79"/>
        <v>0</v>
      </c>
      <c r="Q482" s="209">
        <f>+SUMIF('A DEPOSITAR'!$D$2:$D$998,(O482-2),'A DEPOSITAR'!$H$2:$H$998)</f>
        <v>0</v>
      </c>
      <c r="R482" s="210">
        <f t="shared" si="80"/>
        <v>0</v>
      </c>
      <c r="S482" s="210">
        <f t="shared" si="81"/>
        <v>3453488.2300000018</v>
      </c>
      <c r="T482" s="209">
        <f t="shared" si="82"/>
        <v>0</v>
      </c>
      <c r="U482" s="209">
        <f>+SUMIFS('A DEPOSITAR'!$H$2:$H$998,'A DEPOSITAR'!$D$2:$D$998,(O482-2),'A DEPOSITAR'!$I$2:$I$998,"A Depositar")</f>
        <v>0</v>
      </c>
      <c r="V482" s="6"/>
      <c r="W482" s="6"/>
      <c r="X482" s="6"/>
      <c r="Y482" s="6"/>
      <c r="Z482" s="6"/>
    </row>
    <row r="483" spans="1:26" ht="12.75" x14ac:dyDescent="0.2">
      <c r="A483" s="36">
        <v>45246</v>
      </c>
      <c r="B483" s="29" t="s">
        <v>939</v>
      </c>
      <c r="C483" s="29" t="s">
        <v>957</v>
      </c>
      <c r="D483" s="37">
        <v>1751.16</v>
      </c>
      <c r="E483" s="29" t="s">
        <v>136</v>
      </c>
      <c r="F483" s="34">
        <v>44116</v>
      </c>
      <c r="G483" s="18"/>
      <c r="H483" s="16">
        <f t="shared" si="75"/>
        <v>16</v>
      </c>
      <c r="I483" s="16">
        <f t="shared" si="76"/>
        <v>11</v>
      </c>
      <c r="J483" s="122">
        <f t="shared" si="77"/>
        <v>2023</v>
      </c>
      <c r="K483" s="64">
        <f t="shared" si="78"/>
        <v>45306</v>
      </c>
      <c r="L483" s="6"/>
      <c r="M483" s="6"/>
      <c r="O483" s="208">
        <v>44185</v>
      </c>
      <c r="P483" s="209">
        <f t="shared" si="79"/>
        <v>0</v>
      </c>
      <c r="Q483" s="209">
        <f>+SUMIF('A DEPOSITAR'!$D$2:$D$998,(O483-2),'A DEPOSITAR'!$H$2:$H$998)</f>
        <v>0</v>
      </c>
      <c r="R483" s="210">
        <f t="shared" si="80"/>
        <v>0</v>
      </c>
      <c r="S483" s="210">
        <f t="shared" si="81"/>
        <v>3453488.2300000018</v>
      </c>
      <c r="T483" s="209">
        <f t="shared" si="82"/>
        <v>0</v>
      </c>
      <c r="U483" s="209">
        <f>+SUMIFS('A DEPOSITAR'!$H$2:$H$998,'A DEPOSITAR'!$D$2:$D$998,(O483-2),'A DEPOSITAR'!$I$2:$I$998,"A Depositar")</f>
        <v>0</v>
      </c>
      <c r="V483" s="6"/>
      <c r="W483" s="6"/>
      <c r="X483" s="6"/>
      <c r="Y483" s="6"/>
      <c r="Z483" s="6"/>
    </row>
    <row r="484" spans="1:26" ht="12.75" x14ac:dyDescent="0.2">
      <c r="A484" s="36">
        <v>45276</v>
      </c>
      <c r="B484" s="29" t="s">
        <v>939</v>
      </c>
      <c r="C484" s="29" t="s">
        <v>958</v>
      </c>
      <c r="D484" s="37">
        <v>1771.23</v>
      </c>
      <c r="E484" s="29" t="s">
        <v>136</v>
      </c>
      <c r="F484" s="34">
        <v>44116</v>
      </c>
      <c r="G484" s="18"/>
      <c r="H484" s="16">
        <f t="shared" si="75"/>
        <v>16</v>
      </c>
      <c r="I484" s="16">
        <f t="shared" si="76"/>
        <v>12</v>
      </c>
      <c r="J484" s="122">
        <f t="shared" si="77"/>
        <v>2023</v>
      </c>
      <c r="K484" s="64">
        <f t="shared" si="78"/>
        <v>45336</v>
      </c>
      <c r="L484" s="6"/>
      <c r="M484" s="6"/>
      <c r="O484" s="208">
        <v>44187</v>
      </c>
      <c r="P484" s="209">
        <f t="shared" si="79"/>
        <v>47396.37</v>
      </c>
      <c r="Q484" s="209">
        <f>+SUMIF('A DEPOSITAR'!$D$2:$D$998,(O484-2),'A DEPOSITAR'!$H$2:$H$998)</f>
        <v>0</v>
      </c>
      <c r="R484" s="210">
        <f t="shared" si="80"/>
        <v>-47396.37</v>
      </c>
      <c r="S484" s="210">
        <f t="shared" si="81"/>
        <v>3406091.8600000017</v>
      </c>
      <c r="T484" s="209">
        <f t="shared" si="82"/>
        <v>0</v>
      </c>
      <c r="U484" s="209">
        <f>+SUMIFS('A DEPOSITAR'!$H$2:$H$998,'A DEPOSITAR'!$D$2:$D$998,(O484-2),'A DEPOSITAR'!$I$2:$I$998,"A Depositar")</f>
        <v>0</v>
      </c>
      <c r="V484" s="6"/>
      <c r="W484" s="6"/>
      <c r="X484" s="6"/>
      <c r="Y484" s="6"/>
      <c r="Z484" s="6"/>
    </row>
    <row r="485" spans="1:26" ht="12.75" x14ac:dyDescent="0.2">
      <c r="A485" s="177">
        <v>44546</v>
      </c>
      <c r="B485" s="178" t="s">
        <v>418</v>
      </c>
      <c r="C485" s="178" t="s">
        <v>434</v>
      </c>
      <c r="D485" s="179">
        <v>5244.6</v>
      </c>
      <c r="E485" s="103" t="s">
        <v>327</v>
      </c>
      <c r="F485" s="180">
        <v>43892</v>
      </c>
      <c r="G485" s="103"/>
      <c r="H485" s="106">
        <f t="shared" si="75"/>
        <v>16</v>
      </c>
      <c r="I485" s="106">
        <f t="shared" si="76"/>
        <v>12</v>
      </c>
      <c r="J485" s="124">
        <f t="shared" si="77"/>
        <v>2021</v>
      </c>
      <c r="K485" s="175">
        <f t="shared" si="78"/>
        <v>44606</v>
      </c>
      <c r="L485" s="181"/>
      <c r="M485" s="181"/>
      <c r="N485" s="182"/>
      <c r="O485" s="208">
        <v>44130</v>
      </c>
      <c r="P485" s="209">
        <f t="shared" si="79"/>
        <v>0</v>
      </c>
      <c r="Q485" s="209">
        <f>+SUMIF('A DEPOSITAR'!$D$2:$D$998,(O485-2),'A DEPOSITAR'!$H$2:$H$998)</f>
        <v>60000</v>
      </c>
      <c r="R485" s="210">
        <f t="shared" si="80"/>
        <v>60000</v>
      </c>
      <c r="S485" s="210">
        <f t="shared" si="81"/>
        <v>3466091.8600000017</v>
      </c>
      <c r="T485" s="209">
        <f t="shared" si="82"/>
        <v>0</v>
      </c>
      <c r="U485" s="209">
        <f>+SUMIFS('A DEPOSITAR'!$H$2:$H$998,'A DEPOSITAR'!$D$2:$D$998,(O485-2),'A DEPOSITAR'!$I$2:$I$998,"A Depositar")</f>
        <v>0</v>
      </c>
      <c r="V485" s="181"/>
      <c r="W485" s="181"/>
      <c r="X485" s="181"/>
      <c r="Y485" s="181"/>
      <c r="Z485" s="181"/>
    </row>
    <row r="486" spans="1:26" ht="12.75" x14ac:dyDescent="0.2">
      <c r="A486" s="36">
        <v>45307</v>
      </c>
      <c r="B486" s="29" t="s">
        <v>939</v>
      </c>
      <c r="C486" s="29" t="s">
        <v>959</v>
      </c>
      <c r="D486" s="37">
        <v>1791.3</v>
      </c>
      <c r="E486" s="29" t="s">
        <v>136</v>
      </c>
      <c r="F486" s="34">
        <v>44116</v>
      </c>
      <c r="G486" s="18"/>
      <c r="H486" s="16">
        <f t="shared" si="75"/>
        <v>16</v>
      </c>
      <c r="I486" s="16">
        <f t="shared" si="76"/>
        <v>1</v>
      </c>
      <c r="J486" s="122">
        <f t="shared" si="77"/>
        <v>2024</v>
      </c>
      <c r="K486" s="64">
        <f t="shared" si="78"/>
        <v>45367</v>
      </c>
      <c r="L486" s="6"/>
      <c r="M486" s="6"/>
      <c r="O486" s="208">
        <v>44189</v>
      </c>
      <c r="P486" s="209">
        <f t="shared" si="79"/>
        <v>0</v>
      </c>
      <c r="Q486" s="209">
        <f>+SUMIF('A DEPOSITAR'!$D$2:$D$998,(O486-2),'A DEPOSITAR'!$H$2:$H$998)</f>
        <v>0</v>
      </c>
      <c r="R486" s="210">
        <f t="shared" si="80"/>
        <v>0</v>
      </c>
      <c r="S486" s="210">
        <f t="shared" si="81"/>
        <v>3466091.8600000017</v>
      </c>
      <c r="T486" s="209">
        <f t="shared" si="82"/>
        <v>0</v>
      </c>
      <c r="U486" s="209">
        <f>+SUMIFS('A DEPOSITAR'!$H$2:$H$998,'A DEPOSITAR'!$D$2:$D$998,(O486-2),'A DEPOSITAR'!$I$2:$I$998,"A Depositar")</f>
        <v>0</v>
      </c>
      <c r="V486" s="6"/>
      <c r="W486" s="6"/>
      <c r="X486" s="6"/>
      <c r="Y486" s="6"/>
      <c r="Z486" s="6"/>
    </row>
    <row r="487" spans="1:26" ht="12.75" x14ac:dyDescent="0.2">
      <c r="A487" s="36">
        <v>45338</v>
      </c>
      <c r="B487" s="29" t="s">
        <v>939</v>
      </c>
      <c r="C487" s="29" t="s">
        <v>960</v>
      </c>
      <c r="D487" s="37">
        <v>1811.38</v>
      </c>
      <c r="E487" s="29" t="s">
        <v>136</v>
      </c>
      <c r="F487" s="34">
        <v>44116</v>
      </c>
      <c r="G487" s="18"/>
      <c r="H487" s="16">
        <f t="shared" si="75"/>
        <v>16</v>
      </c>
      <c r="I487" s="16">
        <f t="shared" si="76"/>
        <v>2</v>
      </c>
      <c r="J487" s="122">
        <f t="shared" si="77"/>
        <v>2024</v>
      </c>
      <c r="K487" s="64">
        <f t="shared" si="78"/>
        <v>45398</v>
      </c>
      <c r="L487" s="6"/>
      <c r="M487" s="6"/>
      <c r="O487" s="208">
        <v>44191</v>
      </c>
      <c r="P487" s="209">
        <f t="shared" si="79"/>
        <v>0</v>
      </c>
      <c r="Q487" s="209">
        <f>+SUMIF('A DEPOSITAR'!$D$2:$D$998,(O487-2),'A DEPOSITAR'!$H$2:$H$998)</f>
        <v>14668</v>
      </c>
      <c r="R487" s="210">
        <f t="shared" si="80"/>
        <v>14668</v>
      </c>
      <c r="S487" s="210">
        <f t="shared" si="81"/>
        <v>3480759.8600000017</v>
      </c>
      <c r="T487" s="209">
        <f t="shared" si="82"/>
        <v>0</v>
      </c>
      <c r="U487" s="209">
        <f>+SUMIFS('A DEPOSITAR'!$H$2:$H$998,'A DEPOSITAR'!$D$2:$D$998,(O487-2),'A DEPOSITAR'!$I$2:$I$998,"A Depositar")</f>
        <v>0</v>
      </c>
      <c r="V487" s="6"/>
      <c r="W487" s="6"/>
      <c r="X487" s="6"/>
      <c r="Y487" s="6"/>
      <c r="Z487" s="6"/>
    </row>
    <row r="488" spans="1:26" ht="12.75" x14ac:dyDescent="0.2">
      <c r="A488" s="36">
        <v>44271</v>
      </c>
      <c r="B488" s="29" t="s">
        <v>939</v>
      </c>
      <c r="C488" s="29" t="s">
        <v>233</v>
      </c>
      <c r="D488" s="37">
        <v>1108.77</v>
      </c>
      <c r="E488" s="29" t="s">
        <v>22</v>
      </c>
      <c r="F488" s="34">
        <v>44116</v>
      </c>
      <c r="G488" s="18"/>
      <c r="H488" s="16">
        <f t="shared" si="75"/>
        <v>16</v>
      </c>
      <c r="I488" s="16">
        <f t="shared" si="76"/>
        <v>3</v>
      </c>
      <c r="J488" s="122">
        <f t="shared" si="77"/>
        <v>2021</v>
      </c>
      <c r="K488" s="64">
        <f t="shared" si="78"/>
        <v>44331</v>
      </c>
      <c r="L488" s="6"/>
      <c r="M488" s="6"/>
      <c r="O488" s="208">
        <v>44197</v>
      </c>
      <c r="P488" s="209">
        <f t="shared" si="79"/>
        <v>0</v>
      </c>
      <c r="Q488" s="209">
        <f>+SUMIF('A DEPOSITAR'!$D$2:$D$998,(O488-2),'A DEPOSITAR'!$H$2:$H$998)</f>
        <v>80000</v>
      </c>
      <c r="R488" s="210">
        <f t="shared" si="80"/>
        <v>80000</v>
      </c>
      <c r="S488" s="210">
        <f t="shared" si="81"/>
        <v>3560759.8600000017</v>
      </c>
      <c r="T488" s="209">
        <f t="shared" si="82"/>
        <v>0</v>
      </c>
      <c r="U488" s="209">
        <f>+SUMIFS('A DEPOSITAR'!$H$2:$H$998,'A DEPOSITAR'!$D$2:$D$998,(O488-2),'A DEPOSITAR'!$I$2:$I$998,"A Depositar")</f>
        <v>0</v>
      </c>
      <c r="V488" s="6"/>
      <c r="W488" s="6"/>
      <c r="X488" s="6"/>
      <c r="Y488" s="6"/>
      <c r="Z488" s="6"/>
    </row>
    <row r="489" spans="1:26" ht="12.75" x14ac:dyDescent="0.2">
      <c r="A489" s="102">
        <v>43937</v>
      </c>
      <c r="B489" s="103" t="s">
        <v>365</v>
      </c>
      <c r="C489" s="103" t="s">
        <v>231</v>
      </c>
      <c r="D489" s="104">
        <v>12412.65</v>
      </c>
      <c r="E489" s="103" t="s">
        <v>327</v>
      </c>
      <c r="F489" s="105">
        <v>43864</v>
      </c>
      <c r="G489" s="103" t="s">
        <v>816</v>
      </c>
      <c r="H489" s="106">
        <f t="shared" si="75"/>
        <v>16</v>
      </c>
      <c r="I489" s="106">
        <f t="shared" si="76"/>
        <v>4</v>
      </c>
      <c r="J489" s="124">
        <f t="shared" si="77"/>
        <v>2020</v>
      </c>
      <c r="K489" s="175">
        <f t="shared" si="78"/>
        <v>43997</v>
      </c>
      <c r="L489" s="181"/>
      <c r="M489" s="181"/>
      <c r="N489" s="182"/>
      <c r="O489" s="208">
        <v>44134</v>
      </c>
      <c r="P489" s="209">
        <f t="shared" si="79"/>
        <v>64200.45</v>
      </c>
      <c r="Q489" s="209">
        <f>+SUMIF('A DEPOSITAR'!$D$2:$D$998,(O489-2),'A DEPOSITAR'!$H$2:$H$998)</f>
        <v>15600</v>
      </c>
      <c r="R489" s="210">
        <f t="shared" si="80"/>
        <v>-48600.45</v>
      </c>
      <c r="S489" s="210">
        <f t="shared" si="81"/>
        <v>3512159.4100000015</v>
      </c>
      <c r="T489" s="209">
        <f t="shared" si="82"/>
        <v>0</v>
      </c>
      <c r="U489" s="209">
        <f>+SUMIFS('A DEPOSITAR'!$H$2:$H$998,'A DEPOSITAR'!$D$2:$D$998,(O489-2),'A DEPOSITAR'!$I$2:$I$998,"A Depositar")</f>
        <v>0</v>
      </c>
      <c r="V489" s="181"/>
      <c r="W489" s="181"/>
      <c r="X489" s="181"/>
      <c r="Y489" s="181"/>
      <c r="Z489" s="181"/>
    </row>
    <row r="490" spans="1:26" ht="12.75" x14ac:dyDescent="0.2">
      <c r="A490" s="102">
        <v>43877</v>
      </c>
      <c r="B490" s="103" t="s">
        <v>301</v>
      </c>
      <c r="C490" s="103" t="s">
        <v>231</v>
      </c>
      <c r="D490" s="104">
        <v>2970.88</v>
      </c>
      <c r="E490" s="103" t="s">
        <v>22</v>
      </c>
      <c r="F490" s="105">
        <v>43829</v>
      </c>
      <c r="G490" s="103"/>
      <c r="H490" s="106">
        <f t="shared" si="75"/>
        <v>16</v>
      </c>
      <c r="I490" s="106">
        <f t="shared" si="76"/>
        <v>2</v>
      </c>
      <c r="J490" s="124">
        <f t="shared" si="77"/>
        <v>2020</v>
      </c>
      <c r="K490" s="175">
        <f t="shared" si="78"/>
        <v>43937</v>
      </c>
      <c r="L490" s="181"/>
      <c r="M490" s="181"/>
      <c r="N490" s="182"/>
      <c r="O490" s="208">
        <v>44135</v>
      </c>
      <c r="P490" s="209">
        <f t="shared" si="79"/>
        <v>0</v>
      </c>
      <c r="Q490" s="209">
        <f>+SUMIF('A DEPOSITAR'!$D$2:$D$998,(O490-2),'A DEPOSITAR'!$H$2:$H$998)</f>
        <v>0</v>
      </c>
      <c r="R490" s="210">
        <f t="shared" si="80"/>
        <v>0</v>
      </c>
      <c r="S490" s="210">
        <f t="shared" si="81"/>
        <v>3512159.4100000015</v>
      </c>
      <c r="T490" s="209">
        <f t="shared" si="82"/>
        <v>0</v>
      </c>
      <c r="U490" s="209">
        <f>+SUMIFS('A DEPOSITAR'!$H$2:$H$998,'A DEPOSITAR'!$D$2:$D$998,(O490-2),'A DEPOSITAR'!$I$2:$I$998,"A Depositar")</f>
        <v>0</v>
      </c>
      <c r="V490" s="181"/>
      <c r="W490" s="181"/>
      <c r="X490" s="181"/>
      <c r="Y490" s="181"/>
      <c r="Z490" s="181"/>
    </row>
    <row r="491" spans="1:26" ht="12.75" x14ac:dyDescent="0.2">
      <c r="A491" s="36">
        <v>45367</v>
      </c>
      <c r="B491" s="29" t="s">
        <v>939</v>
      </c>
      <c r="C491" s="29" t="s">
        <v>961</v>
      </c>
      <c r="D491" s="37">
        <v>1831.46</v>
      </c>
      <c r="E491" s="29" t="s">
        <v>136</v>
      </c>
      <c r="F491" s="34">
        <v>44116</v>
      </c>
      <c r="G491" s="18"/>
      <c r="H491" s="16">
        <f t="shared" si="75"/>
        <v>16</v>
      </c>
      <c r="I491" s="16">
        <f t="shared" si="76"/>
        <v>3</v>
      </c>
      <c r="J491" s="122">
        <f t="shared" si="77"/>
        <v>2024</v>
      </c>
      <c r="K491" s="64">
        <f t="shared" si="78"/>
        <v>45427</v>
      </c>
      <c r="L491" s="6"/>
      <c r="M491" s="6"/>
      <c r="O491" s="208">
        <v>44202</v>
      </c>
      <c r="P491" s="209">
        <f t="shared" si="79"/>
        <v>0</v>
      </c>
      <c r="Q491" s="209">
        <f>+SUMIF('A DEPOSITAR'!$D$2:$D$998,(O491-2),'A DEPOSITAR'!$H$2:$H$998)</f>
        <v>3900</v>
      </c>
      <c r="R491" s="210">
        <f t="shared" si="80"/>
        <v>3900</v>
      </c>
      <c r="S491" s="210">
        <f t="shared" si="81"/>
        <v>3516059.4100000015</v>
      </c>
      <c r="T491" s="209">
        <f t="shared" si="82"/>
        <v>0</v>
      </c>
      <c r="U491" s="209">
        <f>+SUMIFS('A DEPOSITAR'!$H$2:$H$998,'A DEPOSITAR'!$D$2:$D$998,(O491-2),'A DEPOSITAR'!$I$2:$I$998,"A Depositar")</f>
        <v>0</v>
      </c>
      <c r="V491" s="6"/>
      <c r="W491" s="6"/>
      <c r="X491" s="6"/>
      <c r="Y491" s="6"/>
      <c r="Z491" s="6"/>
    </row>
    <row r="492" spans="1:26" ht="12.75" x14ac:dyDescent="0.2">
      <c r="A492" s="36">
        <v>45398</v>
      </c>
      <c r="B492" s="29" t="s">
        <v>939</v>
      </c>
      <c r="C492" s="29" t="s">
        <v>962</v>
      </c>
      <c r="D492" s="37">
        <v>1851.53</v>
      </c>
      <c r="E492" s="29" t="s">
        <v>136</v>
      </c>
      <c r="F492" s="34">
        <v>44116</v>
      </c>
      <c r="G492" s="18"/>
      <c r="H492" s="16">
        <f t="shared" si="75"/>
        <v>16</v>
      </c>
      <c r="I492" s="16">
        <f t="shared" si="76"/>
        <v>4</v>
      </c>
      <c r="J492" s="122">
        <f t="shared" si="77"/>
        <v>2024</v>
      </c>
      <c r="K492" s="64">
        <f t="shared" si="78"/>
        <v>45458</v>
      </c>
      <c r="L492" s="6"/>
      <c r="M492" s="6"/>
      <c r="O492" s="208">
        <v>44204</v>
      </c>
      <c r="P492" s="209">
        <f t="shared" si="79"/>
        <v>0</v>
      </c>
      <c r="Q492" s="209">
        <f>+SUMIF('A DEPOSITAR'!$D$2:$D$998,(O492-2),'A DEPOSITAR'!$H$2:$H$998)</f>
        <v>0</v>
      </c>
      <c r="R492" s="210">
        <f t="shared" si="80"/>
        <v>0</v>
      </c>
      <c r="S492" s="210">
        <f t="shared" si="81"/>
        <v>3516059.4100000015</v>
      </c>
      <c r="T492" s="209">
        <f t="shared" si="82"/>
        <v>0</v>
      </c>
      <c r="U492" s="209">
        <f>+SUMIFS('A DEPOSITAR'!$H$2:$H$998,'A DEPOSITAR'!$D$2:$D$998,(O492-2),'A DEPOSITAR'!$I$2:$I$998,"A Depositar")</f>
        <v>0</v>
      </c>
      <c r="V492" s="6"/>
      <c r="W492" s="6"/>
      <c r="X492" s="6"/>
      <c r="Y492" s="6"/>
      <c r="Z492" s="6"/>
    </row>
    <row r="493" spans="1:26" ht="12.75" x14ac:dyDescent="0.2">
      <c r="A493" s="36">
        <v>45428</v>
      </c>
      <c r="B493" s="29" t="s">
        <v>939</v>
      </c>
      <c r="C493" s="29" t="s">
        <v>963</v>
      </c>
      <c r="D493" s="37">
        <v>1871.6</v>
      </c>
      <c r="E493" s="29" t="s">
        <v>136</v>
      </c>
      <c r="F493" s="34">
        <v>44116</v>
      </c>
      <c r="G493" s="18"/>
      <c r="H493" s="16">
        <f t="shared" si="75"/>
        <v>16</v>
      </c>
      <c r="I493" s="16">
        <f t="shared" si="76"/>
        <v>5</v>
      </c>
      <c r="J493" s="122">
        <f t="shared" si="77"/>
        <v>2024</v>
      </c>
      <c r="K493" s="64">
        <f t="shared" si="78"/>
        <v>45488</v>
      </c>
      <c r="L493" s="6"/>
      <c r="M493" s="6"/>
      <c r="O493" s="208">
        <v>44206</v>
      </c>
      <c r="P493" s="209">
        <f t="shared" si="79"/>
        <v>0</v>
      </c>
      <c r="Q493" s="209">
        <f>+SUMIF('A DEPOSITAR'!$D$2:$D$998,(O493-2),'A DEPOSITAR'!$H$2:$H$998)</f>
        <v>0</v>
      </c>
      <c r="R493" s="210">
        <f t="shared" si="80"/>
        <v>0</v>
      </c>
      <c r="S493" s="210">
        <f t="shared" si="81"/>
        <v>3516059.4100000015</v>
      </c>
      <c r="T493" s="209">
        <f t="shared" si="82"/>
        <v>0</v>
      </c>
      <c r="U493" s="209">
        <f>+SUMIFS('A DEPOSITAR'!$H$2:$H$998,'A DEPOSITAR'!$D$2:$D$998,(O493-2),'A DEPOSITAR'!$I$2:$I$998,"A Depositar")</f>
        <v>0</v>
      </c>
      <c r="V493" s="6"/>
      <c r="W493" s="6"/>
      <c r="X493" s="6"/>
      <c r="Y493" s="6"/>
      <c r="Z493" s="6"/>
    </row>
    <row r="494" spans="1:26" ht="12.75" x14ac:dyDescent="0.2">
      <c r="A494" s="36">
        <v>45459</v>
      </c>
      <c r="B494" s="29" t="s">
        <v>939</v>
      </c>
      <c r="C494" s="29" t="s">
        <v>964</v>
      </c>
      <c r="D494" s="37">
        <v>1891.67</v>
      </c>
      <c r="E494" s="29" t="s">
        <v>136</v>
      </c>
      <c r="F494" s="34">
        <v>44116</v>
      </c>
      <c r="G494" s="18"/>
      <c r="H494" s="16">
        <f t="shared" si="75"/>
        <v>16</v>
      </c>
      <c r="I494" s="16">
        <f t="shared" si="76"/>
        <v>6</v>
      </c>
      <c r="J494" s="122">
        <f t="shared" si="77"/>
        <v>2024</v>
      </c>
      <c r="K494" s="64">
        <f t="shared" si="78"/>
        <v>45519</v>
      </c>
      <c r="L494" s="6"/>
      <c r="M494" s="6"/>
      <c r="O494" s="208">
        <v>44208</v>
      </c>
      <c r="P494" s="209">
        <f t="shared" si="79"/>
        <v>0</v>
      </c>
      <c r="Q494" s="209">
        <f>+SUMIF('A DEPOSITAR'!$D$2:$D$998,(O494-2),'A DEPOSITAR'!$H$2:$H$998)</f>
        <v>104331</v>
      </c>
      <c r="R494" s="210">
        <f t="shared" si="80"/>
        <v>104331</v>
      </c>
      <c r="S494" s="210">
        <f t="shared" si="81"/>
        <v>3620390.4100000015</v>
      </c>
      <c r="T494" s="209">
        <f t="shared" si="82"/>
        <v>0</v>
      </c>
      <c r="U494" s="209">
        <f>+SUMIFS('A DEPOSITAR'!$H$2:$H$998,'A DEPOSITAR'!$D$2:$D$998,(O494-2),'A DEPOSITAR'!$I$2:$I$998,"A Depositar")</f>
        <v>0</v>
      </c>
      <c r="V494" s="6"/>
      <c r="W494" s="6"/>
      <c r="X494" s="6"/>
      <c r="Y494" s="6"/>
      <c r="Z494" s="6"/>
    </row>
    <row r="495" spans="1:26" ht="12.75" x14ac:dyDescent="0.2">
      <c r="A495" s="177">
        <v>44059</v>
      </c>
      <c r="B495" s="178" t="s">
        <v>418</v>
      </c>
      <c r="C495" s="178" t="s">
        <v>231</v>
      </c>
      <c r="D495" s="179">
        <v>3720.24</v>
      </c>
      <c r="E495" s="103" t="s">
        <v>22</v>
      </c>
      <c r="F495" s="180">
        <v>43892</v>
      </c>
      <c r="G495" s="103"/>
      <c r="H495" s="106">
        <f t="shared" si="75"/>
        <v>16</v>
      </c>
      <c r="I495" s="106">
        <f t="shared" si="76"/>
        <v>8</v>
      </c>
      <c r="J495" s="124">
        <f t="shared" si="77"/>
        <v>2020</v>
      </c>
      <c r="K495" s="175">
        <f t="shared" si="78"/>
        <v>44119</v>
      </c>
      <c r="L495" s="181"/>
      <c r="M495" s="181"/>
      <c r="N495" s="182"/>
      <c r="O495" s="208">
        <v>44140</v>
      </c>
      <c r="P495" s="209">
        <f t="shared" si="79"/>
        <v>0</v>
      </c>
      <c r="Q495" s="209">
        <f>+SUMIF('A DEPOSITAR'!$D$2:$D$998,(O495-2),'A DEPOSITAR'!$H$2:$H$998)</f>
        <v>0</v>
      </c>
      <c r="R495" s="210">
        <f t="shared" si="80"/>
        <v>0</v>
      </c>
      <c r="S495" s="210">
        <f t="shared" si="81"/>
        <v>3620390.4100000015</v>
      </c>
      <c r="T495" s="209">
        <f t="shared" si="82"/>
        <v>0</v>
      </c>
      <c r="U495" s="209">
        <f>+SUMIFS('A DEPOSITAR'!$H$2:$H$998,'A DEPOSITAR'!$D$2:$D$998,(O495-2),'A DEPOSITAR'!$I$2:$I$998,"A Depositar")</f>
        <v>0</v>
      </c>
      <c r="V495" s="181"/>
      <c r="W495" s="181"/>
      <c r="X495" s="181"/>
      <c r="Y495" s="181"/>
      <c r="Z495" s="181"/>
    </row>
    <row r="496" spans="1:26" ht="12.75" x14ac:dyDescent="0.2">
      <c r="A496" s="102">
        <v>43846</v>
      </c>
      <c r="B496" s="103" t="s">
        <v>229</v>
      </c>
      <c r="C496" s="103" t="s">
        <v>231</v>
      </c>
      <c r="D496" s="104">
        <v>1153.93</v>
      </c>
      <c r="E496" s="103" t="s">
        <v>22</v>
      </c>
      <c r="F496" s="105">
        <v>43780</v>
      </c>
      <c r="G496" s="103"/>
      <c r="H496" s="106">
        <f t="shared" si="75"/>
        <v>16</v>
      </c>
      <c r="I496" s="106">
        <f t="shared" si="76"/>
        <v>1</v>
      </c>
      <c r="J496" s="124">
        <f t="shared" si="77"/>
        <v>2020</v>
      </c>
      <c r="K496" s="175">
        <f t="shared" si="78"/>
        <v>43906</v>
      </c>
      <c r="L496" s="6"/>
      <c r="M496" s="6"/>
      <c r="O496" s="208">
        <v>44141</v>
      </c>
      <c r="P496" s="209">
        <f t="shared" si="79"/>
        <v>0</v>
      </c>
      <c r="Q496" s="209">
        <f>+SUMIF('A DEPOSITAR'!$D$2:$D$998,(O496-2),'A DEPOSITAR'!$H$2:$H$998)</f>
        <v>0</v>
      </c>
      <c r="R496" s="210">
        <f t="shared" si="80"/>
        <v>0</v>
      </c>
      <c r="S496" s="210">
        <f t="shared" si="81"/>
        <v>3620390.4100000015</v>
      </c>
      <c r="T496" s="209">
        <f t="shared" si="82"/>
        <v>0</v>
      </c>
      <c r="U496" s="209">
        <f>+SUMIFS('A DEPOSITAR'!$H$2:$H$998,'A DEPOSITAR'!$D$2:$D$998,(O496-2),'A DEPOSITAR'!$I$2:$I$998,"A Depositar")</f>
        <v>0</v>
      </c>
      <c r="V496" s="6"/>
      <c r="W496" s="6"/>
      <c r="X496" s="6"/>
      <c r="Y496" s="6"/>
      <c r="Z496" s="6"/>
    </row>
    <row r="497" spans="1:26" ht="12.75" x14ac:dyDescent="0.2">
      <c r="A497" s="36">
        <v>45489</v>
      </c>
      <c r="B497" s="29" t="s">
        <v>939</v>
      </c>
      <c r="C497" s="29" t="s">
        <v>965</v>
      </c>
      <c r="D497" s="37">
        <v>1911.76</v>
      </c>
      <c r="E497" s="29" t="s">
        <v>136</v>
      </c>
      <c r="F497" s="34">
        <v>44116</v>
      </c>
      <c r="G497" s="18"/>
      <c r="H497" s="16">
        <f t="shared" si="75"/>
        <v>16</v>
      </c>
      <c r="I497" s="16">
        <f t="shared" si="76"/>
        <v>7</v>
      </c>
      <c r="J497" s="122">
        <f t="shared" si="77"/>
        <v>2024</v>
      </c>
      <c r="K497" s="64">
        <f t="shared" si="78"/>
        <v>45549</v>
      </c>
      <c r="L497" s="6"/>
      <c r="M497" s="6"/>
      <c r="O497" s="208">
        <v>44210</v>
      </c>
      <c r="P497" s="209">
        <f t="shared" si="79"/>
        <v>0</v>
      </c>
      <c r="Q497" s="209">
        <f>+SUMIF('A DEPOSITAR'!$D$2:$D$998,(O497-2),'A DEPOSITAR'!$H$2:$H$998)</f>
        <v>0</v>
      </c>
      <c r="R497" s="210">
        <f t="shared" si="80"/>
        <v>0</v>
      </c>
      <c r="S497" s="210">
        <f t="shared" si="81"/>
        <v>3620390.4100000015</v>
      </c>
      <c r="T497" s="209">
        <f t="shared" si="82"/>
        <v>0</v>
      </c>
      <c r="U497" s="209">
        <f>+SUMIFS('A DEPOSITAR'!$H$2:$H$998,'A DEPOSITAR'!$D$2:$D$998,(O497-2),'A DEPOSITAR'!$I$2:$I$998,"A Depositar")</f>
        <v>0</v>
      </c>
      <c r="V497" s="6"/>
      <c r="W497" s="6"/>
      <c r="X497" s="6"/>
      <c r="Y497" s="6"/>
      <c r="Z497" s="6"/>
    </row>
    <row r="498" spans="1:26" ht="12.75" x14ac:dyDescent="0.2">
      <c r="A498" s="36">
        <v>45520</v>
      </c>
      <c r="B498" s="29" t="s">
        <v>939</v>
      </c>
      <c r="C498" s="29" t="s">
        <v>966</v>
      </c>
      <c r="D498" s="37">
        <v>1931.83</v>
      </c>
      <c r="E498" s="29" t="s">
        <v>136</v>
      </c>
      <c r="F498" s="34">
        <v>44116</v>
      </c>
      <c r="G498" s="18"/>
      <c r="H498" s="16">
        <f t="shared" si="75"/>
        <v>16</v>
      </c>
      <c r="I498" s="16">
        <f t="shared" si="76"/>
        <v>8</v>
      </c>
      <c r="J498" s="122">
        <f t="shared" si="77"/>
        <v>2024</v>
      </c>
      <c r="K498" s="64">
        <f t="shared" si="78"/>
        <v>45580</v>
      </c>
      <c r="L498" s="6"/>
      <c r="M498" s="6"/>
      <c r="O498" s="208">
        <v>44212</v>
      </c>
      <c r="P498" s="209">
        <f t="shared" si="79"/>
        <v>68077.87999999999</v>
      </c>
      <c r="Q498" s="209">
        <f>+SUMIF('A DEPOSITAR'!$D$2:$D$998,(O498-2),'A DEPOSITAR'!$H$2:$H$998)</f>
        <v>0</v>
      </c>
      <c r="R498" s="210">
        <f t="shared" si="80"/>
        <v>-68077.87999999999</v>
      </c>
      <c r="S498" s="210">
        <f t="shared" si="81"/>
        <v>3552312.5300000017</v>
      </c>
      <c r="T498" s="209">
        <f t="shared" si="82"/>
        <v>0</v>
      </c>
      <c r="U498" s="209">
        <f>+SUMIFS('A DEPOSITAR'!$H$2:$H$998,'A DEPOSITAR'!$D$2:$D$998,(O498-2),'A DEPOSITAR'!$I$2:$I$998,"A Depositar")</f>
        <v>0</v>
      </c>
      <c r="V498" s="6"/>
      <c r="W498" s="6"/>
      <c r="X498" s="6"/>
      <c r="Y498" s="6"/>
      <c r="Z498" s="6"/>
    </row>
    <row r="499" spans="1:26" ht="12.75" x14ac:dyDescent="0.2">
      <c r="A499" s="36">
        <v>45551</v>
      </c>
      <c r="B499" s="29" t="s">
        <v>939</v>
      </c>
      <c r="C499" s="29" t="s">
        <v>967</v>
      </c>
      <c r="D499" s="37">
        <v>1951.9</v>
      </c>
      <c r="E499" s="29" t="s">
        <v>136</v>
      </c>
      <c r="F499" s="34">
        <v>44116</v>
      </c>
      <c r="G499" s="18"/>
      <c r="H499" s="16">
        <f t="shared" si="75"/>
        <v>16</v>
      </c>
      <c r="I499" s="16">
        <f t="shared" si="76"/>
        <v>9</v>
      </c>
      <c r="J499" s="122">
        <f t="shared" si="77"/>
        <v>2024</v>
      </c>
      <c r="K499" s="64">
        <f t="shared" si="78"/>
        <v>45611</v>
      </c>
      <c r="L499" s="6"/>
      <c r="M499" s="6"/>
      <c r="O499" s="208">
        <v>44214</v>
      </c>
      <c r="P499" s="209">
        <f t="shared" si="79"/>
        <v>0</v>
      </c>
      <c r="Q499" s="209">
        <f>+SUMIF('A DEPOSITAR'!$D$2:$D$998,(O499-2),'A DEPOSITAR'!$H$2:$H$998)</f>
        <v>35000</v>
      </c>
      <c r="R499" s="210">
        <f t="shared" si="80"/>
        <v>35000</v>
      </c>
      <c r="S499" s="210">
        <f t="shared" si="81"/>
        <v>3587312.5300000017</v>
      </c>
      <c r="T499" s="209">
        <f t="shared" si="82"/>
        <v>0</v>
      </c>
      <c r="U499" s="209">
        <f>+SUMIFS('A DEPOSITAR'!$H$2:$H$998,'A DEPOSITAR'!$D$2:$D$998,(O499-2),'A DEPOSITAR'!$I$2:$I$998,"A Depositar")</f>
        <v>0</v>
      </c>
      <c r="V499" s="6"/>
      <c r="W499" s="6"/>
      <c r="X499" s="6"/>
      <c r="Y499" s="6"/>
      <c r="Z499" s="6"/>
    </row>
    <row r="500" spans="1:26" ht="12.75" x14ac:dyDescent="0.2">
      <c r="A500" s="36">
        <v>45581</v>
      </c>
      <c r="B500" s="29" t="s">
        <v>939</v>
      </c>
      <c r="C500" s="29" t="s">
        <v>968</v>
      </c>
      <c r="D500" s="37">
        <v>1971.97</v>
      </c>
      <c r="E500" s="29" t="s">
        <v>136</v>
      </c>
      <c r="F500" s="34">
        <v>44116</v>
      </c>
      <c r="G500" s="18"/>
      <c r="H500" s="16">
        <f t="shared" si="75"/>
        <v>16</v>
      </c>
      <c r="I500" s="16">
        <f t="shared" si="76"/>
        <v>10</v>
      </c>
      <c r="J500" s="122">
        <f t="shared" si="77"/>
        <v>2024</v>
      </c>
      <c r="K500" s="64">
        <f t="shared" si="78"/>
        <v>45641</v>
      </c>
      <c r="L500" s="6"/>
      <c r="M500" s="6"/>
      <c r="O500" s="208">
        <v>44215</v>
      </c>
      <c r="P500" s="209">
        <f t="shared" si="79"/>
        <v>0</v>
      </c>
      <c r="Q500" s="209">
        <f>+SUMIF('A DEPOSITAR'!$D$2:$D$998,(O500-2),'A DEPOSITAR'!$H$2:$H$998)</f>
        <v>0</v>
      </c>
      <c r="R500" s="210">
        <f t="shared" si="80"/>
        <v>0</v>
      </c>
      <c r="S500" s="210">
        <f t="shared" si="81"/>
        <v>3587312.5300000017</v>
      </c>
      <c r="T500" s="209">
        <f t="shared" si="82"/>
        <v>0</v>
      </c>
      <c r="U500" s="209">
        <f>+SUMIFS('A DEPOSITAR'!$H$2:$H$998,'A DEPOSITAR'!$D$2:$D$998,(O500-2),'A DEPOSITAR'!$I$2:$I$998,"A Depositar")</f>
        <v>0</v>
      </c>
      <c r="V500" s="6"/>
      <c r="W500" s="6"/>
      <c r="X500" s="6"/>
      <c r="Y500" s="6"/>
      <c r="Z500" s="6"/>
    </row>
    <row r="501" spans="1:26" ht="12.75" x14ac:dyDescent="0.2">
      <c r="A501" s="36">
        <v>45612</v>
      </c>
      <c r="B501" s="29" t="s">
        <v>939</v>
      </c>
      <c r="C501" s="29" t="s">
        <v>969</v>
      </c>
      <c r="D501" s="37">
        <v>1992.05</v>
      </c>
      <c r="E501" s="29" t="s">
        <v>136</v>
      </c>
      <c r="F501" s="34">
        <v>44116</v>
      </c>
      <c r="G501" s="18"/>
      <c r="H501" s="16">
        <f t="shared" si="75"/>
        <v>16</v>
      </c>
      <c r="I501" s="16">
        <f t="shared" si="76"/>
        <v>11</v>
      </c>
      <c r="J501" s="122">
        <f t="shared" si="77"/>
        <v>2024</v>
      </c>
      <c r="K501" s="64">
        <f t="shared" si="78"/>
        <v>45672</v>
      </c>
      <c r="L501" s="6"/>
      <c r="M501" s="6"/>
      <c r="O501" s="208">
        <v>44216</v>
      </c>
      <c r="P501" s="209">
        <f t="shared" si="79"/>
        <v>0</v>
      </c>
      <c r="Q501" s="209">
        <f>+SUMIF('A DEPOSITAR'!$D$2:$D$998,(O501-2),'A DEPOSITAR'!$H$2:$H$998)</f>
        <v>0</v>
      </c>
      <c r="R501" s="210">
        <f t="shared" si="80"/>
        <v>0</v>
      </c>
      <c r="S501" s="210">
        <f t="shared" si="81"/>
        <v>3587312.5300000017</v>
      </c>
      <c r="T501" s="209">
        <f t="shared" si="82"/>
        <v>0</v>
      </c>
      <c r="U501" s="209">
        <f>+SUMIFS('A DEPOSITAR'!$H$2:$H$998,'A DEPOSITAR'!$D$2:$D$998,(O501-2),'A DEPOSITAR'!$I$2:$I$998,"A Depositar")</f>
        <v>0</v>
      </c>
      <c r="V501" s="6"/>
      <c r="W501" s="6"/>
      <c r="X501" s="6"/>
      <c r="Y501" s="6"/>
      <c r="Z501" s="6"/>
    </row>
    <row r="502" spans="1:26" ht="12.75" x14ac:dyDescent="0.2">
      <c r="A502" s="36">
        <v>45642</v>
      </c>
      <c r="B502" s="29" t="s">
        <v>939</v>
      </c>
      <c r="C502" s="29" t="s">
        <v>970</v>
      </c>
      <c r="D502" s="37">
        <v>2012.12</v>
      </c>
      <c r="E502" s="29" t="s">
        <v>136</v>
      </c>
      <c r="F502" s="34">
        <v>44116</v>
      </c>
      <c r="G502" s="18"/>
      <c r="H502" s="16">
        <f t="shared" si="75"/>
        <v>16</v>
      </c>
      <c r="I502" s="16">
        <f t="shared" si="76"/>
        <v>12</v>
      </c>
      <c r="J502" s="122">
        <f t="shared" si="77"/>
        <v>2024</v>
      </c>
      <c r="K502" s="64">
        <f t="shared" si="78"/>
        <v>45702</v>
      </c>
      <c r="L502" s="6"/>
      <c r="M502" s="6"/>
      <c r="O502" s="208">
        <v>44217</v>
      </c>
      <c r="P502" s="209">
        <f t="shared" si="79"/>
        <v>0</v>
      </c>
      <c r="Q502" s="209">
        <f>+SUMIF('A DEPOSITAR'!$D$2:$D$998,(O502-2),'A DEPOSITAR'!$H$2:$H$998)</f>
        <v>43896</v>
      </c>
      <c r="R502" s="210">
        <f t="shared" si="80"/>
        <v>43896</v>
      </c>
      <c r="S502" s="210">
        <f t="shared" si="81"/>
        <v>3631208.5300000017</v>
      </c>
      <c r="T502" s="209">
        <f t="shared" si="82"/>
        <v>0</v>
      </c>
      <c r="U502" s="209">
        <f>+SUMIFS('A DEPOSITAR'!$H$2:$H$998,'A DEPOSITAR'!$D$2:$D$998,(O502-2),'A DEPOSITAR'!$I$2:$I$998,"A Depositar")</f>
        <v>0</v>
      </c>
      <c r="V502" s="6"/>
      <c r="W502" s="6"/>
      <c r="X502" s="6"/>
      <c r="Y502" s="6"/>
      <c r="Z502" s="6"/>
    </row>
    <row r="503" spans="1:26" ht="12.75" x14ac:dyDescent="0.2">
      <c r="A503" s="36">
        <v>44302</v>
      </c>
      <c r="B503" s="29" t="s">
        <v>939</v>
      </c>
      <c r="C503" s="29" t="s">
        <v>234</v>
      </c>
      <c r="D503" s="37">
        <v>1128.8499999999999</v>
      </c>
      <c r="E503" s="29" t="s">
        <v>22</v>
      </c>
      <c r="F503" s="34">
        <v>44116</v>
      </c>
      <c r="G503" s="18"/>
      <c r="H503" s="16">
        <f t="shared" si="75"/>
        <v>16</v>
      </c>
      <c r="I503" s="16">
        <f t="shared" si="76"/>
        <v>4</v>
      </c>
      <c r="J503" s="122">
        <f t="shared" si="77"/>
        <v>2021</v>
      </c>
      <c r="K503" s="64">
        <f t="shared" si="78"/>
        <v>44362</v>
      </c>
      <c r="L503" s="6"/>
      <c r="M503" s="6"/>
      <c r="O503" s="208">
        <v>44223</v>
      </c>
      <c r="P503" s="209">
        <f t="shared" si="79"/>
        <v>0</v>
      </c>
      <c r="Q503" s="209">
        <f>+SUMIF('A DEPOSITAR'!$D$2:$D$998,(O503-2),'A DEPOSITAR'!$H$2:$H$998)</f>
        <v>50000</v>
      </c>
      <c r="R503" s="210">
        <f t="shared" si="80"/>
        <v>50000</v>
      </c>
      <c r="S503" s="210">
        <f t="shared" si="81"/>
        <v>3681208.5300000017</v>
      </c>
      <c r="T503" s="209">
        <f t="shared" si="82"/>
        <v>0</v>
      </c>
      <c r="U503" s="209">
        <f>+SUMIFS('A DEPOSITAR'!$H$2:$H$998,'A DEPOSITAR'!$D$2:$D$998,(O503-2),'A DEPOSITAR'!$I$2:$I$998,"A Depositar")</f>
        <v>0</v>
      </c>
      <c r="V503" s="6"/>
      <c r="W503" s="6"/>
      <c r="X503" s="6"/>
      <c r="Y503" s="6"/>
      <c r="Z503" s="6"/>
    </row>
    <row r="504" spans="1:26" ht="12.75" x14ac:dyDescent="0.2">
      <c r="A504" s="36">
        <v>45673</v>
      </c>
      <c r="B504" s="29" t="s">
        <v>939</v>
      </c>
      <c r="C504" s="29" t="s">
        <v>971</v>
      </c>
      <c r="D504" s="37">
        <v>2032.2</v>
      </c>
      <c r="E504" s="29" t="s">
        <v>136</v>
      </c>
      <c r="F504" s="34">
        <v>44116</v>
      </c>
      <c r="G504" s="18"/>
      <c r="H504" s="16">
        <f t="shared" si="75"/>
        <v>16</v>
      </c>
      <c r="I504" s="16">
        <f t="shared" si="76"/>
        <v>1</v>
      </c>
      <c r="J504" s="122">
        <f t="shared" si="77"/>
        <v>2025</v>
      </c>
      <c r="K504" s="64">
        <f t="shared" si="78"/>
        <v>45733</v>
      </c>
      <c r="L504" s="6"/>
      <c r="M504" s="6"/>
      <c r="O504" s="208">
        <v>44227</v>
      </c>
      <c r="P504" s="209">
        <f t="shared" si="79"/>
        <v>17863.080000000002</v>
      </c>
      <c r="Q504" s="209">
        <f>+SUMIF('A DEPOSITAR'!$D$2:$D$998,(O504-2),'A DEPOSITAR'!$H$2:$H$998)</f>
        <v>6800</v>
      </c>
      <c r="R504" s="210">
        <f t="shared" si="80"/>
        <v>-11063.080000000002</v>
      </c>
      <c r="S504" s="210">
        <f t="shared" si="81"/>
        <v>3670145.4500000016</v>
      </c>
      <c r="T504" s="209">
        <f t="shared" si="82"/>
        <v>0</v>
      </c>
      <c r="U504" s="209">
        <f>+SUMIFS('A DEPOSITAR'!$H$2:$H$998,'A DEPOSITAR'!$D$2:$D$998,(O504-2),'A DEPOSITAR'!$I$2:$I$998,"A Depositar")</f>
        <v>0</v>
      </c>
      <c r="V504" s="6"/>
      <c r="W504" s="6"/>
      <c r="X504" s="6"/>
      <c r="Y504" s="6"/>
      <c r="Z504" s="6"/>
    </row>
    <row r="505" spans="1:26" ht="12.75" x14ac:dyDescent="0.2">
      <c r="A505" s="36">
        <v>45704</v>
      </c>
      <c r="B505" s="29" t="s">
        <v>939</v>
      </c>
      <c r="C505" s="29" t="s">
        <v>972</v>
      </c>
      <c r="D505" s="37">
        <v>2052.2800000000002</v>
      </c>
      <c r="E505" s="29" t="s">
        <v>136</v>
      </c>
      <c r="F505" s="34">
        <v>44116</v>
      </c>
      <c r="G505" s="18"/>
      <c r="H505" s="16">
        <f t="shared" si="75"/>
        <v>16</v>
      </c>
      <c r="I505" s="16">
        <f t="shared" si="76"/>
        <v>2</v>
      </c>
      <c r="J505" s="122">
        <f t="shared" si="77"/>
        <v>2025</v>
      </c>
      <c r="K505" s="64">
        <f t="shared" si="78"/>
        <v>45764</v>
      </c>
      <c r="L505" s="6"/>
      <c r="M505" s="6"/>
      <c r="O505" s="208">
        <v>44228</v>
      </c>
      <c r="P505" s="209">
        <f t="shared" si="79"/>
        <v>0</v>
      </c>
      <c r="Q505" s="209">
        <f>+SUMIF('A DEPOSITAR'!$D$2:$D$998,(O505-2),'A DEPOSITAR'!$H$2:$H$998)</f>
        <v>0</v>
      </c>
      <c r="R505" s="210">
        <f t="shared" si="80"/>
        <v>0</v>
      </c>
      <c r="S505" s="210">
        <f t="shared" si="81"/>
        <v>3670145.4500000016</v>
      </c>
      <c r="T505" s="209">
        <f t="shared" si="82"/>
        <v>0</v>
      </c>
      <c r="U505" s="209">
        <f>+SUMIFS('A DEPOSITAR'!$H$2:$H$998,'A DEPOSITAR'!$D$2:$D$998,(O505-2),'A DEPOSITAR'!$I$2:$I$998,"A Depositar")</f>
        <v>0</v>
      </c>
      <c r="V505" s="6"/>
      <c r="W505" s="6"/>
      <c r="X505" s="6"/>
      <c r="Y505" s="6"/>
      <c r="Z505" s="6"/>
    </row>
    <row r="506" spans="1:26" ht="12.75" x14ac:dyDescent="0.2">
      <c r="A506" s="36">
        <v>45732</v>
      </c>
      <c r="B506" s="29" t="s">
        <v>939</v>
      </c>
      <c r="C506" s="29" t="s">
        <v>973</v>
      </c>
      <c r="D506" s="37">
        <v>2072.35</v>
      </c>
      <c r="E506" s="29" t="s">
        <v>136</v>
      </c>
      <c r="F506" s="34">
        <v>44116</v>
      </c>
      <c r="G506" s="18"/>
      <c r="H506" s="16">
        <f t="shared" si="75"/>
        <v>16</v>
      </c>
      <c r="I506" s="16">
        <f t="shared" si="76"/>
        <v>3</v>
      </c>
      <c r="J506" s="122">
        <f t="shared" si="77"/>
        <v>2025</v>
      </c>
      <c r="K506" s="64">
        <f t="shared" si="78"/>
        <v>45792</v>
      </c>
      <c r="L506" s="6"/>
      <c r="M506" s="6"/>
      <c r="O506" s="208">
        <v>44229</v>
      </c>
      <c r="P506" s="209">
        <f t="shared" si="79"/>
        <v>0</v>
      </c>
      <c r="Q506" s="209">
        <f>+SUMIF('A DEPOSITAR'!$D$2:$D$998,(O506-2),'A DEPOSITAR'!$H$2:$H$998)</f>
        <v>86740.82</v>
      </c>
      <c r="R506" s="210">
        <f t="shared" si="80"/>
        <v>86740.82</v>
      </c>
      <c r="S506" s="210">
        <f t="shared" si="81"/>
        <v>3756886.2700000014</v>
      </c>
      <c r="T506" s="209">
        <f t="shared" si="82"/>
        <v>0</v>
      </c>
      <c r="U506" s="209">
        <f>+SUMIFS('A DEPOSITAR'!$H$2:$H$998,'A DEPOSITAR'!$D$2:$D$998,(O506-2),'A DEPOSITAR'!$I$2:$I$998,"A Depositar")</f>
        <v>0</v>
      </c>
      <c r="V506" s="6"/>
      <c r="W506" s="6"/>
      <c r="X506" s="6"/>
      <c r="Y506" s="6"/>
      <c r="Z506" s="6"/>
    </row>
    <row r="507" spans="1:26" ht="12.75" x14ac:dyDescent="0.2">
      <c r="A507" s="36">
        <v>45763</v>
      </c>
      <c r="B507" s="29" t="s">
        <v>939</v>
      </c>
      <c r="C507" s="29" t="s">
        <v>974</v>
      </c>
      <c r="D507" s="37">
        <v>2092.42</v>
      </c>
      <c r="E507" s="29" t="s">
        <v>136</v>
      </c>
      <c r="F507" s="34">
        <v>44116</v>
      </c>
      <c r="G507" s="18"/>
      <c r="H507" s="16">
        <f t="shared" si="75"/>
        <v>16</v>
      </c>
      <c r="I507" s="16">
        <f t="shared" si="76"/>
        <v>4</v>
      </c>
      <c r="J507" s="122">
        <f t="shared" si="77"/>
        <v>2025</v>
      </c>
      <c r="K507" s="64">
        <f t="shared" si="78"/>
        <v>45823</v>
      </c>
      <c r="L507" s="6"/>
      <c r="M507" s="6"/>
      <c r="O507" s="208">
        <v>44230</v>
      </c>
      <c r="P507" s="209">
        <f t="shared" si="79"/>
        <v>0</v>
      </c>
      <c r="Q507" s="209">
        <f>+SUMIF('A DEPOSITAR'!$D$2:$D$998,(O507-2),'A DEPOSITAR'!$H$2:$H$998)</f>
        <v>0</v>
      </c>
      <c r="R507" s="210">
        <f t="shared" si="80"/>
        <v>0</v>
      </c>
      <c r="S507" s="210">
        <f t="shared" si="81"/>
        <v>3756886.2700000014</v>
      </c>
      <c r="T507" s="209">
        <f t="shared" si="82"/>
        <v>0</v>
      </c>
      <c r="U507" s="209">
        <f>+SUMIFS('A DEPOSITAR'!$H$2:$H$998,'A DEPOSITAR'!$D$2:$D$998,(O507-2),'A DEPOSITAR'!$I$2:$I$998,"A Depositar")</f>
        <v>0</v>
      </c>
      <c r="V507" s="6"/>
      <c r="W507" s="6"/>
      <c r="X507" s="6"/>
      <c r="Y507" s="6"/>
      <c r="Z507" s="6"/>
    </row>
    <row r="508" spans="1:26" ht="12.75" x14ac:dyDescent="0.2">
      <c r="A508" s="36">
        <v>45793</v>
      </c>
      <c r="B508" s="29" t="s">
        <v>939</v>
      </c>
      <c r="C508" s="29" t="s">
        <v>975</v>
      </c>
      <c r="D508" s="37">
        <v>2112.4899999999998</v>
      </c>
      <c r="E508" s="29" t="s">
        <v>136</v>
      </c>
      <c r="F508" s="34">
        <v>44116</v>
      </c>
      <c r="G508" s="18"/>
      <c r="H508" s="16">
        <f t="shared" ref="H508:H539" si="83">DAY(A508)</f>
        <v>16</v>
      </c>
      <c r="I508" s="16">
        <f t="shared" ref="I508:I539" si="84">MONTH(A508)</f>
        <v>5</v>
      </c>
      <c r="J508" s="122">
        <f t="shared" ref="J508:J539" si="85">YEAR(A508)</f>
        <v>2025</v>
      </c>
      <c r="K508" s="64">
        <f t="shared" ref="K508:K539" si="86">A508+60</f>
        <v>45853</v>
      </c>
      <c r="L508" s="6"/>
      <c r="M508" s="6"/>
      <c r="O508" s="208">
        <v>44231</v>
      </c>
      <c r="P508" s="209">
        <f t="shared" ref="P508:P539" si="87">+SUMIF($A$2:$A$998,O508,$D$2:$D$998)</f>
        <v>0</v>
      </c>
      <c r="Q508" s="209">
        <f>+SUMIF('A DEPOSITAR'!$D$2:$D$998,(O508-2),'A DEPOSITAR'!$H$2:$H$998)</f>
        <v>0</v>
      </c>
      <c r="R508" s="210">
        <f t="shared" ref="R508:R539" si="88">+Q508-P508</f>
        <v>0</v>
      </c>
      <c r="S508" s="210">
        <f t="shared" ref="S508:S539" si="89">+S507+R508</f>
        <v>3756886.2700000014</v>
      </c>
      <c r="T508" s="209">
        <f t="shared" ref="T508:T539" si="90">+SUMIFS($D$2:$D$998,$A$2:$A$998,O508,$E$2:$E$998,"A Pagar")</f>
        <v>0</v>
      </c>
      <c r="U508" s="209">
        <f>+SUMIFS('A DEPOSITAR'!$H$2:$H$998,'A DEPOSITAR'!$D$2:$D$998,(O508-2),'A DEPOSITAR'!$I$2:$I$998,"A Depositar")</f>
        <v>0</v>
      </c>
      <c r="V508" s="6"/>
      <c r="W508" s="6"/>
      <c r="X508" s="6"/>
      <c r="Y508" s="6"/>
      <c r="Z508" s="6"/>
    </row>
    <row r="509" spans="1:26" ht="12.75" x14ac:dyDescent="0.2">
      <c r="A509" s="36">
        <v>45824</v>
      </c>
      <c r="B509" s="29" t="s">
        <v>939</v>
      </c>
      <c r="C509" s="29" t="s">
        <v>976</v>
      </c>
      <c r="D509" s="37">
        <v>2132.5700000000002</v>
      </c>
      <c r="E509" s="29" t="s">
        <v>136</v>
      </c>
      <c r="F509" s="34">
        <v>44116</v>
      </c>
      <c r="G509" s="18"/>
      <c r="H509" s="16">
        <f t="shared" si="83"/>
        <v>16</v>
      </c>
      <c r="I509" s="16">
        <f t="shared" si="84"/>
        <v>6</v>
      </c>
      <c r="J509" s="122">
        <f t="shared" si="85"/>
        <v>2025</v>
      </c>
      <c r="K509" s="64">
        <f t="shared" si="86"/>
        <v>45884</v>
      </c>
      <c r="L509" s="6"/>
      <c r="M509" s="6"/>
      <c r="O509" s="208">
        <v>44232</v>
      </c>
      <c r="P509" s="209">
        <f t="shared" si="87"/>
        <v>0</v>
      </c>
      <c r="Q509" s="209">
        <f>+SUMIF('A DEPOSITAR'!$D$2:$D$998,(O509-2),'A DEPOSITAR'!$H$2:$H$998)</f>
        <v>0</v>
      </c>
      <c r="R509" s="210">
        <f t="shared" si="88"/>
        <v>0</v>
      </c>
      <c r="S509" s="210">
        <f t="shared" si="89"/>
        <v>3756886.2700000014</v>
      </c>
      <c r="T509" s="209">
        <f t="shared" si="90"/>
        <v>0</v>
      </c>
      <c r="U509" s="209">
        <f>+SUMIFS('A DEPOSITAR'!$H$2:$H$998,'A DEPOSITAR'!$D$2:$D$998,(O509-2),'A DEPOSITAR'!$I$2:$I$998,"A Depositar")</f>
        <v>0</v>
      </c>
      <c r="V509" s="6"/>
      <c r="W509" s="6"/>
      <c r="X509" s="6"/>
      <c r="Y509" s="6"/>
      <c r="Z509" s="6"/>
    </row>
    <row r="510" spans="1:26" ht="12.75" x14ac:dyDescent="0.2">
      <c r="A510" s="36">
        <v>45854</v>
      </c>
      <c r="B510" s="29" t="s">
        <v>939</v>
      </c>
      <c r="C510" s="29" t="s">
        <v>977</v>
      </c>
      <c r="D510" s="37">
        <v>2152.65</v>
      </c>
      <c r="E510" s="29" t="s">
        <v>136</v>
      </c>
      <c r="F510" s="34">
        <v>44116</v>
      </c>
      <c r="G510" s="18"/>
      <c r="H510" s="16">
        <f t="shared" si="83"/>
        <v>16</v>
      </c>
      <c r="I510" s="16">
        <f t="shared" si="84"/>
        <v>7</v>
      </c>
      <c r="J510" s="122">
        <f t="shared" si="85"/>
        <v>2025</v>
      </c>
      <c r="K510" s="64">
        <f t="shared" si="86"/>
        <v>45914</v>
      </c>
      <c r="L510" s="6"/>
      <c r="M510" s="6"/>
      <c r="O510" s="208">
        <v>44233</v>
      </c>
      <c r="P510" s="209">
        <f t="shared" si="87"/>
        <v>0</v>
      </c>
      <c r="Q510" s="209">
        <f>+SUMIF('A DEPOSITAR'!$D$2:$D$998,(O510-2),'A DEPOSITAR'!$H$2:$H$998)</f>
        <v>0</v>
      </c>
      <c r="R510" s="210">
        <f t="shared" si="88"/>
        <v>0</v>
      </c>
      <c r="S510" s="210">
        <f t="shared" si="89"/>
        <v>3756886.2700000014</v>
      </c>
      <c r="T510" s="209">
        <f t="shared" si="90"/>
        <v>0</v>
      </c>
      <c r="U510" s="209">
        <f>+SUMIFS('A DEPOSITAR'!$H$2:$H$998,'A DEPOSITAR'!$D$2:$D$998,(O510-2),'A DEPOSITAR'!$I$2:$I$998,"A Depositar")</f>
        <v>0</v>
      </c>
      <c r="V510" s="6"/>
      <c r="W510" s="6"/>
      <c r="X510" s="6"/>
      <c r="Y510" s="6"/>
      <c r="Z510" s="6"/>
    </row>
    <row r="511" spans="1:26" ht="12.75" x14ac:dyDescent="0.2">
      <c r="A511" s="36">
        <v>45885</v>
      </c>
      <c r="B511" s="29" t="s">
        <v>939</v>
      </c>
      <c r="C511" s="29" t="s">
        <v>978</v>
      </c>
      <c r="D511" s="37">
        <v>2172.7199999999998</v>
      </c>
      <c r="E511" s="29" t="s">
        <v>136</v>
      </c>
      <c r="F511" s="34">
        <v>44116</v>
      </c>
      <c r="G511" s="18"/>
      <c r="H511" s="16">
        <f t="shared" si="83"/>
        <v>16</v>
      </c>
      <c r="I511" s="16">
        <f t="shared" si="84"/>
        <v>8</v>
      </c>
      <c r="J511" s="122">
        <f t="shared" si="85"/>
        <v>2025</v>
      </c>
      <c r="K511" s="64">
        <f t="shared" si="86"/>
        <v>45945</v>
      </c>
      <c r="L511" s="6"/>
      <c r="M511" s="6"/>
      <c r="O511" s="208">
        <v>44234</v>
      </c>
      <c r="P511" s="209">
        <f t="shared" si="87"/>
        <v>0</v>
      </c>
      <c r="Q511" s="209">
        <f>+SUMIF('A DEPOSITAR'!$D$2:$D$998,(O511-2),'A DEPOSITAR'!$H$2:$H$998)</f>
        <v>0</v>
      </c>
      <c r="R511" s="210">
        <f t="shared" si="88"/>
        <v>0</v>
      </c>
      <c r="S511" s="210">
        <f t="shared" si="89"/>
        <v>3756886.2700000014</v>
      </c>
      <c r="T511" s="209">
        <f t="shared" si="90"/>
        <v>0</v>
      </c>
      <c r="U511" s="209">
        <f>+SUMIFS('A DEPOSITAR'!$H$2:$H$998,'A DEPOSITAR'!$D$2:$D$998,(O511-2),'A DEPOSITAR'!$I$2:$I$998,"A Depositar")</f>
        <v>0</v>
      </c>
      <c r="V511" s="6"/>
      <c r="W511" s="6"/>
      <c r="X511" s="6"/>
      <c r="Y511" s="6"/>
      <c r="Z511" s="6"/>
    </row>
    <row r="512" spans="1:26" ht="12.75" x14ac:dyDescent="0.2">
      <c r="A512" s="36">
        <v>45916</v>
      </c>
      <c r="B512" s="29" t="s">
        <v>939</v>
      </c>
      <c r="C512" s="29" t="s">
        <v>979</v>
      </c>
      <c r="D512" s="37">
        <v>2192.79</v>
      </c>
      <c r="E512" s="29" t="s">
        <v>136</v>
      </c>
      <c r="F512" s="34">
        <v>44116</v>
      </c>
      <c r="G512" s="18"/>
      <c r="H512" s="16">
        <f t="shared" si="83"/>
        <v>16</v>
      </c>
      <c r="I512" s="16">
        <f t="shared" si="84"/>
        <v>9</v>
      </c>
      <c r="J512" s="122">
        <f t="shared" si="85"/>
        <v>2025</v>
      </c>
      <c r="K512" s="64">
        <f t="shared" si="86"/>
        <v>45976</v>
      </c>
      <c r="L512" s="6"/>
      <c r="M512" s="6"/>
      <c r="O512" s="208">
        <v>44235</v>
      </c>
      <c r="P512" s="209">
        <f t="shared" si="87"/>
        <v>45623</v>
      </c>
      <c r="Q512" s="209">
        <f>+SUMIF('A DEPOSITAR'!$D$2:$D$998,(O512-2),'A DEPOSITAR'!$H$2:$H$998)</f>
        <v>0</v>
      </c>
      <c r="R512" s="210">
        <f t="shared" si="88"/>
        <v>-45623</v>
      </c>
      <c r="S512" s="210">
        <f t="shared" si="89"/>
        <v>3711263.2700000014</v>
      </c>
      <c r="T512" s="209">
        <f t="shared" si="90"/>
        <v>0</v>
      </c>
      <c r="U512" s="209">
        <f>+SUMIFS('A DEPOSITAR'!$H$2:$H$998,'A DEPOSITAR'!$D$2:$D$998,(O512-2),'A DEPOSITAR'!$I$2:$I$998,"A Depositar")</f>
        <v>0</v>
      </c>
      <c r="V512" s="6"/>
      <c r="W512" s="6"/>
      <c r="X512" s="6"/>
      <c r="Y512" s="6"/>
      <c r="Z512" s="6"/>
    </row>
    <row r="513" spans="1:26" ht="12.75" x14ac:dyDescent="0.2">
      <c r="A513" s="36">
        <v>45946</v>
      </c>
      <c r="B513" s="29" t="s">
        <v>939</v>
      </c>
      <c r="C513" s="29" t="s">
        <v>980</v>
      </c>
      <c r="D513" s="37">
        <v>2212.87</v>
      </c>
      <c r="E513" s="29" t="s">
        <v>136</v>
      </c>
      <c r="F513" s="34">
        <v>44116</v>
      </c>
      <c r="G513" s="18"/>
      <c r="H513" s="16">
        <f t="shared" si="83"/>
        <v>16</v>
      </c>
      <c r="I513" s="16">
        <f t="shared" si="84"/>
        <v>10</v>
      </c>
      <c r="J513" s="122">
        <f t="shared" si="85"/>
        <v>2025</v>
      </c>
      <c r="K513" s="64">
        <f t="shared" si="86"/>
        <v>46006</v>
      </c>
      <c r="L513" s="6"/>
      <c r="M513" s="6"/>
      <c r="O513" s="208">
        <v>44236</v>
      </c>
      <c r="P513" s="209">
        <f t="shared" si="87"/>
        <v>0</v>
      </c>
      <c r="Q513" s="209">
        <f>+SUMIF('A DEPOSITAR'!$D$2:$D$998,(O513-2),'A DEPOSITAR'!$H$2:$H$998)</f>
        <v>0</v>
      </c>
      <c r="R513" s="210">
        <f t="shared" si="88"/>
        <v>0</v>
      </c>
      <c r="S513" s="210">
        <f t="shared" si="89"/>
        <v>3711263.2700000014</v>
      </c>
      <c r="T513" s="209">
        <f t="shared" si="90"/>
        <v>0</v>
      </c>
      <c r="U513" s="209">
        <f>+SUMIFS('A DEPOSITAR'!$H$2:$H$998,'A DEPOSITAR'!$D$2:$D$998,(O513-2),'A DEPOSITAR'!$I$2:$I$998,"A Depositar")</f>
        <v>0</v>
      </c>
      <c r="V513" s="6"/>
      <c r="W513" s="6"/>
      <c r="X513" s="6"/>
      <c r="Y513" s="6"/>
      <c r="Z513" s="6"/>
    </row>
    <row r="514" spans="1:26" ht="12.75" x14ac:dyDescent="0.2">
      <c r="A514" s="36">
        <v>44332</v>
      </c>
      <c r="B514" s="29" t="s">
        <v>939</v>
      </c>
      <c r="C514" s="29" t="s">
        <v>268</v>
      </c>
      <c r="D514" s="37">
        <v>1148.93</v>
      </c>
      <c r="E514" s="29" t="s">
        <v>22</v>
      </c>
      <c r="F514" s="34">
        <v>44116</v>
      </c>
      <c r="G514" s="18"/>
      <c r="H514" s="16">
        <f t="shared" si="83"/>
        <v>16</v>
      </c>
      <c r="I514" s="16">
        <f t="shared" si="84"/>
        <v>5</v>
      </c>
      <c r="J514" s="122">
        <f t="shared" si="85"/>
        <v>2021</v>
      </c>
      <c r="K514" s="64">
        <f t="shared" si="86"/>
        <v>44392</v>
      </c>
      <c r="L514" s="6"/>
      <c r="M514" s="6"/>
      <c r="O514" s="208">
        <v>44242</v>
      </c>
      <c r="P514" s="209">
        <f t="shared" si="87"/>
        <v>0</v>
      </c>
      <c r="Q514" s="209">
        <f>+SUMIF('A DEPOSITAR'!$D$2:$D$998,(O514-2),'A DEPOSITAR'!$H$2:$H$998)</f>
        <v>5838</v>
      </c>
      <c r="R514" s="210">
        <f t="shared" si="88"/>
        <v>5838</v>
      </c>
      <c r="S514" s="210">
        <f t="shared" si="89"/>
        <v>3717101.2700000014</v>
      </c>
      <c r="T514" s="209">
        <f t="shared" si="90"/>
        <v>0</v>
      </c>
      <c r="U514" s="209">
        <f>+SUMIFS('A DEPOSITAR'!$H$2:$H$998,'A DEPOSITAR'!$D$2:$D$998,(O514-2),'A DEPOSITAR'!$I$2:$I$998,"A Depositar")</f>
        <v>0</v>
      </c>
      <c r="V514" s="6"/>
      <c r="W514" s="6"/>
      <c r="X514" s="6"/>
      <c r="Y514" s="6"/>
      <c r="Z514" s="6"/>
    </row>
    <row r="515" spans="1:26" ht="12.75" x14ac:dyDescent="0.2">
      <c r="A515" s="36">
        <v>45977</v>
      </c>
      <c r="B515" s="29" t="s">
        <v>939</v>
      </c>
      <c r="C515" s="29" t="s">
        <v>981</v>
      </c>
      <c r="D515" s="37">
        <v>2232.94</v>
      </c>
      <c r="E515" s="29" t="s">
        <v>136</v>
      </c>
      <c r="F515" s="34">
        <v>44116</v>
      </c>
      <c r="G515" s="18"/>
      <c r="H515" s="16">
        <f t="shared" si="83"/>
        <v>16</v>
      </c>
      <c r="I515" s="16">
        <f t="shared" si="84"/>
        <v>11</v>
      </c>
      <c r="J515" s="122">
        <f t="shared" si="85"/>
        <v>2025</v>
      </c>
      <c r="K515" s="64">
        <f t="shared" si="86"/>
        <v>46037</v>
      </c>
      <c r="L515" s="6"/>
      <c r="M515" s="6"/>
      <c r="O515" s="208">
        <v>44245</v>
      </c>
      <c r="P515" s="209">
        <f t="shared" si="87"/>
        <v>0</v>
      </c>
      <c r="Q515" s="209">
        <f>+SUMIF('A DEPOSITAR'!$D$2:$D$998,(O515-2),'A DEPOSITAR'!$H$2:$H$998)</f>
        <v>15000</v>
      </c>
      <c r="R515" s="210">
        <f t="shared" si="88"/>
        <v>15000</v>
      </c>
      <c r="S515" s="210">
        <f t="shared" si="89"/>
        <v>3732101.2700000014</v>
      </c>
      <c r="T515" s="209">
        <f t="shared" si="90"/>
        <v>0</v>
      </c>
      <c r="U515" s="209">
        <f>+SUMIFS('A DEPOSITAR'!$H$2:$H$998,'A DEPOSITAR'!$D$2:$D$998,(O515-2),'A DEPOSITAR'!$I$2:$I$998,"A Depositar")</f>
        <v>0</v>
      </c>
      <c r="V515" s="6"/>
      <c r="W515" s="6"/>
      <c r="X515" s="6"/>
      <c r="Y515" s="6"/>
      <c r="Z515" s="6"/>
    </row>
    <row r="516" spans="1:26" ht="12.75" x14ac:dyDescent="0.2">
      <c r="A516" s="36">
        <v>46007</v>
      </c>
      <c r="B516" s="29" t="s">
        <v>939</v>
      </c>
      <c r="C516" s="29" t="s">
        <v>982</v>
      </c>
      <c r="D516" s="37">
        <v>2253.02</v>
      </c>
      <c r="E516" s="29" t="s">
        <v>136</v>
      </c>
      <c r="F516" s="34">
        <v>44116</v>
      </c>
      <c r="G516" s="18"/>
      <c r="H516" s="16">
        <f t="shared" si="83"/>
        <v>16</v>
      </c>
      <c r="I516" s="16">
        <f t="shared" si="84"/>
        <v>12</v>
      </c>
      <c r="J516" s="122">
        <f t="shared" si="85"/>
        <v>2025</v>
      </c>
      <c r="K516" s="64">
        <f t="shared" si="86"/>
        <v>46067</v>
      </c>
      <c r="L516" s="6"/>
      <c r="M516" s="6"/>
      <c r="O516" s="208">
        <v>44246</v>
      </c>
      <c r="P516" s="209">
        <f t="shared" si="87"/>
        <v>0</v>
      </c>
      <c r="Q516" s="209">
        <f>+SUMIF('A DEPOSITAR'!$D$2:$D$998,(O516-2),'A DEPOSITAR'!$H$2:$H$998)</f>
        <v>0</v>
      </c>
      <c r="R516" s="210">
        <f t="shared" si="88"/>
        <v>0</v>
      </c>
      <c r="S516" s="210">
        <f t="shared" si="89"/>
        <v>3732101.2700000014</v>
      </c>
      <c r="T516" s="209">
        <f t="shared" si="90"/>
        <v>0</v>
      </c>
      <c r="U516" s="209">
        <f>+SUMIFS('A DEPOSITAR'!$H$2:$H$998,'A DEPOSITAR'!$D$2:$D$998,(O516-2),'A DEPOSITAR'!$I$2:$I$998,"A Depositar")</f>
        <v>0</v>
      </c>
      <c r="V516" s="6"/>
      <c r="W516" s="6"/>
      <c r="X516" s="6"/>
      <c r="Y516" s="6"/>
      <c r="Z516" s="6"/>
    </row>
    <row r="517" spans="1:26" ht="12.75" x14ac:dyDescent="0.2">
      <c r="A517" s="36">
        <v>46038</v>
      </c>
      <c r="B517" s="29" t="s">
        <v>939</v>
      </c>
      <c r="C517" s="29" t="s">
        <v>983</v>
      </c>
      <c r="D517" s="37">
        <v>2273.09</v>
      </c>
      <c r="E517" s="29" t="s">
        <v>136</v>
      </c>
      <c r="F517" s="34">
        <v>44116</v>
      </c>
      <c r="G517" s="18"/>
      <c r="H517" s="16">
        <f t="shared" si="83"/>
        <v>16</v>
      </c>
      <c r="I517" s="16">
        <f t="shared" si="84"/>
        <v>1</v>
      </c>
      <c r="J517" s="122">
        <f t="shared" si="85"/>
        <v>2026</v>
      </c>
      <c r="K517" s="64">
        <f t="shared" si="86"/>
        <v>46098</v>
      </c>
      <c r="L517" s="6"/>
      <c r="M517" s="6"/>
      <c r="O517" s="208">
        <v>44247</v>
      </c>
      <c r="P517" s="209">
        <f t="shared" si="87"/>
        <v>0</v>
      </c>
      <c r="Q517" s="209">
        <f>+SUMIF('A DEPOSITAR'!$D$2:$D$998,(O517-2),'A DEPOSITAR'!$H$2:$H$998)</f>
        <v>0</v>
      </c>
      <c r="R517" s="210">
        <f t="shared" si="88"/>
        <v>0</v>
      </c>
      <c r="S517" s="210">
        <f t="shared" si="89"/>
        <v>3732101.2700000014</v>
      </c>
      <c r="T517" s="209">
        <f t="shared" si="90"/>
        <v>0</v>
      </c>
      <c r="U517" s="209">
        <f>+SUMIFS('A DEPOSITAR'!$H$2:$H$998,'A DEPOSITAR'!$D$2:$D$998,(O517-2),'A DEPOSITAR'!$I$2:$I$998,"A Depositar")</f>
        <v>0</v>
      </c>
      <c r="V517" s="6"/>
      <c r="W517" s="6"/>
      <c r="X517" s="6"/>
      <c r="Y517" s="6"/>
      <c r="Z517" s="6"/>
    </row>
    <row r="518" spans="1:26" ht="12.75" x14ac:dyDescent="0.2">
      <c r="A518" s="102">
        <v>43967</v>
      </c>
      <c r="B518" s="103" t="s">
        <v>365</v>
      </c>
      <c r="C518" s="103" t="s">
        <v>232</v>
      </c>
      <c r="D518" s="104">
        <v>12412.65</v>
      </c>
      <c r="E518" s="103" t="s">
        <v>327</v>
      </c>
      <c r="F518" s="105">
        <v>43864</v>
      </c>
      <c r="G518" s="103"/>
      <c r="H518" s="106">
        <f t="shared" si="83"/>
        <v>16</v>
      </c>
      <c r="I518" s="106">
        <f t="shared" si="84"/>
        <v>5</v>
      </c>
      <c r="J518" s="124">
        <f t="shared" si="85"/>
        <v>2020</v>
      </c>
      <c r="K518" s="175">
        <f t="shared" si="86"/>
        <v>44027</v>
      </c>
      <c r="L518" s="181"/>
      <c r="M518" s="181"/>
      <c r="N518" s="182"/>
      <c r="O518" s="208">
        <v>44163</v>
      </c>
      <c r="P518" s="209">
        <f t="shared" si="87"/>
        <v>0</v>
      </c>
      <c r="Q518" s="209">
        <f>+SUMIF('A DEPOSITAR'!$D$2:$D$998,(O518-2),'A DEPOSITAR'!$H$2:$H$998)</f>
        <v>0</v>
      </c>
      <c r="R518" s="210">
        <f t="shared" si="88"/>
        <v>0</v>
      </c>
      <c r="S518" s="210">
        <f t="shared" si="89"/>
        <v>3732101.2700000014</v>
      </c>
      <c r="T518" s="209">
        <f t="shared" si="90"/>
        <v>0</v>
      </c>
      <c r="U518" s="209">
        <f>+SUMIFS('A DEPOSITAR'!$H$2:$H$998,'A DEPOSITAR'!$D$2:$D$998,(O518-2),'A DEPOSITAR'!$I$2:$I$998,"A Depositar")</f>
        <v>0</v>
      </c>
      <c r="V518" s="181"/>
      <c r="W518" s="181"/>
      <c r="X518" s="181"/>
      <c r="Y518" s="181"/>
      <c r="Z518" s="181"/>
    </row>
    <row r="519" spans="1:26" ht="12.75" x14ac:dyDescent="0.2">
      <c r="A519" s="102">
        <v>43906</v>
      </c>
      <c r="B519" s="103" t="s">
        <v>301</v>
      </c>
      <c r="C519" s="103" t="s">
        <v>232</v>
      </c>
      <c r="D519" s="104">
        <v>2970.88</v>
      </c>
      <c r="E519" s="103" t="s">
        <v>22</v>
      </c>
      <c r="F519" s="105">
        <v>43829</v>
      </c>
      <c r="G519" s="103"/>
      <c r="H519" s="106">
        <f t="shared" si="83"/>
        <v>16</v>
      </c>
      <c r="I519" s="106">
        <f t="shared" si="84"/>
        <v>3</v>
      </c>
      <c r="J519" s="124">
        <f t="shared" si="85"/>
        <v>2020</v>
      </c>
      <c r="K519" s="175">
        <f t="shared" si="86"/>
        <v>43966</v>
      </c>
      <c r="L519" s="181"/>
      <c r="M519" s="181"/>
      <c r="N519" s="182"/>
      <c r="O519" s="208">
        <v>44164</v>
      </c>
      <c r="P519" s="209">
        <f t="shared" si="87"/>
        <v>0</v>
      </c>
      <c r="Q519" s="209">
        <f>+SUMIF('A DEPOSITAR'!$D$2:$D$998,(O519-2),'A DEPOSITAR'!$H$2:$H$998)</f>
        <v>0</v>
      </c>
      <c r="R519" s="210">
        <f t="shared" si="88"/>
        <v>0</v>
      </c>
      <c r="S519" s="210">
        <f t="shared" si="89"/>
        <v>3732101.2700000014</v>
      </c>
      <c r="T519" s="209">
        <f t="shared" si="90"/>
        <v>0</v>
      </c>
      <c r="U519" s="209">
        <f>+SUMIFS('A DEPOSITAR'!$H$2:$H$998,'A DEPOSITAR'!$D$2:$D$998,(O519-2),'A DEPOSITAR'!$I$2:$I$998,"A Depositar")</f>
        <v>0</v>
      </c>
      <c r="V519" s="181"/>
      <c r="W519" s="181"/>
      <c r="X519" s="181"/>
      <c r="Y519" s="181"/>
      <c r="Z519" s="181"/>
    </row>
    <row r="520" spans="1:26" ht="12.75" x14ac:dyDescent="0.2">
      <c r="A520" s="36">
        <v>46069</v>
      </c>
      <c r="B520" s="29" t="s">
        <v>939</v>
      </c>
      <c r="C520" s="29" t="s">
        <v>984</v>
      </c>
      <c r="D520" s="37">
        <v>2293.17</v>
      </c>
      <c r="E520" s="29" t="s">
        <v>136</v>
      </c>
      <c r="F520" s="34">
        <v>44116</v>
      </c>
      <c r="G520" s="18"/>
      <c r="H520" s="16">
        <f t="shared" si="83"/>
        <v>16</v>
      </c>
      <c r="I520" s="16">
        <f t="shared" si="84"/>
        <v>2</v>
      </c>
      <c r="J520" s="122">
        <f t="shared" si="85"/>
        <v>2026</v>
      </c>
      <c r="K520" s="64">
        <f t="shared" si="86"/>
        <v>46129</v>
      </c>
      <c r="L520" s="6"/>
      <c r="M520" s="6"/>
      <c r="O520" s="208">
        <v>44248</v>
      </c>
      <c r="P520" s="209">
        <f t="shared" si="87"/>
        <v>0</v>
      </c>
      <c r="Q520" s="209">
        <f>+SUMIF('A DEPOSITAR'!$D$2:$D$998,(O520-2),'A DEPOSITAR'!$H$2:$H$998)</f>
        <v>0</v>
      </c>
      <c r="R520" s="210">
        <f t="shared" si="88"/>
        <v>0</v>
      </c>
      <c r="S520" s="210">
        <f t="shared" si="89"/>
        <v>3732101.2700000014</v>
      </c>
      <c r="T520" s="209">
        <f t="shared" si="90"/>
        <v>0</v>
      </c>
      <c r="U520" s="209">
        <f>+SUMIFS('A DEPOSITAR'!$H$2:$H$998,'A DEPOSITAR'!$D$2:$D$998,(O520-2),'A DEPOSITAR'!$I$2:$I$998,"A Depositar")</f>
        <v>0</v>
      </c>
      <c r="V520" s="6"/>
      <c r="W520" s="6"/>
      <c r="X520" s="6"/>
      <c r="Y520" s="6"/>
      <c r="Z520" s="6"/>
    </row>
    <row r="521" spans="1:26" ht="12.75" x14ac:dyDescent="0.2">
      <c r="A521" s="36">
        <v>46097</v>
      </c>
      <c r="B521" s="29" t="s">
        <v>939</v>
      </c>
      <c r="C521" s="29" t="s">
        <v>985</v>
      </c>
      <c r="D521" s="37">
        <v>2313.2399999999998</v>
      </c>
      <c r="E521" s="29" t="s">
        <v>136</v>
      </c>
      <c r="F521" s="34">
        <v>44116</v>
      </c>
      <c r="G521" s="18"/>
      <c r="H521" s="16">
        <f t="shared" si="83"/>
        <v>16</v>
      </c>
      <c r="I521" s="16">
        <f t="shared" si="84"/>
        <v>3</v>
      </c>
      <c r="J521" s="122">
        <f t="shared" si="85"/>
        <v>2026</v>
      </c>
      <c r="K521" s="64">
        <f t="shared" si="86"/>
        <v>46157</v>
      </c>
      <c r="L521" s="6"/>
      <c r="M521" s="6"/>
      <c r="O521" s="208">
        <v>44249</v>
      </c>
      <c r="P521" s="209">
        <f t="shared" si="87"/>
        <v>72023.89</v>
      </c>
      <c r="Q521" s="209">
        <f>+SUMIF('A DEPOSITAR'!$D$2:$D$998,(O521-2),'A DEPOSITAR'!$H$2:$H$998)</f>
        <v>5838</v>
      </c>
      <c r="R521" s="210">
        <f t="shared" si="88"/>
        <v>-66185.89</v>
      </c>
      <c r="S521" s="210">
        <f t="shared" si="89"/>
        <v>3665915.3800000013</v>
      </c>
      <c r="T521" s="209">
        <f t="shared" si="90"/>
        <v>0</v>
      </c>
      <c r="U521" s="209">
        <f>+SUMIFS('A DEPOSITAR'!$H$2:$H$998,'A DEPOSITAR'!$D$2:$D$998,(O521-2),'A DEPOSITAR'!$I$2:$I$998,"A Depositar")</f>
        <v>0</v>
      </c>
      <c r="V521" s="6"/>
      <c r="W521" s="6"/>
      <c r="X521" s="6"/>
      <c r="Y521" s="6"/>
      <c r="Z521" s="6"/>
    </row>
    <row r="522" spans="1:26" ht="12.75" x14ac:dyDescent="0.2">
      <c r="A522" s="36">
        <v>46128</v>
      </c>
      <c r="B522" s="29" t="s">
        <v>939</v>
      </c>
      <c r="C522" s="29" t="s">
        <v>986</v>
      </c>
      <c r="D522" s="37">
        <v>2333.31</v>
      </c>
      <c r="E522" s="29" t="s">
        <v>136</v>
      </c>
      <c r="F522" s="34">
        <v>44116</v>
      </c>
      <c r="G522" s="18"/>
      <c r="H522" s="16">
        <f t="shared" si="83"/>
        <v>16</v>
      </c>
      <c r="I522" s="16">
        <f t="shared" si="84"/>
        <v>4</v>
      </c>
      <c r="J522" s="122">
        <f t="shared" si="85"/>
        <v>2026</v>
      </c>
      <c r="K522" s="64">
        <f t="shared" si="86"/>
        <v>46188</v>
      </c>
      <c r="L522" s="6"/>
      <c r="M522" s="6"/>
      <c r="O522" s="208">
        <v>44250</v>
      </c>
      <c r="P522" s="209">
        <f t="shared" si="87"/>
        <v>0</v>
      </c>
      <c r="Q522" s="209">
        <f>+SUMIF('A DEPOSITAR'!$D$2:$D$998,(O522-2),'A DEPOSITAR'!$H$2:$H$998)</f>
        <v>0</v>
      </c>
      <c r="R522" s="210">
        <f t="shared" si="88"/>
        <v>0</v>
      </c>
      <c r="S522" s="210">
        <f t="shared" si="89"/>
        <v>3665915.3800000013</v>
      </c>
      <c r="T522" s="209">
        <f t="shared" si="90"/>
        <v>0</v>
      </c>
      <c r="U522" s="209">
        <f>+SUMIFS('A DEPOSITAR'!$H$2:$H$998,'A DEPOSITAR'!$D$2:$D$998,(O522-2),'A DEPOSITAR'!$I$2:$I$998,"A Depositar")</f>
        <v>0</v>
      </c>
      <c r="V522" s="6"/>
      <c r="W522" s="6"/>
      <c r="X522" s="6"/>
      <c r="Y522" s="6"/>
      <c r="Z522" s="6"/>
    </row>
    <row r="523" spans="1:26" ht="12.75" x14ac:dyDescent="0.2">
      <c r="A523" s="36">
        <v>46158</v>
      </c>
      <c r="B523" s="29" t="s">
        <v>939</v>
      </c>
      <c r="C523" s="29" t="s">
        <v>987</v>
      </c>
      <c r="D523" s="37">
        <v>2353.38</v>
      </c>
      <c r="E523" s="29" t="s">
        <v>136</v>
      </c>
      <c r="F523" s="34">
        <v>44116</v>
      </c>
      <c r="G523" s="18"/>
      <c r="H523" s="16">
        <f t="shared" si="83"/>
        <v>16</v>
      </c>
      <c r="I523" s="16">
        <f t="shared" si="84"/>
        <v>5</v>
      </c>
      <c r="J523" s="122">
        <f t="shared" si="85"/>
        <v>2026</v>
      </c>
      <c r="K523" s="64">
        <f t="shared" si="86"/>
        <v>46218</v>
      </c>
      <c r="L523" s="6"/>
      <c r="M523" s="6"/>
      <c r="O523" s="208">
        <v>44251</v>
      </c>
      <c r="P523" s="209">
        <f t="shared" si="87"/>
        <v>0</v>
      </c>
      <c r="Q523" s="209">
        <f>+SUMIF('A DEPOSITAR'!$D$2:$D$998,(O523-2),'A DEPOSITAR'!$H$2:$H$998)</f>
        <v>0</v>
      </c>
      <c r="R523" s="210">
        <f t="shared" si="88"/>
        <v>0</v>
      </c>
      <c r="S523" s="210">
        <f t="shared" si="89"/>
        <v>3665915.3800000013</v>
      </c>
      <c r="T523" s="209">
        <f t="shared" si="90"/>
        <v>0</v>
      </c>
      <c r="U523" s="209">
        <f>+SUMIFS('A DEPOSITAR'!$H$2:$H$998,'A DEPOSITAR'!$D$2:$D$998,(O523-2),'A DEPOSITAR'!$I$2:$I$998,"A Depositar")</f>
        <v>0</v>
      </c>
      <c r="V523" s="6"/>
      <c r="W523" s="6"/>
      <c r="X523" s="6"/>
      <c r="Y523" s="6"/>
      <c r="Z523" s="6"/>
    </row>
    <row r="524" spans="1:26" ht="12.75" x14ac:dyDescent="0.2">
      <c r="A524" s="177">
        <v>44090</v>
      </c>
      <c r="B524" s="178" t="s">
        <v>418</v>
      </c>
      <c r="C524" s="178" t="s">
        <v>232</v>
      </c>
      <c r="D524" s="179">
        <v>3815.71</v>
      </c>
      <c r="E524" s="103" t="s">
        <v>22</v>
      </c>
      <c r="F524" s="180">
        <v>43892</v>
      </c>
      <c r="G524" s="103"/>
      <c r="H524" s="106">
        <f t="shared" si="83"/>
        <v>16</v>
      </c>
      <c r="I524" s="106">
        <f t="shared" si="84"/>
        <v>9</v>
      </c>
      <c r="J524" s="124">
        <f t="shared" si="85"/>
        <v>2020</v>
      </c>
      <c r="K524" s="175">
        <f t="shared" si="86"/>
        <v>44150</v>
      </c>
      <c r="L524" s="181"/>
      <c r="M524" s="181"/>
      <c r="N524" s="182"/>
      <c r="O524" s="208">
        <v>44169</v>
      </c>
      <c r="P524" s="209">
        <f t="shared" si="87"/>
        <v>0</v>
      </c>
      <c r="Q524" s="209">
        <f>+SUMIF('A DEPOSITAR'!$D$2:$D$998,(O524-2),'A DEPOSITAR'!$H$2:$H$998)</f>
        <v>0</v>
      </c>
      <c r="R524" s="210">
        <f t="shared" si="88"/>
        <v>0</v>
      </c>
      <c r="S524" s="210">
        <f t="shared" si="89"/>
        <v>3665915.3800000013</v>
      </c>
      <c r="T524" s="209">
        <f t="shared" si="90"/>
        <v>0</v>
      </c>
      <c r="U524" s="209">
        <f>+SUMIFS('A DEPOSITAR'!$H$2:$H$998,'A DEPOSITAR'!$D$2:$D$998,(O524-2),'A DEPOSITAR'!$I$2:$I$998,"A Depositar")</f>
        <v>0</v>
      </c>
      <c r="V524" s="181"/>
      <c r="W524" s="181"/>
      <c r="X524" s="181"/>
      <c r="Y524" s="181"/>
      <c r="Z524" s="181"/>
    </row>
    <row r="525" spans="1:26" ht="12.75" x14ac:dyDescent="0.2">
      <c r="A525" s="102">
        <v>43877</v>
      </c>
      <c r="B525" s="103" t="s">
        <v>229</v>
      </c>
      <c r="C525" s="103" t="s">
        <v>232</v>
      </c>
      <c r="D525" s="104">
        <v>1153.93</v>
      </c>
      <c r="E525" s="103" t="s">
        <v>22</v>
      </c>
      <c r="F525" s="105">
        <v>43780</v>
      </c>
      <c r="G525" s="103"/>
      <c r="H525" s="106">
        <f t="shared" si="83"/>
        <v>16</v>
      </c>
      <c r="I525" s="106">
        <f t="shared" si="84"/>
        <v>2</v>
      </c>
      <c r="J525" s="124">
        <f t="shared" si="85"/>
        <v>2020</v>
      </c>
      <c r="K525" s="175">
        <f t="shared" si="86"/>
        <v>43937</v>
      </c>
      <c r="L525" s="6"/>
      <c r="M525" s="6"/>
      <c r="O525" s="208">
        <v>44170</v>
      </c>
      <c r="P525" s="209">
        <f t="shared" si="87"/>
        <v>0</v>
      </c>
      <c r="Q525" s="209">
        <f>+SUMIF('A DEPOSITAR'!$D$2:$D$998,(O525-2),'A DEPOSITAR'!$H$2:$H$998)</f>
        <v>0</v>
      </c>
      <c r="R525" s="210">
        <f t="shared" si="88"/>
        <v>0</v>
      </c>
      <c r="S525" s="210">
        <f t="shared" si="89"/>
        <v>3665915.3800000013</v>
      </c>
      <c r="T525" s="209">
        <f t="shared" si="90"/>
        <v>0</v>
      </c>
      <c r="U525" s="209">
        <f>+SUMIFS('A DEPOSITAR'!$H$2:$H$998,'A DEPOSITAR'!$D$2:$D$998,(O525-2),'A DEPOSITAR'!$I$2:$I$998,"A Depositar")</f>
        <v>0</v>
      </c>
      <c r="V525" s="6"/>
      <c r="W525" s="6"/>
      <c r="X525" s="6"/>
      <c r="Y525" s="6"/>
      <c r="Z525" s="6"/>
    </row>
    <row r="526" spans="1:26" ht="12.75" x14ac:dyDescent="0.2">
      <c r="A526" s="102">
        <v>43815</v>
      </c>
      <c r="B526" s="103" t="s">
        <v>266</v>
      </c>
      <c r="C526" s="103" t="s">
        <v>232</v>
      </c>
      <c r="D526" s="104">
        <v>1684.61</v>
      </c>
      <c r="E526" s="103" t="s">
        <v>22</v>
      </c>
      <c r="F526" s="105">
        <v>43804</v>
      </c>
      <c r="G526" s="103"/>
      <c r="H526" s="106">
        <f t="shared" si="83"/>
        <v>16</v>
      </c>
      <c r="I526" s="106">
        <f t="shared" si="84"/>
        <v>12</v>
      </c>
      <c r="J526" s="124">
        <f t="shared" si="85"/>
        <v>2019</v>
      </c>
      <c r="K526" s="175">
        <f t="shared" si="86"/>
        <v>43875</v>
      </c>
      <c r="L526" s="181"/>
      <c r="M526" s="181"/>
      <c r="N526" s="182"/>
      <c r="O526" s="208">
        <v>44171</v>
      </c>
      <c r="P526" s="209">
        <f t="shared" si="87"/>
        <v>0</v>
      </c>
      <c r="Q526" s="209">
        <f>+SUMIF('A DEPOSITAR'!$D$2:$D$998,(O526-2),'A DEPOSITAR'!$H$2:$H$998)</f>
        <v>10000</v>
      </c>
      <c r="R526" s="210">
        <f t="shared" si="88"/>
        <v>10000</v>
      </c>
      <c r="S526" s="210">
        <f t="shared" si="89"/>
        <v>3675915.3800000013</v>
      </c>
      <c r="T526" s="209">
        <f t="shared" si="90"/>
        <v>0</v>
      </c>
      <c r="U526" s="209">
        <f>+SUMIFS('A DEPOSITAR'!$H$2:$H$998,'A DEPOSITAR'!$D$2:$D$998,(O526-2),'A DEPOSITAR'!$I$2:$I$998,"A Depositar")</f>
        <v>0</v>
      </c>
      <c r="V526" s="181"/>
      <c r="W526" s="181"/>
      <c r="X526" s="181"/>
      <c r="Y526" s="181"/>
      <c r="Z526" s="181"/>
    </row>
    <row r="527" spans="1:26" ht="12.75" x14ac:dyDescent="0.2">
      <c r="A527" s="36">
        <v>46189</v>
      </c>
      <c r="B527" s="29" t="s">
        <v>939</v>
      </c>
      <c r="C527" s="29" t="s">
        <v>988</v>
      </c>
      <c r="D527" s="37">
        <v>2373.4699999999998</v>
      </c>
      <c r="E527" s="29" t="s">
        <v>136</v>
      </c>
      <c r="F527" s="34">
        <v>44116</v>
      </c>
      <c r="G527" s="18"/>
      <c r="H527" s="16">
        <f t="shared" si="83"/>
        <v>16</v>
      </c>
      <c r="I527" s="16">
        <f t="shared" si="84"/>
        <v>6</v>
      </c>
      <c r="J527" s="122">
        <f t="shared" si="85"/>
        <v>2026</v>
      </c>
      <c r="K527" s="64">
        <f t="shared" si="86"/>
        <v>46249</v>
      </c>
      <c r="L527" s="6"/>
      <c r="M527" s="6"/>
      <c r="O527" s="208">
        <v>44252</v>
      </c>
      <c r="P527" s="209">
        <f t="shared" si="87"/>
        <v>0</v>
      </c>
      <c r="Q527" s="209">
        <f>+SUMIF('A DEPOSITAR'!$D$2:$D$998,(O527-2),'A DEPOSITAR'!$H$2:$H$998)</f>
        <v>0</v>
      </c>
      <c r="R527" s="210">
        <f t="shared" si="88"/>
        <v>0</v>
      </c>
      <c r="S527" s="210">
        <f t="shared" si="89"/>
        <v>3675915.3800000013</v>
      </c>
      <c r="T527" s="209">
        <f t="shared" si="90"/>
        <v>0</v>
      </c>
      <c r="U527" s="209">
        <f>+SUMIFS('A DEPOSITAR'!$H$2:$H$998,'A DEPOSITAR'!$D$2:$D$998,(O527-2),'A DEPOSITAR'!$I$2:$I$998,"A Depositar")</f>
        <v>0</v>
      </c>
      <c r="V527" s="6"/>
      <c r="W527" s="6"/>
      <c r="X527" s="6"/>
      <c r="Y527" s="6"/>
      <c r="Z527" s="6"/>
    </row>
    <row r="528" spans="1:26" ht="12.75" x14ac:dyDescent="0.2">
      <c r="A528" s="36">
        <v>46219</v>
      </c>
      <c r="B528" s="29" t="s">
        <v>939</v>
      </c>
      <c r="C528" s="29" t="s">
        <v>989</v>
      </c>
      <c r="D528" s="37">
        <v>2393.54</v>
      </c>
      <c r="E528" s="29" t="s">
        <v>136</v>
      </c>
      <c r="F528" s="34">
        <v>44116</v>
      </c>
      <c r="G528" s="18"/>
      <c r="H528" s="16">
        <f t="shared" si="83"/>
        <v>16</v>
      </c>
      <c r="I528" s="16">
        <f t="shared" si="84"/>
        <v>7</v>
      </c>
      <c r="J528" s="122">
        <f t="shared" si="85"/>
        <v>2026</v>
      </c>
      <c r="K528" s="64">
        <f t="shared" si="86"/>
        <v>46279</v>
      </c>
      <c r="L528" s="6"/>
      <c r="M528" s="6"/>
      <c r="O528" s="208">
        <v>44253</v>
      </c>
      <c r="P528" s="209">
        <f t="shared" si="87"/>
        <v>0</v>
      </c>
      <c r="Q528" s="209">
        <f>+SUMIF('A DEPOSITAR'!$D$2:$D$998,(O528-2),'A DEPOSITAR'!$H$2:$H$998)</f>
        <v>14000</v>
      </c>
      <c r="R528" s="210">
        <f t="shared" si="88"/>
        <v>14000</v>
      </c>
      <c r="S528" s="210">
        <f t="shared" si="89"/>
        <v>3689915.3800000013</v>
      </c>
      <c r="T528" s="209">
        <f t="shared" si="90"/>
        <v>0</v>
      </c>
      <c r="U528" s="209">
        <f>+SUMIFS('A DEPOSITAR'!$H$2:$H$998,'A DEPOSITAR'!$D$2:$D$998,(O528-2),'A DEPOSITAR'!$I$2:$I$998,"A Depositar")</f>
        <v>0</v>
      </c>
      <c r="V528" s="6"/>
      <c r="W528" s="6"/>
      <c r="X528" s="6"/>
      <c r="Y528" s="6"/>
      <c r="Z528" s="6"/>
    </row>
    <row r="529" spans="1:26" ht="12.75" x14ac:dyDescent="0.2">
      <c r="A529" s="36">
        <v>46250</v>
      </c>
      <c r="B529" s="29" t="s">
        <v>939</v>
      </c>
      <c r="C529" s="29" t="s">
        <v>990</v>
      </c>
      <c r="D529" s="37">
        <v>2413.61</v>
      </c>
      <c r="E529" s="29" t="s">
        <v>136</v>
      </c>
      <c r="F529" s="34">
        <v>44116</v>
      </c>
      <c r="G529" s="18"/>
      <c r="H529" s="16">
        <f t="shared" si="83"/>
        <v>16</v>
      </c>
      <c r="I529" s="16">
        <f t="shared" si="84"/>
        <v>8</v>
      </c>
      <c r="J529" s="122">
        <f t="shared" si="85"/>
        <v>2026</v>
      </c>
      <c r="K529" s="64">
        <f t="shared" si="86"/>
        <v>46310</v>
      </c>
      <c r="L529" s="6"/>
      <c r="M529" s="6"/>
      <c r="O529" s="208">
        <v>44254</v>
      </c>
      <c r="P529" s="209">
        <f t="shared" si="87"/>
        <v>0</v>
      </c>
      <c r="Q529" s="209">
        <f>+SUMIF('A DEPOSITAR'!$D$2:$D$998,(O529-2),'A DEPOSITAR'!$H$2:$H$998)</f>
        <v>0</v>
      </c>
      <c r="R529" s="210">
        <f t="shared" si="88"/>
        <v>0</v>
      </c>
      <c r="S529" s="210">
        <f t="shared" si="89"/>
        <v>3689915.3800000013</v>
      </c>
      <c r="T529" s="209">
        <f t="shared" si="90"/>
        <v>0</v>
      </c>
      <c r="U529" s="209">
        <f>+SUMIFS('A DEPOSITAR'!$H$2:$H$998,'A DEPOSITAR'!$D$2:$D$998,(O529-2),'A DEPOSITAR'!$I$2:$I$998,"A Depositar")</f>
        <v>0</v>
      </c>
      <c r="V529" s="6"/>
      <c r="W529" s="6"/>
      <c r="X529" s="6"/>
      <c r="Y529" s="6"/>
      <c r="Z529" s="6"/>
    </row>
    <row r="530" spans="1:26" ht="12.75" x14ac:dyDescent="0.2">
      <c r="A530" s="36">
        <v>44363</v>
      </c>
      <c r="B530" s="29" t="s">
        <v>939</v>
      </c>
      <c r="C530" s="29" t="s">
        <v>269</v>
      </c>
      <c r="D530" s="213">
        <v>1169</v>
      </c>
      <c r="E530" s="29" t="s">
        <v>22</v>
      </c>
      <c r="F530" s="34">
        <v>44116</v>
      </c>
      <c r="G530" s="18" t="s">
        <v>1210</v>
      </c>
      <c r="H530" s="16">
        <f t="shared" si="83"/>
        <v>16</v>
      </c>
      <c r="I530" s="16">
        <f t="shared" si="84"/>
        <v>6</v>
      </c>
      <c r="J530" s="122">
        <f t="shared" si="85"/>
        <v>2021</v>
      </c>
      <c r="K530" s="64">
        <f t="shared" si="86"/>
        <v>44423</v>
      </c>
      <c r="L530" s="6"/>
      <c r="M530" s="6"/>
      <c r="O530" s="208">
        <v>44259</v>
      </c>
      <c r="P530" s="209">
        <f t="shared" si="87"/>
        <v>0</v>
      </c>
      <c r="Q530" s="209">
        <f>+SUMIF('A DEPOSITAR'!$D$2:$D$998,(O530-2),'A DEPOSITAR'!$H$2:$H$998)</f>
        <v>20000</v>
      </c>
      <c r="R530" s="210">
        <f t="shared" si="88"/>
        <v>20000</v>
      </c>
      <c r="S530" s="210">
        <f t="shared" si="89"/>
        <v>3709915.3800000013</v>
      </c>
      <c r="T530" s="209">
        <f t="shared" si="90"/>
        <v>0</v>
      </c>
      <c r="U530" s="209">
        <f>+SUMIFS('A DEPOSITAR'!$H$2:$H$998,'A DEPOSITAR'!$D$2:$D$998,(O530-2),'A DEPOSITAR'!$I$2:$I$998,"A Depositar")</f>
        <v>0</v>
      </c>
      <c r="V530" s="6"/>
      <c r="W530" s="6"/>
      <c r="X530" s="6"/>
      <c r="Y530" s="6"/>
      <c r="Z530" s="6"/>
    </row>
    <row r="531" spans="1:26" ht="12.75" x14ac:dyDescent="0.2">
      <c r="A531" s="36">
        <v>46281</v>
      </c>
      <c r="B531" s="29" t="s">
        <v>939</v>
      </c>
      <c r="C531" s="29" t="s">
        <v>991</v>
      </c>
      <c r="D531" s="37">
        <v>2433.6799999999998</v>
      </c>
      <c r="E531" s="29" t="s">
        <v>136</v>
      </c>
      <c r="F531" s="34">
        <v>44116</v>
      </c>
      <c r="G531" s="18"/>
      <c r="H531" s="16">
        <f t="shared" si="83"/>
        <v>16</v>
      </c>
      <c r="I531" s="16">
        <f t="shared" si="84"/>
        <v>9</v>
      </c>
      <c r="J531" s="122">
        <f t="shared" si="85"/>
        <v>2026</v>
      </c>
      <c r="K531" s="64">
        <f t="shared" si="86"/>
        <v>46341</v>
      </c>
      <c r="L531" s="6"/>
      <c r="M531" s="6"/>
      <c r="O531" s="208">
        <v>44262</v>
      </c>
      <c r="P531" s="209">
        <f t="shared" si="87"/>
        <v>0</v>
      </c>
      <c r="Q531" s="209">
        <f>+SUMIF('A DEPOSITAR'!$D$2:$D$998,(O531-2),'A DEPOSITAR'!$H$2:$H$998)</f>
        <v>117000</v>
      </c>
      <c r="R531" s="210">
        <f t="shared" si="88"/>
        <v>117000</v>
      </c>
      <c r="S531" s="210">
        <f t="shared" si="89"/>
        <v>3826915.3800000013</v>
      </c>
      <c r="T531" s="209">
        <f t="shared" si="90"/>
        <v>0</v>
      </c>
      <c r="U531" s="209">
        <f>+SUMIFS('A DEPOSITAR'!$H$2:$H$998,'A DEPOSITAR'!$D$2:$D$998,(O531-2),'A DEPOSITAR'!$I$2:$I$998,"A Depositar")</f>
        <v>0</v>
      </c>
      <c r="V531" s="6"/>
      <c r="W531" s="6"/>
      <c r="X531" s="6"/>
      <c r="Y531" s="6"/>
      <c r="Z531" s="6"/>
    </row>
    <row r="532" spans="1:26" ht="12.75" x14ac:dyDescent="0.2">
      <c r="A532" s="36">
        <v>46311</v>
      </c>
      <c r="B532" s="29" t="s">
        <v>939</v>
      </c>
      <c r="C532" s="29" t="s">
        <v>992</v>
      </c>
      <c r="D532" s="37">
        <v>2453.7600000000002</v>
      </c>
      <c r="E532" s="29" t="s">
        <v>136</v>
      </c>
      <c r="F532" s="34">
        <v>44116</v>
      </c>
      <c r="G532" s="18"/>
      <c r="H532" s="16">
        <f t="shared" si="83"/>
        <v>16</v>
      </c>
      <c r="I532" s="16">
        <f t="shared" si="84"/>
        <v>10</v>
      </c>
      <c r="J532" s="122">
        <f t="shared" si="85"/>
        <v>2026</v>
      </c>
      <c r="K532" s="64">
        <f t="shared" si="86"/>
        <v>46371</v>
      </c>
      <c r="L532" s="6"/>
      <c r="M532" s="6"/>
      <c r="O532" s="208">
        <v>44263</v>
      </c>
      <c r="P532" s="209">
        <f t="shared" si="87"/>
        <v>77200</v>
      </c>
      <c r="Q532" s="209">
        <f>+SUMIF('A DEPOSITAR'!$D$2:$D$998,(O532-2),'A DEPOSITAR'!$H$2:$H$998)</f>
        <v>0</v>
      </c>
      <c r="R532" s="210">
        <f t="shared" si="88"/>
        <v>-77200</v>
      </c>
      <c r="S532" s="210">
        <f t="shared" si="89"/>
        <v>3749715.3800000013</v>
      </c>
      <c r="T532" s="209">
        <f t="shared" si="90"/>
        <v>0</v>
      </c>
      <c r="U532" s="209">
        <f>+SUMIFS('A DEPOSITAR'!$H$2:$H$998,'A DEPOSITAR'!$D$2:$D$998,(O532-2),'A DEPOSITAR'!$I$2:$I$998,"A Depositar")</f>
        <v>0</v>
      </c>
      <c r="V532" s="6"/>
      <c r="W532" s="6"/>
      <c r="X532" s="6"/>
      <c r="Y532" s="6"/>
      <c r="Z532" s="6"/>
    </row>
    <row r="533" spans="1:26" ht="12.75" x14ac:dyDescent="0.2">
      <c r="A533" s="36">
        <v>46342</v>
      </c>
      <c r="B533" s="29" t="s">
        <v>939</v>
      </c>
      <c r="C533" s="29" t="s">
        <v>993</v>
      </c>
      <c r="D533" s="37">
        <v>2473.5100000000002</v>
      </c>
      <c r="E533" s="29" t="s">
        <v>136</v>
      </c>
      <c r="F533" s="34">
        <v>44116</v>
      </c>
      <c r="G533" s="18"/>
      <c r="H533" s="16">
        <f t="shared" si="83"/>
        <v>16</v>
      </c>
      <c r="I533" s="16">
        <f t="shared" si="84"/>
        <v>11</v>
      </c>
      <c r="J533" s="122">
        <f t="shared" si="85"/>
        <v>2026</v>
      </c>
      <c r="K533" s="64">
        <f t="shared" si="86"/>
        <v>46402</v>
      </c>
      <c r="L533" s="6"/>
      <c r="M533" s="6"/>
      <c r="O533" s="208">
        <v>44264</v>
      </c>
      <c r="P533" s="209">
        <f t="shared" si="87"/>
        <v>0</v>
      </c>
      <c r="Q533" s="209">
        <f>+SUMIF('A DEPOSITAR'!$D$2:$D$998,(O533-2),'A DEPOSITAR'!$H$2:$H$998)</f>
        <v>0</v>
      </c>
      <c r="R533" s="210">
        <f t="shared" si="88"/>
        <v>0</v>
      </c>
      <c r="S533" s="210">
        <f t="shared" si="89"/>
        <v>3749715.3800000013</v>
      </c>
      <c r="T533" s="209">
        <f t="shared" si="90"/>
        <v>0</v>
      </c>
      <c r="U533" s="209">
        <f>+SUMIFS('A DEPOSITAR'!$H$2:$H$998,'A DEPOSITAR'!$D$2:$D$998,(O533-2),'A DEPOSITAR'!$I$2:$I$998,"A Depositar")</f>
        <v>0</v>
      </c>
      <c r="V533" s="6"/>
      <c r="W533" s="6"/>
      <c r="X533" s="6"/>
      <c r="Y533" s="6"/>
      <c r="Z533" s="6"/>
    </row>
    <row r="534" spans="1:26" ht="12.75" x14ac:dyDescent="0.2">
      <c r="A534" s="36">
        <v>44393</v>
      </c>
      <c r="B534" s="29" t="s">
        <v>939</v>
      </c>
      <c r="C534" s="29" t="s">
        <v>263</v>
      </c>
      <c r="D534" s="213">
        <v>1189.07</v>
      </c>
      <c r="E534" s="29" t="s">
        <v>22</v>
      </c>
      <c r="F534" s="34">
        <v>44116</v>
      </c>
      <c r="G534" s="18" t="s">
        <v>1229</v>
      </c>
      <c r="H534" s="16">
        <f t="shared" si="83"/>
        <v>16</v>
      </c>
      <c r="I534" s="16">
        <f t="shared" si="84"/>
        <v>7</v>
      </c>
      <c r="J534" s="122">
        <f t="shared" si="85"/>
        <v>2021</v>
      </c>
      <c r="K534" s="64">
        <f t="shared" si="86"/>
        <v>44453</v>
      </c>
      <c r="L534" s="6"/>
      <c r="M534" s="6"/>
      <c r="O534" s="208">
        <v>44269</v>
      </c>
      <c r="P534" s="209">
        <f t="shared" si="87"/>
        <v>0</v>
      </c>
      <c r="Q534" s="209">
        <f>+SUMIF('A DEPOSITAR'!$D$2:$D$998,(O534-2),'A DEPOSITAR'!$H$2:$H$998)</f>
        <v>0</v>
      </c>
      <c r="R534" s="210">
        <f t="shared" si="88"/>
        <v>0</v>
      </c>
      <c r="S534" s="210">
        <f t="shared" si="89"/>
        <v>3749715.3800000013</v>
      </c>
      <c r="T534" s="209">
        <f t="shared" si="90"/>
        <v>0</v>
      </c>
      <c r="U534" s="209">
        <f>+SUMIFS('A DEPOSITAR'!$H$2:$H$998,'A DEPOSITAR'!$D$2:$D$998,(O534-2),'A DEPOSITAR'!$I$2:$I$998,"A Depositar")</f>
        <v>0</v>
      </c>
      <c r="V534" s="6"/>
      <c r="W534" s="6"/>
      <c r="X534" s="6"/>
      <c r="Y534" s="6"/>
      <c r="Z534" s="6"/>
    </row>
    <row r="535" spans="1:26" ht="12.75" x14ac:dyDescent="0.2">
      <c r="A535" s="36">
        <v>44424</v>
      </c>
      <c r="B535" s="29" t="s">
        <v>939</v>
      </c>
      <c r="C535" s="29" t="s">
        <v>424</v>
      </c>
      <c r="D535" s="213">
        <v>1209.1500000000001</v>
      </c>
      <c r="E535" s="29" t="s">
        <v>22</v>
      </c>
      <c r="F535" s="34">
        <v>44116</v>
      </c>
      <c r="G535" s="18" t="s">
        <v>1249</v>
      </c>
      <c r="H535" s="16">
        <f t="shared" si="83"/>
        <v>16</v>
      </c>
      <c r="I535" s="16">
        <f t="shared" si="84"/>
        <v>8</v>
      </c>
      <c r="J535" s="122">
        <f t="shared" si="85"/>
        <v>2021</v>
      </c>
      <c r="K535" s="64">
        <f t="shared" si="86"/>
        <v>44484</v>
      </c>
      <c r="L535" s="6"/>
      <c r="M535" s="6"/>
      <c r="O535" s="208">
        <v>44275</v>
      </c>
      <c r="P535" s="209">
        <f t="shared" si="87"/>
        <v>0</v>
      </c>
      <c r="Q535" s="209">
        <f>+SUMIF('A DEPOSITAR'!$D$2:$D$998,(O535-2),'A DEPOSITAR'!$H$2:$H$998)</f>
        <v>0</v>
      </c>
      <c r="R535" s="210">
        <f t="shared" si="88"/>
        <v>0</v>
      </c>
      <c r="S535" s="210">
        <f t="shared" si="89"/>
        <v>3749715.3800000013</v>
      </c>
      <c r="T535" s="209">
        <f t="shared" si="90"/>
        <v>0</v>
      </c>
      <c r="U535" s="209">
        <f>+SUMIFS('A DEPOSITAR'!$H$2:$H$998,'A DEPOSITAR'!$D$2:$D$998,(O535-2),'A DEPOSITAR'!$I$2:$I$998,"A Depositar")</f>
        <v>0</v>
      </c>
      <c r="V535" s="6"/>
      <c r="W535" s="6"/>
      <c r="X535" s="6"/>
      <c r="Y535" s="6"/>
      <c r="Z535" s="6"/>
    </row>
    <row r="536" spans="1:26" ht="12.75" x14ac:dyDescent="0.2">
      <c r="A536" s="36">
        <v>44181</v>
      </c>
      <c r="B536" s="29" t="s">
        <v>995</v>
      </c>
      <c r="C536" s="29" t="s">
        <v>230</v>
      </c>
      <c r="D536" s="37">
        <v>1081.4100000000001</v>
      </c>
      <c r="E536" s="29" t="s">
        <v>22</v>
      </c>
      <c r="F536" s="34">
        <v>44116</v>
      </c>
      <c r="G536" s="18"/>
      <c r="H536" s="16">
        <f t="shared" si="83"/>
        <v>16</v>
      </c>
      <c r="I536" s="16">
        <f t="shared" si="84"/>
        <v>12</v>
      </c>
      <c r="J536" s="122">
        <f t="shared" si="85"/>
        <v>2020</v>
      </c>
      <c r="K536" s="64">
        <f t="shared" si="86"/>
        <v>44241</v>
      </c>
      <c r="L536" s="6"/>
      <c r="M536" s="6"/>
      <c r="O536" s="208">
        <v>44091</v>
      </c>
      <c r="P536" s="209">
        <f t="shared" si="87"/>
        <v>0</v>
      </c>
      <c r="Q536" s="209">
        <f>+SUMIF('A DEPOSITAR'!$D$2:$D$998,(O536-2),'A DEPOSITAR'!$H$2:$H$998)</f>
        <v>13290</v>
      </c>
      <c r="R536" s="210">
        <f t="shared" si="88"/>
        <v>13290</v>
      </c>
      <c r="S536" s="210">
        <f t="shared" si="89"/>
        <v>3763005.3800000013</v>
      </c>
      <c r="T536" s="209">
        <f t="shared" si="90"/>
        <v>0</v>
      </c>
      <c r="U536" s="209">
        <f>+SUMIFS('A DEPOSITAR'!$H$2:$H$998,'A DEPOSITAR'!$D$2:$D$998,(O536-2),'A DEPOSITAR'!$I$2:$I$998,"A Depositar")</f>
        <v>0</v>
      </c>
      <c r="V536" s="6"/>
      <c r="W536" s="6"/>
      <c r="X536" s="6"/>
      <c r="Y536" s="6"/>
      <c r="Z536" s="6"/>
    </row>
    <row r="537" spans="1:26" ht="12.75" x14ac:dyDescent="0.2">
      <c r="A537" s="36">
        <v>44455</v>
      </c>
      <c r="B537" s="29" t="s">
        <v>995</v>
      </c>
      <c r="C537" s="29" t="s">
        <v>425</v>
      </c>
      <c r="D537" s="213">
        <v>1267.74</v>
      </c>
      <c r="E537" s="29" t="s">
        <v>22</v>
      </c>
      <c r="F537" s="34">
        <v>44116</v>
      </c>
      <c r="G537" s="18" t="s">
        <v>1283</v>
      </c>
      <c r="H537" s="16">
        <f t="shared" si="83"/>
        <v>16</v>
      </c>
      <c r="I537" s="16">
        <f t="shared" si="84"/>
        <v>9</v>
      </c>
      <c r="J537" s="122">
        <f t="shared" si="85"/>
        <v>2021</v>
      </c>
      <c r="K537" s="64">
        <f t="shared" si="86"/>
        <v>44515</v>
      </c>
      <c r="L537" s="6"/>
      <c r="M537" s="6"/>
      <c r="O537" s="208">
        <v>44096</v>
      </c>
      <c r="P537" s="209">
        <f t="shared" si="87"/>
        <v>25030</v>
      </c>
      <c r="Q537" s="209">
        <f>+SUMIF('A DEPOSITAR'!$D$2:$D$998,(O537-2),'A DEPOSITAR'!$H$2:$H$998)</f>
        <v>0</v>
      </c>
      <c r="R537" s="210">
        <f t="shared" si="88"/>
        <v>-25030</v>
      </c>
      <c r="S537" s="210">
        <f t="shared" si="89"/>
        <v>3737975.3800000013</v>
      </c>
      <c r="T537" s="209">
        <f t="shared" si="90"/>
        <v>0</v>
      </c>
      <c r="U537" s="209">
        <f>+SUMIFS('A DEPOSITAR'!$H$2:$H$998,'A DEPOSITAR'!$D$2:$D$998,(O537-2),'A DEPOSITAR'!$I$2:$I$998,"A Depositar")</f>
        <v>0</v>
      </c>
      <c r="V537" s="6"/>
      <c r="W537" s="6"/>
      <c r="X537" s="6"/>
      <c r="Y537" s="6"/>
      <c r="Z537" s="6"/>
    </row>
    <row r="538" spans="1:26" ht="12.75" x14ac:dyDescent="0.2">
      <c r="A538" s="36">
        <v>44485</v>
      </c>
      <c r="B538" s="29" t="s">
        <v>995</v>
      </c>
      <c r="C538" s="29" t="s">
        <v>427</v>
      </c>
      <c r="D538" s="213">
        <v>1288.44</v>
      </c>
      <c r="E538" s="29" t="s">
        <v>22</v>
      </c>
      <c r="F538" s="34">
        <v>44116</v>
      </c>
      <c r="G538" s="18" t="s">
        <v>1295</v>
      </c>
      <c r="H538" s="16">
        <f t="shared" si="83"/>
        <v>16</v>
      </c>
      <c r="I538" s="16">
        <f t="shared" si="84"/>
        <v>10</v>
      </c>
      <c r="J538" s="122">
        <f t="shared" si="85"/>
        <v>2021</v>
      </c>
      <c r="K538" s="64">
        <f t="shared" si="86"/>
        <v>44545</v>
      </c>
      <c r="L538" s="6"/>
      <c r="M538" s="6"/>
      <c r="O538" s="208">
        <v>44100</v>
      </c>
      <c r="P538" s="209">
        <f t="shared" si="87"/>
        <v>0</v>
      </c>
      <c r="Q538" s="209">
        <f>+SUMIF('A DEPOSITAR'!$D$2:$D$998,(O538-2),'A DEPOSITAR'!$H$2:$H$998)</f>
        <v>12596</v>
      </c>
      <c r="R538" s="210">
        <f t="shared" si="88"/>
        <v>12596</v>
      </c>
      <c r="S538" s="210">
        <f t="shared" si="89"/>
        <v>3750571.3800000013</v>
      </c>
      <c r="T538" s="209">
        <f t="shared" si="90"/>
        <v>0</v>
      </c>
      <c r="U538" s="209">
        <f>+SUMIFS('A DEPOSITAR'!$H$2:$H$998,'A DEPOSITAR'!$D$2:$D$998,(O538-2),'A DEPOSITAR'!$I$2:$I$998,"A Depositar")</f>
        <v>0</v>
      </c>
      <c r="V538" s="6"/>
      <c r="W538" s="6"/>
      <c r="X538" s="6"/>
      <c r="Y538" s="6"/>
      <c r="Z538" s="6"/>
    </row>
    <row r="539" spans="1:26" ht="12.75" x14ac:dyDescent="0.2">
      <c r="A539" s="36">
        <v>44516</v>
      </c>
      <c r="B539" s="29" t="s">
        <v>995</v>
      </c>
      <c r="C539" s="29" t="s">
        <v>428</v>
      </c>
      <c r="D539" s="37">
        <v>1309.1400000000001</v>
      </c>
      <c r="E539" s="29" t="s">
        <v>136</v>
      </c>
      <c r="F539" s="34">
        <v>44116</v>
      </c>
      <c r="G539" s="18"/>
      <c r="H539" s="16">
        <f t="shared" si="83"/>
        <v>16</v>
      </c>
      <c r="I539" s="16">
        <f t="shared" si="84"/>
        <v>11</v>
      </c>
      <c r="J539" s="122">
        <f t="shared" si="85"/>
        <v>2021</v>
      </c>
      <c r="K539" s="64">
        <f t="shared" si="86"/>
        <v>44576</v>
      </c>
      <c r="L539" s="6"/>
      <c r="M539" s="6"/>
      <c r="O539" s="208">
        <v>44104</v>
      </c>
      <c r="P539" s="209">
        <f t="shared" si="87"/>
        <v>69518.67</v>
      </c>
      <c r="Q539" s="209">
        <f>+SUMIF('A DEPOSITAR'!$D$2:$D$998,(O539-2),'A DEPOSITAR'!$H$2:$H$998)</f>
        <v>74475</v>
      </c>
      <c r="R539" s="210">
        <f t="shared" si="88"/>
        <v>4956.3300000000017</v>
      </c>
      <c r="S539" s="210">
        <f t="shared" si="89"/>
        <v>3755527.7100000014</v>
      </c>
      <c r="T539" s="209">
        <f t="shared" si="90"/>
        <v>0</v>
      </c>
      <c r="U539" s="209">
        <f>+SUMIFS('A DEPOSITAR'!$H$2:$H$998,'A DEPOSITAR'!$D$2:$D$998,(O539-2),'A DEPOSITAR'!$I$2:$I$998,"A Depositar")</f>
        <v>0</v>
      </c>
      <c r="V539" s="6"/>
      <c r="W539" s="6"/>
      <c r="X539" s="6"/>
      <c r="Y539" s="6"/>
      <c r="Z539" s="6"/>
    </row>
    <row r="540" spans="1:26" ht="12.75" x14ac:dyDescent="0.2">
      <c r="A540" s="36">
        <v>44546</v>
      </c>
      <c r="B540" s="29" t="s">
        <v>995</v>
      </c>
      <c r="C540" s="29" t="s">
        <v>429</v>
      </c>
      <c r="D540" s="37">
        <v>1329.85</v>
      </c>
      <c r="E540" s="29" t="s">
        <v>136</v>
      </c>
      <c r="F540" s="34">
        <v>44116</v>
      </c>
      <c r="G540" s="18"/>
      <c r="H540" s="16">
        <f t="shared" ref="H540:H571" si="91">DAY(A540)</f>
        <v>16</v>
      </c>
      <c r="I540" s="16">
        <f t="shared" ref="I540:I571" si="92">MONTH(A540)</f>
        <v>12</v>
      </c>
      <c r="J540" s="122">
        <f t="shared" ref="J540:J571" si="93">YEAR(A540)</f>
        <v>2021</v>
      </c>
      <c r="K540" s="64">
        <f t="shared" ref="K540:K571" si="94">A540+60</f>
        <v>44606</v>
      </c>
      <c r="L540" s="6"/>
      <c r="M540" s="6"/>
      <c r="O540" s="208">
        <v>44108</v>
      </c>
      <c r="P540" s="209">
        <f t="shared" ref="P540:P571" si="95">+SUMIF($A$2:$A$998,O540,$D$2:$D$998)</f>
        <v>0</v>
      </c>
      <c r="Q540" s="209">
        <f>+SUMIF('A DEPOSITAR'!$D$2:$D$998,(O540-2),'A DEPOSITAR'!$H$2:$H$998)</f>
        <v>15000</v>
      </c>
      <c r="R540" s="210">
        <f t="shared" ref="R540:R571" si="96">+Q540-P540</f>
        <v>15000</v>
      </c>
      <c r="S540" s="210">
        <f t="shared" ref="S540:S571" si="97">+S539+R540</f>
        <v>3770527.7100000014</v>
      </c>
      <c r="T540" s="209">
        <f t="shared" ref="T540:T571" si="98">+SUMIFS($D$2:$D$998,$A$2:$A$998,O540,$E$2:$E$998,"A Pagar")</f>
        <v>0</v>
      </c>
      <c r="U540" s="209">
        <f>+SUMIFS('A DEPOSITAR'!$H$2:$H$998,'A DEPOSITAR'!$D$2:$D$998,(O540-2),'A DEPOSITAR'!$I$2:$I$998,"A Depositar")</f>
        <v>0</v>
      </c>
      <c r="V540" s="6"/>
      <c r="W540" s="6"/>
      <c r="X540" s="6"/>
      <c r="Y540" s="6"/>
      <c r="Z540" s="6"/>
    </row>
    <row r="541" spans="1:26" ht="12.75" x14ac:dyDescent="0.2">
      <c r="A541" s="36">
        <v>44577</v>
      </c>
      <c r="B541" s="29" t="s">
        <v>995</v>
      </c>
      <c r="C541" s="29" t="s">
        <v>430</v>
      </c>
      <c r="D541" s="37">
        <v>1350.55</v>
      </c>
      <c r="E541" s="29" t="s">
        <v>136</v>
      </c>
      <c r="F541" s="34">
        <v>44116</v>
      </c>
      <c r="G541" s="18"/>
      <c r="H541" s="16">
        <f t="shared" si="91"/>
        <v>16</v>
      </c>
      <c r="I541" s="16">
        <f t="shared" si="92"/>
        <v>1</v>
      </c>
      <c r="J541" s="122">
        <f t="shared" si="93"/>
        <v>2022</v>
      </c>
      <c r="K541" s="64">
        <f t="shared" si="94"/>
        <v>44637</v>
      </c>
      <c r="L541" s="6"/>
      <c r="M541" s="6"/>
      <c r="O541" s="208">
        <v>44112</v>
      </c>
      <c r="P541" s="209">
        <f t="shared" si="95"/>
        <v>52767</v>
      </c>
      <c r="Q541" s="209">
        <f>+SUMIF('A DEPOSITAR'!$D$2:$D$998,(O541-2),'A DEPOSITAR'!$H$2:$H$998)</f>
        <v>41927</v>
      </c>
      <c r="R541" s="210">
        <f t="shared" si="96"/>
        <v>-10840</v>
      </c>
      <c r="S541" s="210">
        <f t="shared" si="97"/>
        <v>3759687.7100000014</v>
      </c>
      <c r="T541" s="209">
        <f t="shared" si="98"/>
        <v>0</v>
      </c>
      <c r="U541" s="209">
        <f>+SUMIFS('A DEPOSITAR'!$H$2:$H$998,'A DEPOSITAR'!$D$2:$D$998,(O541-2),'A DEPOSITAR'!$I$2:$I$998,"A Depositar")</f>
        <v>0</v>
      </c>
      <c r="V541" s="6"/>
      <c r="W541" s="6"/>
      <c r="X541" s="6"/>
      <c r="Y541" s="6"/>
      <c r="Z541" s="6"/>
    </row>
    <row r="542" spans="1:26" ht="12.75" x14ac:dyDescent="0.2">
      <c r="A542" s="36">
        <v>44608</v>
      </c>
      <c r="B542" s="29" t="s">
        <v>995</v>
      </c>
      <c r="C542" s="29" t="s">
        <v>431</v>
      </c>
      <c r="D542" s="37">
        <v>1371.26</v>
      </c>
      <c r="E542" s="29" t="s">
        <v>136</v>
      </c>
      <c r="F542" s="34">
        <v>44116</v>
      </c>
      <c r="G542" s="18"/>
      <c r="H542" s="16">
        <f t="shared" si="91"/>
        <v>16</v>
      </c>
      <c r="I542" s="16">
        <f t="shared" si="92"/>
        <v>2</v>
      </c>
      <c r="J542" s="122">
        <f t="shared" si="93"/>
        <v>2022</v>
      </c>
      <c r="K542" s="64">
        <f t="shared" si="94"/>
        <v>44668</v>
      </c>
      <c r="L542" s="6"/>
      <c r="M542" s="6"/>
      <c r="O542" s="208">
        <v>44116</v>
      </c>
      <c r="P542" s="209">
        <f t="shared" si="95"/>
        <v>0</v>
      </c>
      <c r="Q542" s="209">
        <f>+SUMIF('A DEPOSITAR'!$D$2:$D$998,(O542-2),'A DEPOSITAR'!$H$2:$H$998)</f>
        <v>130509</v>
      </c>
      <c r="R542" s="210">
        <f t="shared" si="96"/>
        <v>130509</v>
      </c>
      <c r="S542" s="210">
        <f t="shared" si="97"/>
        <v>3890196.7100000014</v>
      </c>
      <c r="T542" s="209">
        <f t="shared" si="98"/>
        <v>0</v>
      </c>
      <c r="U542" s="209">
        <f>+SUMIFS('A DEPOSITAR'!$H$2:$H$998,'A DEPOSITAR'!$D$2:$D$998,(O542-2),'A DEPOSITAR'!$I$2:$I$998,"A Depositar")</f>
        <v>0</v>
      </c>
      <c r="V542" s="6"/>
      <c r="W542" s="6"/>
      <c r="X542" s="6"/>
      <c r="Y542" s="6"/>
      <c r="Z542" s="6"/>
    </row>
    <row r="543" spans="1:26" ht="12.75" x14ac:dyDescent="0.2">
      <c r="A543" s="36">
        <v>44636</v>
      </c>
      <c r="B543" s="29" t="s">
        <v>995</v>
      </c>
      <c r="C543" s="29" t="s">
        <v>432</v>
      </c>
      <c r="D543" s="37">
        <v>1391.96</v>
      </c>
      <c r="E543" s="29" t="s">
        <v>136</v>
      </c>
      <c r="F543" s="34">
        <v>44116</v>
      </c>
      <c r="G543" s="18"/>
      <c r="H543" s="16">
        <f t="shared" si="91"/>
        <v>16</v>
      </c>
      <c r="I543" s="16">
        <f t="shared" si="92"/>
        <v>3</v>
      </c>
      <c r="J543" s="122">
        <f t="shared" si="93"/>
        <v>2022</v>
      </c>
      <c r="K543" s="64">
        <f t="shared" si="94"/>
        <v>44696</v>
      </c>
      <c r="L543" s="6"/>
      <c r="M543" s="6"/>
      <c r="O543" s="208">
        <v>44120</v>
      </c>
      <c r="P543" s="209">
        <f t="shared" si="95"/>
        <v>60020.65</v>
      </c>
      <c r="Q543" s="209">
        <f>+SUMIF('A DEPOSITAR'!$D$2:$D$998,(O543-2),'A DEPOSITAR'!$H$2:$H$998)</f>
        <v>20000</v>
      </c>
      <c r="R543" s="210">
        <f t="shared" si="96"/>
        <v>-40020.65</v>
      </c>
      <c r="S543" s="210">
        <f t="shared" si="97"/>
        <v>3850176.0600000015</v>
      </c>
      <c r="T543" s="209">
        <f t="shared" si="98"/>
        <v>0</v>
      </c>
      <c r="U543" s="209">
        <f>+SUMIFS('A DEPOSITAR'!$H$2:$H$998,'A DEPOSITAR'!$D$2:$D$998,(O543-2),'A DEPOSITAR'!$I$2:$I$998,"A Depositar")</f>
        <v>0</v>
      </c>
      <c r="V543" s="6"/>
      <c r="W543" s="6"/>
      <c r="X543" s="6"/>
      <c r="Y543" s="6"/>
      <c r="Z543" s="6"/>
    </row>
    <row r="544" spans="1:26" ht="12.75" x14ac:dyDescent="0.2">
      <c r="A544" s="36">
        <v>44667</v>
      </c>
      <c r="B544" s="29" t="s">
        <v>995</v>
      </c>
      <c r="C544" s="29" t="s">
        <v>433</v>
      </c>
      <c r="D544" s="37">
        <v>1412.66</v>
      </c>
      <c r="E544" s="29" t="s">
        <v>136</v>
      </c>
      <c r="F544" s="34">
        <v>44116</v>
      </c>
      <c r="G544" s="18"/>
      <c r="H544" s="16">
        <f t="shared" si="91"/>
        <v>16</v>
      </c>
      <c r="I544" s="16">
        <f t="shared" si="92"/>
        <v>4</v>
      </c>
      <c r="J544" s="122">
        <f t="shared" si="93"/>
        <v>2022</v>
      </c>
      <c r="K544" s="64">
        <f t="shared" si="94"/>
        <v>44727</v>
      </c>
      <c r="L544" s="6"/>
      <c r="M544" s="6"/>
      <c r="O544" s="208">
        <v>44124</v>
      </c>
      <c r="P544" s="209">
        <f t="shared" si="95"/>
        <v>0</v>
      </c>
      <c r="Q544" s="209">
        <f>+SUMIF('A DEPOSITAR'!$D$2:$D$998,(O544-2),'A DEPOSITAR'!$H$2:$H$998)</f>
        <v>51367</v>
      </c>
      <c r="R544" s="210">
        <f t="shared" si="96"/>
        <v>51367</v>
      </c>
      <c r="S544" s="210">
        <f t="shared" si="97"/>
        <v>3901543.0600000015</v>
      </c>
      <c r="T544" s="209">
        <f t="shared" si="98"/>
        <v>0</v>
      </c>
      <c r="U544" s="209">
        <f>+SUMIFS('A DEPOSITAR'!$H$2:$H$998,'A DEPOSITAR'!$D$2:$D$998,(O544-2),'A DEPOSITAR'!$I$2:$I$998,"A Depositar")</f>
        <v>0</v>
      </c>
      <c r="V544" s="6"/>
      <c r="W544" s="6"/>
      <c r="X544" s="6"/>
      <c r="Y544" s="6"/>
      <c r="Z544" s="6"/>
    </row>
    <row r="545" spans="1:26" ht="12.75" x14ac:dyDescent="0.2">
      <c r="A545" s="36">
        <v>44697</v>
      </c>
      <c r="B545" s="29" t="s">
        <v>995</v>
      </c>
      <c r="C545" s="29" t="s">
        <v>434</v>
      </c>
      <c r="D545" s="37">
        <v>1433.37</v>
      </c>
      <c r="E545" s="29" t="s">
        <v>136</v>
      </c>
      <c r="F545" s="34">
        <v>44116</v>
      </c>
      <c r="G545" s="18"/>
      <c r="H545" s="16">
        <f t="shared" si="91"/>
        <v>16</v>
      </c>
      <c r="I545" s="16">
        <f t="shared" si="92"/>
        <v>5</v>
      </c>
      <c r="J545" s="122">
        <f t="shared" si="93"/>
        <v>2022</v>
      </c>
      <c r="K545" s="64">
        <f t="shared" si="94"/>
        <v>44757</v>
      </c>
      <c r="L545" s="6"/>
      <c r="M545" s="6"/>
      <c r="O545" s="208">
        <v>44128</v>
      </c>
      <c r="P545" s="209">
        <f t="shared" si="95"/>
        <v>0</v>
      </c>
      <c r="Q545" s="209">
        <f>+SUMIF('A DEPOSITAR'!$D$2:$D$998,(O545-2),'A DEPOSITAR'!$H$2:$H$998)</f>
        <v>12000</v>
      </c>
      <c r="R545" s="210">
        <f t="shared" si="96"/>
        <v>12000</v>
      </c>
      <c r="S545" s="210">
        <f t="shared" si="97"/>
        <v>3913543.0600000015</v>
      </c>
      <c r="T545" s="209">
        <f t="shared" si="98"/>
        <v>0</v>
      </c>
      <c r="U545" s="209">
        <f>+SUMIFS('A DEPOSITAR'!$H$2:$H$998,'A DEPOSITAR'!$D$2:$D$998,(O545-2),'A DEPOSITAR'!$I$2:$I$998,"A Depositar")</f>
        <v>0</v>
      </c>
      <c r="V545" s="6"/>
      <c r="W545" s="6"/>
      <c r="X545" s="6"/>
      <c r="Y545" s="6"/>
      <c r="Z545" s="6"/>
    </row>
    <row r="546" spans="1:26" ht="12.75" x14ac:dyDescent="0.2">
      <c r="A546" s="36">
        <v>44728</v>
      </c>
      <c r="B546" s="29" t="s">
        <v>995</v>
      </c>
      <c r="C546" s="29" t="s">
        <v>940</v>
      </c>
      <c r="D546" s="37">
        <v>1454.07</v>
      </c>
      <c r="E546" s="29" t="s">
        <v>136</v>
      </c>
      <c r="F546" s="34">
        <v>44116</v>
      </c>
      <c r="G546" s="18"/>
      <c r="H546" s="16">
        <f t="shared" si="91"/>
        <v>16</v>
      </c>
      <c r="I546" s="16">
        <f t="shared" si="92"/>
        <v>6</v>
      </c>
      <c r="J546" s="122">
        <f t="shared" si="93"/>
        <v>2022</v>
      </c>
      <c r="K546" s="64">
        <f t="shared" si="94"/>
        <v>44788</v>
      </c>
      <c r="L546" s="6"/>
      <c r="M546" s="6"/>
      <c r="O546" s="208">
        <v>44132</v>
      </c>
      <c r="P546" s="209">
        <f t="shared" si="95"/>
        <v>0</v>
      </c>
      <c r="Q546" s="209">
        <f>+SUMIF('A DEPOSITAR'!$D$2:$D$998,(O546-2),'A DEPOSITAR'!$H$2:$H$998)</f>
        <v>8240</v>
      </c>
      <c r="R546" s="210">
        <f t="shared" si="96"/>
        <v>8240</v>
      </c>
      <c r="S546" s="210">
        <f t="shared" si="97"/>
        <v>3921783.0600000015</v>
      </c>
      <c r="T546" s="209">
        <f t="shared" si="98"/>
        <v>0</v>
      </c>
      <c r="U546" s="209">
        <f>+SUMIFS('A DEPOSITAR'!$H$2:$H$998,'A DEPOSITAR'!$D$2:$D$998,(O546-2),'A DEPOSITAR'!$I$2:$I$998,"A Depositar")</f>
        <v>0</v>
      </c>
      <c r="V546" s="6"/>
      <c r="W546" s="6"/>
      <c r="X546" s="6"/>
      <c r="Y546" s="6"/>
      <c r="Z546" s="6"/>
    </row>
    <row r="547" spans="1:26" ht="12.75" x14ac:dyDescent="0.2">
      <c r="A547" s="102">
        <v>43998</v>
      </c>
      <c r="B547" s="103" t="s">
        <v>365</v>
      </c>
      <c r="C547" s="103" t="s">
        <v>233</v>
      </c>
      <c r="D547" s="104">
        <v>12412.65</v>
      </c>
      <c r="E547" s="103" t="s">
        <v>22</v>
      </c>
      <c r="F547" s="105">
        <v>43864</v>
      </c>
      <c r="G547" s="176">
        <v>44028</v>
      </c>
      <c r="H547" s="106">
        <f t="shared" si="91"/>
        <v>16</v>
      </c>
      <c r="I547" s="106">
        <f t="shared" si="92"/>
        <v>6</v>
      </c>
      <c r="J547" s="124">
        <f t="shared" si="93"/>
        <v>2020</v>
      </c>
      <c r="K547" s="175">
        <f t="shared" si="94"/>
        <v>44058</v>
      </c>
      <c r="L547" s="181"/>
      <c r="M547" s="181"/>
      <c r="N547" s="182"/>
      <c r="O547" s="208">
        <v>44192</v>
      </c>
      <c r="P547" s="209">
        <f t="shared" si="95"/>
        <v>0</v>
      </c>
      <c r="Q547" s="209">
        <f>+SUMIF('A DEPOSITAR'!$D$2:$D$998,(O547-2),'A DEPOSITAR'!$H$2:$H$998)</f>
        <v>0</v>
      </c>
      <c r="R547" s="210">
        <f t="shared" si="96"/>
        <v>0</v>
      </c>
      <c r="S547" s="210">
        <f t="shared" si="97"/>
        <v>3921783.0600000015</v>
      </c>
      <c r="T547" s="209">
        <f t="shared" si="98"/>
        <v>0</v>
      </c>
      <c r="U547" s="209">
        <f>+SUMIFS('A DEPOSITAR'!$H$2:$H$998,'A DEPOSITAR'!$D$2:$D$998,(O547-2),'A DEPOSITAR'!$I$2:$I$998,"A Depositar")</f>
        <v>0</v>
      </c>
      <c r="V547" s="181"/>
      <c r="W547" s="181"/>
      <c r="X547" s="181"/>
      <c r="Y547" s="181"/>
      <c r="Z547" s="181"/>
    </row>
    <row r="548" spans="1:26" ht="12.75" x14ac:dyDescent="0.2">
      <c r="A548" s="102">
        <v>43937</v>
      </c>
      <c r="B548" s="103" t="s">
        <v>301</v>
      </c>
      <c r="C548" s="103" t="s">
        <v>233</v>
      </c>
      <c r="D548" s="104">
        <v>2995.64</v>
      </c>
      <c r="E548" s="103" t="s">
        <v>327</v>
      </c>
      <c r="F548" s="105">
        <v>43829</v>
      </c>
      <c r="G548" s="103" t="s">
        <v>807</v>
      </c>
      <c r="H548" s="106">
        <f t="shared" si="91"/>
        <v>16</v>
      </c>
      <c r="I548" s="106">
        <f t="shared" si="92"/>
        <v>4</v>
      </c>
      <c r="J548" s="124">
        <f t="shared" si="93"/>
        <v>2020</v>
      </c>
      <c r="K548" s="175">
        <f t="shared" si="94"/>
        <v>43997</v>
      </c>
      <c r="L548" s="181"/>
      <c r="M548" s="181"/>
      <c r="N548" s="182"/>
      <c r="O548" s="208">
        <v>44193</v>
      </c>
      <c r="P548" s="209">
        <f t="shared" si="95"/>
        <v>0</v>
      </c>
      <c r="Q548" s="209">
        <f>+SUMIF('A DEPOSITAR'!$D$2:$D$998,(O548-2),'A DEPOSITAR'!$H$2:$H$998)</f>
        <v>10700</v>
      </c>
      <c r="R548" s="210">
        <f t="shared" si="96"/>
        <v>10700</v>
      </c>
      <c r="S548" s="210">
        <f t="shared" si="97"/>
        <v>3932483.0600000015</v>
      </c>
      <c r="T548" s="209">
        <f t="shared" si="98"/>
        <v>0</v>
      </c>
      <c r="U548" s="209">
        <f>+SUMIFS('A DEPOSITAR'!$H$2:$H$998,'A DEPOSITAR'!$D$2:$D$998,(O548-2),'A DEPOSITAR'!$I$2:$I$998,"A Depositar")</f>
        <v>0</v>
      </c>
      <c r="V548" s="181"/>
      <c r="W548" s="181"/>
      <c r="X548" s="181"/>
      <c r="Y548" s="181"/>
      <c r="Z548" s="181"/>
    </row>
    <row r="549" spans="1:26" ht="12.75" x14ac:dyDescent="0.2">
      <c r="A549" s="36">
        <v>44212</v>
      </c>
      <c r="B549" s="29" t="s">
        <v>995</v>
      </c>
      <c r="C549" s="29" t="s">
        <v>231</v>
      </c>
      <c r="D549" s="37">
        <v>1102.0999999999999</v>
      </c>
      <c r="E549" s="29" t="s">
        <v>22</v>
      </c>
      <c r="F549" s="34">
        <v>44116</v>
      </c>
      <c r="G549" s="18"/>
      <c r="H549" s="16">
        <f t="shared" si="91"/>
        <v>16</v>
      </c>
      <c r="I549" s="16">
        <f t="shared" si="92"/>
        <v>1</v>
      </c>
      <c r="J549" s="122">
        <f t="shared" si="93"/>
        <v>2021</v>
      </c>
      <c r="K549" s="64">
        <f t="shared" si="94"/>
        <v>44272</v>
      </c>
      <c r="L549" s="6"/>
      <c r="M549" s="6"/>
      <c r="O549" s="208">
        <v>44138</v>
      </c>
      <c r="P549" s="209">
        <f t="shared" si="95"/>
        <v>0</v>
      </c>
      <c r="Q549" s="209">
        <f>+SUMIF('A DEPOSITAR'!$D$2:$D$998,(O549-2),'A DEPOSITAR'!$H$2:$H$998)</f>
        <v>0</v>
      </c>
      <c r="R549" s="210">
        <f t="shared" si="96"/>
        <v>0</v>
      </c>
      <c r="S549" s="210">
        <f t="shared" si="97"/>
        <v>3932483.0600000015</v>
      </c>
      <c r="T549" s="209">
        <f t="shared" si="98"/>
        <v>0</v>
      </c>
      <c r="U549" s="209">
        <f>+SUMIFS('A DEPOSITAR'!$H$2:$H$998,'A DEPOSITAR'!$D$2:$D$998,(O549-2),'A DEPOSITAR'!$I$2:$I$998,"A Depositar")</f>
        <v>0</v>
      </c>
      <c r="V549" s="6"/>
      <c r="W549" s="6"/>
      <c r="X549" s="6"/>
      <c r="Y549" s="6"/>
      <c r="Z549" s="6"/>
    </row>
    <row r="550" spans="1:26" ht="12.75" x14ac:dyDescent="0.2">
      <c r="A550" s="36">
        <v>44758</v>
      </c>
      <c r="B550" s="29" t="s">
        <v>995</v>
      </c>
      <c r="C550" s="29" t="s">
        <v>941</v>
      </c>
      <c r="D550" s="37">
        <v>1474.89</v>
      </c>
      <c r="E550" s="29" t="s">
        <v>136</v>
      </c>
      <c r="F550" s="34">
        <v>44116</v>
      </c>
      <c r="G550" s="18"/>
      <c r="H550" s="16">
        <f t="shared" si="91"/>
        <v>16</v>
      </c>
      <c r="I550" s="16">
        <f t="shared" si="92"/>
        <v>7</v>
      </c>
      <c r="J550" s="122">
        <f t="shared" si="93"/>
        <v>2022</v>
      </c>
      <c r="K550" s="64">
        <f t="shared" si="94"/>
        <v>44818</v>
      </c>
      <c r="L550" s="6"/>
      <c r="M550" s="6"/>
      <c r="O550" s="208">
        <v>44143</v>
      </c>
      <c r="P550" s="209">
        <f t="shared" si="95"/>
        <v>7300</v>
      </c>
      <c r="Q550" s="209">
        <f>+SUMIF('A DEPOSITAR'!$D$2:$D$998,(O550-2),'A DEPOSITAR'!$H$2:$H$998)</f>
        <v>7330</v>
      </c>
      <c r="R550" s="210">
        <f t="shared" si="96"/>
        <v>30</v>
      </c>
      <c r="S550" s="210">
        <f t="shared" si="97"/>
        <v>3932513.0600000015</v>
      </c>
      <c r="T550" s="209">
        <f t="shared" si="98"/>
        <v>0</v>
      </c>
      <c r="U550" s="209">
        <f>+SUMIFS('A DEPOSITAR'!$H$2:$H$998,'A DEPOSITAR'!$D$2:$D$998,(O550-2),'A DEPOSITAR'!$I$2:$I$998,"A Depositar")</f>
        <v>0</v>
      </c>
      <c r="V550" s="6"/>
      <c r="W550" s="6"/>
      <c r="X550" s="6"/>
      <c r="Y550" s="6"/>
      <c r="Z550" s="6"/>
    </row>
    <row r="551" spans="1:26" ht="12.75" x14ac:dyDescent="0.2">
      <c r="A551" s="36">
        <v>44243</v>
      </c>
      <c r="B551" s="29" t="s">
        <v>995</v>
      </c>
      <c r="C551" s="29" t="s">
        <v>232</v>
      </c>
      <c r="D551" s="37">
        <v>1122.81</v>
      </c>
      <c r="E551" s="29" t="s">
        <v>22</v>
      </c>
      <c r="F551" s="34">
        <v>44116</v>
      </c>
      <c r="G551" s="18"/>
      <c r="H551" s="16">
        <f t="shared" si="91"/>
        <v>16</v>
      </c>
      <c r="I551" s="16">
        <f t="shared" si="92"/>
        <v>2</v>
      </c>
      <c r="J551" s="122">
        <f t="shared" si="93"/>
        <v>2021</v>
      </c>
      <c r="K551" s="64">
        <f t="shared" si="94"/>
        <v>44303</v>
      </c>
      <c r="L551" s="6"/>
      <c r="M551" s="6"/>
      <c r="O551" s="208">
        <v>44167</v>
      </c>
      <c r="P551" s="209">
        <f t="shared" si="95"/>
        <v>0</v>
      </c>
      <c r="Q551" s="209">
        <f>+SUMIF('A DEPOSITAR'!$D$2:$D$998,(O551-2),'A DEPOSITAR'!$H$2:$H$998)</f>
        <v>12000</v>
      </c>
      <c r="R551" s="210">
        <f t="shared" si="96"/>
        <v>12000</v>
      </c>
      <c r="S551" s="210">
        <f t="shared" si="97"/>
        <v>3944513.0600000015</v>
      </c>
      <c r="T551" s="209">
        <f t="shared" si="98"/>
        <v>0</v>
      </c>
      <c r="U551" s="209">
        <f>+SUMIFS('A DEPOSITAR'!$H$2:$H$998,'A DEPOSITAR'!$D$2:$D$998,(O551-2),'A DEPOSITAR'!$I$2:$I$998,"A Depositar")</f>
        <v>0</v>
      </c>
      <c r="V551" s="6"/>
      <c r="W551" s="6"/>
      <c r="X551" s="6"/>
      <c r="Y551" s="6"/>
      <c r="Z551" s="6"/>
    </row>
    <row r="552" spans="1:26" ht="12.75" x14ac:dyDescent="0.2">
      <c r="A552" s="36">
        <v>44271</v>
      </c>
      <c r="B552" s="29" t="s">
        <v>995</v>
      </c>
      <c r="C552" s="29" t="s">
        <v>233</v>
      </c>
      <c r="D552" s="37">
        <v>1143.52</v>
      </c>
      <c r="E552" s="29" t="s">
        <v>22</v>
      </c>
      <c r="F552" s="34">
        <v>44116</v>
      </c>
      <c r="G552" s="18"/>
      <c r="H552" s="16">
        <f t="shared" si="91"/>
        <v>16</v>
      </c>
      <c r="I552" s="16">
        <f t="shared" si="92"/>
        <v>3</v>
      </c>
      <c r="J552" s="122">
        <f t="shared" si="93"/>
        <v>2021</v>
      </c>
      <c r="K552" s="64">
        <f t="shared" si="94"/>
        <v>44331</v>
      </c>
      <c r="L552" s="6"/>
      <c r="M552" s="6"/>
      <c r="O552" s="208">
        <v>44196</v>
      </c>
      <c r="P552" s="209">
        <f t="shared" si="95"/>
        <v>0</v>
      </c>
      <c r="Q552" s="209">
        <f>+SUMIF('A DEPOSITAR'!$D$2:$D$998,(O552-2),'A DEPOSITAR'!$H$2:$H$998)</f>
        <v>28659</v>
      </c>
      <c r="R552" s="210">
        <f t="shared" si="96"/>
        <v>28659</v>
      </c>
      <c r="S552" s="210">
        <f t="shared" si="97"/>
        <v>3973172.0600000015</v>
      </c>
      <c r="T552" s="209">
        <f t="shared" si="98"/>
        <v>0</v>
      </c>
      <c r="U552" s="209">
        <f>+SUMIFS('A DEPOSITAR'!$H$2:$H$998,'A DEPOSITAR'!$D$2:$D$998,(O552-2),'A DEPOSITAR'!$I$2:$I$998,"A Depositar")</f>
        <v>0</v>
      </c>
      <c r="V552" s="6"/>
      <c r="W552" s="6"/>
      <c r="X552" s="6"/>
      <c r="Y552" s="6"/>
      <c r="Z552" s="6"/>
    </row>
    <row r="553" spans="1:26" ht="12.75" x14ac:dyDescent="0.2">
      <c r="A553" s="177">
        <v>44120</v>
      </c>
      <c r="B553" s="178" t="s">
        <v>418</v>
      </c>
      <c r="C553" s="178" t="s">
        <v>233</v>
      </c>
      <c r="D553" s="179">
        <v>3908</v>
      </c>
      <c r="E553" s="103" t="s">
        <v>327</v>
      </c>
      <c r="F553" s="180">
        <v>43892</v>
      </c>
      <c r="G553" s="103"/>
      <c r="H553" s="106">
        <f t="shared" si="91"/>
        <v>16</v>
      </c>
      <c r="I553" s="106">
        <f t="shared" si="92"/>
        <v>10</v>
      </c>
      <c r="J553" s="124">
        <f t="shared" si="93"/>
        <v>2020</v>
      </c>
      <c r="K553" s="175">
        <f t="shared" si="94"/>
        <v>44180</v>
      </c>
      <c r="L553" s="181"/>
      <c r="M553" s="181"/>
      <c r="N553" s="182"/>
      <c r="O553" s="208">
        <v>44198</v>
      </c>
      <c r="P553" s="209">
        <f t="shared" si="95"/>
        <v>0</v>
      </c>
      <c r="Q553" s="209">
        <f>+SUMIF('A DEPOSITAR'!$D$2:$D$998,(O553-2),'A DEPOSITAR'!$H$2:$H$998)</f>
        <v>47000</v>
      </c>
      <c r="R553" s="210">
        <f t="shared" si="96"/>
        <v>47000</v>
      </c>
      <c r="S553" s="210">
        <f t="shared" si="97"/>
        <v>4020172.0600000015</v>
      </c>
      <c r="T553" s="209">
        <f t="shared" si="98"/>
        <v>0</v>
      </c>
      <c r="U553" s="209">
        <f>+SUMIFS('A DEPOSITAR'!$H$2:$H$998,'A DEPOSITAR'!$D$2:$D$998,(O553-2),'A DEPOSITAR'!$I$2:$I$998,"A Depositar")</f>
        <v>0</v>
      </c>
      <c r="V553" s="181"/>
      <c r="W553" s="181"/>
      <c r="X553" s="181"/>
      <c r="Y553" s="181"/>
      <c r="Z553" s="181"/>
    </row>
    <row r="554" spans="1:26" ht="12.75" x14ac:dyDescent="0.2">
      <c r="A554" s="102">
        <v>43906</v>
      </c>
      <c r="B554" s="103" t="s">
        <v>229</v>
      </c>
      <c r="C554" s="103" t="s">
        <v>233</v>
      </c>
      <c r="D554" s="104">
        <v>1153.93</v>
      </c>
      <c r="E554" s="103" t="s">
        <v>22</v>
      </c>
      <c r="F554" s="105">
        <v>43780</v>
      </c>
      <c r="G554" s="103"/>
      <c r="H554" s="106">
        <f t="shared" si="91"/>
        <v>16</v>
      </c>
      <c r="I554" s="106">
        <f t="shared" si="92"/>
        <v>3</v>
      </c>
      <c r="J554" s="124">
        <f t="shared" si="93"/>
        <v>2020</v>
      </c>
      <c r="K554" s="175">
        <f t="shared" si="94"/>
        <v>43966</v>
      </c>
      <c r="L554" s="6"/>
      <c r="M554" s="6"/>
      <c r="O554" s="208">
        <v>44199</v>
      </c>
      <c r="P554" s="209">
        <f t="shared" si="95"/>
        <v>0</v>
      </c>
      <c r="Q554" s="209">
        <f>+SUMIF('A DEPOSITAR'!$D$2:$D$998,(O554-2),'A DEPOSITAR'!$H$2:$H$998)</f>
        <v>0</v>
      </c>
      <c r="R554" s="210">
        <f t="shared" si="96"/>
        <v>0</v>
      </c>
      <c r="S554" s="210">
        <f t="shared" si="97"/>
        <v>4020172.0600000015</v>
      </c>
      <c r="T554" s="209">
        <f t="shared" si="98"/>
        <v>0</v>
      </c>
      <c r="U554" s="209">
        <f>+SUMIFS('A DEPOSITAR'!$H$2:$H$998,'A DEPOSITAR'!$D$2:$D$998,(O554-2),'A DEPOSITAR'!$I$2:$I$998,"A Depositar")</f>
        <v>0</v>
      </c>
      <c r="V554" s="6"/>
      <c r="W554" s="6"/>
      <c r="X554" s="6"/>
      <c r="Y554" s="6"/>
      <c r="Z554" s="6"/>
    </row>
    <row r="555" spans="1:26" ht="12.75" x14ac:dyDescent="0.2">
      <c r="A555" s="102">
        <v>43846</v>
      </c>
      <c r="B555" s="103" t="s">
        <v>266</v>
      </c>
      <c r="C555" s="103" t="s">
        <v>233</v>
      </c>
      <c r="D555" s="104">
        <v>1684.61</v>
      </c>
      <c r="E555" s="103" t="s">
        <v>22</v>
      </c>
      <c r="F555" s="105">
        <v>43804</v>
      </c>
      <c r="G555" s="103"/>
      <c r="H555" s="106">
        <f t="shared" si="91"/>
        <v>16</v>
      </c>
      <c r="I555" s="106">
        <f t="shared" si="92"/>
        <v>1</v>
      </c>
      <c r="J555" s="124">
        <f t="shared" si="93"/>
        <v>2020</v>
      </c>
      <c r="K555" s="175">
        <f t="shared" si="94"/>
        <v>43906</v>
      </c>
      <c r="L555" s="181"/>
      <c r="M555" s="181"/>
      <c r="N555" s="182"/>
      <c r="O555" s="208">
        <v>44200</v>
      </c>
      <c r="P555" s="209">
        <f t="shared" si="95"/>
        <v>0</v>
      </c>
      <c r="Q555" s="209">
        <f>+SUMIF('A DEPOSITAR'!$D$2:$D$998,(O555-2),'A DEPOSITAR'!$H$2:$H$998)</f>
        <v>10700</v>
      </c>
      <c r="R555" s="210">
        <f t="shared" si="96"/>
        <v>10700</v>
      </c>
      <c r="S555" s="210">
        <f t="shared" si="97"/>
        <v>4030872.0600000015</v>
      </c>
      <c r="T555" s="209">
        <f t="shared" si="98"/>
        <v>0</v>
      </c>
      <c r="U555" s="209">
        <f>+SUMIFS('A DEPOSITAR'!$H$2:$H$998,'A DEPOSITAR'!$D$2:$D$998,(O555-2),'A DEPOSITAR'!$I$2:$I$998,"A Depositar")</f>
        <v>0</v>
      </c>
      <c r="V555" s="181"/>
      <c r="W555" s="181"/>
      <c r="X555" s="181"/>
      <c r="Y555" s="181"/>
      <c r="Z555" s="181"/>
    </row>
    <row r="556" spans="1:26" ht="12.75" x14ac:dyDescent="0.2">
      <c r="A556" s="36">
        <v>44302</v>
      </c>
      <c r="B556" s="29" t="s">
        <v>995</v>
      </c>
      <c r="C556" s="29" t="s">
        <v>234</v>
      </c>
      <c r="D556" s="37">
        <v>1164.22</v>
      </c>
      <c r="E556" s="29" t="s">
        <v>22</v>
      </c>
      <c r="F556" s="34">
        <v>44116</v>
      </c>
      <c r="G556" s="18"/>
      <c r="H556" s="16">
        <f t="shared" si="91"/>
        <v>16</v>
      </c>
      <c r="I556" s="16">
        <f t="shared" si="92"/>
        <v>4</v>
      </c>
      <c r="J556" s="122">
        <f t="shared" si="93"/>
        <v>2021</v>
      </c>
      <c r="K556" s="64">
        <f t="shared" si="94"/>
        <v>44362</v>
      </c>
      <c r="L556" s="6"/>
      <c r="M556" s="6"/>
      <c r="O556" s="208">
        <v>44222</v>
      </c>
      <c r="P556" s="209">
        <f t="shared" si="95"/>
        <v>0</v>
      </c>
      <c r="Q556" s="209">
        <f>+SUMIF('A DEPOSITAR'!$D$2:$D$998,(O556-2),'A DEPOSITAR'!$H$2:$H$998)</f>
        <v>0</v>
      </c>
      <c r="R556" s="210">
        <f t="shared" si="96"/>
        <v>0</v>
      </c>
      <c r="S556" s="210">
        <f t="shared" si="97"/>
        <v>4030872.0600000015</v>
      </c>
      <c r="T556" s="209">
        <f t="shared" si="98"/>
        <v>0</v>
      </c>
      <c r="U556" s="209">
        <f>+SUMIFS('A DEPOSITAR'!$H$2:$H$998,'A DEPOSITAR'!$D$2:$D$998,(O556-2),'A DEPOSITAR'!$I$2:$I$998,"A Depositar")</f>
        <v>0</v>
      </c>
      <c r="V556" s="6"/>
      <c r="W556" s="6"/>
      <c r="X556" s="6"/>
      <c r="Y556" s="6"/>
      <c r="Z556" s="6"/>
    </row>
    <row r="557" spans="1:26" ht="12.75" x14ac:dyDescent="0.2">
      <c r="A557" s="36">
        <v>44332</v>
      </c>
      <c r="B557" s="29" t="s">
        <v>995</v>
      </c>
      <c r="C557" s="29" t="s">
        <v>268</v>
      </c>
      <c r="D557" s="37">
        <v>1184.92</v>
      </c>
      <c r="E557" s="29" t="s">
        <v>22</v>
      </c>
      <c r="F557" s="34">
        <v>44116</v>
      </c>
      <c r="G557" s="18"/>
      <c r="H557" s="16">
        <f t="shared" si="91"/>
        <v>16</v>
      </c>
      <c r="I557" s="16">
        <f t="shared" si="92"/>
        <v>5</v>
      </c>
      <c r="J557" s="122">
        <f t="shared" si="93"/>
        <v>2021</v>
      </c>
      <c r="K557" s="64">
        <f t="shared" si="94"/>
        <v>44392</v>
      </c>
      <c r="L557" s="6"/>
      <c r="M557" s="6"/>
      <c r="O557" s="208">
        <v>44241</v>
      </c>
      <c r="P557" s="209">
        <f t="shared" si="95"/>
        <v>0</v>
      </c>
      <c r="Q557" s="209">
        <f>+SUMIF('A DEPOSITAR'!$D$2:$D$998,(O557-2),'A DEPOSITAR'!$H$2:$H$998)</f>
        <v>5900</v>
      </c>
      <c r="R557" s="210">
        <f t="shared" si="96"/>
        <v>5900</v>
      </c>
      <c r="S557" s="210">
        <f t="shared" si="97"/>
        <v>4036772.0600000015</v>
      </c>
      <c r="T557" s="209">
        <f t="shared" si="98"/>
        <v>0</v>
      </c>
      <c r="U557" s="209">
        <f>+SUMIFS('A DEPOSITAR'!$H$2:$H$998,'A DEPOSITAR'!$D$2:$D$998,(O557-2),'A DEPOSITAR'!$I$2:$I$998,"A Depositar")</f>
        <v>0</v>
      </c>
      <c r="V557" s="6"/>
      <c r="W557" s="6"/>
      <c r="X557" s="6"/>
      <c r="Y557" s="6"/>
      <c r="Z557" s="6"/>
    </row>
    <row r="558" spans="1:26" ht="12.75" x14ac:dyDescent="0.2">
      <c r="A558" s="36">
        <v>44363</v>
      </c>
      <c r="B558" s="29" t="s">
        <v>995</v>
      </c>
      <c r="C558" s="29" t="s">
        <v>269</v>
      </c>
      <c r="D558" s="213">
        <v>1205.6300000000001</v>
      </c>
      <c r="E558" s="29" t="s">
        <v>22</v>
      </c>
      <c r="F558" s="34">
        <v>44116</v>
      </c>
      <c r="G558" s="18" t="s">
        <v>1209</v>
      </c>
      <c r="H558" s="16">
        <f t="shared" si="91"/>
        <v>16</v>
      </c>
      <c r="I558" s="16">
        <f t="shared" si="92"/>
        <v>6</v>
      </c>
      <c r="J558" s="122">
        <f t="shared" si="93"/>
        <v>2021</v>
      </c>
      <c r="K558" s="64">
        <f t="shared" si="94"/>
        <v>44423</v>
      </c>
      <c r="L558" s="6"/>
      <c r="M558" s="6"/>
      <c r="O558" s="208">
        <v>44258</v>
      </c>
      <c r="P558" s="209">
        <f t="shared" si="95"/>
        <v>0</v>
      </c>
      <c r="Q558" s="209">
        <f>+SUMIF('A DEPOSITAR'!$D$2:$D$998,(O558-2),'A DEPOSITAR'!$H$2:$H$998)</f>
        <v>0</v>
      </c>
      <c r="R558" s="210">
        <f t="shared" si="96"/>
        <v>0</v>
      </c>
      <c r="S558" s="210">
        <f t="shared" si="97"/>
        <v>4036772.0600000015</v>
      </c>
      <c r="T558" s="209">
        <f t="shared" si="98"/>
        <v>0</v>
      </c>
      <c r="U558" s="209">
        <f>+SUMIFS('A DEPOSITAR'!$H$2:$H$998,'A DEPOSITAR'!$D$2:$D$998,(O558-2),'A DEPOSITAR'!$I$2:$I$998,"A Depositar")</f>
        <v>0</v>
      </c>
      <c r="V558" s="6"/>
      <c r="W558" s="6"/>
      <c r="X558" s="6"/>
      <c r="Y558" s="6"/>
      <c r="Z558" s="6"/>
    </row>
    <row r="559" spans="1:26" ht="12.75" x14ac:dyDescent="0.2">
      <c r="A559" s="36">
        <v>44393</v>
      </c>
      <c r="B559" s="29" t="s">
        <v>995</v>
      </c>
      <c r="C559" s="29" t="s">
        <v>263</v>
      </c>
      <c r="D559" s="213">
        <v>1226.33</v>
      </c>
      <c r="E559" s="29" t="s">
        <v>22</v>
      </c>
      <c r="F559" s="34">
        <v>44116</v>
      </c>
      <c r="G559" s="18" t="s">
        <v>1230</v>
      </c>
      <c r="H559" s="16">
        <f t="shared" si="91"/>
        <v>16</v>
      </c>
      <c r="I559" s="16">
        <f t="shared" si="92"/>
        <v>7</v>
      </c>
      <c r="J559" s="122">
        <f t="shared" si="93"/>
        <v>2021</v>
      </c>
      <c r="K559" s="64">
        <f t="shared" si="94"/>
        <v>44453</v>
      </c>
      <c r="L559" s="6"/>
      <c r="M559" s="6"/>
      <c r="O559" s="208">
        <v>44268</v>
      </c>
      <c r="P559" s="209">
        <f t="shared" si="95"/>
        <v>0</v>
      </c>
      <c r="Q559" s="209">
        <f>+SUMIF('A DEPOSITAR'!$D$2:$D$998,(O559-2),'A DEPOSITAR'!$H$2:$H$998)</f>
        <v>0</v>
      </c>
      <c r="R559" s="210">
        <f t="shared" si="96"/>
        <v>0</v>
      </c>
      <c r="S559" s="210">
        <f t="shared" si="97"/>
        <v>4036772.0600000015</v>
      </c>
      <c r="T559" s="209">
        <f t="shared" si="98"/>
        <v>0</v>
      </c>
      <c r="U559" s="209">
        <f>+SUMIFS('A DEPOSITAR'!$H$2:$H$998,'A DEPOSITAR'!$D$2:$D$998,(O559-2),'A DEPOSITAR'!$I$2:$I$998,"A Depositar")</f>
        <v>0</v>
      </c>
      <c r="V559" s="6"/>
      <c r="W559" s="6"/>
      <c r="X559" s="6"/>
      <c r="Y559" s="6"/>
      <c r="Z559" s="6"/>
    </row>
    <row r="560" spans="1:26" ht="12.75" x14ac:dyDescent="0.2">
      <c r="A560" s="36">
        <v>44424</v>
      </c>
      <c r="B560" s="29" t="s">
        <v>995</v>
      </c>
      <c r="C560" s="29" t="s">
        <v>424</v>
      </c>
      <c r="D560" s="213">
        <v>1247.03</v>
      </c>
      <c r="E560" s="29" t="s">
        <v>22</v>
      </c>
      <c r="F560" s="34">
        <v>44116</v>
      </c>
      <c r="G560" s="18" t="s">
        <v>1250</v>
      </c>
      <c r="H560" s="16">
        <f t="shared" si="91"/>
        <v>16</v>
      </c>
      <c r="I560" s="16">
        <f t="shared" si="92"/>
        <v>8</v>
      </c>
      <c r="J560" s="122">
        <f t="shared" si="93"/>
        <v>2021</v>
      </c>
      <c r="K560" s="64">
        <f t="shared" si="94"/>
        <v>44484</v>
      </c>
      <c r="L560" s="6"/>
      <c r="M560" s="6"/>
      <c r="O560" s="208">
        <v>44274</v>
      </c>
      <c r="P560" s="209">
        <f t="shared" si="95"/>
        <v>0</v>
      </c>
      <c r="Q560" s="209">
        <f>+SUMIF('A DEPOSITAR'!$D$2:$D$998,(O560-2),'A DEPOSITAR'!$H$2:$H$998)</f>
        <v>5838</v>
      </c>
      <c r="R560" s="210">
        <f t="shared" si="96"/>
        <v>5838</v>
      </c>
      <c r="S560" s="210">
        <f t="shared" si="97"/>
        <v>4042610.0600000015</v>
      </c>
      <c r="T560" s="209">
        <f t="shared" si="98"/>
        <v>0</v>
      </c>
      <c r="U560" s="209">
        <f>+SUMIFS('A DEPOSITAR'!$H$2:$H$998,'A DEPOSITAR'!$D$2:$D$998,(O560-2),'A DEPOSITAR'!$I$2:$I$998,"A Depositar")</f>
        <v>0</v>
      </c>
      <c r="V560" s="6"/>
      <c r="W560" s="6"/>
      <c r="X560" s="6"/>
      <c r="Y560" s="6"/>
      <c r="Z560" s="6"/>
    </row>
    <row r="561" spans="1:26" ht="12.75" x14ac:dyDescent="0.2">
      <c r="A561" s="36">
        <v>44181</v>
      </c>
      <c r="B561" s="29" t="s">
        <v>994</v>
      </c>
      <c r="C561" s="29" t="s">
        <v>230</v>
      </c>
      <c r="D561" s="37">
        <v>1062.42</v>
      </c>
      <c r="E561" s="29" t="s">
        <v>22</v>
      </c>
      <c r="F561" s="34">
        <v>44116</v>
      </c>
      <c r="G561" s="18"/>
      <c r="H561" s="16">
        <f t="shared" si="91"/>
        <v>16</v>
      </c>
      <c r="I561" s="16">
        <f t="shared" si="92"/>
        <v>12</v>
      </c>
      <c r="J561" s="122">
        <f t="shared" si="93"/>
        <v>2020</v>
      </c>
      <c r="K561" s="64">
        <f t="shared" si="94"/>
        <v>44241</v>
      </c>
      <c r="L561" s="6"/>
      <c r="M561" s="6"/>
      <c r="O561" s="208">
        <v>44090</v>
      </c>
      <c r="P561" s="209">
        <f t="shared" si="95"/>
        <v>50538.36</v>
      </c>
      <c r="Q561" s="209">
        <f>+SUMIF('A DEPOSITAR'!$D$2:$D$998,(O561-2),'A DEPOSITAR'!$H$2:$H$998)</f>
        <v>0</v>
      </c>
      <c r="R561" s="210">
        <f t="shared" si="96"/>
        <v>-50538.36</v>
      </c>
      <c r="S561" s="210">
        <f t="shared" si="97"/>
        <v>3992071.7000000016</v>
      </c>
      <c r="T561" s="209">
        <f t="shared" si="98"/>
        <v>0</v>
      </c>
      <c r="U561" s="209">
        <f>+SUMIFS('A DEPOSITAR'!$H$2:$H$998,'A DEPOSITAR'!$D$2:$D$998,(O561-2),'A DEPOSITAR'!$I$2:$I$998,"A Depositar")</f>
        <v>0</v>
      </c>
      <c r="V561" s="6"/>
      <c r="W561" s="6"/>
      <c r="X561" s="6"/>
      <c r="Y561" s="6"/>
      <c r="Z561" s="6"/>
    </row>
    <row r="562" spans="1:26" ht="12.75" x14ac:dyDescent="0.2">
      <c r="A562" s="36">
        <v>44455</v>
      </c>
      <c r="B562" s="29" t="s">
        <v>994</v>
      </c>
      <c r="C562" s="29" t="s">
        <v>425</v>
      </c>
      <c r="D562" s="213">
        <v>1245.47</v>
      </c>
      <c r="E562" s="29" t="s">
        <v>22</v>
      </c>
      <c r="F562" s="34">
        <v>44116</v>
      </c>
      <c r="G562" s="18" t="s">
        <v>1285</v>
      </c>
      <c r="H562" s="16">
        <f t="shared" si="91"/>
        <v>16</v>
      </c>
      <c r="I562" s="16">
        <f t="shared" si="92"/>
        <v>9</v>
      </c>
      <c r="J562" s="122">
        <f t="shared" si="93"/>
        <v>2021</v>
      </c>
      <c r="K562" s="64">
        <f t="shared" si="94"/>
        <v>44515</v>
      </c>
      <c r="L562" s="6"/>
      <c r="M562" s="6"/>
      <c r="O562" s="208">
        <v>44095</v>
      </c>
      <c r="P562" s="209">
        <f t="shared" si="95"/>
        <v>0</v>
      </c>
      <c r="Q562" s="209">
        <f>+SUMIF('A DEPOSITAR'!$D$2:$D$998,(O562-2),'A DEPOSITAR'!$H$2:$H$998)</f>
        <v>0</v>
      </c>
      <c r="R562" s="210">
        <f t="shared" si="96"/>
        <v>0</v>
      </c>
      <c r="S562" s="210">
        <f t="shared" si="97"/>
        <v>3992071.7000000016</v>
      </c>
      <c r="T562" s="209">
        <f t="shared" si="98"/>
        <v>0</v>
      </c>
      <c r="U562" s="209">
        <f>+SUMIFS('A DEPOSITAR'!$H$2:$H$998,'A DEPOSITAR'!$D$2:$D$998,(O562-2),'A DEPOSITAR'!$I$2:$I$998,"A Depositar")</f>
        <v>0</v>
      </c>
      <c r="V562" s="6"/>
      <c r="W562" s="6"/>
      <c r="X562" s="6"/>
      <c r="Y562" s="6"/>
      <c r="Z562" s="6"/>
    </row>
    <row r="563" spans="1:26" ht="12.75" x14ac:dyDescent="0.2">
      <c r="A563" s="36">
        <v>44485</v>
      </c>
      <c r="B563" s="29" t="s">
        <v>994</v>
      </c>
      <c r="C563" s="29" t="s">
        <v>427</v>
      </c>
      <c r="D563" s="213">
        <v>1265.81</v>
      </c>
      <c r="E563" s="29" t="s">
        <v>22</v>
      </c>
      <c r="F563" s="34">
        <v>44116</v>
      </c>
      <c r="G563" s="18" t="s">
        <v>1297</v>
      </c>
      <c r="H563" s="16">
        <f t="shared" si="91"/>
        <v>16</v>
      </c>
      <c r="I563" s="16">
        <f t="shared" si="92"/>
        <v>10</v>
      </c>
      <c r="J563" s="122">
        <f t="shared" si="93"/>
        <v>2021</v>
      </c>
      <c r="K563" s="64">
        <f t="shared" si="94"/>
        <v>44545</v>
      </c>
      <c r="L563" s="6"/>
      <c r="M563" s="6"/>
      <c r="O563" s="208">
        <v>44099</v>
      </c>
      <c r="P563" s="209">
        <f t="shared" si="95"/>
        <v>13500</v>
      </c>
      <c r="Q563" s="209">
        <f>+SUMIF('A DEPOSITAR'!$D$2:$D$998,(O563-2),'A DEPOSITAR'!$H$2:$H$998)</f>
        <v>12805</v>
      </c>
      <c r="R563" s="210">
        <f t="shared" si="96"/>
        <v>-695</v>
      </c>
      <c r="S563" s="210">
        <f t="shared" si="97"/>
        <v>3991376.7000000016</v>
      </c>
      <c r="T563" s="209">
        <f t="shared" si="98"/>
        <v>0</v>
      </c>
      <c r="U563" s="209">
        <f>+SUMIFS('A DEPOSITAR'!$H$2:$H$998,'A DEPOSITAR'!$D$2:$D$998,(O563-2),'A DEPOSITAR'!$I$2:$I$998,"A Depositar")</f>
        <v>0</v>
      </c>
      <c r="V563" s="6"/>
      <c r="W563" s="6"/>
      <c r="X563" s="6"/>
      <c r="Y563" s="6"/>
      <c r="Z563" s="6"/>
    </row>
    <row r="564" spans="1:26" ht="12.75" x14ac:dyDescent="0.2">
      <c r="A564" s="36">
        <v>44516</v>
      </c>
      <c r="B564" s="29" t="s">
        <v>994</v>
      </c>
      <c r="C564" s="29" t="s">
        <v>428</v>
      </c>
      <c r="D564" s="37">
        <v>1286.1500000000001</v>
      </c>
      <c r="E564" s="29" t="s">
        <v>136</v>
      </c>
      <c r="F564" s="34">
        <v>44116</v>
      </c>
      <c r="G564" s="18"/>
      <c r="H564" s="16">
        <f t="shared" si="91"/>
        <v>16</v>
      </c>
      <c r="I564" s="16">
        <f t="shared" si="92"/>
        <v>11</v>
      </c>
      <c r="J564" s="122">
        <f t="shared" si="93"/>
        <v>2021</v>
      </c>
      <c r="K564" s="64">
        <f t="shared" si="94"/>
        <v>44576</v>
      </c>
      <c r="L564" s="6"/>
      <c r="M564" s="6"/>
      <c r="O564" s="208">
        <v>44103</v>
      </c>
      <c r="P564" s="209">
        <f t="shared" si="95"/>
        <v>0</v>
      </c>
      <c r="Q564" s="209">
        <f>+SUMIF('A DEPOSITAR'!$D$2:$D$998,(O564-2),'A DEPOSITAR'!$H$2:$H$998)</f>
        <v>0</v>
      </c>
      <c r="R564" s="210">
        <f t="shared" si="96"/>
        <v>0</v>
      </c>
      <c r="S564" s="210">
        <f t="shared" si="97"/>
        <v>3991376.7000000016</v>
      </c>
      <c r="T564" s="209">
        <f t="shared" si="98"/>
        <v>0</v>
      </c>
      <c r="U564" s="209">
        <f>+SUMIFS('A DEPOSITAR'!$H$2:$H$998,'A DEPOSITAR'!$D$2:$D$998,(O564-2),'A DEPOSITAR'!$I$2:$I$998,"A Depositar")</f>
        <v>0</v>
      </c>
      <c r="V564" s="6"/>
      <c r="W564" s="6"/>
      <c r="X564" s="6"/>
      <c r="Y564" s="6"/>
      <c r="Z564" s="6"/>
    </row>
    <row r="565" spans="1:26" ht="12.75" x14ac:dyDescent="0.2">
      <c r="A565" s="36">
        <v>44546</v>
      </c>
      <c r="B565" s="29" t="s">
        <v>994</v>
      </c>
      <c r="C565" s="29" t="s">
        <v>429</v>
      </c>
      <c r="D565" s="37">
        <v>1306.49</v>
      </c>
      <c r="E565" s="29" t="s">
        <v>136</v>
      </c>
      <c r="F565" s="34">
        <v>44116</v>
      </c>
      <c r="G565" s="18"/>
      <c r="H565" s="16">
        <f t="shared" si="91"/>
        <v>16</v>
      </c>
      <c r="I565" s="16">
        <f t="shared" si="92"/>
        <v>12</v>
      </c>
      <c r="J565" s="122">
        <f t="shared" si="93"/>
        <v>2021</v>
      </c>
      <c r="K565" s="64">
        <f t="shared" si="94"/>
        <v>44606</v>
      </c>
      <c r="L565" s="6"/>
      <c r="M565" s="6"/>
      <c r="O565" s="208">
        <v>44107</v>
      </c>
      <c r="P565" s="209">
        <f t="shared" si="95"/>
        <v>0</v>
      </c>
      <c r="Q565" s="209">
        <f>+SUMIF('A DEPOSITAR'!$D$2:$D$998,(O565-2),'A DEPOSITAR'!$H$2:$H$998)</f>
        <v>27700</v>
      </c>
      <c r="R565" s="210">
        <f t="shared" si="96"/>
        <v>27700</v>
      </c>
      <c r="S565" s="210">
        <f t="shared" si="97"/>
        <v>4019076.7000000016</v>
      </c>
      <c r="T565" s="209">
        <f t="shared" si="98"/>
        <v>0</v>
      </c>
      <c r="U565" s="209">
        <f>+SUMIFS('A DEPOSITAR'!$H$2:$H$998,'A DEPOSITAR'!$D$2:$D$998,(O565-2),'A DEPOSITAR'!$I$2:$I$998,"A Depositar")</f>
        <v>0</v>
      </c>
      <c r="V565" s="6"/>
      <c r="W565" s="6"/>
      <c r="X565" s="6"/>
      <c r="Y565" s="6"/>
      <c r="Z565" s="6"/>
    </row>
    <row r="566" spans="1:26" ht="12.75" x14ac:dyDescent="0.2">
      <c r="A566" s="36">
        <v>44577</v>
      </c>
      <c r="B566" s="29" t="s">
        <v>994</v>
      </c>
      <c r="C566" s="29" t="s">
        <v>430</v>
      </c>
      <c r="D566" s="37">
        <v>1326.83</v>
      </c>
      <c r="E566" s="29" t="s">
        <v>136</v>
      </c>
      <c r="F566" s="34">
        <v>44116</v>
      </c>
      <c r="G566" s="18"/>
      <c r="H566" s="16">
        <f t="shared" si="91"/>
        <v>16</v>
      </c>
      <c r="I566" s="16">
        <f t="shared" si="92"/>
        <v>1</v>
      </c>
      <c r="J566" s="122">
        <f t="shared" si="93"/>
        <v>2022</v>
      </c>
      <c r="K566" s="64">
        <f t="shared" si="94"/>
        <v>44637</v>
      </c>
      <c r="L566" s="6"/>
      <c r="M566" s="6"/>
      <c r="O566" s="208">
        <v>44111</v>
      </c>
      <c r="P566" s="209">
        <f t="shared" si="95"/>
        <v>0</v>
      </c>
      <c r="Q566" s="209">
        <f>+SUMIF('A DEPOSITAR'!$D$2:$D$998,(O566-2),'A DEPOSITAR'!$H$2:$H$998)</f>
        <v>16311.37</v>
      </c>
      <c r="R566" s="210">
        <f t="shared" si="96"/>
        <v>16311.37</v>
      </c>
      <c r="S566" s="210">
        <f t="shared" si="97"/>
        <v>4035388.0700000017</v>
      </c>
      <c r="T566" s="209">
        <f t="shared" si="98"/>
        <v>0</v>
      </c>
      <c r="U566" s="209">
        <f>+SUMIFS('A DEPOSITAR'!$H$2:$H$998,'A DEPOSITAR'!$D$2:$D$998,(O566-2),'A DEPOSITAR'!$I$2:$I$998,"A Depositar")</f>
        <v>0</v>
      </c>
      <c r="V566" s="6"/>
      <c r="W566" s="6"/>
      <c r="X566" s="6"/>
      <c r="Y566" s="6"/>
      <c r="Z566" s="6"/>
    </row>
    <row r="567" spans="1:26" ht="12.75" x14ac:dyDescent="0.2">
      <c r="A567" s="36">
        <v>44608</v>
      </c>
      <c r="B567" s="29" t="s">
        <v>994</v>
      </c>
      <c r="C567" s="29" t="s">
        <v>431</v>
      </c>
      <c r="D567" s="37">
        <v>1347.17</v>
      </c>
      <c r="E567" s="29" t="s">
        <v>136</v>
      </c>
      <c r="F567" s="34">
        <v>44116</v>
      </c>
      <c r="G567" s="18"/>
      <c r="H567" s="16">
        <f t="shared" si="91"/>
        <v>16</v>
      </c>
      <c r="I567" s="16">
        <f t="shared" si="92"/>
        <v>2</v>
      </c>
      <c r="J567" s="122">
        <f t="shared" si="93"/>
        <v>2022</v>
      </c>
      <c r="K567" s="64">
        <f t="shared" si="94"/>
        <v>44668</v>
      </c>
      <c r="L567" s="6"/>
      <c r="M567" s="6"/>
      <c r="O567" s="208">
        <v>44115</v>
      </c>
      <c r="P567" s="209">
        <f t="shared" si="95"/>
        <v>0</v>
      </c>
      <c r="Q567" s="209">
        <f>+SUMIF('A DEPOSITAR'!$D$2:$D$998,(O567-2),'A DEPOSITAR'!$H$2:$H$998)</f>
        <v>5000</v>
      </c>
      <c r="R567" s="210">
        <f t="shared" si="96"/>
        <v>5000</v>
      </c>
      <c r="S567" s="210">
        <f t="shared" si="97"/>
        <v>4040388.0700000017</v>
      </c>
      <c r="T567" s="209">
        <f t="shared" si="98"/>
        <v>0</v>
      </c>
      <c r="U567" s="209">
        <f>+SUMIFS('A DEPOSITAR'!$H$2:$H$998,'A DEPOSITAR'!$D$2:$D$998,(O567-2),'A DEPOSITAR'!$I$2:$I$998,"A Depositar")</f>
        <v>0</v>
      </c>
      <c r="V567" s="6"/>
      <c r="W567" s="6"/>
      <c r="X567" s="6"/>
      <c r="Y567" s="6"/>
      <c r="Z567" s="6"/>
    </row>
    <row r="568" spans="1:26" ht="12.75" x14ac:dyDescent="0.2">
      <c r="A568" s="36">
        <v>44636</v>
      </c>
      <c r="B568" s="29" t="s">
        <v>994</v>
      </c>
      <c r="C568" s="29" t="s">
        <v>432</v>
      </c>
      <c r="D568" s="37">
        <v>1367.51</v>
      </c>
      <c r="E568" s="29" t="s">
        <v>136</v>
      </c>
      <c r="F568" s="34">
        <v>44116</v>
      </c>
      <c r="G568" s="18"/>
      <c r="H568" s="16">
        <f t="shared" si="91"/>
        <v>16</v>
      </c>
      <c r="I568" s="16">
        <f t="shared" si="92"/>
        <v>3</v>
      </c>
      <c r="J568" s="122">
        <f t="shared" si="93"/>
        <v>2022</v>
      </c>
      <c r="K568" s="64">
        <f t="shared" si="94"/>
        <v>44696</v>
      </c>
      <c r="L568" s="6"/>
      <c r="M568" s="6"/>
      <c r="O568" s="208">
        <v>44119</v>
      </c>
      <c r="P568" s="209">
        <f t="shared" si="95"/>
        <v>0</v>
      </c>
      <c r="Q568" s="209">
        <f>+SUMIF('A DEPOSITAR'!$D$2:$D$998,(O568-2),'A DEPOSITAR'!$H$2:$H$998)</f>
        <v>28000</v>
      </c>
      <c r="R568" s="210">
        <f t="shared" si="96"/>
        <v>28000</v>
      </c>
      <c r="S568" s="210">
        <f t="shared" si="97"/>
        <v>4068388.0700000017</v>
      </c>
      <c r="T568" s="209">
        <f t="shared" si="98"/>
        <v>0</v>
      </c>
      <c r="U568" s="209">
        <f>+SUMIFS('A DEPOSITAR'!$H$2:$H$998,'A DEPOSITAR'!$D$2:$D$998,(O568-2),'A DEPOSITAR'!$I$2:$I$998,"A Depositar")</f>
        <v>0</v>
      </c>
      <c r="V568" s="6"/>
      <c r="W568" s="6"/>
      <c r="X568" s="6"/>
      <c r="Y568" s="6"/>
      <c r="Z568" s="6"/>
    </row>
    <row r="569" spans="1:26" ht="12.75" x14ac:dyDescent="0.2">
      <c r="A569" s="36">
        <v>44667</v>
      </c>
      <c r="B569" s="29" t="s">
        <v>994</v>
      </c>
      <c r="C569" s="29" t="s">
        <v>433</v>
      </c>
      <c r="D569" s="37">
        <v>1387.85</v>
      </c>
      <c r="E569" s="29" t="s">
        <v>136</v>
      </c>
      <c r="F569" s="34">
        <v>44116</v>
      </c>
      <c r="G569" s="18"/>
      <c r="H569" s="16">
        <f t="shared" si="91"/>
        <v>16</v>
      </c>
      <c r="I569" s="16">
        <f t="shared" si="92"/>
        <v>4</v>
      </c>
      <c r="J569" s="122">
        <f t="shared" si="93"/>
        <v>2022</v>
      </c>
      <c r="K569" s="64">
        <f t="shared" si="94"/>
        <v>44727</v>
      </c>
      <c r="L569" s="6"/>
      <c r="M569" s="6"/>
      <c r="O569" s="208">
        <v>44123</v>
      </c>
      <c r="P569" s="209">
        <f t="shared" si="95"/>
        <v>0</v>
      </c>
      <c r="Q569" s="209">
        <f>+SUMIF('A DEPOSITAR'!$D$2:$D$998,(O569-2),'A DEPOSITAR'!$H$2:$H$998)</f>
        <v>20000</v>
      </c>
      <c r="R569" s="210">
        <f t="shared" si="96"/>
        <v>20000</v>
      </c>
      <c r="S569" s="210">
        <f t="shared" si="97"/>
        <v>4088388.0700000017</v>
      </c>
      <c r="T569" s="209">
        <f t="shared" si="98"/>
        <v>0</v>
      </c>
      <c r="U569" s="209">
        <f>+SUMIFS('A DEPOSITAR'!$H$2:$H$998,'A DEPOSITAR'!$D$2:$D$998,(O569-2),'A DEPOSITAR'!$I$2:$I$998,"A Depositar")</f>
        <v>0</v>
      </c>
      <c r="V569" s="6"/>
      <c r="W569" s="6"/>
      <c r="X569" s="6"/>
      <c r="Y569" s="6"/>
      <c r="Z569" s="6"/>
    </row>
    <row r="570" spans="1:26" ht="12.75" x14ac:dyDescent="0.2">
      <c r="A570" s="36">
        <v>44697</v>
      </c>
      <c r="B570" s="29" t="s">
        <v>994</v>
      </c>
      <c r="C570" s="29" t="s">
        <v>434</v>
      </c>
      <c r="D570" s="37">
        <v>1408.19</v>
      </c>
      <c r="E570" s="29" t="s">
        <v>136</v>
      </c>
      <c r="F570" s="34">
        <v>44116</v>
      </c>
      <c r="G570" s="18"/>
      <c r="H570" s="16">
        <f t="shared" si="91"/>
        <v>16</v>
      </c>
      <c r="I570" s="16">
        <f t="shared" si="92"/>
        <v>5</v>
      </c>
      <c r="J570" s="122">
        <f t="shared" si="93"/>
        <v>2022</v>
      </c>
      <c r="K570" s="64">
        <f t="shared" si="94"/>
        <v>44757</v>
      </c>
      <c r="L570" s="6"/>
      <c r="M570" s="6"/>
      <c r="O570" s="208">
        <v>44127</v>
      </c>
      <c r="P570" s="209">
        <f t="shared" si="95"/>
        <v>0</v>
      </c>
      <c r="Q570" s="209">
        <f>+SUMIF('A DEPOSITAR'!$D$2:$D$998,(O570-2),'A DEPOSITAR'!$H$2:$H$998)</f>
        <v>0</v>
      </c>
      <c r="R570" s="210">
        <f t="shared" si="96"/>
        <v>0</v>
      </c>
      <c r="S570" s="210">
        <f t="shared" si="97"/>
        <v>4088388.0700000017</v>
      </c>
      <c r="T570" s="209">
        <f t="shared" si="98"/>
        <v>0</v>
      </c>
      <c r="U570" s="209">
        <f>+SUMIFS('A DEPOSITAR'!$H$2:$H$998,'A DEPOSITAR'!$D$2:$D$998,(O570-2),'A DEPOSITAR'!$I$2:$I$998,"A Depositar")</f>
        <v>0</v>
      </c>
      <c r="V570" s="6"/>
      <c r="W570" s="6"/>
      <c r="X570" s="6"/>
      <c r="Y570" s="6"/>
      <c r="Z570" s="6"/>
    </row>
    <row r="571" spans="1:26" ht="12.75" x14ac:dyDescent="0.2">
      <c r="A571" s="36">
        <v>44728</v>
      </c>
      <c r="B571" s="29" t="s">
        <v>994</v>
      </c>
      <c r="C571" s="29" t="s">
        <v>940</v>
      </c>
      <c r="D571" s="37">
        <v>1428.53</v>
      </c>
      <c r="E571" s="29" t="s">
        <v>136</v>
      </c>
      <c r="F571" s="34">
        <v>44116</v>
      </c>
      <c r="G571" s="18"/>
      <c r="H571" s="16">
        <f t="shared" si="91"/>
        <v>16</v>
      </c>
      <c r="I571" s="16">
        <f t="shared" si="92"/>
        <v>6</v>
      </c>
      <c r="J571" s="122">
        <f t="shared" si="93"/>
        <v>2022</v>
      </c>
      <c r="K571" s="64">
        <f t="shared" si="94"/>
        <v>44788</v>
      </c>
      <c r="L571" s="6"/>
      <c r="M571" s="6"/>
      <c r="O571" s="208">
        <v>44131</v>
      </c>
      <c r="P571" s="209">
        <f t="shared" si="95"/>
        <v>0</v>
      </c>
      <c r="Q571" s="209">
        <f>+SUMIF('A DEPOSITAR'!$D$2:$D$998,(O571-2),'A DEPOSITAR'!$H$2:$H$998)</f>
        <v>30000</v>
      </c>
      <c r="R571" s="210">
        <f t="shared" si="96"/>
        <v>30000</v>
      </c>
      <c r="S571" s="210">
        <f t="shared" si="97"/>
        <v>4118388.0700000017</v>
      </c>
      <c r="T571" s="209">
        <f t="shared" si="98"/>
        <v>0</v>
      </c>
      <c r="U571" s="209">
        <f>+SUMIFS('A DEPOSITAR'!$H$2:$H$998,'A DEPOSITAR'!$D$2:$D$998,(O571-2),'A DEPOSITAR'!$I$2:$I$998,"A Depositar")</f>
        <v>0</v>
      </c>
      <c r="V571" s="6"/>
      <c r="W571" s="6"/>
      <c r="X571" s="6"/>
      <c r="Y571" s="6"/>
      <c r="Z571" s="6"/>
    </row>
    <row r="572" spans="1:26" ht="12.75" x14ac:dyDescent="0.2">
      <c r="A572" s="36">
        <v>44212</v>
      </c>
      <c r="B572" s="29" t="s">
        <v>994</v>
      </c>
      <c r="C572" s="29" t="s">
        <v>231</v>
      </c>
      <c r="D572" s="37">
        <v>1082.76</v>
      </c>
      <c r="E572" s="29" t="s">
        <v>22</v>
      </c>
      <c r="F572" s="34">
        <v>44116</v>
      </c>
      <c r="G572" s="18"/>
      <c r="H572" s="16">
        <f t="shared" ref="H572:H603" si="99">DAY(A572)</f>
        <v>16</v>
      </c>
      <c r="I572" s="16">
        <f t="shared" ref="I572:I603" si="100">MONTH(A572)</f>
        <v>1</v>
      </c>
      <c r="J572" s="122">
        <f t="shared" ref="J572:J603" si="101">YEAR(A572)</f>
        <v>2021</v>
      </c>
      <c r="K572" s="64">
        <f t="shared" ref="K572:K603" si="102">A572+60</f>
        <v>44272</v>
      </c>
      <c r="L572" s="6"/>
      <c r="M572" s="6"/>
      <c r="O572" s="208">
        <v>44137</v>
      </c>
      <c r="P572" s="209">
        <f t="shared" ref="P572:P603" si="103">+SUMIF($A$2:$A$998,O572,$D$2:$D$998)</f>
        <v>0</v>
      </c>
      <c r="Q572" s="209">
        <f>+SUMIF('A DEPOSITAR'!$D$2:$D$998,(O572-2),'A DEPOSITAR'!$H$2:$H$998)</f>
        <v>196313</v>
      </c>
      <c r="R572" s="210">
        <f t="shared" ref="R572:R603" si="104">+Q572-P572</f>
        <v>196313</v>
      </c>
      <c r="S572" s="210">
        <f t="shared" ref="S572:S603" si="105">+S571+R572</f>
        <v>4314701.0700000022</v>
      </c>
      <c r="T572" s="209">
        <f t="shared" ref="T572:T603" si="106">+SUMIFS($D$2:$D$998,$A$2:$A$998,O572,$E$2:$E$998,"A Pagar")</f>
        <v>0</v>
      </c>
      <c r="U572" s="209">
        <f>+SUMIFS('A DEPOSITAR'!$H$2:$H$998,'A DEPOSITAR'!$D$2:$D$998,(O572-2),'A DEPOSITAR'!$I$2:$I$998,"A Depositar")</f>
        <v>0</v>
      </c>
      <c r="V572" s="6"/>
      <c r="W572" s="6"/>
      <c r="X572" s="6"/>
      <c r="Y572" s="6"/>
      <c r="Z572" s="6"/>
    </row>
    <row r="573" spans="1:26" ht="12.75" x14ac:dyDescent="0.2">
      <c r="A573" s="102">
        <v>44028</v>
      </c>
      <c r="B573" s="103" t="s">
        <v>365</v>
      </c>
      <c r="C573" s="103" t="s">
        <v>234</v>
      </c>
      <c r="D573" s="104">
        <v>12412.65</v>
      </c>
      <c r="E573" s="103" t="s">
        <v>22</v>
      </c>
      <c r="F573" s="105">
        <v>43864</v>
      </c>
      <c r="G573" s="103"/>
      <c r="H573" s="106">
        <f t="shared" si="99"/>
        <v>16</v>
      </c>
      <c r="I573" s="106">
        <f t="shared" si="100"/>
        <v>7</v>
      </c>
      <c r="J573" s="124">
        <f t="shared" si="101"/>
        <v>2020</v>
      </c>
      <c r="K573" s="175">
        <f t="shared" si="102"/>
        <v>44088</v>
      </c>
      <c r="L573" s="181"/>
      <c r="M573" s="181"/>
      <c r="N573" s="182"/>
      <c r="O573" s="208">
        <v>44218</v>
      </c>
      <c r="P573" s="209">
        <f t="shared" si="103"/>
        <v>42400</v>
      </c>
      <c r="Q573" s="209">
        <f>+SUMIF('A DEPOSITAR'!$D$2:$D$998,(O573-2),'A DEPOSITAR'!$H$2:$H$998)</f>
        <v>10921</v>
      </c>
      <c r="R573" s="210">
        <f t="shared" si="104"/>
        <v>-31479</v>
      </c>
      <c r="S573" s="210">
        <f t="shared" si="105"/>
        <v>4283222.0700000022</v>
      </c>
      <c r="T573" s="209">
        <f t="shared" si="106"/>
        <v>0</v>
      </c>
      <c r="U573" s="209">
        <f>+SUMIFS('A DEPOSITAR'!$H$2:$H$998,'A DEPOSITAR'!$D$2:$D$998,(O573-2),'A DEPOSITAR'!$I$2:$I$998,"A Depositar")</f>
        <v>0</v>
      </c>
      <c r="V573" s="181"/>
      <c r="W573" s="181"/>
      <c r="X573" s="181"/>
      <c r="Y573" s="181"/>
      <c r="Z573" s="181"/>
    </row>
    <row r="574" spans="1:26" ht="12.75" x14ac:dyDescent="0.2">
      <c r="A574" s="102">
        <v>43967</v>
      </c>
      <c r="B574" s="103" t="s">
        <v>301</v>
      </c>
      <c r="C574" s="103" t="s">
        <v>234</v>
      </c>
      <c r="D574" s="104">
        <v>2970.88</v>
      </c>
      <c r="E574" s="103" t="s">
        <v>22</v>
      </c>
      <c r="F574" s="105">
        <v>43829</v>
      </c>
      <c r="G574" s="103"/>
      <c r="H574" s="106">
        <f t="shared" si="99"/>
        <v>16</v>
      </c>
      <c r="I574" s="106">
        <f t="shared" si="100"/>
        <v>5</v>
      </c>
      <c r="J574" s="124">
        <f t="shared" si="101"/>
        <v>2020</v>
      </c>
      <c r="K574" s="175">
        <f t="shared" si="102"/>
        <v>44027</v>
      </c>
      <c r="L574" s="181"/>
      <c r="M574" s="181"/>
      <c r="N574" s="182"/>
      <c r="O574" s="208">
        <v>44219</v>
      </c>
      <c r="P574" s="209">
        <f t="shared" si="103"/>
        <v>0</v>
      </c>
      <c r="Q574" s="209">
        <f>+SUMIF('A DEPOSITAR'!$D$2:$D$998,(O574-2),'A DEPOSITAR'!$H$2:$H$998)</f>
        <v>0</v>
      </c>
      <c r="R574" s="210">
        <f t="shared" si="104"/>
        <v>0</v>
      </c>
      <c r="S574" s="210">
        <f t="shared" si="105"/>
        <v>4283222.0700000022</v>
      </c>
      <c r="T574" s="209">
        <f t="shared" si="106"/>
        <v>0</v>
      </c>
      <c r="U574" s="209">
        <f>+SUMIFS('A DEPOSITAR'!$H$2:$H$998,'A DEPOSITAR'!$D$2:$D$998,(O574-2),'A DEPOSITAR'!$I$2:$I$998,"A Depositar")</f>
        <v>0</v>
      </c>
      <c r="V574" s="181"/>
      <c r="W574" s="181"/>
      <c r="X574" s="181"/>
      <c r="Y574" s="181"/>
      <c r="Z574" s="181"/>
    </row>
    <row r="575" spans="1:26" ht="12.75" x14ac:dyDescent="0.2">
      <c r="A575" s="36">
        <v>44758</v>
      </c>
      <c r="B575" s="29" t="s">
        <v>994</v>
      </c>
      <c r="C575" s="29" t="s">
        <v>941</v>
      </c>
      <c r="D575" s="37">
        <v>1448.87</v>
      </c>
      <c r="E575" s="29" t="s">
        <v>136</v>
      </c>
      <c r="F575" s="34">
        <v>44116</v>
      </c>
      <c r="G575" s="18"/>
      <c r="H575" s="16">
        <f t="shared" si="99"/>
        <v>16</v>
      </c>
      <c r="I575" s="16">
        <f t="shared" si="100"/>
        <v>7</v>
      </c>
      <c r="J575" s="122">
        <f t="shared" si="101"/>
        <v>2022</v>
      </c>
      <c r="K575" s="64">
        <f t="shared" si="102"/>
        <v>44818</v>
      </c>
      <c r="L575" s="6"/>
      <c r="M575" s="6"/>
      <c r="O575" s="208">
        <v>44142</v>
      </c>
      <c r="P575" s="209">
        <f t="shared" si="103"/>
        <v>3675</v>
      </c>
      <c r="Q575" s="209">
        <f>+SUMIF('A DEPOSITAR'!$D$2:$D$998,(O575-2),'A DEPOSITAR'!$H$2:$H$998)</f>
        <v>0</v>
      </c>
      <c r="R575" s="210">
        <f t="shared" si="104"/>
        <v>-3675</v>
      </c>
      <c r="S575" s="210">
        <f t="shared" si="105"/>
        <v>4279547.0700000022</v>
      </c>
      <c r="T575" s="209">
        <f t="shared" si="106"/>
        <v>0</v>
      </c>
      <c r="U575" s="209">
        <f>+SUMIFS('A DEPOSITAR'!$H$2:$H$998,'A DEPOSITAR'!$D$2:$D$998,(O575-2),'A DEPOSITAR'!$I$2:$I$998,"A Depositar")</f>
        <v>0</v>
      </c>
      <c r="V575" s="6"/>
      <c r="W575" s="6"/>
      <c r="X575" s="6"/>
      <c r="Y575" s="6"/>
      <c r="Z575" s="6"/>
    </row>
    <row r="576" spans="1:26" ht="12.75" x14ac:dyDescent="0.2">
      <c r="A576" s="36">
        <v>44789</v>
      </c>
      <c r="B576" s="29" t="s">
        <v>994</v>
      </c>
      <c r="C576" s="29" t="s">
        <v>942</v>
      </c>
      <c r="D576" s="37">
        <v>1469.21</v>
      </c>
      <c r="E576" s="29" t="s">
        <v>136</v>
      </c>
      <c r="F576" s="34">
        <v>44116</v>
      </c>
      <c r="G576" s="18"/>
      <c r="H576" s="16">
        <f t="shared" si="99"/>
        <v>16</v>
      </c>
      <c r="I576" s="16">
        <f t="shared" si="100"/>
        <v>8</v>
      </c>
      <c r="J576" s="122">
        <f t="shared" si="101"/>
        <v>2022</v>
      </c>
      <c r="K576" s="64">
        <f t="shared" si="102"/>
        <v>44849</v>
      </c>
      <c r="L576" s="6"/>
      <c r="M576" s="6"/>
      <c r="O576" s="208">
        <v>44145</v>
      </c>
      <c r="P576" s="209">
        <f t="shared" si="103"/>
        <v>0</v>
      </c>
      <c r="Q576" s="209">
        <f>+SUMIF('A DEPOSITAR'!$D$2:$D$998,(O576-2),'A DEPOSITAR'!$H$2:$H$998)</f>
        <v>0</v>
      </c>
      <c r="R576" s="210">
        <f t="shared" si="104"/>
        <v>0</v>
      </c>
      <c r="S576" s="210">
        <f t="shared" si="105"/>
        <v>4279547.0700000022</v>
      </c>
      <c r="T576" s="209">
        <f t="shared" si="106"/>
        <v>0</v>
      </c>
      <c r="U576" s="209">
        <f>+SUMIFS('A DEPOSITAR'!$H$2:$H$998,'A DEPOSITAR'!$D$2:$D$998,(O576-2),'A DEPOSITAR'!$I$2:$I$998,"A Depositar")</f>
        <v>0</v>
      </c>
      <c r="V576" s="6"/>
      <c r="W576" s="6"/>
      <c r="X576" s="6"/>
      <c r="Y576" s="6"/>
      <c r="Z576" s="6"/>
    </row>
    <row r="577" spans="1:26" ht="12.75" x14ac:dyDescent="0.2">
      <c r="A577" s="36">
        <v>44820</v>
      </c>
      <c r="B577" s="29" t="s">
        <v>994</v>
      </c>
      <c r="C577" s="29" t="s">
        <v>943</v>
      </c>
      <c r="D577" s="37">
        <v>1489.55</v>
      </c>
      <c r="E577" s="29" t="s">
        <v>136</v>
      </c>
      <c r="F577" s="34">
        <v>44116</v>
      </c>
      <c r="G577" s="18"/>
      <c r="H577" s="16">
        <f t="shared" si="99"/>
        <v>16</v>
      </c>
      <c r="I577" s="16">
        <f t="shared" si="100"/>
        <v>9</v>
      </c>
      <c r="J577" s="122">
        <f t="shared" si="101"/>
        <v>2022</v>
      </c>
      <c r="K577" s="64">
        <f t="shared" si="102"/>
        <v>44880</v>
      </c>
      <c r="L577" s="6"/>
      <c r="M577" s="6"/>
      <c r="O577" s="208">
        <v>44147</v>
      </c>
      <c r="P577" s="209">
        <f t="shared" si="103"/>
        <v>0</v>
      </c>
      <c r="Q577" s="209">
        <f>+SUMIF('A DEPOSITAR'!$D$2:$D$998,(O577-2),'A DEPOSITAR'!$H$2:$H$998)</f>
        <v>32073.07</v>
      </c>
      <c r="R577" s="210">
        <f t="shared" si="104"/>
        <v>32073.07</v>
      </c>
      <c r="S577" s="210">
        <f t="shared" si="105"/>
        <v>4311620.1400000025</v>
      </c>
      <c r="T577" s="209">
        <f t="shared" si="106"/>
        <v>0</v>
      </c>
      <c r="U577" s="209">
        <f>+SUMIFS('A DEPOSITAR'!$H$2:$H$998,'A DEPOSITAR'!$D$2:$D$998,(O577-2),'A DEPOSITAR'!$I$2:$I$998,"A Depositar")</f>
        <v>0</v>
      </c>
      <c r="V577" s="6"/>
      <c r="W577" s="6"/>
      <c r="X577" s="6"/>
      <c r="Y577" s="6"/>
      <c r="Z577" s="6"/>
    </row>
    <row r="578" spans="1:26" ht="12.75" x14ac:dyDescent="0.2">
      <c r="A578" s="36">
        <v>44850</v>
      </c>
      <c r="B578" s="29" t="s">
        <v>994</v>
      </c>
      <c r="C578" s="29" t="s">
        <v>944</v>
      </c>
      <c r="D578" s="37">
        <v>1509.89</v>
      </c>
      <c r="E578" s="29" t="s">
        <v>136</v>
      </c>
      <c r="F578" s="34">
        <v>44116</v>
      </c>
      <c r="G578" s="18"/>
      <c r="H578" s="16">
        <f t="shared" si="99"/>
        <v>16</v>
      </c>
      <c r="I578" s="16">
        <f t="shared" si="100"/>
        <v>10</v>
      </c>
      <c r="J578" s="122">
        <f t="shared" si="101"/>
        <v>2022</v>
      </c>
      <c r="K578" s="64">
        <f t="shared" si="102"/>
        <v>44910</v>
      </c>
      <c r="L578" s="6"/>
      <c r="M578" s="6"/>
      <c r="O578" s="208">
        <v>44149</v>
      </c>
      <c r="P578" s="209">
        <f t="shared" si="103"/>
        <v>0</v>
      </c>
      <c r="Q578" s="209">
        <f>+SUMIF('A DEPOSITAR'!$D$2:$D$998,(O578-2),'A DEPOSITAR'!$H$2:$H$998)</f>
        <v>5000</v>
      </c>
      <c r="R578" s="210">
        <f t="shared" si="104"/>
        <v>5000</v>
      </c>
      <c r="S578" s="210">
        <f t="shared" si="105"/>
        <v>4316620.1400000025</v>
      </c>
      <c r="T578" s="209">
        <f t="shared" si="106"/>
        <v>0</v>
      </c>
      <c r="U578" s="209">
        <f>+SUMIFS('A DEPOSITAR'!$H$2:$H$998,'A DEPOSITAR'!$D$2:$D$998,(O578-2),'A DEPOSITAR'!$I$2:$I$998,"A Depositar")</f>
        <v>0</v>
      </c>
      <c r="V578" s="6"/>
      <c r="W578" s="6"/>
      <c r="X578" s="6"/>
      <c r="Y578" s="6"/>
      <c r="Z578" s="6"/>
    </row>
    <row r="579" spans="1:26" ht="12.75" x14ac:dyDescent="0.2">
      <c r="A579" s="177">
        <v>44151</v>
      </c>
      <c r="B579" s="178" t="s">
        <v>418</v>
      </c>
      <c r="C579" s="178" t="s">
        <v>234</v>
      </c>
      <c r="D579" s="179">
        <v>4006.65</v>
      </c>
      <c r="E579" s="103" t="s">
        <v>327</v>
      </c>
      <c r="F579" s="180">
        <v>43892</v>
      </c>
      <c r="G579" s="103"/>
      <c r="H579" s="106">
        <f t="shared" si="99"/>
        <v>16</v>
      </c>
      <c r="I579" s="106">
        <f t="shared" si="100"/>
        <v>11</v>
      </c>
      <c r="J579" s="124">
        <f t="shared" si="101"/>
        <v>2020</v>
      </c>
      <c r="K579" s="175">
        <f t="shared" si="102"/>
        <v>44211</v>
      </c>
      <c r="L579" s="181"/>
      <c r="M579" s="181"/>
      <c r="N579" s="182"/>
      <c r="O579" s="208">
        <v>44224</v>
      </c>
      <c r="P579" s="209">
        <f t="shared" si="103"/>
        <v>0</v>
      </c>
      <c r="Q579" s="209">
        <f>+SUMIF('A DEPOSITAR'!$D$2:$D$998,(O579-2),'A DEPOSITAR'!$H$2:$H$998)</f>
        <v>0</v>
      </c>
      <c r="R579" s="210">
        <f t="shared" si="104"/>
        <v>0</v>
      </c>
      <c r="S579" s="210">
        <f t="shared" si="105"/>
        <v>4316620.1400000025</v>
      </c>
      <c r="T579" s="209">
        <f t="shared" si="106"/>
        <v>0</v>
      </c>
      <c r="U579" s="209">
        <f>+SUMIFS('A DEPOSITAR'!$H$2:$H$998,'A DEPOSITAR'!$D$2:$D$998,(O579-2),'A DEPOSITAR'!$I$2:$I$998,"A Depositar")</f>
        <v>0</v>
      </c>
      <c r="V579" s="181"/>
      <c r="W579" s="181"/>
      <c r="X579" s="181"/>
      <c r="Y579" s="181"/>
      <c r="Z579" s="181"/>
    </row>
    <row r="580" spans="1:26" ht="12.75" x14ac:dyDescent="0.2">
      <c r="A580" s="102">
        <v>43937</v>
      </c>
      <c r="B580" s="103" t="s">
        <v>229</v>
      </c>
      <c r="C580" s="103" t="s">
        <v>234</v>
      </c>
      <c r="D580" s="104">
        <v>1153.93</v>
      </c>
      <c r="E580" s="103" t="s">
        <v>327</v>
      </c>
      <c r="F580" s="105">
        <v>43780</v>
      </c>
      <c r="G580" s="103"/>
      <c r="H580" s="106">
        <f t="shared" si="99"/>
        <v>16</v>
      </c>
      <c r="I580" s="106">
        <f t="shared" si="100"/>
        <v>4</v>
      </c>
      <c r="J580" s="124">
        <f t="shared" si="101"/>
        <v>2020</v>
      </c>
      <c r="K580" s="175">
        <f t="shared" si="102"/>
        <v>43997</v>
      </c>
      <c r="L580" s="6"/>
      <c r="M580" s="6"/>
      <c r="O580" s="208">
        <v>44225</v>
      </c>
      <c r="P580" s="209">
        <f t="shared" si="103"/>
        <v>0</v>
      </c>
      <c r="Q580" s="209">
        <f>+SUMIF('A DEPOSITAR'!$D$2:$D$998,(O580-2),'A DEPOSITAR'!$H$2:$H$998)</f>
        <v>0</v>
      </c>
      <c r="R580" s="210">
        <f t="shared" si="104"/>
        <v>0</v>
      </c>
      <c r="S580" s="210">
        <f t="shared" si="105"/>
        <v>4316620.1400000025</v>
      </c>
      <c r="T580" s="209">
        <f t="shared" si="106"/>
        <v>0</v>
      </c>
      <c r="U580" s="209">
        <f>+SUMIFS('A DEPOSITAR'!$H$2:$H$998,'A DEPOSITAR'!$D$2:$D$998,(O580-2),'A DEPOSITAR'!$I$2:$I$998,"A Depositar")</f>
        <v>0</v>
      </c>
      <c r="V580" s="6"/>
      <c r="W580" s="6"/>
      <c r="X580" s="6"/>
      <c r="Y580" s="6"/>
      <c r="Z580" s="6"/>
    </row>
    <row r="581" spans="1:26" ht="12.75" x14ac:dyDescent="0.2">
      <c r="A581" s="102">
        <v>43877</v>
      </c>
      <c r="B581" s="103" t="s">
        <v>266</v>
      </c>
      <c r="C581" s="103" t="s">
        <v>234</v>
      </c>
      <c r="D581" s="104">
        <v>1684.61</v>
      </c>
      <c r="E581" s="103" t="s">
        <v>22</v>
      </c>
      <c r="F581" s="105">
        <v>43804</v>
      </c>
      <c r="G581" s="103"/>
      <c r="H581" s="106">
        <f t="shared" si="99"/>
        <v>16</v>
      </c>
      <c r="I581" s="106">
        <f t="shared" si="100"/>
        <v>2</v>
      </c>
      <c r="J581" s="124">
        <f t="shared" si="101"/>
        <v>2020</v>
      </c>
      <c r="K581" s="175">
        <f t="shared" si="102"/>
        <v>43937</v>
      </c>
      <c r="L581" s="181"/>
      <c r="M581" s="181"/>
      <c r="N581" s="182"/>
      <c r="O581" s="208">
        <v>44226</v>
      </c>
      <c r="P581" s="209">
        <f t="shared" si="103"/>
        <v>54886</v>
      </c>
      <c r="Q581" s="209">
        <f>+SUMIF('A DEPOSITAR'!$D$2:$D$998,(O581-2),'A DEPOSITAR'!$H$2:$H$998)</f>
        <v>0</v>
      </c>
      <c r="R581" s="210">
        <f t="shared" si="104"/>
        <v>-54886</v>
      </c>
      <c r="S581" s="210">
        <f t="shared" si="105"/>
        <v>4261734.1400000025</v>
      </c>
      <c r="T581" s="209">
        <f t="shared" si="106"/>
        <v>0</v>
      </c>
      <c r="U581" s="209">
        <f>+SUMIFS('A DEPOSITAR'!$H$2:$H$998,'A DEPOSITAR'!$D$2:$D$998,(O581-2),'A DEPOSITAR'!$I$2:$I$998,"A Depositar")</f>
        <v>0</v>
      </c>
      <c r="V581" s="181"/>
      <c r="W581" s="181"/>
      <c r="X581" s="181"/>
      <c r="Y581" s="181"/>
      <c r="Z581" s="181"/>
    </row>
    <row r="582" spans="1:26" ht="12.75" x14ac:dyDescent="0.2">
      <c r="A582" s="36">
        <v>44881</v>
      </c>
      <c r="B582" s="29" t="s">
        <v>994</v>
      </c>
      <c r="C582" s="29" t="s">
        <v>945</v>
      </c>
      <c r="D582" s="37">
        <v>1530.23</v>
      </c>
      <c r="E582" s="29" t="s">
        <v>136</v>
      </c>
      <c r="F582" s="34">
        <v>44116</v>
      </c>
      <c r="G582" s="18"/>
      <c r="H582" s="16">
        <f t="shared" si="99"/>
        <v>16</v>
      </c>
      <c r="I582" s="16">
        <f t="shared" si="100"/>
        <v>11</v>
      </c>
      <c r="J582" s="122">
        <f t="shared" si="101"/>
        <v>2022</v>
      </c>
      <c r="K582" s="64">
        <f t="shared" si="102"/>
        <v>44941</v>
      </c>
      <c r="L582" s="6"/>
      <c r="M582" s="6"/>
      <c r="O582" s="208">
        <v>44151</v>
      </c>
      <c r="P582" s="209">
        <f t="shared" si="103"/>
        <v>35257.449999999997</v>
      </c>
      <c r="Q582" s="209">
        <f>+SUMIF('A DEPOSITAR'!$D$2:$D$998,(O582-2),'A DEPOSITAR'!$H$2:$H$998)</f>
        <v>0</v>
      </c>
      <c r="R582" s="210">
        <f t="shared" si="104"/>
        <v>-35257.449999999997</v>
      </c>
      <c r="S582" s="210">
        <f t="shared" si="105"/>
        <v>4226476.6900000023</v>
      </c>
      <c r="T582" s="209">
        <f t="shared" si="106"/>
        <v>0</v>
      </c>
      <c r="U582" s="209">
        <f>+SUMIFS('A DEPOSITAR'!$H$2:$H$998,'A DEPOSITAR'!$D$2:$D$998,(O582-2),'A DEPOSITAR'!$I$2:$I$998,"A Depositar")</f>
        <v>0</v>
      </c>
      <c r="V582" s="6"/>
      <c r="W582" s="6"/>
      <c r="X582" s="6"/>
      <c r="Y582" s="6"/>
      <c r="Z582" s="6"/>
    </row>
    <row r="583" spans="1:26" ht="12.75" x14ac:dyDescent="0.2">
      <c r="A583" s="36">
        <v>44911</v>
      </c>
      <c r="B583" s="29" t="s">
        <v>994</v>
      </c>
      <c r="C583" s="29" t="s">
        <v>946</v>
      </c>
      <c r="D583" s="37">
        <v>1550.57</v>
      </c>
      <c r="E583" s="29" t="s">
        <v>136</v>
      </c>
      <c r="F583" s="34">
        <v>44116</v>
      </c>
      <c r="G583" s="18"/>
      <c r="H583" s="16">
        <f t="shared" si="99"/>
        <v>16</v>
      </c>
      <c r="I583" s="16">
        <f t="shared" si="100"/>
        <v>12</v>
      </c>
      <c r="J583" s="122">
        <f t="shared" si="101"/>
        <v>2022</v>
      </c>
      <c r="K583" s="64">
        <f t="shared" si="102"/>
        <v>44971</v>
      </c>
      <c r="L583" s="6"/>
      <c r="M583" s="6"/>
      <c r="O583" s="208">
        <v>44153</v>
      </c>
      <c r="P583" s="209">
        <f t="shared" si="103"/>
        <v>0</v>
      </c>
      <c r="Q583" s="209">
        <f>+SUMIF('A DEPOSITAR'!$D$2:$D$998,(O583-2),'A DEPOSITAR'!$H$2:$H$998)</f>
        <v>0</v>
      </c>
      <c r="R583" s="210">
        <f t="shared" si="104"/>
        <v>0</v>
      </c>
      <c r="S583" s="210">
        <f t="shared" si="105"/>
        <v>4226476.6900000023</v>
      </c>
      <c r="T583" s="209">
        <f t="shared" si="106"/>
        <v>0</v>
      </c>
      <c r="U583" s="209">
        <f>+SUMIFS('A DEPOSITAR'!$H$2:$H$998,'A DEPOSITAR'!$D$2:$D$998,(O583-2),'A DEPOSITAR'!$I$2:$I$998,"A Depositar")</f>
        <v>0</v>
      </c>
      <c r="V583" s="6"/>
      <c r="W583" s="6"/>
      <c r="X583" s="6"/>
      <c r="Y583" s="6"/>
      <c r="Z583" s="6"/>
    </row>
    <row r="584" spans="1:26" ht="12.75" x14ac:dyDescent="0.2">
      <c r="A584" s="36">
        <v>44942</v>
      </c>
      <c r="B584" s="29" t="s">
        <v>994</v>
      </c>
      <c r="C584" s="29" t="s">
        <v>947</v>
      </c>
      <c r="D584" s="37">
        <v>1570.91</v>
      </c>
      <c r="E584" s="29" t="s">
        <v>136</v>
      </c>
      <c r="F584" s="34">
        <v>44116</v>
      </c>
      <c r="G584" s="18"/>
      <c r="H584" s="16">
        <f t="shared" si="99"/>
        <v>16</v>
      </c>
      <c r="I584" s="16">
        <f t="shared" si="100"/>
        <v>1</v>
      </c>
      <c r="J584" s="122">
        <f t="shared" si="101"/>
        <v>2023</v>
      </c>
      <c r="K584" s="64">
        <f t="shared" si="102"/>
        <v>45002</v>
      </c>
      <c r="L584" s="6"/>
      <c r="M584" s="6"/>
      <c r="O584" s="208">
        <v>44155</v>
      </c>
      <c r="P584" s="209">
        <f t="shared" si="103"/>
        <v>7800</v>
      </c>
      <c r="Q584" s="209">
        <f>+SUMIF('A DEPOSITAR'!$D$2:$D$998,(O584-2),'A DEPOSITAR'!$H$2:$H$998)</f>
        <v>0</v>
      </c>
      <c r="R584" s="210">
        <f t="shared" si="104"/>
        <v>-7800</v>
      </c>
      <c r="S584" s="210">
        <f t="shared" si="105"/>
        <v>4218676.6900000023</v>
      </c>
      <c r="T584" s="209">
        <f t="shared" si="106"/>
        <v>0</v>
      </c>
      <c r="U584" s="209">
        <f>+SUMIFS('A DEPOSITAR'!$H$2:$H$998,'A DEPOSITAR'!$D$2:$D$998,(O584-2),'A DEPOSITAR'!$I$2:$I$998,"A Depositar")</f>
        <v>0</v>
      </c>
      <c r="V584" s="6"/>
      <c r="W584" s="6"/>
      <c r="X584" s="6"/>
      <c r="Y584" s="6"/>
      <c r="Z584" s="6"/>
    </row>
    <row r="585" spans="1:26" ht="12.75" x14ac:dyDescent="0.2">
      <c r="A585" s="36">
        <v>44973</v>
      </c>
      <c r="B585" s="29" t="s">
        <v>994</v>
      </c>
      <c r="C585" s="29" t="s">
        <v>948</v>
      </c>
      <c r="D585" s="37">
        <v>1591.25</v>
      </c>
      <c r="E585" s="29" t="s">
        <v>136</v>
      </c>
      <c r="F585" s="34">
        <v>44116</v>
      </c>
      <c r="G585" s="18"/>
      <c r="H585" s="16">
        <f t="shared" si="99"/>
        <v>16</v>
      </c>
      <c r="I585" s="16">
        <f t="shared" si="100"/>
        <v>2</v>
      </c>
      <c r="J585" s="122">
        <f t="shared" si="101"/>
        <v>2023</v>
      </c>
      <c r="K585" s="64">
        <f t="shared" si="102"/>
        <v>45033</v>
      </c>
      <c r="L585" s="6"/>
      <c r="M585" s="6"/>
      <c r="O585" s="208">
        <v>44157</v>
      </c>
      <c r="P585" s="209">
        <f t="shared" si="103"/>
        <v>7720</v>
      </c>
      <c r="Q585" s="209">
        <f>+SUMIF('A DEPOSITAR'!$D$2:$D$998,(O585-2),'A DEPOSITAR'!$H$2:$H$998)</f>
        <v>10000</v>
      </c>
      <c r="R585" s="210">
        <f t="shared" si="104"/>
        <v>2280</v>
      </c>
      <c r="S585" s="210">
        <f t="shared" si="105"/>
        <v>4220956.6900000023</v>
      </c>
      <c r="T585" s="209">
        <f t="shared" si="106"/>
        <v>0</v>
      </c>
      <c r="U585" s="209">
        <f>+SUMIFS('A DEPOSITAR'!$H$2:$H$998,'A DEPOSITAR'!$D$2:$D$998,(O585-2),'A DEPOSITAR'!$I$2:$I$998,"A Depositar")</f>
        <v>0</v>
      </c>
      <c r="V585" s="6"/>
      <c r="W585" s="6"/>
      <c r="X585" s="6"/>
      <c r="Y585" s="6"/>
      <c r="Z585" s="6"/>
    </row>
    <row r="586" spans="1:26" ht="12.75" x14ac:dyDescent="0.2">
      <c r="A586" s="36">
        <v>45001</v>
      </c>
      <c r="B586" s="29" t="s">
        <v>994</v>
      </c>
      <c r="C586" s="29" t="s">
        <v>949</v>
      </c>
      <c r="D586" s="37">
        <v>1611.59</v>
      </c>
      <c r="E586" s="29" t="s">
        <v>136</v>
      </c>
      <c r="F586" s="34">
        <v>44116</v>
      </c>
      <c r="G586" s="18"/>
      <c r="H586" s="16">
        <f t="shared" si="99"/>
        <v>16</v>
      </c>
      <c r="I586" s="16">
        <f t="shared" si="100"/>
        <v>3</v>
      </c>
      <c r="J586" s="122">
        <f t="shared" si="101"/>
        <v>2023</v>
      </c>
      <c r="K586" s="64">
        <f t="shared" si="102"/>
        <v>45061</v>
      </c>
      <c r="L586" s="6"/>
      <c r="M586" s="6"/>
      <c r="O586" s="208">
        <v>44159</v>
      </c>
      <c r="P586" s="209">
        <f t="shared" si="103"/>
        <v>0</v>
      </c>
      <c r="Q586" s="209">
        <f>+SUMIF('A DEPOSITAR'!$D$2:$D$998,(O586-2),'A DEPOSITAR'!$H$2:$H$998)</f>
        <v>0</v>
      </c>
      <c r="R586" s="210">
        <f t="shared" si="104"/>
        <v>0</v>
      </c>
      <c r="S586" s="210">
        <f t="shared" si="105"/>
        <v>4220956.6900000023</v>
      </c>
      <c r="T586" s="209">
        <f t="shared" si="106"/>
        <v>0</v>
      </c>
      <c r="U586" s="209">
        <f>+SUMIFS('A DEPOSITAR'!$H$2:$H$998,'A DEPOSITAR'!$D$2:$D$998,(O586-2),'A DEPOSITAR'!$I$2:$I$998,"A Depositar")</f>
        <v>0</v>
      </c>
      <c r="V586" s="6"/>
      <c r="W586" s="6"/>
      <c r="X586" s="6"/>
      <c r="Y586" s="6"/>
      <c r="Z586" s="6"/>
    </row>
    <row r="587" spans="1:26" ht="12.75" x14ac:dyDescent="0.2">
      <c r="A587" s="36">
        <v>45032</v>
      </c>
      <c r="B587" s="29" t="s">
        <v>994</v>
      </c>
      <c r="C587" s="29" t="s">
        <v>950</v>
      </c>
      <c r="D587" s="37">
        <v>1631.93</v>
      </c>
      <c r="E587" s="29" t="s">
        <v>136</v>
      </c>
      <c r="F587" s="34">
        <v>44116</v>
      </c>
      <c r="G587" s="18"/>
      <c r="H587" s="16">
        <f t="shared" si="99"/>
        <v>16</v>
      </c>
      <c r="I587" s="16">
        <f t="shared" si="100"/>
        <v>4</v>
      </c>
      <c r="J587" s="122">
        <f t="shared" si="101"/>
        <v>2023</v>
      </c>
      <c r="K587" s="64">
        <f t="shared" si="102"/>
        <v>45092</v>
      </c>
      <c r="L587" s="6"/>
      <c r="M587" s="6"/>
      <c r="O587" s="208">
        <v>44161</v>
      </c>
      <c r="P587" s="209">
        <f t="shared" si="103"/>
        <v>0</v>
      </c>
      <c r="Q587" s="209">
        <f>+SUMIF('A DEPOSITAR'!$D$2:$D$998,(O587-2),'A DEPOSITAR'!$H$2:$H$998)</f>
        <v>0</v>
      </c>
      <c r="R587" s="210">
        <f t="shared" si="104"/>
        <v>0</v>
      </c>
      <c r="S587" s="210">
        <f t="shared" si="105"/>
        <v>4220956.6900000023</v>
      </c>
      <c r="T587" s="209">
        <f t="shared" si="106"/>
        <v>0</v>
      </c>
      <c r="U587" s="209">
        <f>+SUMIFS('A DEPOSITAR'!$H$2:$H$998,'A DEPOSITAR'!$D$2:$D$998,(O587-2),'A DEPOSITAR'!$I$2:$I$998,"A Depositar")</f>
        <v>0</v>
      </c>
      <c r="V587" s="6"/>
      <c r="W587" s="6"/>
      <c r="X587" s="6"/>
      <c r="Y587" s="6"/>
      <c r="Z587" s="6"/>
    </row>
    <row r="588" spans="1:26" ht="12.75" x14ac:dyDescent="0.2">
      <c r="A588" s="36">
        <v>44243</v>
      </c>
      <c r="B588" s="29" t="s">
        <v>994</v>
      </c>
      <c r="C588" s="29" t="s">
        <v>232</v>
      </c>
      <c r="D588" s="37">
        <v>1103.0999999999999</v>
      </c>
      <c r="E588" s="29" t="s">
        <v>22</v>
      </c>
      <c r="F588" s="34">
        <v>44116</v>
      </c>
      <c r="G588" s="18"/>
      <c r="H588" s="16">
        <f t="shared" si="99"/>
        <v>16</v>
      </c>
      <c r="I588" s="16">
        <f t="shared" si="100"/>
        <v>2</v>
      </c>
      <c r="J588" s="122">
        <f t="shared" si="101"/>
        <v>2021</v>
      </c>
      <c r="K588" s="64">
        <f t="shared" si="102"/>
        <v>44303</v>
      </c>
      <c r="L588" s="6"/>
      <c r="M588" s="6"/>
      <c r="O588" s="208">
        <v>44166</v>
      </c>
      <c r="P588" s="209">
        <f t="shared" si="103"/>
        <v>0</v>
      </c>
      <c r="Q588" s="209">
        <f>+SUMIF('A DEPOSITAR'!$D$2:$D$998,(O588-2),'A DEPOSITAR'!$H$2:$H$998)</f>
        <v>0</v>
      </c>
      <c r="R588" s="210">
        <f t="shared" si="104"/>
        <v>0</v>
      </c>
      <c r="S588" s="210">
        <f t="shared" si="105"/>
        <v>4220956.6900000023</v>
      </c>
      <c r="T588" s="209">
        <f t="shared" si="106"/>
        <v>0</v>
      </c>
      <c r="U588" s="209">
        <f>+SUMIFS('A DEPOSITAR'!$H$2:$H$998,'A DEPOSITAR'!$D$2:$D$998,(O588-2),'A DEPOSITAR'!$I$2:$I$998,"A Depositar")</f>
        <v>0</v>
      </c>
      <c r="V588" s="6"/>
      <c r="W588" s="6"/>
      <c r="X588" s="6"/>
      <c r="Y588" s="6"/>
      <c r="Z588" s="6"/>
    </row>
    <row r="589" spans="1:26" ht="12.75" x14ac:dyDescent="0.2">
      <c r="A589" s="36">
        <v>45062</v>
      </c>
      <c r="B589" s="29" t="s">
        <v>994</v>
      </c>
      <c r="C589" s="29" t="s">
        <v>951</v>
      </c>
      <c r="D589" s="37">
        <v>1652.27</v>
      </c>
      <c r="E589" s="29" t="s">
        <v>136</v>
      </c>
      <c r="F589" s="34">
        <v>44116</v>
      </c>
      <c r="G589" s="18"/>
      <c r="H589" s="16">
        <f t="shared" si="99"/>
        <v>16</v>
      </c>
      <c r="I589" s="16">
        <f t="shared" si="100"/>
        <v>5</v>
      </c>
      <c r="J589" s="122">
        <f t="shared" si="101"/>
        <v>2023</v>
      </c>
      <c r="K589" s="64">
        <f t="shared" si="102"/>
        <v>45122</v>
      </c>
      <c r="L589" s="6"/>
      <c r="M589" s="6"/>
      <c r="O589" s="208">
        <v>44172</v>
      </c>
      <c r="P589" s="209">
        <f t="shared" si="103"/>
        <v>0</v>
      </c>
      <c r="Q589" s="209">
        <f>+SUMIF('A DEPOSITAR'!$D$2:$D$998,(O589-2),'A DEPOSITAR'!$H$2:$H$998)</f>
        <v>0</v>
      </c>
      <c r="R589" s="210">
        <f t="shared" si="104"/>
        <v>0</v>
      </c>
      <c r="S589" s="210">
        <f t="shared" si="105"/>
        <v>4220956.6900000023</v>
      </c>
      <c r="T589" s="209">
        <f t="shared" si="106"/>
        <v>0</v>
      </c>
      <c r="U589" s="209">
        <f>+SUMIFS('A DEPOSITAR'!$H$2:$H$998,'A DEPOSITAR'!$D$2:$D$998,(O589-2),'A DEPOSITAR'!$I$2:$I$998,"A Depositar")</f>
        <v>0</v>
      </c>
      <c r="V589" s="6"/>
      <c r="W589" s="6"/>
      <c r="X589" s="6"/>
      <c r="Y589" s="6"/>
      <c r="Z589" s="6"/>
    </row>
    <row r="590" spans="1:26" ht="12.75" x14ac:dyDescent="0.2">
      <c r="A590" s="36">
        <v>45093</v>
      </c>
      <c r="B590" s="29" t="s">
        <v>994</v>
      </c>
      <c r="C590" s="29" t="s">
        <v>952</v>
      </c>
      <c r="D590" s="37">
        <v>1672.61</v>
      </c>
      <c r="E590" s="29" t="s">
        <v>136</v>
      </c>
      <c r="F590" s="34">
        <v>44116</v>
      </c>
      <c r="G590" s="18"/>
      <c r="H590" s="16">
        <f t="shared" si="99"/>
        <v>16</v>
      </c>
      <c r="I590" s="16">
        <f t="shared" si="100"/>
        <v>6</v>
      </c>
      <c r="J590" s="122">
        <f t="shared" si="101"/>
        <v>2023</v>
      </c>
      <c r="K590" s="64">
        <f t="shared" si="102"/>
        <v>45153</v>
      </c>
      <c r="L590" s="6"/>
      <c r="M590" s="6"/>
      <c r="O590" s="208">
        <v>44174</v>
      </c>
      <c r="P590" s="209">
        <f t="shared" si="103"/>
        <v>0</v>
      </c>
      <c r="Q590" s="209">
        <f>+SUMIF('A DEPOSITAR'!$D$2:$D$998,(O590-2),'A DEPOSITAR'!$H$2:$H$998)</f>
        <v>0</v>
      </c>
      <c r="R590" s="210">
        <f t="shared" si="104"/>
        <v>0</v>
      </c>
      <c r="S590" s="210">
        <f t="shared" si="105"/>
        <v>4220956.6900000023</v>
      </c>
      <c r="T590" s="209">
        <f t="shared" si="106"/>
        <v>0</v>
      </c>
      <c r="U590" s="209">
        <f>+SUMIFS('A DEPOSITAR'!$H$2:$H$998,'A DEPOSITAR'!$D$2:$D$998,(O590-2),'A DEPOSITAR'!$I$2:$I$998,"A Depositar")</f>
        <v>0</v>
      </c>
      <c r="V590" s="6"/>
      <c r="W590" s="6"/>
      <c r="X590" s="6"/>
      <c r="Y590" s="6"/>
      <c r="Z590" s="6"/>
    </row>
    <row r="591" spans="1:26" ht="12.75" x14ac:dyDescent="0.2">
      <c r="A591" s="36">
        <v>45123</v>
      </c>
      <c r="B591" s="29" t="s">
        <v>994</v>
      </c>
      <c r="C591" s="29" t="s">
        <v>953</v>
      </c>
      <c r="D591" s="37">
        <v>1692.95</v>
      </c>
      <c r="E591" s="29" t="s">
        <v>136</v>
      </c>
      <c r="F591" s="34">
        <v>44116</v>
      </c>
      <c r="G591" s="18"/>
      <c r="H591" s="16">
        <f t="shared" si="99"/>
        <v>16</v>
      </c>
      <c r="I591" s="16">
        <f t="shared" si="100"/>
        <v>7</v>
      </c>
      <c r="J591" s="122">
        <f t="shared" si="101"/>
        <v>2023</v>
      </c>
      <c r="K591" s="64">
        <f t="shared" si="102"/>
        <v>45183</v>
      </c>
      <c r="L591" s="6"/>
      <c r="M591" s="6"/>
      <c r="O591" s="208">
        <v>44176</v>
      </c>
      <c r="P591" s="209">
        <f t="shared" si="103"/>
        <v>0</v>
      </c>
      <c r="Q591" s="209">
        <f>+SUMIF('A DEPOSITAR'!$D$2:$D$998,(O591-2),'A DEPOSITAR'!$H$2:$H$998)</f>
        <v>0</v>
      </c>
      <c r="R591" s="210">
        <f t="shared" si="104"/>
        <v>0</v>
      </c>
      <c r="S591" s="210">
        <f t="shared" si="105"/>
        <v>4220956.6900000023</v>
      </c>
      <c r="T591" s="209">
        <f t="shared" si="106"/>
        <v>0</v>
      </c>
      <c r="U591" s="209">
        <f>+SUMIFS('A DEPOSITAR'!$H$2:$H$998,'A DEPOSITAR'!$D$2:$D$998,(O591-2),'A DEPOSITAR'!$I$2:$I$998,"A Depositar")</f>
        <v>0</v>
      </c>
      <c r="V591" s="6"/>
      <c r="W591" s="6"/>
      <c r="X591" s="6"/>
      <c r="Y591" s="6"/>
      <c r="Z591" s="6"/>
    </row>
    <row r="592" spans="1:26" ht="12.75" x14ac:dyDescent="0.2">
      <c r="A592" s="102">
        <v>44059</v>
      </c>
      <c r="B592" s="103" t="s">
        <v>365</v>
      </c>
      <c r="C592" s="103" t="s">
        <v>268</v>
      </c>
      <c r="D592" s="104">
        <v>12412.65</v>
      </c>
      <c r="E592" s="103" t="s">
        <v>327</v>
      </c>
      <c r="F592" s="105">
        <v>43864</v>
      </c>
      <c r="G592" s="103"/>
      <c r="H592" s="106">
        <f t="shared" si="99"/>
        <v>16</v>
      </c>
      <c r="I592" s="106">
        <f t="shared" si="100"/>
        <v>8</v>
      </c>
      <c r="J592" s="124">
        <f t="shared" si="101"/>
        <v>2020</v>
      </c>
      <c r="K592" s="175">
        <f t="shared" si="102"/>
        <v>44119</v>
      </c>
      <c r="L592" s="181"/>
      <c r="M592" s="181"/>
      <c r="N592" s="182"/>
      <c r="O592" s="208">
        <v>44237</v>
      </c>
      <c r="P592" s="209">
        <f t="shared" si="103"/>
        <v>0</v>
      </c>
      <c r="Q592" s="209">
        <f>+SUMIF('A DEPOSITAR'!$D$2:$D$998,(O592-2),'A DEPOSITAR'!$H$2:$H$998)</f>
        <v>0</v>
      </c>
      <c r="R592" s="210">
        <f t="shared" si="104"/>
        <v>0</v>
      </c>
      <c r="S592" s="210">
        <f t="shared" si="105"/>
        <v>4220956.6900000023</v>
      </c>
      <c r="T592" s="209">
        <f t="shared" si="106"/>
        <v>0</v>
      </c>
      <c r="U592" s="209">
        <f>+SUMIFS('A DEPOSITAR'!$H$2:$H$998,'A DEPOSITAR'!$D$2:$D$998,(O592-2),'A DEPOSITAR'!$I$2:$I$998,"A Depositar")</f>
        <v>0</v>
      </c>
      <c r="V592" s="181"/>
      <c r="W592" s="181"/>
      <c r="X592" s="181"/>
      <c r="Y592" s="181"/>
      <c r="Z592" s="181"/>
    </row>
    <row r="593" spans="1:26" ht="12.75" x14ac:dyDescent="0.2">
      <c r="A593" s="102">
        <v>43998</v>
      </c>
      <c r="B593" s="103" t="s">
        <v>301</v>
      </c>
      <c r="C593" s="103" t="s">
        <v>268</v>
      </c>
      <c r="D593" s="104">
        <v>2970.88</v>
      </c>
      <c r="E593" s="103" t="s">
        <v>22</v>
      </c>
      <c r="F593" s="105">
        <v>43829</v>
      </c>
      <c r="G593" s="103"/>
      <c r="H593" s="106">
        <f t="shared" si="99"/>
        <v>16</v>
      </c>
      <c r="I593" s="106">
        <f t="shared" si="100"/>
        <v>6</v>
      </c>
      <c r="J593" s="124">
        <f t="shared" si="101"/>
        <v>2020</v>
      </c>
      <c r="K593" s="175">
        <f t="shared" si="102"/>
        <v>44058</v>
      </c>
      <c r="L593" s="181"/>
      <c r="M593" s="181"/>
      <c r="N593" s="182"/>
      <c r="O593" s="208">
        <v>44238</v>
      </c>
      <c r="P593" s="209">
        <f t="shared" si="103"/>
        <v>0</v>
      </c>
      <c r="Q593" s="209">
        <f>+SUMIF('A DEPOSITAR'!$D$2:$D$998,(O593-2),'A DEPOSITAR'!$H$2:$H$998)</f>
        <v>0</v>
      </c>
      <c r="R593" s="210">
        <f t="shared" si="104"/>
        <v>0</v>
      </c>
      <c r="S593" s="210">
        <f t="shared" si="105"/>
        <v>4220956.6900000023</v>
      </c>
      <c r="T593" s="209">
        <f t="shared" si="106"/>
        <v>0</v>
      </c>
      <c r="U593" s="209">
        <f>+SUMIFS('A DEPOSITAR'!$H$2:$H$998,'A DEPOSITAR'!$D$2:$D$998,(O593-2),'A DEPOSITAR'!$I$2:$I$998,"A Depositar")</f>
        <v>0</v>
      </c>
      <c r="V593" s="181"/>
      <c r="W593" s="181"/>
      <c r="X593" s="181"/>
      <c r="Y593" s="181"/>
      <c r="Z593" s="181"/>
    </row>
    <row r="594" spans="1:26" ht="12.75" x14ac:dyDescent="0.2">
      <c r="A594" s="36">
        <v>45154</v>
      </c>
      <c r="B594" s="29" t="s">
        <v>994</v>
      </c>
      <c r="C594" s="29" t="s">
        <v>954</v>
      </c>
      <c r="D594" s="37">
        <v>1713.29</v>
      </c>
      <c r="E594" s="29" t="s">
        <v>136</v>
      </c>
      <c r="F594" s="34">
        <v>44116</v>
      </c>
      <c r="G594" s="18"/>
      <c r="H594" s="16">
        <f t="shared" si="99"/>
        <v>16</v>
      </c>
      <c r="I594" s="16">
        <f t="shared" si="100"/>
        <v>8</v>
      </c>
      <c r="J594" s="122">
        <f t="shared" si="101"/>
        <v>2023</v>
      </c>
      <c r="K594" s="64">
        <f t="shared" si="102"/>
        <v>45214</v>
      </c>
      <c r="L594" s="6"/>
      <c r="M594" s="6"/>
      <c r="O594" s="208">
        <v>44178</v>
      </c>
      <c r="P594" s="209">
        <f t="shared" si="103"/>
        <v>0</v>
      </c>
      <c r="Q594" s="209">
        <f>+SUMIF('A DEPOSITAR'!$D$2:$D$998,(O594-2),'A DEPOSITAR'!$H$2:$H$998)</f>
        <v>20000</v>
      </c>
      <c r="R594" s="210">
        <f t="shared" si="104"/>
        <v>20000</v>
      </c>
      <c r="S594" s="210">
        <f t="shared" si="105"/>
        <v>4240956.6900000023</v>
      </c>
      <c r="T594" s="209">
        <f t="shared" si="106"/>
        <v>0</v>
      </c>
      <c r="U594" s="209">
        <f>+SUMIFS('A DEPOSITAR'!$H$2:$H$998,'A DEPOSITAR'!$D$2:$D$998,(O594-2),'A DEPOSITAR'!$I$2:$I$998,"A Depositar")</f>
        <v>0</v>
      </c>
      <c r="V594" s="6"/>
      <c r="W594" s="6"/>
      <c r="X594" s="6"/>
      <c r="Y594" s="6"/>
      <c r="Z594" s="6"/>
    </row>
    <row r="595" spans="1:26" ht="12.75" x14ac:dyDescent="0.2">
      <c r="A595" s="36">
        <v>45185</v>
      </c>
      <c r="B595" s="29" t="s">
        <v>994</v>
      </c>
      <c r="C595" s="29" t="s">
        <v>955</v>
      </c>
      <c r="D595" s="50">
        <v>1733.63</v>
      </c>
      <c r="E595" s="29" t="s">
        <v>136</v>
      </c>
      <c r="F595" s="34">
        <v>44116</v>
      </c>
      <c r="G595" s="29"/>
      <c r="H595" s="49">
        <f t="shared" si="99"/>
        <v>16</v>
      </c>
      <c r="I595" s="49">
        <f t="shared" si="100"/>
        <v>9</v>
      </c>
      <c r="J595" s="122">
        <f t="shared" si="101"/>
        <v>2023</v>
      </c>
      <c r="K595" s="64">
        <f t="shared" si="102"/>
        <v>45245</v>
      </c>
      <c r="L595" s="10"/>
      <c r="M595" s="10"/>
      <c r="N595" s="199"/>
      <c r="O595" s="208">
        <v>44180</v>
      </c>
      <c r="P595" s="209">
        <f t="shared" si="103"/>
        <v>0</v>
      </c>
      <c r="Q595" s="209">
        <f>+SUMIF('A DEPOSITAR'!$D$2:$D$998,(O595-2),'A DEPOSITAR'!$H$2:$H$998)</f>
        <v>19130</v>
      </c>
      <c r="R595" s="210">
        <f t="shared" si="104"/>
        <v>19130</v>
      </c>
      <c r="S595" s="210">
        <f t="shared" si="105"/>
        <v>4260086.6900000023</v>
      </c>
      <c r="T595" s="209">
        <f t="shared" si="106"/>
        <v>0</v>
      </c>
      <c r="U595" s="209">
        <f>+SUMIFS('A DEPOSITAR'!$H$2:$H$998,'A DEPOSITAR'!$D$2:$D$998,(O595-2),'A DEPOSITAR'!$I$2:$I$998,"A Depositar")</f>
        <v>0</v>
      </c>
      <c r="V595" s="10"/>
      <c r="W595" s="10"/>
      <c r="X595" s="10"/>
      <c r="Y595" s="10"/>
      <c r="Z595" s="10"/>
    </row>
    <row r="596" spans="1:26" ht="12.75" x14ac:dyDescent="0.2">
      <c r="A596" s="36">
        <v>45215</v>
      </c>
      <c r="B596" s="29" t="s">
        <v>994</v>
      </c>
      <c r="C596" s="29" t="s">
        <v>956</v>
      </c>
      <c r="D596" s="50">
        <v>1753.97</v>
      </c>
      <c r="E596" s="29" t="s">
        <v>136</v>
      </c>
      <c r="F596" s="34">
        <v>44116</v>
      </c>
      <c r="G596" s="29"/>
      <c r="H596" s="49">
        <f t="shared" si="99"/>
        <v>16</v>
      </c>
      <c r="I596" s="49">
        <f t="shared" si="100"/>
        <v>10</v>
      </c>
      <c r="J596" s="122">
        <f t="shared" si="101"/>
        <v>2023</v>
      </c>
      <c r="K596" s="64">
        <f t="shared" si="102"/>
        <v>45275</v>
      </c>
      <c r="L596" s="10"/>
      <c r="M596" s="10"/>
      <c r="N596" s="199"/>
      <c r="O596" s="208">
        <v>44182</v>
      </c>
      <c r="P596" s="209">
        <f t="shared" si="103"/>
        <v>0</v>
      </c>
      <c r="Q596" s="209">
        <f>+SUMIF('A DEPOSITAR'!$D$2:$D$998,(O596-2),'A DEPOSITAR'!$H$2:$H$998)</f>
        <v>0</v>
      </c>
      <c r="R596" s="210">
        <f t="shared" si="104"/>
        <v>0</v>
      </c>
      <c r="S596" s="210">
        <f t="shared" si="105"/>
        <v>4260086.6900000023</v>
      </c>
      <c r="T596" s="209">
        <f t="shared" si="106"/>
        <v>0</v>
      </c>
      <c r="U596" s="209">
        <f>+SUMIFS('A DEPOSITAR'!$H$2:$H$998,'A DEPOSITAR'!$D$2:$D$998,(O596-2),'A DEPOSITAR'!$I$2:$I$998,"A Depositar")</f>
        <v>0</v>
      </c>
      <c r="V596" s="10"/>
      <c r="W596" s="10"/>
      <c r="X596" s="10"/>
      <c r="Y596" s="10"/>
      <c r="Z596" s="10"/>
    </row>
    <row r="597" spans="1:26" ht="12.75" x14ac:dyDescent="0.2">
      <c r="A597" s="36">
        <v>45246</v>
      </c>
      <c r="B597" s="29" t="s">
        <v>994</v>
      </c>
      <c r="C597" s="29" t="s">
        <v>957</v>
      </c>
      <c r="D597" s="50">
        <v>1774.31</v>
      </c>
      <c r="E597" s="29" t="s">
        <v>136</v>
      </c>
      <c r="F597" s="34">
        <v>44116</v>
      </c>
      <c r="G597" s="29"/>
      <c r="H597" s="49">
        <f t="shared" si="99"/>
        <v>16</v>
      </c>
      <c r="I597" s="49">
        <f t="shared" si="100"/>
        <v>11</v>
      </c>
      <c r="J597" s="122">
        <f t="shared" si="101"/>
        <v>2023</v>
      </c>
      <c r="K597" s="64">
        <f t="shared" si="102"/>
        <v>45306</v>
      </c>
      <c r="L597" s="10"/>
      <c r="M597" s="10"/>
      <c r="N597" s="199"/>
      <c r="O597" s="208">
        <v>44184</v>
      </c>
      <c r="P597" s="209">
        <f t="shared" si="103"/>
        <v>0</v>
      </c>
      <c r="Q597" s="209">
        <f>+SUMIF('A DEPOSITAR'!$D$2:$D$998,(O597-2),'A DEPOSITAR'!$H$2:$H$998)</f>
        <v>0</v>
      </c>
      <c r="R597" s="210">
        <f t="shared" si="104"/>
        <v>0</v>
      </c>
      <c r="S597" s="210">
        <f t="shared" si="105"/>
        <v>4260086.6900000023</v>
      </c>
      <c r="T597" s="209">
        <f t="shared" si="106"/>
        <v>0</v>
      </c>
      <c r="U597" s="209">
        <f>+SUMIFS('A DEPOSITAR'!$H$2:$H$998,'A DEPOSITAR'!$D$2:$D$998,(O597-2),'A DEPOSITAR'!$I$2:$I$998,"A Depositar")</f>
        <v>0</v>
      </c>
      <c r="V597" s="10"/>
      <c r="W597" s="10"/>
      <c r="X597" s="10"/>
      <c r="Y597" s="10"/>
      <c r="Z597" s="10"/>
    </row>
    <row r="598" spans="1:26" ht="12.75" x14ac:dyDescent="0.2">
      <c r="A598" s="177">
        <v>44181</v>
      </c>
      <c r="B598" s="178" t="s">
        <v>418</v>
      </c>
      <c r="C598" s="178" t="s">
        <v>268</v>
      </c>
      <c r="D598" s="179">
        <v>4098.9399999999996</v>
      </c>
      <c r="E598" s="103" t="s">
        <v>327</v>
      </c>
      <c r="F598" s="180">
        <v>43892</v>
      </c>
      <c r="G598" s="103"/>
      <c r="H598" s="106">
        <f t="shared" si="99"/>
        <v>16</v>
      </c>
      <c r="I598" s="106">
        <f t="shared" si="100"/>
        <v>12</v>
      </c>
      <c r="J598" s="124">
        <f t="shared" si="101"/>
        <v>2020</v>
      </c>
      <c r="K598" s="175">
        <f t="shared" si="102"/>
        <v>44241</v>
      </c>
      <c r="L598" s="181"/>
      <c r="M598" s="181"/>
      <c r="N598" s="182"/>
      <c r="O598" s="208">
        <v>44243</v>
      </c>
      <c r="P598" s="209">
        <f t="shared" si="103"/>
        <v>96422.35</v>
      </c>
      <c r="Q598" s="209">
        <f>+SUMIF('A DEPOSITAR'!$D$2:$D$998,(O598-2),'A DEPOSITAR'!$H$2:$H$998)</f>
        <v>0</v>
      </c>
      <c r="R598" s="210">
        <f t="shared" si="104"/>
        <v>-96422.35</v>
      </c>
      <c r="S598" s="210">
        <f t="shared" si="105"/>
        <v>4163664.3400000022</v>
      </c>
      <c r="T598" s="209">
        <f t="shared" si="106"/>
        <v>0</v>
      </c>
      <c r="U598" s="209">
        <f>+SUMIFS('A DEPOSITAR'!$H$2:$H$998,'A DEPOSITAR'!$D$2:$D$998,(O598-2),'A DEPOSITAR'!$I$2:$I$998,"A Depositar")</f>
        <v>0</v>
      </c>
      <c r="V598" s="181"/>
      <c r="W598" s="181"/>
      <c r="X598" s="181"/>
      <c r="Y598" s="181"/>
      <c r="Z598" s="181"/>
    </row>
    <row r="599" spans="1:26" ht="12.75" x14ac:dyDescent="0.2">
      <c r="A599" s="102">
        <v>43906</v>
      </c>
      <c r="B599" s="103" t="s">
        <v>266</v>
      </c>
      <c r="C599" s="103" t="s">
        <v>268</v>
      </c>
      <c r="D599" s="104">
        <v>1684.61</v>
      </c>
      <c r="E599" s="103" t="s">
        <v>22</v>
      </c>
      <c r="F599" s="105">
        <v>43804</v>
      </c>
      <c r="G599" s="103"/>
      <c r="H599" s="106">
        <f t="shared" si="99"/>
        <v>16</v>
      </c>
      <c r="I599" s="106">
        <f t="shared" si="100"/>
        <v>3</v>
      </c>
      <c r="J599" s="124">
        <f t="shared" si="101"/>
        <v>2020</v>
      </c>
      <c r="K599" s="175">
        <f t="shared" si="102"/>
        <v>43966</v>
      </c>
      <c r="L599" s="181"/>
      <c r="M599" s="181"/>
      <c r="N599" s="182"/>
      <c r="O599" s="208">
        <v>44244</v>
      </c>
      <c r="P599" s="209">
        <f t="shared" si="103"/>
        <v>74666.48</v>
      </c>
      <c r="Q599" s="209">
        <f>+SUMIF('A DEPOSITAR'!$D$2:$D$998,(O599-2),'A DEPOSITAR'!$H$2:$H$998)</f>
        <v>9000</v>
      </c>
      <c r="R599" s="210">
        <f t="shared" si="104"/>
        <v>-65666.48</v>
      </c>
      <c r="S599" s="210">
        <f t="shared" si="105"/>
        <v>4097997.8600000022</v>
      </c>
      <c r="T599" s="209">
        <f t="shared" si="106"/>
        <v>0</v>
      </c>
      <c r="U599" s="209">
        <f>+SUMIFS('A DEPOSITAR'!$H$2:$H$998,'A DEPOSITAR'!$D$2:$D$998,(O599-2),'A DEPOSITAR'!$I$2:$I$998,"A Depositar")</f>
        <v>0</v>
      </c>
      <c r="V599" s="181"/>
      <c r="W599" s="181"/>
      <c r="X599" s="181"/>
      <c r="Y599" s="181"/>
      <c r="Z599" s="181"/>
    </row>
    <row r="600" spans="1:26" ht="12.75" x14ac:dyDescent="0.2">
      <c r="A600" s="36">
        <v>45276</v>
      </c>
      <c r="B600" s="29" t="s">
        <v>994</v>
      </c>
      <c r="C600" s="29" t="s">
        <v>958</v>
      </c>
      <c r="D600" s="50">
        <v>1794.65</v>
      </c>
      <c r="E600" s="29" t="s">
        <v>136</v>
      </c>
      <c r="F600" s="34">
        <v>44116</v>
      </c>
      <c r="G600" s="29"/>
      <c r="H600" s="49">
        <f t="shared" si="99"/>
        <v>16</v>
      </c>
      <c r="I600" s="49">
        <f t="shared" si="100"/>
        <v>12</v>
      </c>
      <c r="J600" s="122">
        <f t="shared" si="101"/>
        <v>2023</v>
      </c>
      <c r="K600" s="64">
        <f t="shared" si="102"/>
        <v>45336</v>
      </c>
      <c r="L600" s="10"/>
      <c r="M600" s="10"/>
      <c r="N600" s="199"/>
      <c r="O600" s="208">
        <v>44186</v>
      </c>
      <c r="P600" s="209">
        <f t="shared" si="103"/>
        <v>0</v>
      </c>
      <c r="Q600" s="209">
        <f>+SUMIF('A DEPOSITAR'!$D$2:$D$998,(O600-2),'A DEPOSITAR'!$H$2:$H$998)</f>
        <v>25482.6</v>
      </c>
      <c r="R600" s="210">
        <f t="shared" si="104"/>
        <v>25482.6</v>
      </c>
      <c r="S600" s="210">
        <f t="shared" si="105"/>
        <v>4123480.4600000023</v>
      </c>
      <c r="T600" s="209">
        <f t="shared" si="106"/>
        <v>0</v>
      </c>
      <c r="U600" s="209">
        <f>+SUMIFS('A DEPOSITAR'!$H$2:$H$998,'A DEPOSITAR'!$D$2:$D$998,(O600-2),'A DEPOSITAR'!$I$2:$I$998,"A Depositar")</f>
        <v>0</v>
      </c>
      <c r="V600" s="10"/>
      <c r="W600" s="10"/>
      <c r="X600" s="10"/>
      <c r="Y600" s="10"/>
      <c r="Z600" s="10"/>
    </row>
    <row r="601" spans="1:26" ht="12.75" x14ac:dyDescent="0.2">
      <c r="A601" s="36">
        <v>45307</v>
      </c>
      <c r="B601" s="29" t="s">
        <v>994</v>
      </c>
      <c r="C601" s="29" t="s">
        <v>959</v>
      </c>
      <c r="D601" s="50">
        <v>1814.99</v>
      </c>
      <c r="E601" s="29" t="s">
        <v>136</v>
      </c>
      <c r="F601" s="34">
        <v>44116</v>
      </c>
      <c r="G601" s="29"/>
      <c r="H601" s="49">
        <f t="shared" si="99"/>
        <v>16</v>
      </c>
      <c r="I601" s="49">
        <f t="shared" si="100"/>
        <v>1</v>
      </c>
      <c r="J601" s="122">
        <f t="shared" si="101"/>
        <v>2024</v>
      </c>
      <c r="K601" s="64">
        <f t="shared" si="102"/>
        <v>45367</v>
      </c>
      <c r="L601" s="10"/>
      <c r="M601" s="10"/>
      <c r="N601" s="199"/>
      <c r="O601" s="208">
        <v>44188</v>
      </c>
      <c r="P601" s="209">
        <f t="shared" si="103"/>
        <v>0</v>
      </c>
      <c r="Q601" s="209">
        <f>+SUMIF('A DEPOSITAR'!$D$2:$D$998,(O601-2),'A DEPOSITAR'!$H$2:$H$998)</f>
        <v>0</v>
      </c>
      <c r="R601" s="210">
        <f t="shared" si="104"/>
        <v>0</v>
      </c>
      <c r="S601" s="210">
        <f t="shared" si="105"/>
        <v>4123480.4600000023</v>
      </c>
      <c r="T601" s="209">
        <f t="shared" si="106"/>
        <v>0</v>
      </c>
      <c r="U601" s="209">
        <f>+SUMIFS('A DEPOSITAR'!$H$2:$H$998,'A DEPOSITAR'!$D$2:$D$998,(O601-2),'A DEPOSITAR'!$I$2:$I$998,"A Depositar")</f>
        <v>0</v>
      </c>
      <c r="V601" s="10"/>
      <c r="W601" s="10"/>
      <c r="X601" s="10"/>
      <c r="Y601" s="10"/>
      <c r="Z601" s="10"/>
    </row>
    <row r="602" spans="1:26" ht="12.75" x14ac:dyDescent="0.2">
      <c r="A602" s="36">
        <v>45338</v>
      </c>
      <c r="B602" s="29" t="s">
        <v>994</v>
      </c>
      <c r="C602" s="29" t="s">
        <v>960</v>
      </c>
      <c r="D602" s="50">
        <v>1835.33</v>
      </c>
      <c r="E602" s="29" t="s">
        <v>136</v>
      </c>
      <c r="F602" s="34">
        <v>44116</v>
      </c>
      <c r="G602" s="29"/>
      <c r="H602" s="49">
        <f t="shared" si="99"/>
        <v>16</v>
      </c>
      <c r="I602" s="49">
        <f t="shared" si="100"/>
        <v>2</v>
      </c>
      <c r="J602" s="122">
        <f t="shared" si="101"/>
        <v>2024</v>
      </c>
      <c r="K602" s="64">
        <f t="shared" si="102"/>
        <v>45398</v>
      </c>
      <c r="L602" s="10"/>
      <c r="M602" s="10"/>
      <c r="N602" s="199"/>
      <c r="O602" s="208">
        <v>44190</v>
      </c>
      <c r="P602" s="209">
        <f t="shared" si="103"/>
        <v>0</v>
      </c>
      <c r="Q602" s="209">
        <f>+SUMIF('A DEPOSITAR'!$D$2:$D$998,(O602-2),'A DEPOSITAR'!$H$2:$H$998)</f>
        <v>0</v>
      </c>
      <c r="R602" s="210">
        <f t="shared" si="104"/>
        <v>0</v>
      </c>
      <c r="S602" s="210">
        <f t="shared" si="105"/>
        <v>4123480.4600000023</v>
      </c>
      <c r="T602" s="209">
        <f t="shared" si="106"/>
        <v>0</v>
      </c>
      <c r="U602" s="209">
        <f>+SUMIFS('A DEPOSITAR'!$H$2:$H$998,'A DEPOSITAR'!$D$2:$D$998,(O602-2),'A DEPOSITAR'!$I$2:$I$998,"A Depositar")</f>
        <v>0</v>
      </c>
      <c r="V602" s="10"/>
      <c r="W602" s="10"/>
      <c r="X602" s="10"/>
      <c r="Y602" s="10"/>
      <c r="Z602" s="10"/>
    </row>
    <row r="603" spans="1:26" ht="12.75" x14ac:dyDescent="0.2">
      <c r="A603" s="36">
        <v>44271</v>
      </c>
      <c r="B603" s="29" t="s">
        <v>994</v>
      </c>
      <c r="C603" s="29" t="s">
        <v>233</v>
      </c>
      <c r="D603" s="50">
        <v>1123.43</v>
      </c>
      <c r="E603" s="29" t="s">
        <v>22</v>
      </c>
      <c r="F603" s="34">
        <v>44116</v>
      </c>
      <c r="G603" s="29"/>
      <c r="H603" s="49">
        <f t="shared" si="99"/>
        <v>16</v>
      </c>
      <c r="I603" s="49">
        <f t="shared" si="100"/>
        <v>3</v>
      </c>
      <c r="J603" s="122">
        <f t="shared" si="101"/>
        <v>2021</v>
      </c>
      <c r="K603" s="64">
        <f t="shared" si="102"/>
        <v>44331</v>
      </c>
      <c r="L603" s="10"/>
      <c r="M603" s="10"/>
      <c r="N603" s="199"/>
      <c r="O603" s="208">
        <v>44195</v>
      </c>
      <c r="P603" s="209">
        <f t="shared" si="103"/>
        <v>39433.880000000005</v>
      </c>
      <c r="Q603" s="209">
        <f>+SUMIF('A DEPOSITAR'!$D$2:$D$998,(O603-2),'A DEPOSITAR'!$H$2:$H$998)</f>
        <v>0</v>
      </c>
      <c r="R603" s="210">
        <f t="shared" si="104"/>
        <v>-39433.880000000005</v>
      </c>
      <c r="S603" s="210">
        <f t="shared" si="105"/>
        <v>4084046.5800000024</v>
      </c>
      <c r="T603" s="209">
        <f t="shared" si="106"/>
        <v>0</v>
      </c>
      <c r="U603" s="209">
        <f>+SUMIFS('A DEPOSITAR'!$H$2:$H$998,'A DEPOSITAR'!$D$2:$D$998,(O603-2),'A DEPOSITAR'!$I$2:$I$998,"A Depositar")</f>
        <v>0</v>
      </c>
      <c r="V603" s="10"/>
      <c r="W603" s="10"/>
      <c r="X603" s="10"/>
      <c r="Y603" s="10"/>
      <c r="Z603" s="10"/>
    </row>
    <row r="604" spans="1:26" ht="12.75" x14ac:dyDescent="0.2">
      <c r="A604" s="36">
        <v>45367</v>
      </c>
      <c r="B604" s="29" t="s">
        <v>994</v>
      </c>
      <c r="C604" s="29" t="s">
        <v>961</v>
      </c>
      <c r="D604" s="50">
        <v>1855.67</v>
      </c>
      <c r="E604" s="29" t="s">
        <v>136</v>
      </c>
      <c r="F604" s="34">
        <v>44116</v>
      </c>
      <c r="G604" s="29"/>
      <c r="H604" s="49">
        <f t="shared" ref="H604:H630" si="107">DAY(A604)</f>
        <v>16</v>
      </c>
      <c r="I604" s="49">
        <f t="shared" ref="I604:I630" si="108">MONTH(A604)</f>
        <v>3</v>
      </c>
      <c r="J604" s="122">
        <f t="shared" ref="J604:J630" si="109">YEAR(A604)</f>
        <v>2024</v>
      </c>
      <c r="K604" s="64">
        <f t="shared" ref="K604:K630" si="110">A604+60</f>
        <v>45427</v>
      </c>
      <c r="L604" s="10"/>
      <c r="M604" s="10"/>
      <c r="N604" s="199"/>
      <c r="O604" s="208">
        <v>44201</v>
      </c>
      <c r="P604" s="209">
        <f t="shared" ref="P604:P630" si="111">+SUMIF($A$2:$A$998,O604,$D$2:$D$998)</f>
        <v>0</v>
      </c>
      <c r="Q604" s="209">
        <f>+SUMIF('A DEPOSITAR'!$D$2:$D$998,(O604-2),'A DEPOSITAR'!$H$2:$H$998)</f>
        <v>14668</v>
      </c>
      <c r="R604" s="210">
        <f t="shared" ref="R604:R630" si="112">+Q604-P604</f>
        <v>14668</v>
      </c>
      <c r="S604" s="210">
        <f t="shared" ref="S604:S630" si="113">+S603+R604</f>
        <v>4098714.5800000024</v>
      </c>
      <c r="T604" s="209">
        <f t="shared" ref="T604:T630" si="114">+SUMIFS($D$2:$D$998,$A$2:$A$998,O604,$E$2:$E$998,"A Pagar")</f>
        <v>0</v>
      </c>
      <c r="U604" s="209">
        <f>+SUMIFS('A DEPOSITAR'!$H$2:$H$998,'A DEPOSITAR'!$D$2:$D$998,(O604-2),'A DEPOSITAR'!$I$2:$I$998,"A Depositar")</f>
        <v>0</v>
      </c>
      <c r="V604" s="10"/>
      <c r="W604" s="10"/>
      <c r="X604" s="10"/>
      <c r="Y604" s="10"/>
      <c r="Z604" s="10"/>
    </row>
    <row r="605" spans="1:26" ht="12.75" x14ac:dyDescent="0.2">
      <c r="A605" s="36">
        <v>45398</v>
      </c>
      <c r="B605" s="29" t="s">
        <v>994</v>
      </c>
      <c r="C605" s="29" t="s">
        <v>962</v>
      </c>
      <c r="D605" s="50">
        <v>1876.01</v>
      </c>
      <c r="E605" s="29" t="s">
        <v>136</v>
      </c>
      <c r="F605" s="34">
        <v>44116</v>
      </c>
      <c r="G605" s="29"/>
      <c r="H605" s="49">
        <f t="shared" si="107"/>
        <v>16</v>
      </c>
      <c r="I605" s="49">
        <f t="shared" si="108"/>
        <v>4</v>
      </c>
      <c r="J605" s="122">
        <f t="shared" si="109"/>
        <v>2024</v>
      </c>
      <c r="K605" s="64">
        <f t="shared" si="110"/>
        <v>45458</v>
      </c>
      <c r="L605" s="10"/>
      <c r="M605" s="10"/>
      <c r="N605" s="199"/>
      <c r="O605" s="208">
        <v>44203</v>
      </c>
      <c r="P605" s="209">
        <f t="shared" si="111"/>
        <v>0</v>
      </c>
      <c r="Q605" s="209">
        <f>+SUMIF('A DEPOSITAR'!$D$2:$D$998,(O605-2),'A DEPOSITAR'!$H$2:$H$998)</f>
        <v>35000</v>
      </c>
      <c r="R605" s="210">
        <f t="shared" si="112"/>
        <v>35000</v>
      </c>
      <c r="S605" s="210">
        <f t="shared" si="113"/>
        <v>4133714.5800000024</v>
      </c>
      <c r="T605" s="209">
        <f t="shared" si="114"/>
        <v>0</v>
      </c>
      <c r="U605" s="209">
        <f>+SUMIFS('A DEPOSITAR'!$H$2:$H$998,'A DEPOSITAR'!$D$2:$D$998,(O605-2),'A DEPOSITAR'!$I$2:$I$998,"A Depositar")</f>
        <v>0</v>
      </c>
      <c r="V605" s="10"/>
      <c r="W605" s="10"/>
      <c r="X605" s="10"/>
      <c r="Y605" s="10"/>
      <c r="Z605" s="10"/>
    </row>
    <row r="606" spans="1:26" ht="12.75" x14ac:dyDescent="0.2">
      <c r="A606" s="36">
        <v>45428</v>
      </c>
      <c r="B606" s="29" t="s">
        <v>994</v>
      </c>
      <c r="C606" s="29" t="s">
        <v>963</v>
      </c>
      <c r="D606" s="50">
        <v>1896.35</v>
      </c>
      <c r="E606" s="29" t="s">
        <v>136</v>
      </c>
      <c r="F606" s="34">
        <v>44116</v>
      </c>
      <c r="G606" s="29"/>
      <c r="H606" s="49">
        <f t="shared" si="107"/>
        <v>16</v>
      </c>
      <c r="I606" s="49">
        <f t="shared" si="108"/>
        <v>5</v>
      </c>
      <c r="J606" s="122">
        <f t="shared" si="109"/>
        <v>2024</v>
      </c>
      <c r="K606" s="64">
        <f t="shared" si="110"/>
        <v>45488</v>
      </c>
      <c r="L606" s="10"/>
      <c r="M606" s="10"/>
      <c r="N606" s="199"/>
      <c r="O606" s="208">
        <v>44205</v>
      </c>
      <c r="P606" s="209">
        <f t="shared" si="111"/>
        <v>0</v>
      </c>
      <c r="Q606" s="209">
        <f>+SUMIF('A DEPOSITAR'!$D$2:$D$998,(O606-2),'A DEPOSITAR'!$H$2:$H$998)</f>
        <v>0</v>
      </c>
      <c r="R606" s="210">
        <f t="shared" si="112"/>
        <v>0</v>
      </c>
      <c r="S606" s="210">
        <f t="shared" si="113"/>
        <v>4133714.5800000024</v>
      </c>
      <c r="T606" s="209">
        <f t="shared" si="114"/>
        <v>0</v>
      </c>
      <c r="U606" s="209">
        <f>+SUMIFS('A DEPOSITAR'!$H$2:$H$998,'A DEPOSITAR'!$D$2:$D$998,(O606-2),'A DEPOSITAR'!$I$2:$I$998,"A Depositar")</f>
        <v>0</v>
      </c>
      <c r="V606" s="10"/>
      <c r="W606" s="10"/>
      <c r="X606" s="10"/>
      <c r="Y606" s="10"/>
      <c r="Z606" s="10"/>
    </row>
    <row r="607" spans="1:26" ht="12.75" x14ac:dyDescent="0.2">
      <c r="A607" s="36">
        <v>45459</v>
      </c>
      <c r="B607" s="29" t="s">
        <v>994</v>
      </c>
      <c r="C607" s="29" t="s">
        <v>964</v>
      </c>
      <c r="D607" s="50">
        <v>1916.69</v>
      </c>
      <c r="E607" s="29" t="s">
        <v>136</v>
      </c>
      <c r="F607" s="34">
        <v>44116</v>
      </c>
      <c r="G607" s="29"/>
      <c r="H607" s="49">
        <f t="shared" si="107"/>
        <v>16</v>
      </c>
      <c r="I607" s="49">
        <f t="shared" si="108"/>
        <v>6</v>
      </c>
      <c r="J607" s="122">
        <f t="shared" si="109"/>
        <v>2024</v>
      </c>
      <c r="K607" s="64">
        <f t="shared" si="110"/>
        <v>45519</v>
      </c>
      <c r="L607" s="10"/>
      <c r="M607" s="10"/>
      <c r="N607" s="199"/>
      <c r="O607" s="208">
        <v>44207</v>
      </c>
      <c r="P607" s="209">
        <f t="shared" si="111"/>
        <v>0</v>
      </c>
      <c r="Q607" s="209">
        <f>+SUMIF('A DEPOSITAR'!$D$2:$D$998,(O607-2),'A DEPOSITAR'!$H$2:$H$998)</f>
        <v>0</v>
      </c>
      <c r="R607" s="210">
        <f t="shared" si="112"/>
        <v>0</v>
      </c>
      <c r="S607" s="210">
        <f t="shared" si="113"/>
        <v>4133714.5800000024</v>
      </c>
      <c r="T607" s="209">
        <f t="shared" si="114"/>
        <v>0</v>
      </c>
      <c r="U607" s="209">
        <f>+SUMIFS('A DEPOSITAR'!$H$2:$H$998,'A DEPOSITAR'!$D$2:$D$998,(O607-2),'A DEPOSITAR'!$I$2:$I$998,"A Depositar")</f>
        <v>0</v>
      </c>
      <c r="V607" s="10"/>
      <c r="W607" s="10"/>
      <c r="X607" s="10"/>
      <c r="Y607" s="10"/>
      <c r="Z607" s="10"/>
    </row>
    <row r="608" spans="1:26" ht="12.75" x14ac:dyDescent="0.2">
      <c r="A608" s="36">
        <v>45489</v>
      </c>
      <c r="B608" s="29" t="s">
        <v>994</v>
      </c>
      <c r="C608" s="29" t="s">
        <v>965</v>
      </c>
      <c r="D608" s="50">
        <v>1937.03</v>
      </c>
      <c r="E608" s="29" t="s">
        <v>136</v>
      </c>
      <c r="F608" s="34">
        <v>44116</v>
      </c>
      <c r="G608" s="29"/>
      <c r="H608" s="49">
        <f t="shared" si="107"/>
        <v>16</v>
      </c>
      <c r="I608" s="49">
        <f t="shared" si="108"/>
        <v>7</v>
      </c>
      <c r="J608" s="122">
        <f t="shared" si="109"/>
        <v>2024</v>
      </c>
      <c r="K608" s="64">
        <f t="shared" si="110"/>
        <v>45549</v>
      </c>
      <c r="L608" s="10"/>
      <c r="M608" s="10"/>
      <c r="N608" s="199"/>
      <c r="O608" s="208">
        <v>44209</v>
      </c>
      <c r="P608" s="209">
        <f t="shared" si="111"/>
        <v>0</v>
      </c>
      <c r="Q608" s="209">
        <f>+SUMIF('A DEPOSITAR'!$D$2:$D$998,(O608-2),'A DEPOSITAR'!$H$2:$H$998)</f>
        <v>10700</v>
      </c>
      <c r="R608" s="210">
        <f t="shared" si="112"/>
        <v>10700</v>
      </c>
      <c r="S608" s="210">
        <f t="shared" si="113"/>
        <v>4144414.5800000024</v>
      </c>
      <c r="T608" s="209">
        <f t="shared" si="114"/>
        <v>0</v>
      </c>
      <c r="U608" s="209">
        <f>+SUMIFS('A DEPOSITAR'!$H$2:$H$998,'A DEPOSITAR'!$D$2:$D$998,(O608-2),'A DEPOSITAR'!$I$2:$I$998,"A Depositar")</f>
        <v>0</v>
      </c>
      <c r="V608" s="10"/>
      <c r="W608" s="10"/>
      <c r="X608" s="10"/>
      <c r="Y608" s="10"/>
      <c r="Z608" s="10"/>
    </row>
    <row r="609" spans="1:26" ht="12.75" x14ac:dyDescent="0.2">
      <c r="A609" s="36">
        <v>45520</v>
      </c>
      <c r="B609" s="29" t="s">
        <v>994</v>
      </c>
      <c r="C609" s="29" t="s">
        <v>966</v>
      </c>
      <c r="D609" s="50">
        <v>1957.37</v>
      </c>
      <c r="E609" s="29" t="s">
        <v>136</v>
      </c>
      <c r="F609" s="34">
        <v>44116</v>
      </c>
      <c r="G609" s="29"/>
      <c r="H609" s="49">
        <f t="shared" si="107"/>
        <v>16</v>
      </c>
      <c r="I609" s="49">
        <f t="shared" si="108"/>
        <v>8</v>
      </c>
      <c r="J609" s="122">
        <f t="shared" si="109"/>
        <v>2024</v>
      </c>
      <c r="K609" s="64">
        <f t="shared" si="110"/>
        <v>45580</v>
      </c>
      <c r="L609" s="10"/>
      <c r="M609" s="10"/>
      <c r="N609" s="199"/>
      <c r="O609" s="208">
        <v>44211</v>
      </c>
      <c r="P609" s="209">
        <f t="shared" si="111"/>
        <v>0</v>
      </c>
      <c r="Q609" s="209">
        <f>+SUMIF('A DEPOSITAR'!$D$2:$D$998,(O609-2),'A DEPOSITAR'!$H$2:$H$998)</f>
        <v>0</v>
      </c>
      <c r="R609" s="210">
        <f t="shared" si="112"/>
        <v>0</v>
      </c>
      <c r="S609" s="210">
        <f t="shared" si="113"/>
        <v>4144414.5800000024</v>
      </c>
      <c r="T609" s="209">
        <f t="shared" si="114"/>
        <v>0</v>
      </c>
      <c r="U609" s="209">
        <f>+SUMIFS('A DEPOSITAR'!$H$2:$H$998,'A DEPOSITAR'!$D$2:$D$998,(O609-2),'A DEPOSITAR'!$I$2:$I$998,"A Depositar")</f>
        <v>0</v>
      </c>
      <c r="V609" s="10"/>
      <c r="W609" s="10"/>
      <c r="X609" s="10"/>
      <c r="Y609" s="10"/>
      <c r="Z609" s="10"/>
    </row>
    <row r="610" spans="1:26" ht="12.75" x14ac:dyDescent="0.2">
      <c r="A610" s="102">
        <v>44090</v>
      </c>
      <c r="B610" s="103" t="s">
        <v>365</v>
      </c>
      <c r="C610" s="103" t="s">
        <v>269</v>
      </c>
      <c r="D610" s="104">
        <v>12412.65</v>
      </c>
      <c r="E610" s="103" t="s">
        <v>327</v>
      </c>
      <c r="F610" s="105">
        <v>43864</v>
      </c>
      <c r="G610" s="103"/>
      <c r="H610" s="106">
        <f t="shared" si="107"/>
        <v>16</v>
      </c>
      <c r="I610" s="106">
        <f t="shared" si="108"/>
        <v>9</v>
      </c>
      <c r="J610" s="124">
        <f t="shared" si="109"/>
        <v>2020</v>
      </c>
      <c r="K610" s="175">
        <f t="shared" si="110"/>
        <v>44150</v>
      </c>
      <c r="L610" s="181"/>
      <c r="M610" s="181"/>
      <c r="N610" s="182"/>
      <c r="O610" s="208">
        <v>44255</v>
      </c>
      <c r="P610" s="209">
        <f t="shared" si="111"/>
        <v>47807.67</v>
      </c>
      <c r="Q610" s="209">
        <f>+SUMIF('A DEPOSITAR'!$D$2:$D$998,(O610-2),'A DEPOSITAR'!$H$2:$H$998)</f>
        <v>0</v>
      </c>
      <c r="R610" s="210">
        <f t="shared" si="112"/>
        <v>-47807.67</v>
      </c>
      <c r="S610" s="210">
        <f t="shared" si="113"/>
        <v>4096606.9100000025</v>
      </c>
      <c r="T610" s="209">
        <f t="shared" si="114"/>
        <v>0</v>
      </c>
      <c r="U610" s="209">
        <f>+SUMIFS('A DEPOSITAR'!$H$2:$H$998,'A DEPOSITAR'!$D$2:$D$998,(O610-2),'A DEPOSITAR'!$I$2:$I$998,"A Depositar")</f>
        <v>0</v>
      </c>
      <c r="V610" s="181"/>
      <c r="W610" s="181"/>
      <c r="X610" s="181"/>
      <c r="Y610" s="181"/>
      <c r="Z610" s="181"/>
    </row>
    <row r="611" spans="1:26" ht="12.75" x14ac:dyDescent="0.2">
      <c r="A611" s="36">
        <v>45551</v>
      </c>
      <c r="B611" s="29" t="s">
        <v>994</v>
      </c>
      <c r="C611" s="29" t="s">
        <v>967</v>
      </c>
      <c r="D611" s="50">
        <v>1977.45</v>
      </c>
      <c r="E611" s="29" t="s">
        <v>136</v>
      </c>
      <c r="F611" s="34">
        <v>44116</v>
      </c>
      <c r="G611" s="29"/>
      <c r="H611" s="49">
        <f t="shared" si="107"/>
        <v>16</v>
      </c>
      <c r="I611" s="49">
        <f t="shared" si="108"/>
        <v>9</v>
      </c>
      <c r="J611" s="122">
        <f t="shared" si="109"/>
        <v>2024</v>
      </c>
      <c r="K611" s="64">
        <f t="shared" si="110"/>
        <v>45611</v>
      </c>
      <c r="L611" s="10"/>
      <c r="M611" s="10"/>
      <c r="N611" s="199"/>
      <c r="O611" s="208">
        <v>44213</v>
      </c>
      <c r="P611" s="209">
        <f t="shared" si="111"/>
        <v>76302.83</v>
      </c>
      <c r="Q611" s="209">
        <f>+SUMIF('A DEPOSITAR'!$D$2:$D$998,(O611-2),'A DEPOSITAR'!$H$2:$H$998)</f>
        <v>19602</v>
      </c>
      <c r="R611" s="210">
        <f t="shared" si="112"/>
        <v>-56700.83</v>
      </c>
      <c r="S611" s="210">
        <f t="shared" si="113"/>
        <v>4039906.0800000024</v>
      </c>
      <c r="T611" s="209">
        <f t="shared" si="114"/>
        <v>0</v>
      </c>
      <c r="U611" s="209">
        <f>+SUMIFS('A DEPOSITAR'!$H$2:$H$998,'A DEPOSITAR'!$D$2:$D$998,(O611-2),'A DEPOSITAR'!$I$2:$I$998,"A Depositar")</f>
        <v>0</v>
      </c>
      <c r="V611" s="10"/>
      <c r="W611" s="10"/>
      <c r="X611" s="10"/>
      <c r="Y611" s="10"/>
      <c r="Z611" s="10"/>
    </row>
    <row r="612" spans="1:26" ht="12.75" x14ac:dyDescent="0.2">
      <c r="A612" s="36">
        <v>44302</v>
      </c>
      <c r="B612" s="29" t="s">
        <v>994</v>
      </c>
      <c r="C612" s="29" t="s">
        <v>234</v>
      </c>
      <c r="D612" s="50">
        <v>1143.77</v>
      </c>
      <c r="E612" s="29" t="s">
        <v>22</v>
      </c>
      <c r="F612" s="34">
        <v>44116</v>
      </c>
      <c r="G612" s="29"/>
      <c r="H612" s="49">
        <f t="shared" si="107"/>
        <v>16</v>
      </c>
      <c r="I612" s="49">
        <f t="shared" si="108"/>
        <v>4</v>
      </c>
      <c r="J612" s="122">
        <f t="shared" si="109"/>
        <v>2021</v>
      </c>
      <c r="K612" s="64">
        <f t="shared" si="110"/>
        <v>44362</v>
      </c>
      <c r="L612" s="10"/>
      <c r="M612" s="10"/>
      <c r="N612" s="199"/>
      <c r="O612" s="208">
        <v>44221</v>
      </c>
      <c r="P612" s="209">
        <f t="shared" si="111"/>
        <v>0</v>
      </c>
      <c r="Q612" s="209">
        <f>+SUMIF('A DEPOSITAR'!$D$2:$D$998,(O612-2),'A DEPOSITAR'!$H$2:$H$998)</f>
        <v>0</v>
      </c>
      <c r="R612" s="210">
        <f t="shared" si="112"/>
        <v>0</v>
      </c>
      <c r="S612" s="210">
        <f t="shared" si="113"/>
        <v>4039906.0800000024</v>
      </c>
      <c r="T612" s="209">
        <f t="shared" si="114"/>
        <v>0</v>
      </c>
      <c r="U612" s="209">
        <f>+SUMIFS('A DEPOSITAR'!$H$2:$H$998,'A DEPOSITAR'!$D$2:$D$998,(O612-2),'A DEPOSITAR'!$I$2:$I$998,"A Depositar")</f>
        <v>0</v>
      </c>
      <c r="V612" s="10"/>
      <c r="W612" s="10"/>
      <c r="X612" s="10"/>
      <c r="Y612" s="10"/>
      <c r="Z612" s="10"/>
    </row>
    <row r="613" spans="1:26" ht="12.75" x14ac:dyDescent="0.2">
      <c r="A613" s="36">
        <v>44332</v>
      </c>
      <c r="B613" s="29" t="s">
        <v>994</v>
      </c>
      <c r="C613" s="29" t="s">
        <v>268</v>
      </c>
      <c r="D613" s="50">
        <v>1164.1099999999999</v>
      </c>
      <c r="E613" s="29" t="s">
        <v>22</v>
      </c>
      <c r="F613" s="34">
        <v>44116</v>
      </c>
      <c r="G613" s="29"/>
      <c r="H613" s="49">
        <f t="shared" si="107"/>
        <v>16</v>
      </c>
      <c r="I613" s="49">
        <f t="shared" si="108"/>
        <v>5</v>
      </c>
      <c r="J613" s="122">
        <f t="shared" si="109"/>
        <v>2021</v>
      </c>
      <c r="K613" s="64">
        <f t="shared" si="110"/>
        <v>44392</v>
      </c>
      <c r="L613" s="6"/>
      <c r="M613" s="6"/>
      <c r="O613" s="208">
        <v>44240</v>
      </c>
      <c r="P613" s="209">
        <f t="shared" si="111"/>
        <v>0</v>
      </c>
      <c r="Q613" s="209">
        <f>+SUMIF('A DEPOSITAR'!$D$2:$D$998,(O613-2),'A DEPOSITAR'!$H$2:$H$998)</f>
        <v>0</v>
      </c>
      <c r="R613" s="210">
        <f t="shared" si="112"/>
        <v>0</v>
      </c>
      <c r="S613" s="210">
        <f t="shared" si="113"/>
        <v>4039906.0800000024</v>
      </c>
      <c r="T613" s="209">
        <f t="shared" si="114"/>
        <v>0</v>
      </c>
      <c r="U613" s="209">
        <f>+SUMIFS('A DEPOSITAR'!$H$2:$H$998,'A DEPOSITAR'!$D$2:$D$998,(O613-2),'A DEPOSITAR'!$I$2:$I$998,"A Depositar")</f>
        <v>0</v>
      </c>
      <c r="V613" s="6"/>
      <c r="W613" s="6"/>
      <c r="X613" s="6"/>
      <c r="Y613" s="6"/>
      <c r="Z613" s="6"/>
    </row>
    <row r="614" spans="1:26" ht="12.75" x14ac:dyDescent="0.2">
      <c r="A614" s="36">
        <v>44363</v>
      </c>
      <c r="B614" s="29" t="s">
        <v>994</v>
      </c>
      <c r="C614" s="29" t="s">
        <v>269</v>
      </c>
      <c r="D614" s="213">
        <v>1184.45</v>
      </c>
      <c r="E614" s="29" t="s">
        <v>22</v>
      </c>
      <c r="F614" s="34">
        <v>44116</v>
      </c>
      <c r="G614" s="29" t="s">
        <v>1208</v>
      </c>
      <c r="H614" s="49">
        <f t="shared" si="107"/>
        <v>16</v>
      </c>
      <c r="I614" s="49">
        <f t="shared" si="108"/>
        <v>6</v>
      </c>
      <c r="J614" s="122">
        <f t="shared" si="109"/>
        <v>2021</v>
      </c>
      <c r="K614" s="64">
        <f t="shared" si="110"/>
        <v>44423</v>
      </c>
      <c r="L614" s="6"/>
      <c r="M614" s="6"/>
      <c r="O614" s="208">
        <v>44257</v>
      </c>
      <c r="P614" s="209">
        <f t="shared" si="111"/>
        <v>0</v>
      </c>
      <c r="Q614" s="209">
        <f>+SUMIF('A DEPOSITAR'!$D$2:$D$998,(O614-2),'A DEPOSITAR'!$H$2:$H$998)</f>
        <v>26255</v>
      </c>
      <c r="R614" s="210">
        <f t="shared" si="112"/>
        <v>26255</v>
      </c>
      <c r="S614" s="210">
        <f t="shared" si="113"/>
        <v>4066161.0800000024</v>
      </c>
      <c r="T614" s="209">
        <f t="shared" si="114"/>
        <v>0</v>
      </c>
      <c r="U614" s="209">
        <f>+SUMIFS('A DEPOSITAR'!$H$2:$H$998,'A DEPOSITAR'!$D$2:$D$998,(O614-2),'A DEPOSITAR'!$I$2:$I$998,"A Depositar")</f>
        <v>0</v>
      </c>
      <c r="V614" s="6"/>
      <c r="W614" s="6"/>
      <c r="X614" s="6"/>
      <c r="Y614" s="6"/>
      <c r="Z614" s="6"/>
    </row>
    <row r="615" spans="1:26" ht="12.75" x14ac:dyDescent="0.2">
      <c r="A615" s="177">
        <v>44212</v>
      </c>
      <c r="B615" s="178" t="s">
        <v>418</v>
      </c>
      <c r="C615" s="178" t="s">
        <v>269</v>
      </c>
      <c r="D615" s="179">
        <v>4197.6000000000004</v>
      </c>
      <c r="E615" s="103" t="s">
        <v>327</v>
      </c>
      <c r="F615" s="180">
        <v>43892</v>
      </c>
      <c r="G615" s="103"/>
      <c r="H615" s="106">
        <f t="shared" si="107"/>
        <v>16</v>
      </c>
      <c r="I615" s="106">
        <f t="shared" si="108"/>
        <v>1</v>
      </c>
      <c r="J615" s="124">
        <f t="shared" si="109"/>
        <v>2021</v>
      </c>
      <c r="K615" s="175">
        <f t="shared" si="110"/>
        <v>44272</v>
      </c>
      <c r="L615" s="181"/>
      <c r="M615" s="181"/>
      <c r="N615" s="182"/>
      <c r="O615" s="208">
        <v>44260</v>
      </c>
      <c r="P615" s="209">
        <f t="shared" si="111"/>
        <v>0</v>
      </c>
      <c r="Q615" s="209">
        <f>+SUMIF('A DEPOSITAR'!$D$2:$D$998,(O615-2),'A DEPOSITAR'!$H$2:$H$998)</f>
        <v>0</v>
      </c>
      <c r="R615" s="210">
        <f t="shared" si="112"/>
        <v>0</v>
      </c>
      <c r="S615" s="210">
        <f t="shared" si="113"/>
        <v>4066161.0800000024</v>
      </c>
      <c r="T615" s="209">
        <f t="shared" si="114"/>
        <v>0</v>
      </c>
      <c r="U615" s="209">
        <f>+SUMIFS('A DEPOSITAR'!$H$2:$H$998,'A DEPOSITAR'!$D$2:$D$998,(O615-2),'A DEPOSITAR'!$I$2:$I$998,"A Depositar")</f>
        <v>0</v>
      </c>
      <c r="V615" s="181"/>
      <c r="W615" s="181"/>
      <c r="X615" s="181"/>
      <c r="Y615" s="181"/>
      <c r="Z615" s="181"/>
    </row>
    <row r="616" spans="1:26" ht="12.75" x14ac:dyDescent="0.2">
      <c r="A616" s="102">
        <v>43937</v>
      </c>
      <c r="B616" s="103" t="s">
        <v>266</v>
      </c>
      <c r="C616" s="103" t="s">
        <v>269</v>
      </c>
      <c r="D616" s="104">
        <v>1698.65</v>
      </c>
      <c r="E616" s="103" t="s">
        <v>22</v>
      </c>
      <c r="F616" s="105">
        <v>43804</v>
      </c>
      <c r="G616" s="103" t="s">
        <v>806</v>
      </c>
      <c r="H616" s="106">
        <f t="shared" si="107"/>
        <v>16</v>
      </c>
      <c r="I616" s="106">
        <f t="shared" si="108"/>
        <v>4</v>
      </c>
      <c r="J616" s="124">
        <f t="shared" si="109"/>
        <v>2020</v>
      </c>
      <c r="K616" s="175">
        <f t="shared" si="110"/>
        <v>43997</v>
      </c>
      <c r="L616" s="181"/>
      <c r="M616" s="181"/>
      <c r="N616" s="182"/>
      <c r="O616" s="208">
        <v>44261</v>
      </c>
      <c r="P616" s="209">
        <f t="shared" si="111"/>
        <v>0</v>
      </c>
      <c r="Q616" s="209">
        <f>+SUMIF('A DEPOSITAR'!$D$2:$D$998,(O616-2),'A DEPOSITAR'!$H$2:$H$998)</f>
        <v>0</v>
      </c>
      <c r="R616" s="210">
        <f t="shared" si="112"/>
        <v>0</v>
      </c>
      <c r="S616" s="210">
        <f t="shared" si="113"/>
        <v>4066161.0800000024</v>
      </c>
      <c r="T616" s="209">
        <f t="shared" si="114"/>
        <v>0</v>
      </c>
      <c r="U616" s="209">
        <f>+SUMIFS('A DEPOSITAR'!$H$2:$H$998,'A DEPOSITAR'!$D$2:$D$998,(O616-2),'A DEPOSITAR'!$I$2:$I$998,"A Depositar")</f>
        <v>0</v>
      </c>
      <c r="V616" s="181"/>
      <c r="W616" s="181"/>
      <c r="X616" s="181"/>
      <c r="Y616" s="181"/>
      <c r="Z616" s="181"/>
    </row>
    <row r="617" spans="1:26" ht="12.75" x14ac:dyDescent="0.2">
      <c r="A617" s="36">
        <v>44393</v>
      </c>
      <c r="B617" s="29" t="s">
        <v>994</v>
      </c>
      <c r="C617" s="29" t="s">
        <v>263</v>
      </c>
      <c r="D617" s="213">
        <v>1204.79</v>
      </c>
      <c r="E617" s="29" t="s">
        <v>22</v>
      </c>
      <c r="F617" s="34">
        <v>44116</v>
      </c>
      <c r="G617" s="29" t="s">
        <v>1228</v>
      </c>
      <c r="H617" s="49">
        <f t="shared" si="107"/>
        <v>16</v>
      </c>
      <c r="I617" s="49">
        <f t="shared" si="108"/>
        <v>7</v>
      </c>
      <c r="J617" s="122">
        <f t="shared" si="109"/>
        <v>2021</v>
      </c>
      <c r="K617" s="64">
        <f t="shared" si="110"/>
        <v>44453</v>
      </c>
      <c r="L617" s="6"/>
      <c r="M617" s="6"/>
      <c r="O617" s="208">
        <v>44267</v>
      </c>
      <c r="P617" s="209">
        <f t="shared" si="111"/>
        <v>0</v>
      </c>
      <c r="Q617" s="209">
        <f>+SUMIF('A DEPOSITAR'!$D$2:$D$998,(O617-2),'A DEPOSITAR'!$H$2:$H$998)</f>
        <v>5838</v>
      </c>
      <c r="R617" s="210">
        <f t="shared" si="112"/>
        <v>5838</v>
      </c>
      <c r="S617" s="210">
        <f t="shared" si="113"/>
        <v>4071999.0800000024</v>
      </c>
      <c r="T617" s="209">
        <f t="shared" si="114"/>
        <v>0</v>
      </c>
      <c r="U617" s="209">
        <f>+SUMIFS('A DEPOSITAR'!$H$2:$H$998,'A DEPOSITAR'!$D$2:$D$998,(O617-2),'A DEPOSITAR'!$I$2:$I$998,"A Depositar")</f>
        <v>0</v>
      </c>
      <c r="V617" s="6"/>
      <c r="W617" s="6"/>
      <c r="X617" s="6"/>
      <c r="Y617" s="6"/>
      <c r="Z617" s="6"/>
    </row>
    <row r="618" spans="1:26" ht="12.75" x14ac:dyDescent="0.2">
      <c r="A618" s="36">
        <v>44424</v>
      </c>
      <c r="B618" s="29" t="s">
        <v>994</v>
      </c>
      <c r="C618" s="29" t="s">
        <v>424</v>
      </c>
      <c r="D618" s="213">
        <v>1225.1300000000001</v>
      </c>
      <c r="E618" s="29" t="s">
        <v>22</v>
      </c>
      <c r="F618" s="34">
        <v>44116</v>
      </c>
      <c r="G618" s="29" t="s">
        <v>1251</v>
      </c>
      <c r="H618" s="49">
        <f t="shared" si="107"/>
        <v>16</v>
      </c>
      <c r="I618" s="49">
        <f t="shared" si="108"/>
        <v>8</v>
      </c>
      <c r="J618" s="122">
        <f t="shared" si="109"/>
        <v>2021</v>
      </c>
      <c r="K618" s="64">
        <f t="shared" si="110"/>
        <v>44484</v>
      </c>
      <c r="L618" s="10"/>
      <c r="M618" s="10"/>
      <c r="N618" s="199"/>
      <c r="O618" s="208">
        <v>44273</v>
      </c>
      <c r="P618" s="209">
        <f t="shared" si="111"/>
        <v>0</v>
      </c>
      <c r="Q618" s="209">
        <f>+SUMIF('A DEPOSITAR'!$D$2:$D$998,(O618-2),'A DEPOSITAR'!$H$2:$H$998)</f>
        <v>34000</v>
      </c>
      <c r="R618" s="210">
        <f t="shared" si="112"/>
        <v>34000</v>
      </c>
      <c r="S618" s="210">
        <f t="shared" si="113"/>
        <v>4105999.0800000024</v>
      </c>
      <c r="T618" s="209">
        <f t="shared" si="114"/>
        <v>0</v>
      </c>
      <c r="U618" s="209">
        <f>+SUMIFS('A DEPOSITAR'!$H$2:$H$998,'A DEPOSITAR'!$D$2:$D$998,(O618-2),'A DEPOSITAR'!$I$2:$I$998,"A Depositar")</f>
        <v>0</v>
      </c>
      <c r="V618" s="10"/>
      <c r="W618" s="10"/>
      <c r="X618" s="10"/>
      <c r="Y618" s="10"/>
      <c r="Z618" s="10"/>
    </row>
    <row r="619" spans="1:26" ht="12.75" x14ac:dyDescent="0.2">
      <c r="A619" s="36">
        <v>44181</v>
      </c>
      <c r="B619" s="29" t="s">
        <v>1059</v>
      </c>
      <c r="C619" s="29" t="s">
        <v>230</v>
      </c>
      <c r="D619" s="50">
        <v>16914.669999999998</v>
      </c>
      <c r="E619" s="29" t="s">
        <v>22</v>
      </c>
      <c r="F619" s="34">
        <v>44154</v>
      </c>
      <c r="G619" s="29"/>
      <c r="H619" s="49">
        <f t="shared" si="107"/>
        <v>16</v>
      </c>
      <c r="I619" s="49">
        <f t="shared" si="108"/>
        <v>12</v>
      </c>
      <c r="J619" s="122">
        <f t="shared" si="109"/>
        <v>2020</v>
      </c>
      <c r="K619" s="64">
        <f t="shared" si="110"/>
        <v>44241</v>
      </c>
      <c r="L619" s="10"/>
      <c r="M619" s="10"/>
      <c r="N619" s="199"/>
      <c r="O619" s="208">
        <v>44089</v>
      </c>
      <c r="P619" s="209">
        <f t="shared" si="111"/>
        <v>0</v>
      </c>
      <c r="Q619" s="209">
        <f>+SUMIF('A DEPOSITAR'!$D$2:$D$998,(O619-2),'A DEPOSITAR'!$H$2:$H$998)</f>
        <v>0</v>
      </c>
      <c r="R619" s="210">
        <f t="shared" si="112"/>
        <v>0</v>
      </c>
      <c r="S619" s="210">
        <f t="shared" si="113"/>
        <v>4105999.0800000024</v>
      </c>
      <c r="T619" s="209">
        <f t="shared" si="114"/>
        <v>0</v>
      </c>
      <c r="U619" s="209">
        <f>+SUMIFS('A DEPOSITAR'!$H$2:$H$998,'A DEPOSITAR'!$D$2:$D$998,(O619-2),'A DEPOSITAR'!$I$2:$I$998,"A Depositar")</f>
        <v>0</v>
      </c>
      <c r="V619" s="10"/>
      <c r="W619" s="10"/>
      <c r="X619" s="10"/>
      <c r="Y619" s="10"/>
      <c r="Z619" s="10"/>
    </row>
    <row r="620" spans="1:26" ht="12.75" x14ac:dyDescent="0.2">
      <c r="A620" s="102">
        <v>44120</v>
      </c>
      <c r="B620" s="103" t="s">
        <v>365</v>
      </c>
      <c r="C620" s="103" t="s">
        <v>263</v>
      </c>
      <c r="D620" s="104">
        <v>12412.65</v>
      </c>
      <c r="E620" s="103" t="s">
        <v>327</v>
      </c>
      <c r="F620" s="105">
        <v>43864</v>
      </c>
      <c r="G620" s="103"/>
      <c r="H620" s="106">
        <f t="shared" si="107"/>
        <v>16</v>
      </c>
      <c r="I620" s="106">
        <f t="shared" si="108"/>
        <v>10</v>
      </c>
      <c r="J620" s="124">
        <f t="shared" si="109"/>
        <v>2020</v>
      </c>
      <c r="K620" s="175">
        <f t="shared" si="110"/>
        <v>44180</v>
      </c>
      <c r="L620" s="181"/>
      <c r="M620" s="181"/>
      <c r="N620" s="182"/>
      <c r="O620" s="208">
        <v>44265</v>
      </c>
      <c r="P620" s="209">
        <f t="shared" si="111"/>
        <v>0</v>
      </c>
      <c r="Q620" s="209">
        <f>+SUMIF('A DEPOSITAR'!$D$2:$D$998,(O620-2),'A DEPOSITAR'!$H$2:$H$998)</f>
        <v>0</v>
      </c>
      <c r="R620" s="210">
        <f t="shared" si="112"/>
        <v>0</v>
      </c>
      <c r="S620" s="210">
        <f t="shared" si="113"/>
        <v>4105999.0800000024</v>
      </c>
      <c r="T620" s="209">
        <f t="shared" si="114"/>
        <v>0</v>
      </c>
      <c r="U620" s="209">
        <f>+SUMIFS('A DEPOSITAR'!$H$2:$H$998,'A DEPOSITAR'!$D$2:$D$998,(O620-2),'A DEPOSITAR'!$I$2:$I$998,"A Depositar")</f>
        <v>0</v>
      </c>
      <c r="V620" s="181"/>
      <c r="W620" s="181"/>
      <c r="X620" s="181"/>
      <c r="Y620" s="181"/>
      <c r="Z620" s="181"/>
    </row>
    <row r="621" spans="1:26" ht="12.75" x14ac:dyDescent="0.2">
      <c r="A621" s="36">
        <v>44212</v>
      </c>
      <c r="B621" s="29" t="s">
        <v>1059</v>
      </c>
      <c r="C621" s="29" t="s">
        <v>231</v>
      </c>
      <c r="D621" s="50">
        <v>16914.669999999998</v>
      </c>
      <c r="E621" s="29" t="s">
        <v>22</v>
      </c>
      <c r="F621" s="34">
        <v>44154</v>
      </c>
      <c r="G621" s="29"/>
      <c r="H621" s="49">
        <f t="shared" si="107"/>
        <v>16</v>
      </c>
      <c r="I621" s="49">
        <f t="shared" si="108"/>
        <v>1</v>
      </c>
      <c r="J621" s="122">
        <f t="shared" si="109"/>
        <v>2021</v>
      </c>
      <c r="K621" s="64">
        <f t="shared" si="110"/>
        <v>44272</v>
      </c>
      <c r="L621" s="10"/>
      <c r="M621" s="10"/>
      <c r="N621" s="199"/>
      <c r="O621" s="208">
        <v>44136</v>
      </c>
      <c r="P621" s="209">
        <f t="shared" si="111"/>
        <v>0</v>
      </c>
      <c r="Q621" s="209">
        <f>+SUMIF('A DEPOSITAR'!$D$2:$D$998,(O621-2),'A DEPOSITAR'!$H$2:$H$998)</f>
        <v>0</v>
      </c>
      <c r="R621" s="210">
        <f t="shared" si="112"/>
        <v>0</v>
      </c>
      <c r="S621" s="210">
        <f t="shared" si="113"/>
        <v>4105999.0800000024</v>
      </c>
      <c r="T621" s="209">
        <f t="shared" si="114"/>
        <v>0</v>
      </c>
      <c r="U621" s="209">
        <f>+SUMIFS('A DEPOSITAR'!$H$2:$H$998,'A DEPOSITAR'!$D$2:$D$998,(O621-2),'A DEPOSITAR'!$I$2:$I$998,"A Depositar")</f>
        <v>0</v>
      </c>
      <c r="V621" s="10"/>
      <c r="W621" s="10"/>
      <c r="X621" s="10"/>
      <c r="Y621" s="10"/>
      <c r="Z621" s="10"/>
    </row>
    <row r="622" spans="1:26" ht="12.75" x14ac:dyDescent="0.2">
      <c r="A622" s="36">
        <v>44243</v>
      </c>
      <c r="B622" s="29" t="s">
        <v>1059</v>
      </c>
      <c r="C622" s="29" t="s">
        <v>232</v>
      </c>
      <c r="D622" s="50">
        <v>16914.669999999998</v>
      </c>
      <c r="E622" s="29" t="s">
        <v>22</v>
      </c>
      <c r="F622" s="34">
        <v>44154</v>
      </c>
      <c r="G622" s="29"/>
      <c r="H622" s="49">
        <f t="shared" si="107"/>
        <v>16</v>
      </c>
      <c r="I622" s="49">
        <f t="shared" si="108"/>
        <v>2</v>
      </c>
      <c r="J622" s="122">
        <f t="shared" si="109"/>
        <v>2021</v>
      </c>
      <c r="K622" s="64">
        <f t="shared" si="110"/>
        <v>44303</v>
      </c>
      <c r="L622" s="10"/>
      <c r="M622" s="10"/>
      <c r="N622" s="199"/>
      <c r="O622" s="208">
        <v>44165</v>
      </c>
      <c r="P622" s="209">
        <f t="shared" si="111"/>
        <v>38066.67</v>
      </c>
      <c r="Q622" s="209">
        <f>+SUMIF('A DEPOSITAR'!$D$2:$D$998,(O622-2),'A DEPOSITAR'!$H$2:$H$998)</f>
        <v>20000</v>
      </c>
      <c r="R622" s="210">
        <f t="shared" si="112"/>
        <v>-18066.669999999998</v>
      </c>
      <c r="S622" s="210">
        <f t="shared" si="113"/>
        <v>4087932.4100000025</v>
      </c>
      <c r="T622" s="209">
        <f t="shared" si="114"/>
        <v>0</v>
      </c>
      <c r="U622" s="209">
        <f>+SUMIFS('A DEPOSITAR'!$H$2:$H$998,'A DEPOSITAR'!$D$2:$D$998,(O622-2),'A DEPOSITAR'!$I$2:$I$998,"A Depositar")</f>
        <v>0</v>
      </c>
      <c r="V622" s="10"/>
      <c r="W622" s="10"/>
      <c r="X622" s="10"/>
      <c r="Y622" s="10"/>
      <c r="Z622" s="10"/>
    </row>
    <row r="623" spans="1:26" ht="12.75" x14ac:dyDescent="0.2">
      <c r="A623" s="36">
        <v>44271</v>
      </c>
      <c r="B623" s="29" t="s">
        <v>1059</v>
      </c>
      <c r="C623" s="29" t="s">
        <v>233</v>
      </c>
      <c r="D623" s="50">
        <v>16914.669999999998</v>
      </c>
      <c r="E623" s="29" t="s">
        <v>22</v>
      </c>
      <c r="F623" s="34">
        <v>44154</v>
      </c>
      <c r="G623" s="29"/>
      <c r="H623" s="49">
        <f t="shared" si="107"/>
        <v>16</v>
      </c>
      <c r="I623" s="49">
        <f t="shared" si="108"/>
        <v>3</v>
      </c>
      <c r="J623" s="122">
        <f t="shared" si="109"/>
        <v>2021</v>
      </c>
      <c r="K623" s="64">
        <f t="shared" si="110"/>
        <v>44331</v>
      </c>
      <c r="L623" s="10"/>
      <c r="M623" s="10"/>
      <c r="N623" s="199"/>
      <c r="O623" s="208">
        <v>44194</v>
      </c>
      <c r="P623" s="209">
        <f t="shared" si="111"/>
        <v>0</v>
      </c>
      <c r="Q623" s="209">
        <f>+SUMIF('A DEPOSITAR'!$D$2:$D$998,(O623-2),'A DEPOSITAR'!$H$2:$H$998)</f>
        <v>0</v>
      </c>
      <c r="R623" s="210">
        <f t="shared" si="112"/>
        <v>0</v>
      </c>
      <c r="S623" s="210">
        <f t="shared" si="113"/>
        <v>4087932.4100000025</v>
      </c>
      <c r="T623" s="209">
        <f t="shared" si="114"/>
        <v>0</v>
      </c>
      <c r="U623" s="209">
        <f>+SUMIFS('A DEPOSITAR'!$H$2:$H$998,'A DEPOSITAR'!$D$2:$D$998,(O623-2),'A DEPOSITAR'!$I$2:$I$998,"A Depositar")</f>
        <v>0</v>
      </c>
      <c r="V623" s="10"/>
      <c r="W623" s="10"/>
      <c r="X623" s="10"/>
      <c r="Y623" s="10"/>
      <c r="Z623" s="10"/>
    </row>
    <row r="624" spans="1:26" ht="12.75" x14ac:dyDescent="0.2">
      <c r="A624" s="36">
        <v>44302</v>
      </c>
      <c r="B624" s="29" t="s">
        <v>1059</v>
      </c>
      <c r="C624" s="29" t="s">
        <v>234</v>
      </c>
      <c r="D624" s="50">
        <v>16914.669999999998</v>
      </c>
      <c r="E624" s="29" t="s">
        <v>22</v>
      </c>
      <c r="F624" s="34">
        <v>44154</v>
      </c>
      <c r="G624" s="29"/>
      <c r="H624" s="49">
        <f t="shared" si="107"/>
        <v>16</v>
      </c>
      <c r="I624" s="49">
        <f t="shared" si="108"/>
        <v>4</v>
      </c>
      <c r="J624" s="122">
        <f t="shared" si="109"/>
        <v>2021</v>
      </c>
      <c r="K624" s="64">
        <f t="shared" si="110"/>
        <v>44362</v>
      </c>
      <c r="L624" s="10"/>
      <c r="M624" s="10"/>
      <c r="N624" s="199"/>
      <c r="O624" s="208">
        <v>44220</v>
      </c>
      <c r="P624" s="209">
        <f t="shared" si="111"/>
        <v>0</v>
      </c>
      <c r="Q624" s="209">
        <f>+SUMIF('A DEPOSITAR'!$D$2:$D$998,(O624-2),'A DEPOSITAR'!$H$2:$H$998)</f>
        <v>0</v>
      </c>
      <c r="R624" s="210">
        <f t="shared" si="112"/>
        <v>0</v>
      </c>
      <c r="S624" s="210">
        <f t="shared" si="113"/>
        <v>4087932.4100000025</v>
      </c>
      <c r="T624" s="209">
        <f t="shared" si="114"/>
        <v>0</v>
      </c>
      <c r="U624" s="209">
        <f>+SUMIFS('A DEPOSITAR'!$H$2:$H$998,'A DEPOSITAR'!$D$2:$D$998,(O624-2),'A DEPOSITAR'!$I$2:$I$998,"A Depositar")</f>
        <v>0</v>
      </c>
      <c r="V624" s="10"/>
      <c r="W624" s="10"/>
      <c r="X624" s="10"/>
      <c r="Y624" s="10"/>
      <c r="Z624" s="10"/>
    </row>
    <row r="625" spans="1:26" ht="12.75" x14ac:dyDescent="0.2">
      <c r="A625" s="177">
        <v>44243</v>
      </c>
      <c r="B625" s="178" t="s">
        <v>418</v>
      </c>
      <c r="C625" s="178" t="s">
        <v>263</v>
      </c>
      <c r="D625" s="179">
        <v>4293.07</v>
      </c>
      <c r="E625" s="103" t="s">
        <v>327</v>
      </c>
      <c r="F625" s="180">
        <v>43892</v>
      </c>
      <c r="G625" s="103"/>
      <c r="H625" s="106">
        <f t="shared" si="107"/>
        <v>16</v>
      </c>
      <c r="I625" s="106">
        <f t="shared" si="108"/>
        <v>2</v>
      </c>
      <c r="J625" s="124">
        <f t="shared" si="109"/>
        <v>2021</v>
      </c>
      <c r="K625" s="175">
        <f t="shared" si="110"/>
        <v>44303</v>
      </c>
      <c r="L625" s="181"/>
      <c r="M625" s="181"/>
      <c r="N625" s="182"/>
      <c r="O625" s="208">
        <v>44270</v>
      </c>
      <c r="P625" s="209">
        <f t="shared" si="111"/>
        <v>0</v>
      </c>
      <c r="Q625" s="209">
        <f>+SUMIF('A DEPOSITAR'!$D$2:$D$998,(O625-2),'A DEPOSITAR'!$H$2:$H$998)</f>
        <v>5838</v>
      </c>
      <c r="R625" s="210">
        <f t="shared" si="112"/>
        <v>5838</v>
      </c>
      <c r="S625" s="210">
        <f t="shared" si="113"/>
        <v>4093770.4100000025</v>
      </c>
      <c r="T625" s="209">
        <f t="shared" si="114"/>
        <v>0</v>
      </c>
      <c r="U625" s="209">
        <f>+SUMIFS('A DEPOSITAR'!$H$2:$H$998,'A DEPOSITAR'!$D$2:$D$998,(O625-2),'A DEPOSITAR'!$I$2:$I$998,"A Depositar")</f>
        <v>0</v>
      </c>
      <c r="V625" s="181"/>
      <c r="W625" s="181"/>
      <c r="X625" s="181"/>
      <c r="Y625" s="181"/>
      <c r="Z625" s="181"/>
    </row>
    <row r="626" spans="1:26" ht="12.75" x14ac:dyDescent="0.2">
      <c r="A626" s="102">
        <v>43967</v>
      </c>
      <c r="B626" s="103" t="s">
        <v>266</v>
      </c>
      <c r="C626" s="103" t="s">
        <v>263</v>
      </c>
      <c r="D626" s="104">
        <v>1684.61</v>
      </c>
      <c r="E626" s="103" t="s">
        <v>327</v>
      </c>
      <c r="F626" s="105">
        <v>43804</v>
      </c>
      <c r="G626" s="103"/>
      <c r="H626" s="106">
        <f t="shared" si="107"/>
        <v>16</v>
      </c>
      <c r="I626" s="106">
        <f t="shared" si="108"/>
        <v>5</v>
      </c>
      <c r="J626" s="124">
        <f t="shared" si="109"/>
        <v>2020</v>
      </c>
      <c r="K626" s="175">
        <f t="shared" si="110"/>
        <v>44027</v>
      </c>
      <c r="L626" s="181"/>
      <c r="M626" s="181"/>
      <c r="N626" s="182"/>
      <c r="O626" s="208">
        <v>44271</v>
      </c>
      <c r="P626" s="209">
        <f t="shared" si="111"/>
        <v>85859.39</v>
      </c>
      <c r="Q626" s="209">
        <f>+SUMIF('A DEPOSITAR'!$D$2:$D$998,(O626-2),'A DEPOSITAR'!$H$2:$H$998)</f>
        <v>0</v>
      </c>
      <c r="R626" s="210">
        <f t="shared" si="112"/>
        <v>-85859.39</v>
      </c>
      <c r="S626" s="210">
        <f t="shared" si="113"/>
        <v>4007911.0200000023</v>
      </c>
      <c r="T626" s="209">
        <f t="shared" si="114"/>
        <v>0</v>
      </c>
      <c r="U626" s="209">
        <f>+SUMIFS('A DEPOSITAR'!$H$2:$H$998,'A DEPOSITAR'!$D$2:$D$998,(O626-2),'A DEPOSITAR'!$I$2:$I$998,"A Depositar")</f>
        <v>0</v>
      </c>
      <c r="V626" s="181"/>
      <c r="W626" s="181"/>
      <c r="X626" s="181"/>
      <c r="Y626" s="181"/>
      <c r="Z626" s="181"/>
    </row>
    <row r="627" spans="1:26" ht="12.75" x14ac:dyDescent="0.2">
      <c r="A627" s="102">
        <v>43815</v>
      </c>
      <c r="B627" s="103" t="s">
        <v>262</v>
      </c>
      <c r="C627" s="103" t="s">
        <v>263</v>
      </c>
      <c r="D627" s="104">
        <v>1713.88</v>
      </c>
      <c r="E627" s="103" t="s">
        <v>22</v>
      </c>
      <c r="F627" s="105">
        <v>43804</v>
      </c>
      <c r="G627" s="103"/>
      <c r="H627" s="106">
        <f t="shared" si="107"/>
        <v>16</v>
      </c>
      <c r="I627" s="106">
        <f t="shared" si="108"/>
        <v>12</v>
      </c>
      <c r="J627" s="124">
        <f t="shared" si="109"/>
        <v>2019</v>
      </c>
      <c r="K627" s="175">
        <f t="shared" si="110"/>
        <v>43875</v>
      </c>
      <c r="L627" s="181"/>
      <c r="M627" s="181"/>
      <c r="N627" s="182"/>
      <c r="O627" s="208">
        <v>44272</v>
      </c>
      <c r="P627" s="209">
        <f t="shared" si="111"/>
        <v>71446.569999999992</v>
      </c>
      <c r="Q627" s="209">
        <f>+SUMIF('A DEPOSITAR'!$D$2:$D$998,(O627-2),'A DEPOSITAR'!$H$2:$H$998)</f>
        <v>41500</v>
      </c>
      <c r="R627" s="210">
        <f t="shared" si="112"/>
        <v>-29946.569999999992</v>
      </c>
      <c r="S627" s="210">
        <f t="shared" si="113"/>
        <v>3977964.4500000025</v>
      </c>
      <c r="T627" s="209">
        <f t="shared" si="114"/>
        <v>0</v>
      </c>
      <c r="U627" s="209">
        <f>+SUMIFS('A DEPOSITAR'!$H$2:$H$998,'A DEPOSITAR'!$D$2:$D$998,(O627-2),'A DEPOSITAR'!$I$2:$I$998,"A Depositar")</f>
        <v>0</v>
      </c>
      <c r="V627" s="181"/>
      <c r="W627" s="181"/>
      <c r="X627" s="181"/>
      <c r="Y627" s="181"/>
      <c r="Z627" s="181"/>
    </row>
    <row r="628" spans="1:26" ht="12.75" x14ac:dyDescent="0.2">
      <c r="A628" s="36">
        <v>44332</v>
      </c>
      <c r="B628" s="29" t="s">
        <v>1059</v>
      </c>
      <c r="C628" s="29" t="s">
        <v>268</v>
      </c>
      <c r="D628" s="50">
        <v>16914.669999999998</v>
      </c>
      <c r="E628" s="29" t="s">
        <v>22</v>
      </c>
      <c r="F628" s="34">
        <v>44154</v>
      </c>
      <c r="G628" s="18"/>
      <c r="H628" s="16">
        <f t="shared" si="107"/>
        <v>16</v>
      </c>
      <c r="I628" s="16">
        <f t="shared" si="108"/>
        <v>5</v>
      </c>
      <c r="J628" s="122">
        <f t="shared" si="109"/>
        <v>2021</v>
      </c>
      <c r="K628" s="64">
        <f t="shared" si="110"/>
        <v>44392</v>
      </c>
      <c r="L628" s="6"/>
      <c r="M628" s="6"/>
      <c r="O628" s="208">
        <v>44239</v>
      </c>
      <c r="P628" s="209">
        <f t="shared" si="111"/>
        <v>0</v>
      </c>
      <c r="Q628" s="209">
        <f>+SUMIF('A DEPOSITAR'!$D$2:$D$998,(O628-2),'A DEPOSITAR'!$H$2:$H$998)</f>
        <v>35056</v>
      </c>
      <c r="R628" s="210">
        <f t="shared" si="112"/>
        <v>35056</v>
      </c>
      <c r="S628" s="210">
        <f t="shared" si="113"/>
        <v>4013020.4500000025</v>
      </c>
      <c r="T628" s="209">
        <f t="shared" si="114"/>
        <v>0</v>
      </c>
      <c r="U628" s="209">
        <f>+SUMIFS('A DEPOSITAR'!$H$2:$H$998,'A DEPOSITAR'!$D$2:$D$998,(O628-2),'A DEPOSITAR'!$I$2:$I$998,"A Depositar")</f>
        <v>0</v>
      </c>
      <c r="V628" s="6"/>
      <c r="W628" s="6"/>
      <c r="X628" s="6"/>
      <c r="Y628" s="6"/>
      <c r="Z628" s="6"/>
    </row>
    <row r="629" spans="1:26" ht="12.75" x14ac:dyDescent="0.2">
      <c r="A629" s="36">
        <v>44363</v>
      </c>
      <c r="B629" s="29" t="s">
        <v>1059</v>
      </c>
      <c r="C629" s="29" t="s">
        <v>269</v>
      </c>
      <c r="D629" s="50">
        <v>16914.669999999998</v>
      </c>
      <c r="E629" s="29" t="s">
        <v>22</v>
      </c>
      <c r="F629" s="34">
        <v>44154</v>
      </c>
      <c r="G629" s="18"/>
      <c r="H629" s="16">
        <f t="shared" si="107"/>
        <v>16</v>
      </c>
      <c r="I629" s="16">
        <f t="shared" si="108"/>
        <v>6</v>
      </c>
      <c r="J629" s="122">
        <f t="shared" si="109"/>
        <v>2021</v>
      </c>
      <c r="K629" s="64">
        <f t="shared" si="110"/>
        <v>44423</v>
      </c>
      <c r="L629" s="6"/>
      <c r="M629" s="6"/>
      <c r="O629" s="208">
        <v>44256</v>
      </c>
      <c r="P629" s="209">
        <f t="shared" si="111"/>
        <v>184500</v>
      </c>
      <c r="Q629" s="209">
        <f>+SUMIF('A DEPOSITAR'!$D$2:$D$998,(O629-2),'A DEPOSITAR'!$H$2:$H$998)</f>
        <v>122838</v>
      </c>
      <c r="R629" s="210">
        <f t="shared" si="112"/>
        <v>-61662</v>
      </c>
      <c r="S629" s="210">
        <f t="shared" si="113"/>
        <v>3951358.4500000025</v>
      </c>
      <c r="T629" s="209">
        <f t="shared" si="114"/>
        <v>0</v>
      </c>
      <c r="U629" s="209">
        <f>+SUMIFS('A DEPOSITAR'!$H$2:$H$998,'A DEPOSITAR'!$D$2:$D$998,(O629-2),'A DEPOSITAR'!$I$2:$I$998,"A Depositar")</f>
        <v>0</v>
      </c>
      <c r="V629" s="6"/>
      <c r="W629" s="6"/>
      <c r="X629" s="6"/>
      <c r="Y629" s="6"/>
      <c r="Z629" s="6"/>
    </row>
    <row r="630" spans="1:26" ht="12.75" x14ac:dyDescent="0.2">
      <c r="A630" s="36">
        <v>44393</v>
      </c>
      <c r="B630" s="29" t="s">
        <v>1059</v>
      </c>
      <c r="C630" s="29" t="s">
        <v>263</v>
      </c>
      <c r="D630" s="50">
        <v>16914.669999999998</v>
      </c>
      <c r="E630" s="29" t="s">
        <v>22</v>
      </c>
      <c r="F630" s="34">
        <v>44154</v>
      </c>
      <c r="G630" s="18"/>
      <c r="H630" s="16">
        <f t="shared" si="107"/>
        <v>16</v>
      </c>
      <c r="I630" s="16">
        <f t="shared" si="108"/>
        <v>7</v>
      </c>
      <c r="J630" s="122">
        <f t="shared" si="109"/>
        <v>2021</v>
      </c>
      <c r="K630" s="64">
        <f t="shared" si="110"/>
        <v>44453</v>
      </c>
      <c r="L630" s="6"/>
      <c r="M630" s="6"/>
      <c r="O630" s="208">
        <v>44266</v>
      </c>
      <c r="P630" s="209">
        <f t="shared" si="111"/>
        <v>0</v>
      </c>
      <c r="Q630" s="209">
        <f>+SUMIF('A DEPOSITAR'!$D$2:$D$998,(O630-2),'A DEPOSITAR'!$H$2:$H$998)</f>
        <v>14000</v>
      </c>
      <c r="R630" s="210">
        <f t="shared" si="112"/>
        <v>14000</v>
      </c>
      <c r="S630" s="210">
        <f t="shared" si="113"/>
        <v>3965358.4500000025</v>
      </c>
      <c r="T630" s="209">
        <f t="shared" si="114"/>
        <v>0</v>
      </c>
      <c r="U630" s="209">
        <f>+SUMIFS('A DEPOSITAR'!$H$2:$H$998,'A DEPOSITAR'!$D$2:$D$998,(O630-2),'A DEPOSITAR'!$I$2:$I$998,"A Depositar")</f>
        <v>0</v>
      </c>
      <c r="V630" s="6"/>
      <c r="W630" s="6"/>
      <c r="X630" s="6"/>
      <c r="Y630" s="6"/>
      <c r="Z630" s="6"/>
    </row>
    <row r="631" spans="1:26" ht="12.75" x14ac:dyDescent="0.2">
      <c r="A631" s="177">
        <v>44271</v>
      </c>
      <c r="B631" s="178" t="s">
        <v>418</v>
      </c>
      <c r="C631" s="178" t="s">
        <v>424</v>
      </c>
      <c r="D631" s="179">
        <v>4379</v>
      </c>
      <c r="E631" s="103" t="s">
        <v>327</v>
      </c>
      <c r="F631" s="180">
        <v>43892</v>
      </c>
      <c r="G631" s="103"/>
      <c r="H631" s="106">
        <f t="shared" ref="H631:H662" si="115">DAY(A631)</f>
        <v>16</v>
      </c>
      <c r="I631" s="106">
        <f t="shared" ref="I631:I662" si="116">MONTH(A631)</f>
        <v>3</v>
      </c>
      <c r="J631" s="124">
        <f t="shared" ref="J631:J662" si="117">YEAR(A631)</f>
        <v>2021</v>
      </c>
      <c r="K631" s="175">
        <f t="shared" ref="K631:K641" si="118">A631+60</f>
        <v>44331</v>
      </c>
      <c r="L631" s="181"/>
      <c r="M631" s="181"/>
      <c r="N631" s="182"/>
      <c r="O631" s="208">
        <v>44276</v>
      </c>
      <c r="P631" s="209">
        <f t="shared" ref="P631:P642" si="119">+SUMIF($A$2:$A$998,O631,$D$2:$D$998)</f>
        <v>0</v>
      </c>
      <c r="Q631" s="209">
        <f>+SUMIF('A DEPOSITAR'!$D$2:$D$998,(O631-2),'A DEPOSITAR'!$H$2:$H$998)</f>
        <v>0</v>
      </c>
      <c r="R631" s="210">
        <f t="shared" ref="R631:R642" si="120">+Q631-P631</f>
        <v>0</v>
      </c>
      <c r="S631" s="210">
        <f t="shared" ref="S631:S643" si="121">+S630+R631</f>
        <v>3965358.4500000025</v>
      </c>
      <c r="T631" s="209">
        <f t="shared" ref="T631:T642" si="122">+SUMIFS($D$2:$D$998,$A$2:$A$998,O631,$E$2:$E$998,"A Pagar")</f>
        <v>0</v>
      </c>
      <c r="U631" s="209">
        <f>+SUMIFS('A DEPOSITAR'!$H$2:$H$998,'A DEPOSITAR'!$D$2:$D$998,(O631-2),'A DEPOSITAR'!$I$2:$I$998,"A Depositar")</f>
        <v>0</v>
      </c>
      <c r="V631" s="181"/>
      <c r="W631" s="181"/>
      <c r="X631" s="181"/>
      <c r="Y631" s="181"/>
      <c r="Z631" s="181"/>
    </row>
    <row r="632" spans="1:26" ht="12.75" x14ac:dyDescent="0.2">
      <c r="A632" s="36">
        <v>44165</v>
      </c>
      <c r="B632" s="29" t="s">
        <v>1064</v>
      </c>
      <c r="C632" s="29">
        <v>79702867</v>
      </c>
      <c r="D632" s="37">
        <v>0</v>
      </c>
      <c r="E632" s="29" t="s">
        <v>22</v>
      </c>
      <c r="F632" s="7">
        <v>44168</v>
      </c>
      <c r="G632" s="18">
        <v>82000</v>
      </c>
      <c r="H632" s="16">
        <f t="shared" si="115"/>
        <v>30</v>
      </c>
      <c r="I632" s="16">
        <f t="shared" si="116"/>
        <v>11</v>
      </c>
      <c r="J632" s="122">
        <f t="shared" si="117"/>
        <v>2020</v>
      </c>
      <c r="K632" s="64">
        <f t="shared" si="118"/>
        <v>44225</v>
      </c>
      <c r="L632" s="6"/>
      <c r="M632" s="6"/>
      <c r="O632" s="208">
        <v>44277</v>
      </c>
      <c r="P632" s="209">
        <f t="shared" si="119"/>
        <v>47608.9</v>
      </c>
      <c r="Q632" s="209">
        <f>+SUMIF('A DEPOSITAR'!$D$2:$D$998,(O632-2),'A DEPOSITAR'!$H$2:$H$998)</f>
        <v>82140</v>
      </c>
      <c r="R632" s="210">
        <f t="shared" si="120"/>
        <v>34531.1</v>
      </c>
      <c r="S632" s="210">
        <f t="shared" si="121"/>
        <v>3999889.5500000026</v>
      </c>
      <c r="T632" s="209">
        <f t="shared" si="122"/>
        <v>0</v>
      </c>
      <c r="U632" s="209">
        <f>+SUMIFS('A DEPOSITAR'!$H$2:$H$998,'A DEPOSITAR'!$D$2:$D$998,(O632-2),'A DEPOSITAR'!$I$2:$I$998,"A Depositar")</f>
        <v>0</v>
      </c>
      <c r="V632" s="6"/>
      <c r="W632" s="6"/>
      <c r="X632" s="6"/>
      <c r="Y632" s="6"/>
      <c r="Z632" s="6"/>
    </row>
    <row r="633" spans="1:26" ht="12.75" x14ac:dyDescent="0.2">
      <c r="A633" s="36">
        <v>44168</v>
      </c>
      <c r="B633" s="29" t="s">
        <v>1064</v>
      </c>
      <c r="C633" s="29">
        <v>79702868</v>
      </c>
      <c r="D633" s="37">
        <v>0</v>
      </c>
      <c r="E633" s="29" t="s">
        <v>22</v>
      </c>
      <c r="F633" s="34">
        <v>44168</v>
      </c>
      <c r="G633" s="18">
        <v>109000</v>
      </c>
      <c r="H633" s="16">
        <f t="shared" si="115"/>
        <v>3</v>
      </c>
      <c r="I633" s="16">
        <f t="shared" si="116"/>
        <v>12</v>
      </c>
      <c r="J633" s="122">
        <f t="shared" si="117"/>
        <v>2020</v>
      </c>
      <c r="K633" s="64">
        <f t="shared" si="118"/>
        <v>44228</v>
      </c>
      <c r="L633" s="6"/>
      <c r="M633" s="6"/>
      <c r="O633" s="208">
        <v>44278</v>
      </c>
      <c r="P633" s="209">
        <f t="shared" si="119"/>
        <v>0</v>
      </c>
      <c r="Q633" s="209">
        <f>+SUMIF('A DEPOSITAR'!$D$2:$D$998,(O633-2),'A DEPOSITAR'!$H$2:$H$998)</f>
        <v>0</v>
      </c>
      <c r="R633" s="210">
        <f t="shared" si="120"/>
        <v>0</v>
      </c>
      <c r="S633" s="210">
        <f t="shared" si="121"/>
        <v>3999889.5500000026</v>
      </c>
      <c r="T633" s="209">
        <f t="shared" si="122"/>
        <v>0</v>
      </c>
      <c r="U633" s="209">
        <f>+SUMIFS('A DEPOSITAR'!$H$2:$H$998,'A DEPOSITAR'!$D$2:$D$998,(O633-2),'A DEPOSITAR'!$I$2:$I$998,"A Depositar")</f>
        <v>0</v>
      </c>
      <c r="V633" s="6"/>
      <c r="W633" s="6"/>
      <c r="X633" s="6"/>
      <c r="Y633" s="6"/>
      <c r="Z633" s="6"/>
    </row>
    <row r="634" spans="1:26" ht="12.75" x14ac:dyDescent="0.2">
      <c r="A634" s="36">
        <v>44218</v>
      </c>
      <c r="B634" s="29" t="s">
        <v>147</v>
      </c>
      <c r="C634" s="29">
        <v>79702869</v>
      </c>
      <c r="D634" s="37">
        <v>12400</v>
      </c>
      <c r="E634" s="18" t="s">
        <v>22</v>
      </c>
      <c r="F634" s="34">
        <v>44168</v>
      </c>
      <c r="G634" s="18"/>
      <c r="H634" s="16">
        <f t="shared" si="115"/>
        <v>22</v>
      </c>
      <c r="I634" s="16">
        <f t="shared" si="116"/>
        <v>1</v>
      </c>
      <c r="J634" s="122">
        <f t="shared" si="117"/>
        <v>2021</v>
      </c>
      <c r="K634" s="64">
        <f t="shared" si="118"/>
        <v>44278</v>
      </c>
      <c r="L634" s="6"/>
      <c r="M634" s="6"/>
      <c r="O634" s="208">
        <v>44279</v>
      </c>
      <c r="P634" s="209">
        <f t="shared" si="119"/>
        <v>0</v>
      </c>
      <c r="Q634" s="209">
        <f>+SUMIF('A DEPOSITAR'!$D$2:$D$998,(O634-2),'A DEPOSITAR'!$H$2:$H$998)</f>
        <v>0</v>
      </c>
      <c r="R634" s="210">
        <f t="shared" si="120"/>
        <v>0</v>
      </c>
      <c r="S634" s="210">
        <f t="shared" si="121"/>
        <v>3999889.5500000026</v>
      </c>
      <c r="T634" s="209">
        <f t="shared" si="122"/>
        <v>0</v>
      </c>
      <c r="U634" s="209">
        <f>+SUMIFS('A DEPOSITAR'!$H$2:$H$998,'A DEPOSITAR'!$D$2:$D$998,(O634-2),'A DEPOSITAR'!$I$2:$I$998,"A Depositar")</f>
        <v>0</v>
      </c>
      <c r="V634" s="6"/>
      <c r="W634" s="6"/>
      <c r="X634" s="6"/>
      <c r="Y634" s="6"/>
      <c r="Z634" s="6"/>
    </row>
    <row r="635" spans="1:26" ht="12.75" x14ac:dyDescent="0.2">
      <c r="A635" s="36">
        <v>44226</v>
      </c>
      <c r="B635" s="29" t="s">
        <v>147</v>
      </c>
      <c r="C635" s="29">
        <v>79702870</v>
      </c>
      <c r="D635" s="37">
        <v>12500</v>
      </c>
      <c r="E635" s="18" t="s">
        <v>22</v>
      </c>
      <c r="F635" s="34">
        <v>44168</v>
      </c>
      <c r="G635" s="18"/>
      <c r="H635" s="16">
        <f t="shared" si="115"/>
        <v>30</v>
      </c>
      <c r="I635" s="16">
        <f t="shared" si="116"/>
        <v>1</v>
      </c>
      <c r="J635" s="122">
        <f t="shared" si="117"/>
        <v>2021</v>
      </c>
      <c r="K635" s="64">
        <f t="shared" si="118"/>
        <v>44286</v>
      </c>
      <c r="L635" s="6"/>
      <c r="M635" s="6"/>
      <c r="O635" s="208">
        <v>44280</v>
      </c>
      <c r="P635" s="209">
        <f t="shared" si="119"/>
        <v>0</v>
      </c>
      <c r="Q635" s="209">
        <f>+SUMIF('A DEPOSITAR'!$D$2:$D$998,(O635-2),'A DEPOSITAR'!$H$2:$H$998)</f>
        <v>14000</v>
      </c>
      <c r="R635" s="210">
        <f t="shared" si="120"/>
        <v>14000</v>
      </c>
      <c r="S635" s="210">
        <f t="shared" si="121"/>
        <v>4013889.5500000026</v>
      </c>
      <c r="T635" s="209">
        <f t="shared" si="122"/>
        <v>0</v>
      </c>
      <c r="U635" s="209">
        <f>+SUMIFS('A DEPOSITAR'!$H$2:$H$998,'A DEPOSITAR'!$D$2:$D$998,(O635-2),'A DEPOSITAR'!$I$2:$I$998,"A Depositar")</f>
        <v>0</v>
      </c>
      <c r="V635" s="6"/>
      <c r="W635" s="6"/>
      <c r="X635" s="6"/>
      <c r="Y635" s="6"/>
      <c r="Z635" s="6"/>
    </row>
    <row r="636" spans="1:26" ht="12.75" x14ac:dyDescent="0.2">
      <c r="A636" s="36">
        <v>44235</v>
      </c>
      <c r="B636" s="29" t="s">
        <v>147</v>
      </c>
      <c r="C636" s="29">
        <v>79702871</v>
      </c>
      <c r="D636" s="37">
        <v>12123</v>
      </c>
      <c r="E636" s="18" t="s">
        <v>22</v>
      </c>
      <c r="F636" s="34">
        <v>44168</v>
      </c>
      <c r="G636" s="18"/>
      <c r="H636" s="16">
        <f t="shared" si="115"/>
        <v>8</v>
      </c>
      <c r="I636" s="16">
        <f t="shared" si="116"/>
        <v>2</v>
      </c>
      <c r="J636" s="122">
        <f t="shared" si="117"/>
        <v>2021</v>
      </c>
      <c r="K636" s="64">
        <f t="shared" si="118"/>
        <v>44295</v>
      </c>
      <c r="L636" s="6"/>
      <c r="M636" s="6"/>
      <c r="O636" s="208">
        <v>44281</v>
      </c>
      <c r="P636" s="209">
        <f t="shared" si="119"/>
        <v>0</v>
      </c>
      <c r="Q636" s="209">
        <f>+SUMIF('A DEPOSITAR'!$D$2:$D$998,(O636-2),'A DEPOSITAR'!$H$2:$H$998)</f>
        <v>0</v>
      </c>
      <c r="R636" s="210">
        <f t="shared" si="120"/>
        <v>0</v>
      </c>
      <c r="S636" s="210">
        <f t="shared" si="121"/>
        <v>4013889.5500000026</v>
      </c>
      <c r="T636" s="209">
        <f t="shared" si="122"/>
        <v>0</v>
      </c>
      <c r="U636" s="209">
        <f>+SUMIFS('A DEPOSITAR'!$H$2:$H$998,'A DEPOSITAR'!$D$2:$D$998,(O636-2),'A DEPOSITAR'!$I$2:$I$998,"A Depositar")</f>
        <v>0</v>
      </c>
      <c r="V636" s="6"/>
      <c r="W636" s="6"/>
      <c r="X636" s="6"/>
      <c r="Y636" s="6"/>
      <c r="Z636" s="6"/>
    </row>
    <row r="637" spans="1:26" ht="12.75" x14ac:dyDescent="0.2">
      <c r="A637" s="36">
        <v>44243</v>
      </c>
      <c r="B637" s="29" t="s">
        <v>147</v>
      </c>
      <c r="C637" s="29">
        <v>79702872</v>
      </c>
      <c r="D637" s="37">
        <v>12600</v>
      </c>
      <c r="E637" s="29" t="s">
        <v>22</v>
      </c>
      <c r="F637" s="34">
        <v>44168</v>
      </c>
      <c r="G637" s="18"/>
      <c r="H637" s="16">
        <f t="shared" si="115"/>
        <v>16</v>
      </c>
      <c r="I637" s="16">
        <f t="shared" si="116"/>
        <v>2</v>
      </c>
      <c r="J637" s="122">
        <f t="shared" si="117"/>
        <v>2021</v>
      </c>
      <c r="K637" s="64">
        <f t="shared" si="118"/>
        <v>44303</v>
      </c>
      <c r="L637" s="6"/>
      <c r="M637" s="6"/>
      <c r="O637" s="208">
        <v>44282</v>
      </c>
      <c r="P637" s="209">
        <f t="shared" si="119"/>
        <v>0</v>
      </c>
      <c r="Q637" s="209">
        <f>+SUMIF('A DEPOSITAR'!$D$2:$D$998,(O637-2),'A DEPOSITAR'!$H$2:$H$998)</f>
        <v>0</v>
      </c>
      <c r="R637" s="210">
        <f t="shared" si="120"/>
        <v>0</v>
      </c>
      <c r="S637" s="210">
        <f t="shared" si="121"/>
        <v>4013889.5500000026</v>
      </c>
      <c r="T637" s="209">
        <f t="shared" si="122"/>
        <v>0</v>
      </c>
      <c r="U637" s="209">
        <f>+SUMIFS('A DEPOSITAR'!$H$2:$H$998,'A DEPOSITAR'!$D$2:$D$998,(O637-2),'A DEPOSITAR'!$I$2:$I$998,"A Depositar")</f>
        <v>0</v>
      </c>
      <c r="V637" s="6"/>
      <c r="W637" s="6"/>
      <c r="X637" s="6"/>
      <c r="Y637" s="6"/>
      <c r="Z637" s="6"/>
    </row>
    <row r="638" spans="1:26" ht="12.75" x14ac:dyDescent="0.2">
      <c r="A638" s="36">
        <v>44249</v>
      </c>
      <c r="B638" s="29" t="s">
        <v>147</v>
      </c>
      <c r="C638" s="29">
        <v>79702873</v>
      </c>
      <c r="D638" s="37">
        <v>12700</v>
      </c>
      <c r="E638" s="29" t="s">
        <v>22</v>
      </c>
      <c r="F638" s="34">
        <v>44168</v>
      </c>
      <c r="G638" s="18"/>
      <c r="H638" s="16">
        <f t="shared" si="115"/>
        <v>22</v>
      </c>
      <c r="I638" s="16">
        <f t="shared" si="116"/>
        <v>2</v>
      </c>
      <c r="J638" s="122">
        <f t="shared" si="117"/>
        <v>2021</v>
      </c>
      <c r="K638" s="64">
        <f t="shared" si="118"/>
        <v>44309</v>
      </c>
      <c r="L638" s="6"/>
      <c r="M638" s="6"/>
      <c r="O638" s="208">
        <v>44283</v>
      </c>
      <c r="P638" s="209">
        <f t="shared" si="119"/>
        <v>0</v>
      </c>
      <c r="Q638" s="209">
        <f>+SUMIF('A DEPOSITAR'!$D$2:$D$998,(O638-2),'A DEPOSITAR'!$H$2:$H$998)</f>
        <v>0</v>
      </c>
      <c r="R638" s="210">
        <f t="shared" si="120"/>
        <v>0</v>
      </c>
      <c r="S638" s="210">
        <f t="shared" si="121"/>
        <v>4013889.5500000026</v>
      </c>
      <c r="T638" s="209">
        <f t="shared" si="122"/>
        <v>0</v>
      </c>
      <c r="U638" s="209">
        <f>+SUMIFS('A DEPOSITAR'!$H$2:$H$998,'A DEPOSITAR'!$D$2:$D$998,(O638-2),'A DEPOSITAR'!$I$2:$I$998,"A Depositar")</f>
        <v>0</v>
      </c>
      <c r="V638" s="6"/>
      <c r="W638" s="6"/>
      <c r="X638" s="6"/>
      <c r="Y638" s="6"/>
      <c r="Z638" s="6"/>
    </row>
    <row r="639" spans="1:26" ht="12.75" x14ac:dyDescent="0.2">
      <c r="A639" s="36">
        <v>44255</v>
      </c>
      <c r="B639" s="29" t="s">
        <v>147</v>
      </c>
      <c r="C639" s="29">
        <v>79702874</v>
      </c>
      <c r="D639" s="37">
        <v>12800</v>
      </c>
      <c r="E639" s="29" t="s">
        <v>22</v>
      </c>
      <c r="F639" s="34">
        <v>44168</v>
      </c>
      <c r="G639" s="18"/>
      <c r="H639" s="16">
        <f t="shared" si="115"/>
        <v>28</v>
      </c>
      <c r="I639" s="16">
        <f t="shared" si="116"/>
        <v>2</v>
      </c>
      <c r="J639" s="122">
        <f t="shared" si="117"/>
        <v>2021</v>
      </c>
      <c r="K639" s="64">
        <f t="shared" si="118"/>
        <v>44315</v>
      </c>
      <c r="L639" s="6"/>
      <c r="M639" s="6"/>
      <c r="O639" s="208">
        <v>44284</v>
      </c>
      <c r="P639" s="209">
        <f t="shared" si="119"/>
        <v>0</v>
      </c>
      <c r="Q639" s="209">
        <f>+SUMIF('A DEPOSITAR'!$D$2:$D$998,(O639-2),'A DEPOSITAR'!$H$2:$H$998)</f>
        <v>0</v>
      </c>
      <c r="R639" s="210">
        <f t="shared" si="120"/>
        <v>0</v>
      </c>
      <c r="S639" s="210">
        <f t="shared" si="121"/>
        <v>4013889.5500000026</v>
      </c>
      <c r="T639" s="209">
        <f t="shared" si="122"/>
        <v>0</v>
      </c>
      <c r="U639" s="209">
        <f>+SUMIFS('A DEPOSITAR'!$H$2:$H$998,'A DEPOSITAR'!$D$2:$D$998,(O639-2),'A DEPOSITAR'!$I$2:$I$998,"A Depositar")</f>
        <v>0</v>
      </c>
      <c r="V639" s="6"/>
      <c r="W639" s="6"/>
      <c r="X639" s="6"/>
      <c r="Y639" s="6"/>
      <c r="Z639" s="6"/>
    </row>
    <row r="640" spans="1:26" ht="12.75" x14ac:dyDescent="0.2">
      <c r="A640" s="36">
        <v>44212</v>
      </c>
      <c r="B640" s="29" t="s">
        <v>94</v>
      </c>
      <c r="C640" s="29">
        <v>79702875</v>
      </c>
      <c r="D640" s="37">
        <v>3075.2</v>
      </c>
      <c r="E640" s="29" t="s">
        <v>22</v>
      </c>
      <c r="F640" s="7">
        <v>44175</v>
      </c>
      <c r="G640" s="18"/>
      <c r="H640" s="16">
        <f t="shared" si="115"/>
        <v>16</v>
      </c>
      <c r="I640" s="16">
        <f t="shared" si="116"/>
        <v>1</v>
      </c>
      <c r="J640" s="122">
        <f t="shared" si="117"/>
        <v>2021</v>
      </c>
      <c r="K640" s="64">
        <f t="shared" si="118"/>
        <v>44272</v>
      </c>
      <c r="L640" s="6"/>
      <c r="M640" s="6"/>
      <c r="O640" s="208">
        <v>44285</v>
      </c>
      <c r="P640" s="209">
        <f t="shared" si="119"/>
        <v>80050.86</v>
      </c>
      <c r="Q640" s="209">
        <f>+SUMIF('A DEPOSITAR'!$D$2:$D$998,(O640-2),'A DEPOSITAR'!$H$2:$H$998)</f>
        <v>0</v>
      </c>
      <c r="R640" s="210">
        <f t="shared" si="120"/>
        <v>-80050.86</v>
      </c>
      <c r="S640" s="210">
        <f t="shared" si="121"/>
        <v>3933838.6900000027</v>
      </c>
      <c r="T640" s="209">
        <f t="shared" si="122"/>
        <v>0</v>
      </c>
      <c r="U640" s="209">
        <f>+SUMIFS('A DEPOSITAR'!$H$2:$H$998,'A DEPOSITAR'!$D$2:$D$998,(O640-2),'A DEPOSITAR'!$I$2:$I$998,"A Depositar")</f>
        <v>0</v>
      </c>
      <c r="V640" s="6"/>
      <c r="W640" s="6"/>
      <c r="X640" s="6"/>
      <c r="Y640" s="6"/>
      <c r="Z640" s="6"/>
    </row>
    <row r="641" spans="1:26" ht="12.75" x14ac:dyDescent="0.2">
      <c r="A641" s="36">
        <v>44212</v>
      </c>
      <c r="B641" s="29" t="s">
        <v>222</v>
      </c>
      <c r="C641" s="29">
        <v>83725576</v>
      </c>
      <c r="D641" s="37">
        <v>19000</v>
      </c>
      <c r="E641" s="29" t="s">
        <v>22</v>
      </c>
      <c r="F641" s="34">
        <v>44175</v>
      </c>
      <c r="G641" s="18"/>
      <c r="H641" s="16">
        <f t="shared" si="115"/>
        <v>16</v>
      </c>
      <c r="I641" s="16">
        <f t="shared" si="116"/>
        <v>1</v>
      </c>
      <c r="J641" s="122">
        <f t="shared" si="117"/>
        <v>2021</v>
      </c>
      <c r="K641" s="64">
        <f t="shared" si="118"/>
        <v>44272</v>
      </c>
      <c r="L641" s="6"/>
      <c r="M641" s="6"/>
      <c r="O641" s="208">
        <v>44286</v>
      </c>
      <c r="P641" s="209">
        <f t="shared" si="119"/>
        <v>0</v>
      </c>
      <c r="Q641" s="209">
        <f>+SUMIF('A DEPOSITAR'!$D$2:$D$998,(O641-2),'A DEPOSITAR'!$H$2:$H$998)</f>
        <v>0</v>
      </c>
      <c r="R641" s="210">
        <f t="shared" si="120"/>
        <v>0</v>
      </c>
      <c r="S641" s="210">
        <f t="shared" si="121"/>
        <v>3933838.6900000027</v>
      </c>
      <c r="T641" s="209">
        <f t="shared" si="122"/>
        <v>0</v>
      </c>
      <c r="U641" s="209">
        <f>+SUMIFS('A DEPOSITAR'!$H$2:$H$998,'A DEPOSITAR'!$D$2:$D$998,(O641-2),'A DEPOSITAR'!$I$2:$I$998,"A Depositar")</f>
        <v>0</v>
      </c>
      <c r="V641" s="6"/>
      <c r="W641" s="6"/>
      <c r="X641" s="6"/>
      <c r="Y641" s="6"/>
      <c r="Z641" s="6"/>
    </row>
    <row r="642" spans="1:26" ht="12.75" x14ac:dyDescent="0.2">
      <c r="A642" s="36">
        <v>44218</v>
      </c>
      <c r="B642" s="29" t="s">
        <v>222</v>
      </c>
      <c r="C642" s="29">
        <v>83725577</v>
      </c>
      <c r="D642" s="37">
        <v>20000</v>
      </c>
      <c r="E642" s="29" t="s">
        <v>22</v>
      </c>
      <c r="F642" s="34">
        <v>44175</v>
      </c>
      <c r="G642" s="18"/>
      <c r="H642" s="16">
        <f t="shared" si="115"/>
        <v>22</v>
      </c>
      <c r="I642" s="16">
        <f t="shared" si="116"/>
        <v>1</v>
      </c>
      <c r="J642" s="122">
        <f t="shared" si="117"/>
        <v>2021</v>
      </c>
      <c r="K642" s="64">
        <f t="shared" ref="K642:K705" si="123">A642+60</f>
        <v>44278</v>
      </c>
      <c r="L642" s="6"/>
      <c r="M642" s="6"/>
      <c r="O642" s="208">
        <v>44287</v>
      </c>
      <c r="P642" s="209">
        <f t="shared" si="119"/>
        <v>0</v>
      </c>
      <c r="Q642" s="209">
        <f>+SUMIF('A DEPOSITAR'!$D$2:$D$998,(O642-2),'A DEPOSITAR'!$H$2:$H$998)</f>
        <v>19672</v>
      </c>
      <c r="R642" s="210">
        <f t="shared" si="120"/>
        <v>19672</v>
      </c>
      <c r="S642" s="210">
        <f t="shared" si="121"/>
        <v>3953510.6900000027</v>
      </c>
      <c r="T642" s="209">
        <f t="shared" si="122"/>
        <v>0</v>
      </c>
      <c r="U642" s="209">
        <f>+SUMIFS('A DEPOSITAR'!$H$2:$H$998,'A DEPOSITAR'!$D$2:$D$998,(O642-2),'A DEPOSITAR'!$I$2:$I$998,"A Depositar")</f>
        <v>0</v>
      </c>
      <c r="V642" s="6"/>
      <c r="W642" s="6"/>
      <c r="X642" s="6"/>
      <c r="Y642" s="6"/>
      <c r="Z642" s="6"/>
    </row>
    <row r="643" spans="1:26" ht="12.75" x14ac:dyDescent="0.2">
      <c r="A643" s="36">
        <v>44226</v>
      </c>
      <c r="B643" s="29" t="s">
        <v>222</v>
      </c>
      <c r="C643" s="29">
        <v>83725578</v>
      </c>
      <c r="D643" s="37">
        <v>21000</v>
      </c>
      <c r="E643" s="29" t="s">
        <v>22</v>
      </c>
      <c r="F643" s="34">
        <v>44175</v>
      </c>
      <c r="G643" s="18"/>
      <c r="H643" s="16">
        <f t="shared" si="115"/>
        <v>30</v>
      </c>
      <c r="I643" s="16">
        <f t="shared" si="116"/>
        <v>1</v>
      </c>
      <c r="J643" s="122">
        <f t="shared" si="117"/>
        <v>2021</v>
      </c>
      <c r="K643" s="64">
        <f t="shared" si="123"/>
        <v>44286</v>
      </c>
      <c r="L643" s="6"/>
      <c r="M643" s="6"/>
      <c r="O643" s="208">
        <v>44288</v>
      </c>
      <c r="P643" s="209">
        <f t="shared" ref="P643:P706" si="124">+SUMIF($A$2:$A$998,O643,$D$2:$D$998)</f>
        <v>0</v>
      </c>
      <c r="Q643" s="209">
        <f>+SUMIF('A DEPOSITAR'!$D$2:$D$998,(O643-2),'A DEPOSITAR'!$H$2:$H$998)</f>
        <v>103500</v>
      </c>
      <c r="R643" s="210">
        <f t="shared" ref="R643:R706" si="125">+Q643-P643</f>
        <v>103500</v>
      </c>
      <c r="S643" s="210">
        <f t="shared" si="121"/>
        <v>4057010.6900000027</v>
      </c>
      <c r="T643" s="209">
        <f t="shared" ref="T643:T706" si="126">+SUMIFS($D$2:$D$998,$A$2:$A$998,O643,$E$2:$E$998,"A Pagar")</f>
        <v>0</v>
      </c>
      <c r="U643" s="209">
        <f>+SUMIFS('A DEPOSITAR'!$H$2:$H$998,'A DEPOSITAR'!$D$2:$D$998,(O643-2),'A DEPOSITAR'!$I$2:$I$998,"A Depositar")</f>
        <v>0</v>
      </c>
      <c r="V643" s="6"/>
      <c r="W643" s="6"/>
      <c r="X643" s="6"/>
      <c r="Y643" s="6"/>
      <c r="Z643" s="6"/>
    </row>
    <row r="644" spans="1:26" ht="12.75" x14ac:dyDescent="0.2">
      <c r="A644" s="36">
        <v>44243</v>
      </c>
      <c r="B644" s="29" t="s">
        <v>222</v>
      </c>
      <c r="C644" s="29">
        <v>83725579</v>
      </c>
      <c r="D644" s="37">
        <v>19000</v>
      </c>
      <c r="E644" s="29" t="s">
        <v>22</v>
      </c>
      <c r="F644" s="34">
        <v>44175</v>
      </c>
      <c r="G644" s="18"/>
      <c r="H644" s="16">
        <f t="shared" si="115"/>
        <v>16</v>
      </c>
      <c r="I644" s="16">
        <f t="shared" si="116"/>
        <v>2</v>
      </c>
      <c r="J644" s="122">
        <f t="shared" si="117"/>
        <v>2021</v>
      </c>
      <c r="K644" s="64">
        <f t="shared" si="123"/>
        <v>44303</v>
      </c>
      <c r="L644" s="6"/>
      <c r="M644" s="6"/>
      <c r="O644" s="208">
        <v>44289</v>
      </c>
      <c r="P644" s="209">
        <f t="shared" si="124"/>
        <v>0</v>
      </c>
      <c r="Q644" s="209">
        <f>+SUMIF('A DEPOSITAR'!$D$2:$D$998,(O644-2),'A DEPOSITAR'!$H$2:$H$998)</f>
        <v>0</v>
      </c>
      <c r="R644" s="210">
        <f t="shared" si="125"/>
        <v>0</v>
      </c>
      <c r="S644" s="210">
        <f t="shared" ref="S644:S707" si="127">+S643+R644</f>
        <v>4057010.6900000027</v>
      </c>
      <c r="T644" s="209">
        <f t="shared" si="126"/>
        <v>0</v>
      </c>
      <c r="U644" s="209">
        <f>+SUMIFS('A DEPOSITAR'!$H$2:$H$998,'A DEPOSITAR'!$D$2:$D$998,(O644-2),'A DEPOSITAR'!$I$2:$I$998,"A Depositar")</f>
        <v>0</v>
      </c>
      <c r="V644" s="6"/>
      <c r="W644" s="6"/>
      <c r="X644" s="6"/>
      <c r="Y644" s="6"/>
      <c r="Z644" s="6"/>
    </row>
    <row r="645" spans="1:26" ht="12.75" x14ac:dyDescent="0.2">
      <c r="A645" s="36">
        <v>44249</v>
      </c>
      <c r="B645" s="29" t="s">
        <v>222</v>
      </c>
      <c r="C645" s="29">
        <v>83725580</v>
      </c>
      <c r="D645" s="37">
        <v>20000</v>
      </c>
      <c r="E645" s="29" t="s">
        <v>22</v>
      </c>
      <c r="F645" s="34">
        <v>44175</v>
      </c>
      <c r="G645" s="18"/>
      <c r="H645" s="16">
        <f t="shared" si="115"/>
        <v>22</v>
      </c>
      <c r="I645" s="16">
        <f t="shared" si="116"/>
        <v>2</v>
      </c>
      <c r="J645" s="122">
        <f t="shared" si="117"/>
        <v>2021</v>
      </c>
      <c r="K645" s="64">
        <f t="shared" si="123"/>
        <v>44309</v>
      </c>
      <c r="L645" s="6"/>
      <c r="M645" s="6"/>
      <c r="O645" s="208">
        <v>44290</v>
      </c>
      <c r="P645" s="209">
        <f t="shared" si="124"/>
        <v>0</v>
      </c>
      <c r="Q645" s="209">
        <f>+SUMIF('A DEPOSITAR'!$D$2:$D$998,(O645-2),'A DEPOSITAR'!$H$2:$H$998)</f>
        <v>0</v>
      </c>
      <c r="R645" s="210">
        <f t="shared" si="125"/>
        <v>0</v>
      </c>
      <c r="S645" s="210">
        <f t="shared" si="127"/>
        <v>4057010.6900000027</v>
      </c>
      <c r="T645" s="209">
        <f t="shared" si="126"/>
        <v>0</v>
      </c>
      <c r="U645" s="209">
        <f>+SUMIFS('A DEPOSITAR'!$H$2:$H$998,'A DEPOSITAR'!$D$2:$D$998,(O645-2),'A DEPOSITAR'!$I$2:$I$998,"A Depositar")</f>
        <v>0</v>
      </c>
      <c r="V645" s="6"/>
      <c r="W645" s="6"/>
      <c r="X645" s="6"/>
      <c r="Y645" s="6"/>
      <c r="Z645" s="6"/>
    </row>
    <row r="646" spans="1:26" ht="12.75" x14ac:dyDescent="0.2">
      <c r="A646" s="36">
        <v>44255</v>
      </c>
      <c r="B646" s="29" t="s">
        <v>222</v>
      </c>
      <c r="C646" s="29">
        <v>83725581</v>
      </c>
      <c r="D646" s="37">
        <v>21000</v>
      </c>
      <c r="E646" s="29" t="s">
        <v>22</v>
      </c>
      <c r="F646" s="34">
        <v>44175</v>
      </c>
      <c r="G646" s="18"/>
      <c r="H646" s="16">
        <f t="shared" si="115"/>
        <v>28</v>
      </c>
      <c r="I646" s="16">
        <f t="shared" si="116"/>
        <v>2</v>
      </c>
      <c r="J646" s="122">
        <f t="shared" si="117"/>
        <v>2021</v>
      </c>
      <c r="K646" s="64">
        <f t="shared" si="123"/>
        <v>44315</v>
      </c>
      <c r="L646" s="6"/>
      <c r="M646" s="6"/>
      <c r="O646" s="208">
        <v>44291</v>
      </c>
      <c r="P646" s="209">
        <f t="shared" si="124"/>
        <v>0</v>
      </c>
      <c r="Q646" s="209">
        <f>+SUMIF('A DEPOSITAR'!$D$2:$D$998,(O646-2),'A DEPOSITAR'!$H$2:$H$998)</f>
        <v>107330</v>
      </c>
      <c r="R646" s="210">
        <f t="shared" si="125"/>
        <v>107330</v>
      </c>
      <c r="S646" s="210">
        <f t="shared" si="127"/>
        <v>4164340.6900000027</v>
      </c>
      <c r="T646" s="209">
        <f t="shared" si="126"/>
        <v>0</v>
      </c>
      <c r="U646" s="209">
        <f>+SUMIFS('A DEPOSITAR'!$H$2:$H$998,'A DEPOSITAR'!$D$2:$D$998,(O646-2),'A DEPOSITAR'!$I$2:$I$998,"A Depositar")</f>
        <v>0</v>
      </c>
      <c r="V646" s="6"/>
      <c r="W646" s="6"/>
      <c r="X646" s="6"/>
      <c r="Y646" s="6"/>
      <c r="Z646" s="6"/>
    </row>
    <row r="647" spans="1:26" ht="12.75" x14ac:dyDescent="0.2">
      <c r="A647" s="36">
        <v>44263</v>
      </c>
      <c r="B647" s="29" t="s">
        <v>222</v>
      </c>
      <c r="C647" s="29">
        <v>83725582</v>
      </c>
      <c r="D647" s="37">
        <v>20000</v>
      </c>
      <c r="E647" s="29" t="s">
        <v>22</v>
      </c>
      <c r="F647" s="34">
        <v>44175</v>
      </c>
      <c r="G647" s="18"/>
      <c r="H647" s="16">
        <f t="shared" si="115"/>
        <v>8</v>
      </c>
      <c r="I647" s="16">
        <f t="shared" si="116"/>
        <v>3</v>
      </c>
      <c r="J647" s="122">
        <f t="shared" si="117"/>
        <v>2021</v>
      </c>
      <c r="K647" s="64">
        <f t="shared" si="123"/>
        <v>44323</v>
      </c>
      <c r="L647" s="6"/>
      <c r="M647" s="6"/>
      <c r="O647" s="208">
        <v>44292</v>
      </c>
      <c r="P647" s="209">
        <f t="shared" si="124"/>
        <v>0</v>
      </c>
      <c r="Q647" s="209">
        <f>+SUMIF('A DEPOSITAR'!$D$2:$D$998,(O647-2),'A DEPOSITAR'!$H$2:$H$998)</f>
        <v>0</v>
      </c>
      <c r="R647" s="210">
        <f t="shared" si="125"/>
        <v>0</v>
      </c>
      <c r="S647" s="210">
        <f t="shared" si="127"/>
        <v>4164340.6900000027</v>
      </c>
      <c r="T647" s="209">
        <f t="shared" si="126"/>
        <v>0</v>
      </c>
      <c r="U647" s="209">
        <f>+SUMIFS('A DEPOSITAR'!$H$2:$H$998,'A DEPOSITAR'!$D$2:$D$998,(O647-2),'A DEPOSITAR'!$I$2:$I$998,"A Depositar")</f>
        <v>0</v>
      </c>
      <c r="V647" s="6"/>
      <c r="W647" s="6"/>
      <c r="X647" s="6"/>
      <c r="Y647" s="6"/>
      <c r="Z647" s="6"/>
    </row>
    <row r="648" spans="1:26" ht="12.75" x14ac:dyDescent="0.2">
      <c r="A648" s="36">
        <v>44235</v>
      </c>
      <c r="B648" s="29" t="s">
        <v>199</v>
      </c>
      <c r="C648" s="29">
        <v>83725583</v>
      </c>
      <c r="D648" s="37">
        <v>6000</v>
      </c>
      <c r="E648" s="18" t="s">
        <v>22</v>
      </c>
      <c r="F648" s="7">
        <v>44176</v>
      </c>
      <c r="G648" s="18"/>
      <c r="H648" s="16">
        <f t="shared" si="115"/>
        <v>8</v>
      </c>
      <c r="I648" s="16">
        <f t="shared" si="116"/>
        <v>2</v>
      </c>
      <c r="J648" s="122">
        <f t="shared" si="117"/>
        <v>2021</v>
      </c>
      <c r="K648" s="64">
        <f t="shared" si="123"/>
        <v>44295</v>
      </c>
      <c r="L648" s="6"/>
      <c r="M648" s="6"/>
      <c r="O648" s="208">
        <v>44293</v>
      </c>
      <c r="P648" s="209">
        <f t="shared" si="124"/>
        <v>0</v>
      </c>
      <c r="Q648" s="209">
        <f>+SUMIF('A DEPOSITAR'!$D$2:$D$998,(O648-2),'A DEPOSITAR'!$H$2:$H$998)</f>
        <v>20000</v>
      </c>
      <c r="R648" s="210">
        <f t="shared" si="125"/>
        <v>20000</v>
      </c>
      <c r="S648" s="210">
        <f t="shared" si="127"/>
        <v>4184340.6900000027</v>
      </c>
      <c r="T648" s="209">
        <f t="shared" si="126"/>
        <v>0</v>
      </c>
      <c r="U648" s="209">
        <f>+SUMIFS('A DEPOSITAR'!$H$2:$H$998,'A DEPOSITAR'!$D$2:$D$998,(O648-2),'A DEPOSITAR'!$I$2:$I$998,"A Depositar")</f>
        <v>0</v>
      </c>
      <c r="V648" s="6"/>
      <c r="W648" s="6"/>
      <c r="X648" s="6"/>
      <c r="Y648" s="6"/>
      <c r="Z648" s="6"/>
    </row>
    <row r="649" spans="1:26" ht="12.75" x14ac:dyDescent="0.2">
      <c r="A649" s="36">
        <v>44243</v>
      </c>
      <c r="B649" s="29" t="s">
        <v>199</v>
      </c>
      <c r="C649" s="29">
        <v>83725584</v>
      </c>
      <c r="D649" s="37">
        <v>5000</v>
      </c>
      <c r="E649" s="29" t="s">
        <v>22</v>
      </c>
      <c r="F649" s="34">
        <v>44176</v>
      </c>
      <c r="G649" s="18"/>
      <c r="H649" s="16">
        <f t="shared" si="115"/>
        <v>16</v>
      </c>
      <c r="I649" s="16">
        <f t="shared" si="116"/>
        <v>2</v>
      </c>
      <c r="J649" s="122">
        <f t="shared" si="117"/>
        <v>2021</v>
      </c>
      <c r="K649" s="64">
        <f t="shared" si="123"/>
        <v>44303</v>
      </c>
      <c r="L649" s="6"/>
      <c r="M649" s="6"/>
      <c r="O649" s="208">
        <v>44294</v>
      </c>
      <c r="P649" s="209">
        <f t="shared" si="124"/>
        <v>81597.100000000006</v>
      </c>
      <c r="Q649" s="209">
        <f>+SUMIF('A DEPOSITAR'!$D$2:$D$998,(O649-2),'A DEPOSITAR'!$H$2:$H$998)</f>
        <v>0</v>
      </c>
      <c r="R649" s="210">
        <f t="shared" si="125"/>
        <v>-81597.100000000006</v>
      </c>
      <c r="S649" s="210">
        <f t="shared" si="127"/>
        <v>4102743.5900000026</v>
      </c>
      <c r="T649" s="209">
        <f t="shared" si="126"/>
        <v>0</v>
      </c>
      <c r="U649" s="209">
        <f>+SUMIFS('A DEPOSITAR'!$H$2:$H$998,'A DEPOSITAR'!$D$2:$D$998,(O649-2),'A DEPOSITAR'!$I$2:$I$998,"A Depositar")</f>
        <v>0</v>
      </c>
      <c r="V649" s="6"/>
      <c r="W649" s="6"/>
      <c r="X649" s="6"/>
      <c r="Y649" s="6"/>
      <c r="Z649" s="6"/>
    </row>
    <row r="650" spans="1:26" ht="12.75" x14ac:dyDescent="0.2">
      <c r="A650" s="36">
        <v>44249</v>
      </c>
      <c r="B650" s="29" t="s">
        <v>199</v>
      </c>
      <c r="C650" s="29">
        <v>83725585</v>
      </c>
      <c r="D650" s="37">
        <v>5000</v>
      </c>
      <c r="E650" s="29" t="s">
        <v>22</v>
      </c>
      <c r="F650" s="34">
        <v>44176</v>
      </c>
      <c r="G650" s="18"/>
      <c r="H650" s="16">
        <f t="shared" si="115"/>
        <v>22</v>
      </c>
      <c r="I650" s="16">
        <f t="shared" si="116"/>
        <v>2</v>
      </c>
      <c r="J650" s="122">
        <f t="shared" si="117"/>
        <v>2021</v>
      </c>
      <c r="K650" s="64">
        <f t="shared" si="123"/>
        <v>44309</v>
      </c>
      <c r="L650" s="6"/>
      <c r="M650" s="6"/>
      <c r="O650" s="208">
        <v>44295</v>
      </c>
      <c r="P650" s="209">
        <f t="shared" si="124"/>
        <v>0</v>
      </c>
      <c r="Q650" s="209">
        <f>+SUMIF('A DEPOSITAR'!$D$2:$D$998,(O650-2),'A DEPOSITAR'!$H$2:$H$998)</f>
        <v>0</v>
      </c>
      <c r="R650" s="210">
        <f t="shared" si="125"/>
        <v>0</v>
      </c>
      <c r="S650" s="210">
        <f t="shared" si="127"/>
        <v>4102743.5900000026</v>
      </c>
      <c r="T650" s="209">
        <f t="shared" si="126"/>
        <v>0</v>
      </c>
      <c r="U650" s="209">
        <f>+SUMIFS('A DEPOSITAR'!$H$2:$H$998,'A DEPOSITAR'!$D$2:$D$998,(O650-2),'A DEPOSITAR'!$I$2:$I$998,"A Depositar")</f>
        <v>0</v>
      </c>
      <c r="V650" s="6"/>
      <c r="W650" s="6"/>
      <c r="X650" s="6"/>
      <c r="Y650" s="6"/>
      <c r="Z650" s="6"/>
    </row>
    <row r="651" spans="1:26" ht="12.75" x14ac:dyDescent="0.2">
      <c r="A651" s="36">
        <v>44255</v>
      </c>
      <c r="B651" s="29" t="s">
        <v>199</v>
      </c>
      <c r="C651" s="29">
        <v>83725586</v>
      </c>
      <c r="D651" s="37">
        <v>4000</v>
      </c>
      <c r="E651" s="29" t="s">
        <v>22</v>
      </c>
      <c r="F651" s="34">
        <v>44176</v>
      </c>
      <c r="G651" s="18"/>
      <c r="H651" s="16">
        <f t="shared" si="115"/>
        <v>28</v>
      </c>
      <c r="I651" s="16">
        <f t="shared" si="116"/>
        <v>2</v>
      </c>
      <c r="J651" s="122">
        <f t="shared" si="117"/>
        <v>2021</v>
      </c>
      <c r="K651" s="64">
        <f t="shared" si="123"/>
        <v>44315</v>
      </c>
      <c r="L651" s="6"/>
      <c r="M651" s="6"/>
      <c r="O651" s="208">
        <v>44296</v>
      </c>
      <c r="P651" s="209">
        <f t="shared" si="124"/>
        <v>0</v>
      </c>
      <c r="Q651" s="209">
        <f>+SUMIF('A DEPOSITAR'!$D$2:$D$998,(O651-2),'A DEPOSITAR'!$H$2:$H$998)</f>
        <v>0</v>
      </c>
      <c r="R651" s="210">
        <f t="shared" si="125"/>
        <v>0</v>
      </c>
      <c r="S651" s="210">
        <f t="shared" si="127"/>
        <v>4102743.5900000026</v>
      </c>
      <c r="T651" s="209">
        <f t="shared" si="126"/>
        <v>0</v>
      </c>
      <c r="U651" s="209">
        <f>+SUMIFS('A DEPOSITAR'!$H$2:$H$998,'A DEPOSITAR'!$D$2:$D$998,(O651-2),'A DEPOSITAR'!$I$2:$I$998,"A Depositar")</f>
        <v>0</v>
      </c>
      <c r="V651" s="6"/>
      <c r="W651" s="6"/>
      <c r="X651" s="6"/>
      <c r="Y651" s="6"/>
      <c r="Z651" s="6"/>
    </row>
    <row r="652" spans="1:26" ht="12.75" x14ac:dyDescent="0.2">
      <c r="A652" s="36">
        <v>44235</v>
      </c>
      <c r="B652" s="29" t="s">
        <v>833</v>
      </c>
      <c r="C652" s="29">
        <v>83725587</v>
      </c>
      <c r="D652" s="37">
        <v>9000</v>
      </c>
      <c r="E652" s="18" t="s">
        <v>22</v>
      </c>
      <c r="F652" s="7">
        <v>44182</v>
      </c>
      <c r="G652" s="18"/>
      <c r="H652" s="16">
        <f t="shared" si="115"/>
        <v>8</v>
      </c>
      <c r="I652" s="16">
        <f t="shared" si="116"/>
        <v>2</v>
      </c>
      <c r="J652" s="122">
        <f t="shared" si="117"/>
        <v>2021</v>
      </c>
      <c r="K652" s="64">
        <f t="shared" si="123"/>
        <v>44295</v>
      </c>
      <c r="L652" s="6"/>
      <c r="M652" s="6"/>
      <c r="O652" s="208">
        <v>44297</v>
      </c>
      <c r="P652" s="209">
        <f t="shared" si="124"/>
        <v>0</v>
      </c>
      <c r="Q652" s="209">
        <f>+SUMIF('A DEPOSITAR'!$D$2:$D$998,(O652-2),'A DEPOSITAR'!$H$2:$H$998)</f>
        <v>0</v>
      </c>
      <c r="R652" s="210">
        <f t="shared" si="125"/>
        <v>0</v>
      </c>
      <c r="S652" s="210">
        <f t="shared" si="127"/>
        <v>4102743.5900000026</v>
      </c>
      <c r="T652" s="209">
        <f t="shared" si="126"/>
        <v>0</v>
      </c>
      <c r="U652" s="209">
        <f>+SUMIFS('A DEPOSITAR'!$H$2:$H$998,'A DEPOSITAR'!$D$2:$D$998,(O652-2),'A DEPOSITAR'!$I$2:$I$998,"A Depositar")</f>
        <v>0</v>
      </c>
      <c r="V652" s="6"/>
      <c r="W652" s="6"/>
      <c r="X652" s="6"/>
      <c r="Y652" s="6"/>
      <c r="Z652" s="6"/>
    </row>
    <row r="653" spans="1:26" ht="12.75" x14ac:dyDescent="0.2">
      <c r="A653" s="36">
        <v>44243</v>
      </c>
      <c r="B653" s="29" t="s">
        <v>833</v>
      </c>
      <c r="C653" s="29">
        <v>83725588</v>
      </c>
      <c r="D653" s="37">
        <v>10000</v>
      </c>
      <c r="E653" s="18" t="s">
        <v>22</v>
      </c>
      <c r="F653" s="7">
        <v>44182</v>
      </c>
      <c r="G653" s="18"/>
      <c r="H653" s="16">
        <f t="shared" si="115"/>
        <v>16</v>
      </c>
      <c r="I653" s="16">
        <f t="shared" si="116"/>
        <v>2</v>
      </c>
      <c r="J653" s="122">
        <f t="shared" si="117"/>
        <v>2021</v>
      </c>
      <c r="K653" s="64">
        <f t="shared" si="123"/>
        <v>44303</v>
      </c>
      <c r="L653" s="6"/>
      <c r="M653" s="6"/>
      <c r="O653" s="208">
        <v>44298</v>
      </c>
      <c r="P653" s="209">
        <f t="shared" si="124"/>
        <v>0</v>
      </c>
      <c r="Q653" s="209">
        <f>+SUMIF('A DEPOSITAR'!$D$2:$D$998,(O653-2),'A DEPOSITAR'!$H$2:$H$998)</f>
        <v>0</v>
      </c>
      <c r="R653" s="210">
        <f t="shared" si="125"/>
        <v>0</v>
      </c>
      <c r="S653" s="210">
        <f t="shared" si="127"/>
        <v>4102743.5900000026</v>
      </c>
      <c r="T653" s="209">
        <f t="shared" si="126"/>
        <v>0</v>
      </c>
      <c r="U653" s="209">
        <f>+SUMIFS('A DEPOSITAR'!$H$2:$H$998,'A DEPOSITAR'!$D$2:$D$998,(O653-2),'A DEPOSITAR'!$I$2:$I$998,"A Depositar")</f>
        <v>0</v>
      </c>
      <c r="V653" s="6"/>
      <c r="W653" s="6"/>
      <c r="X653" s="6"/>
      <c r="Y653" s="6"/>
      <c r="Z653" s="6"/>
    </row>
    <row r="654" spans="1:26" ht="12.75" x14ac:dyDescent="0.2">
      <c r="A654" s="36">
        <v>44249</v>
      </c>
      <c r="B654" s="29" t="s">
        <v>833</v>
      </c>
      <c r="C654" s="29">
        <v>83725589</v>
      </c>
      <c r="D654" s="37">
        <v>10100</v>
      </c>
      <c r="E654" s="18" t="s">
        <v>22</v>
      </c>
      <c r="F654" s="7">
        <v>44182</v>
      </c>
      <c r="G654" s="18"/>
      <c r="H654" s="16">
        <f t="shared" si="115"/>
        <v>22</v>
      </c>
      <c r="I654" s="16">
        <f t="shared" si="116"/>
        <v>2</v>
      </c>
      <c r="J654" s="122">
        <f t="shared" si="117"/>
        <v>2021</v>
      </c>
      <c r="K654" s="64">
        <f t="shared" si="123"/>
        <v>44309</v>
      </c>
      <c r="L654" s="6"/>
      <c r="M654" s="6"/>
      <c r="O654" s="208">
        <v>44299</v>
      </c>
      <c r="P654" s="209">
        <f t="shared" si="124"/>
        <v>0</v>
      </c>
      <c r="Q654" s="209">
        <f>+SUMIF('A DEPOSITAR'!$D$2:$D$998,(O654-2),'A DEPOSITAR'!$H$2:$H$998)</f>
        <v>0</v>
      </c>
      <c r="R654" s="210">
        <f t="shared" si="125"/>
        <v>0</v>
      </c>
      <c r="S654" s="210">
        <f t="shared" si="127"/>
        <v>4102743.5900000026</v>
      </c>
      <c r="T654" s="209">
        <f t="shared" si="126"/>
        <v>0</v>
      </c>
      <c r="U654" s="209">
        <f>+SUMIFS('A DEPOSITAR'!$H$2:$H$998,'A DEPOSITAR'!$D$2:$D$998,(O654-2),'A DEPOSITAR'!$I$2:$I$998,"A Depositar")</f>
        <v>0</v>
      </c>
      <c r="V654" s="6"/>
      <c r="W654" s="6"/>
      <c r="X654" s="6"/>
      <c r="Y654" s="6"/>
      <c r="Z654" s="6"/>
    </row>
    <row r="655" spans="1:26" ht="12.75" x14ac:dyDescent="0.2">
      <c r="A655" s="36">
        <v>44255</v>
      </c>
      <c r="B655" s="29" t="s">
        <v>833</v>
      </c>
      <c r="C655" s="29">
        <v>83725590</v>
      </c>
      <c r="D655" s="37">
        <v>10007.67</v>
      </c>
      <c r="E655" s="18" t="s">
        <v>22</v>
      </c>
      <c r="F655" s="7">
        <v>44182</v>
      </c>
      <c r="G655" s="18"/>
      <c r="H655" s="16">
        <f t="shared" si="115"/>
        <v>28</v>
      </c>
      <c r="I655" s="16">
        <f t="shared" si="116"/>
        <v>2</v>
      </c>
      <c r="J655" s="122">
        <f t="shared" si="117"/>
        <v>2021</v>
      </c>
      <c r="K655" s="64">
        <f t="shared" si="123"/>
        <v>44315</v>
      </c>
      <c r="L655" s="6"/>
      <c r="M655" s="6"/>
      <c r="O655" s="208">
        <v>44300</v>
      </c>
      <c r="P655" s="209">
        <f t="shared" si="124"/>
        <v>0</v>
      </c>
      <c r="Q655" s="209">
        <f>+SUMIF('A DEPOSITAR'!$D$2:$D$998,(O655-2),'A DEPOSITAR'!$H$2:$H$998)</f>
        <v>0</v>
      </c>
      <c r="R655" s="210">
        <f t="shared" si="125"/>
        <v>0</v>
      </c>
      <c r="S655" s="210">
        <f t="shared" si="127"/>
        <v>4102743.5900000026</v>
      </c>
      <c r="T655" s="209">
        <f t="shared" si="126"/>
        <v>0</v>
      </c>
      <c r="U655" s="209">
        <f>+SUMIFS('A DEPOSITAR'!$H$2:$H$998,'A DEPOSITAR'!$D$2:$D$998,(O655-2),'A DEPOSITAR'!$I$2:$I$998,"A Depositar")</f>
        <v>0</v>
      </c>
      <c r="V655" s="6"/>
      <c r="W655" s="6"/>
      <c r="X655" s="6"/>
      <c r="Y655" s="6"/>
      <c r="Z655" s="6"/>
    </row>
    <row r="656" spans="1:26" ht="12.75" x14ac:dyDescent="0.2">
      <c r="A656" s="36">
        <v>44263</v>
      </c>
      <c r="B656" s="29" t="s">
        <v>833</v>
      </c>
      <c r="C656" s="29">
        <v>83725591</v>
      </c>
      <c r="D656" s="37">
        <v>11100</v>
      </c>
      <c r="E656" s="18" t="s">
        <v>22</v>
      </c>
      <c r="F656" s="7">
        <v>44182</v>
      </c>
      <c r="G656" s="18"/>
      <c r="H656" s="16">
        <f t="shared" si="115"/>
        <v>8</v>
      </c>
      <c r="I656" s="16">
        <f t="shared" si="116"/>
        <v>3</v>
      </c>
      <c r="J656" s="122">
        <f t="shared" si="117"/>
        <v>2021</v>
      </c>
      <c r="K656" s="64">
        <f t="shared" si="123"/>
        <v>44323</v>
      </c>
      <c r="L656" s="6"/>
      <c r="M656" s="6"/>
      <c r="O656" s="208">
        <v>44301</v>
      </c>
      <c r="P656" s="209">
        <f t="shared" si="124"/>
        <v>0</v>
      </c>
      <c r="Q656" s="209">
        <f>+SUMIF('A DEPOSITAR'!$D$2:$D$998,(O656-2),'A DEPOSITAR'!$H$2:$H$998)</f>
        <v>7000</v>
      </c>
      <c r="R656" s="210">
        <f t="shared" si="125"/>
        <v>7000</v>
      </c>
      <c r="S656" s="210">
        <f t="shared" si="127"/>
        <v>4109743.5900000026</v>
      </c>
      <c r="T656" s="209">
        <f t="shared" si="126"/>
        <v>0</v>
      </c>
      <c r="U656" s="209">
        <f>+SUMIFS('A DEPOSITAR'!$H$2:$H$998,'A DEPOSITAR'!$D$2:$D$998,(O656-2),'A DEPOSITAR'!$I$2:$I$998,"A Depositar")</f>
        <v>0</v>
      </c>
      <c r="V656" s="6"/>
      <c r="W656" s="6"/>
      <c r="X656" s="6"/>
      <c r="Y656" s="6"/>
      <c r="Z656" s="6"/>
    </row>
    <row r="657" spans="1:26" ht="12.75" x14ac:dyDescent="0.2">
      <c r="A657" s="36">
        <v>44271</v>
      </c>
      <c r="B657" s="29" t="s">
        <v>833</v>
      </c>
      <c r="C657" s="29">
        <v>83725592</v>
      </c>
      <c r="D657" s="37">
        <v>12000</v>
      </c>
      <c r="E657" s="18" t="s">
        <v>22</v>
      </c>
      <c r="F657" s="7">
        <v>44182</v>
      </c>
      <c r="G657" s="18"/>
      <c r="H657" s="16">
        <f t="shared" si="115"/>
        <v>16</v>
      </c>
      <c r="I657" s="16">
        <f t="shared" si="116"/>
        <v>3</v>
      </c>
      <c r="J657" s="122">
        <f t="shared" si="117"/>
        <v>2021</v>
      </c>
      <c r="K657" s="64">
        <f t="shared" si="123"/>
        <v>44331</v>
      </c>
      <c r="L657" s="6"/>
      <c r="M657" s="6"/>
      <c r="O657" s="208">
        <v>44302</v>
      </c>
      <c r="P657" s="209">
        <f t="shared" si="124"/>
        <v>93637.53</v>
      </c>
      <c r="Q657" s="209">
        <f>+SUMIF('A DEPOSITAR'!$D$2:$D$998,(O657-2),'A DEPOSITAR'!$H$2:$H$998)</f>
        <v>0</v>
      </c>
      <c r="R657" s="210">
        <f t="shared" si="125"/>
        <v>-93637.53</v>
      </c>
      <c r="S657" s="210">
        <f t="shared" si="127"/>
        <v>4016106.0600000028</v>
      </c>
      <c r="T657" s="209">
        <f t="shared" si="126"/>
        <v>0</v>
      </c>
      <c r="U657" s="209">
        <f>+SUMIFS('A DEPOSITAR'!$H$2:$H$998,'A DEPOSITAR'!$D$2:$D$998,(O657-2),'A DEPOSITAR'!$I$2:$I$998,"A Depositar")</f>
        <v>0</v>
      </c>
      <c r="V657" s="6"/>
      <c r="W657" s="6"/>
      <c r="X657" s="6"/>
      <c r="Y657" s="6"/>
      <c r="Z657" s="6"/>
    </row>
    <row r="658" spans="1:26" ht="12.75" x14ac:dyDescent="0.2">
      <c r="A658" s="36">
        <v>44226</v>
      </c>
      <c r="B658" s="29" t="s">
        <v>1065</v>
      </c>
      <c r="C658" s="29">
        <v>83725593</v>
      </c>
      <c r="D658" s="37">
        <v>9000</v>
      </c>
      <c r="E658" s="29" t="s">
        <v>22</v>
      </c>
      <c r="F658" s="34">
        <v>44182</v>
      </c>
      <c r="G658" s="18"/>
      <c r="H658" s="16">
        <f t="shared" si="115"/>
        <v>30</v>
      </c>
      <c r="I658" s="16">
        <f t="shared" si="116"/>
        <v>1</v>
      </c>
      <c r="J658" s="122">
        <f t="shared" si="117"/>
        <v>2021</v>
      </c>
      <c r="K658" s="64">
        <f t="shared" si="123"/>
        <v>44286</v>
      </c>
      <c r="L658" s="6"/>
      <c r="M658" s="6"/>
      <c r="O658" s="208">
        <v>44303</v>
      </c>
      <c r="P658" s="209">
        <f t="shared" si="124"/>
        <v>101393.79</v>
      </c>
      <c r="Q658" s="209">
        <f>+SUMIF('A DEPOSITAR'!$D$2:$D$998,(O658-2),'A DEPOSITAR'!$H$2:$H$998)</f>
        <v>44400</v>
      </c>
      <c r="R658" s="210">
        <f t="shared" si="125"/>
        <v>-56993.789999999994</v>
      </c>
      <c r="S658" s="210">
        <f t="shared" si="127"/>
        <v>3959112.2700000028</v>
      </c>
      <c r="T658" s="209">
        <f t="shared" si="126"/>
        <v>0</v>
      </c>
      <c r="U658" s="209">
        <f>+SUMIFS('A DEPOSITAR'!$H$2:$H$998,'A DEPOSITAR'!$D$2:$D$998,(O658-2),'A DEPOSITAR'!$I$2:$I$998,"A Depositar")</f>
        <v>0</v>
      </c>
      <c r="V658" s="6"/>
      <c r="W658" s="6"/>
      <c r="X658" s="6"/>
      <c r="Y658" s="6"/>
      <c r="Z658" s="6"/>
    </row>
    <row r="659" spans="1:26" ht="12.75" x14ac:dyDescent="0.2">
      <c r="A659" s="36">
        <v>44235</v>
      </c>
      <c r="B659" s="29" t="s">
        <v>1065</v>
      </c>
      <c r="C659" s="29">
        <v>83725594</v>
      </c>
      <c r="D659" s="37">
        <v>10000</v>
      </c>
      <c r="E659" s="29" t="s">
        <v>22</v>
      </c>
      <c r="F659" s="34">
        <v>44182</v>
      </c>
      <c r="G659" s="18"/>
      <c r="H659" s="16">
        <f t="shared" si="115"/>
        <v>8</v>
      </c>
      <c r="I659" s="16">
        <f t="shared" si="116"/>
        <v>2</v>
      </c>
      <c r="J659" s="122">
        <f t="shared" si="117"/>
        <v>2021</v>
      </c>
      <c r="K659" s="64">
        <f t="shared" si="123"/>
        <v>44295</v>
      </c>
      <c r="L659" s="6"/>
      <c r="M659" s="6"/>
      <c r="O659" s="208">
        <v>44304</v>
      </c>
      <c r="P659" s="209">
        <f t="shared" si="124"/>
        <v>0</v>
      </c>
      <c r="Q659" s="209">
        <f>+SUMIF('A DEPOSITAR'!$D$2:$D$998,(O659-2),'A DEPOSITAR'!$H$2:$H$998)</f>
        <v>15000</v>
      </c>
      <c r="R659" s="210">
        <f t="shared" si="125"/>
        <v>15000</v>
      </c>
      <c r="S659" s="210">
        <f t="shared" si="127"/>
        <v>3974112.2700000028</v>
      </c>
      <c r="T659" s="209">
        <f t="shared" si="126"/>
        <v>0</v>
      </c>
      <c r="U659" s="209">
        <f>+SUMIFS('A DEPOSITAR'!$H$2:$H$998,'A DEPOSITAR'!$D$2:$D$998,(O659-2),'A DEPOSITAR'!$I$2:$I$998,"A Depositar")</f>
        <v>0</v>
      </c>
      <c r="V659" s="6"/>
      <c r="W659" s="6"/>
      <c r="X659" s="6"/>
      <c r="Y659" s="6"/>
      <c r="Z659" s="6"/>
    </row>
    <row r="660" spans="1:26" ht="12.75" x14ac:dyDescent="0.2">
      <c r="A660" s="36">
        <v>44243</v>
      </c>
      <c r="B660" s="29" t="s">
        <v>1065</v>
      </c>
      <c r="C660" s="29">
        <v>83725595</v>
      </c>
      <c r="D660" s="37">
        <v>11000</v>
      </c>
      <c r="E660" s="29" t="s">
        <v>22</v>
      </c>
      <c r="F660" s="34">
        <v>44182</v>
      </c>
      <c r="G660" s="18"/>
      <c r="H660" s="16">
        <f t="shared" si="115"/>
        <v>16</v>
      </c>
      <c r="I660" s="16">
        <f t="shared" si="116"/>
        <v>2</v>
      </c>
      <c r="J660" s="122">
        <f t="shared" si="117"/>
        <v>2021</v>
      </c>
      <c r="K660" s="64">
        <f t="shared" si="123"/>
        <v>44303</v>
      </c>
      <c r="L660" s="6"/>
      <c r="M660" s="6"/>
      <c r="O660" s="208">
        <v>44305</v>
      </c>
      <c r="P660" s="209">
        <f t="shared" si="124"/>
        <v>0</v>
      </c>
      <c r="Q660" s="209">
        <f>+SUMIF('A DEPOSITAR'!$D$2:$D$998,(O660-2),'A DEPOSITAR'!$H$2:$H$998)</f>
        <v>0</v>
      </c>
      <c r="R660" s="210">
        <f t="shared" si="125"/>
        <v>0</v>
      </c>
      <c r="S660" s="210">
        <f t="shared" si="127"/>
        <v>3974112.2700000028</v>
      </c>
      <c r="T660" s="209">
        <f t="shared" si="126"/>
        <v>0</v>
      </c>
      <c r="U660" s="209">
        <f>+SUMIFS('A DEPOSITAR'!$H$2:$H$998,'A DEPOSITAR'!$D$2:$D$998,(O660-2),'A DEPOSITAR'!$I$2:$I$998,"A Depositar")</f>
        <v>0</v>
      </c>
      <c r="V660" s="6"/>
      <c r="W660" s="6"/>
      <c r="X660" s="6"/>
      <c r="Y660" s="6"/>
      <c r="Z660" s="6"/>
    </row>
    <row r="661" spans="1:26" ht="12.75" x14ac:dyDescent="0.2">
      <c r="A661" s="36">
        <v>44249</v>
      </c>
      <c r="B661" s="29" t="s">
        <v>1065</v>
      </c>
      <c r="C661" s="29">
        <v>83725596</v>
      </c>
      <c r="D661" s="37">
        <v>10000</v>
      </c>
      <c r="E661" s="29" t="s">
        <v>22</v>
      </c>
      <c r="F661" s="34">
        <v>44182</v>
      </c>
      <c r="G661" s="18"/>
      <c r="H661" s="16">
        <f t="shared" si="115"/>
        <v>22</v>
      </c>
      <c r="I661" s="16">
        <f t="shared" si="116"/>
        <v>2</v>
      </c>
      <c r="J661" s="122">
        <f t="shared" si="117"/>
        <v>2021</v>
      </c>
      <c r="K661" s="64">
        <f t="shared" si="123"/>
        <v>44309</v>
      </c>
      <c r="L661" s="6"/>
      <c r="M661" s="6"/>
      <c r="O661" s="208">
        <v>44306</v>
      </c>
      <c r="P661" s="209">
        <f t="shared" si="124"/>
        <v>0</v>
      </c>
      <c r="Q661" s="209">
        <f>+SUMIF('A DEPOSITAR'!$D$2:$D$998,(O661-2),'A DEPOSITAR'!$H$2:$H$998)</f>
        <v>0</v>
      </c>
      <c r="R661" s="210">
        <f t="shared" si="125"/>
        <v>0</v>
      </c>
      <c r="S661" s="210">
        <f t="shared" si="127"/>
        <v>3974112.2700000028</v>
      </c>
      <c r="T661" s="209">
        <f t="shared" si="126"/>
        <v>0</v>
      </c>
      <c r="U661" s="209">
        <f>+SUMIFS('A DEPOSITAR'!$H$2:$H$998,'A DEPOSITAR'!$D$2:$D$998,(O661-2),'A DEPOSITAR'!$I$2:$I$998,"A Depositar")</f>
        <v>0</v>
      </c>
      <c r="V661" s="6"/>
      <c r="W661" s="6"/>
      <c r="X661" s="6"/>
      <c r="Y661" s="6"/>
      <c r="Z661" s="6"/>
    </row>
    <row r="662" spans="1:26" ht="12.75" x14ac:dyDescent="0.2">
      <c r="A662" s="36">
        <v>44182</v>
      </c>
      <c r="B662" s="29" t="s">
        <v>122</v>
      </c>
      <c r="C662" s="29">
        <v>83725597</v>
      </c>
      <c r="D662" s="37">
        <v>0</v>
      </c>
      <c r="E662" s="18" t="s">
        <v>22</v>
      </c>
      <c r="F662" s="7">
        <v>44182</v>
      </c>
      <c r="G662" s="18" t="s">
        <v>1066</v>
      </c>
      <c r="H662" s="16">
        <f t="shared" si="115"/>
        <v>17</v>
      </c>
      <c r="I662" s="16">
        <f t="shared" si="116"/>
        <v>12</v>
      </c>
      <c r="J662" s="122">
        <f t="shared" si="117"/>
        <v>2020</v>
      </c>
      <c r="K662" s="64">
        <f t="shared" si="123"/>
        <v>44242</v>
      </c>
      <c r="L662" s="6"/>
      <c r="M662" s="6"/>
      <c r="O662" s="208">
        <v>44307</v>
      </c>
      <c r="P662" s="209">
        <f t="shared" si="124"/>
        <v>0</v>
      </c>
      <c r="Q662" s="209">
        <f>+SUMIF('A DEPOSITAR'!$D$2:$D$998,(O662-2),'A DEPOSITAR'!$H$2:$H$998)</f>
        <v>0</v>
      </c>
      <c r="R662" s="210">
        <f t="shared" si="125"/>
        <v>0</v>
      </c>
      <c r="S662" s="210">
        <f t="shared" si="127"/>
        <v>3974112.2700000028</v>
      </c>
      <c r="T662" s="209">
        <f t="shared" si="126"/>
        <v>0</v>
      </c>
      <c r="U662" s="209">
        <f>+SUMIFS('A DEPOSITAR'!$H$2:$H$998,'A DEPOSITAR'!$D$2:$D$998,(O662-2),'A DEPOSITAR'!$I$2:$I$998,"A Depositar")</f>
        <v>0</v>
      </c>
      <c r="V662" s="6"/>
      <c r="W662" s="6"/>
      <c r="X662" s="6"/>
      <c r="Y662" s="6"/>
      <c r="Z662" s="6"/>
    </row>
    <row r="663" spans="1:26" ht="12.75" x14ac:dyDescent="0.2">
      <c r="A663" s="36">
        <v>44249</v>
      </c>
      <c r="B663" s="29" t="s">
        <v>1041</v>
      </c>
      <c r="C663" s="29">
        <v>83725598</v>
      </c>
      <c r="D663" s="37">
        <v>8200</v>
      </c>
      <c r="E663" s="18" t="s">
        <v>22</v>
      </c>
      <c r="F663" s="34">
        <v>44184</v>
      </c>
      <c r="G663" s="18"/>
      <c r="H663" s="16">
        <f t="shared" ref="H663:H726" si="128">DAY(A663)</f>
        <v>22</v>
      </c>
      <c r="I663" s="16">
        <f t="shared" ref="I663:I726" si="129">MONTH(A663)</f>
        <v>2</v>
      </c>
      <c r="J663" s="122">
        <f t="shared" ref="J663:J726" si="130">YEAR(A663)</f>
        <v>2021</v>
      </c>
      <c r="K663" s="64">
        <f t="shared" si="123"/>
        <v>44309</v>
      </c>
      <c r="L663" s="6"/>
      <c r="M663" s="6"/>
      <c r="O663" s="208">
        <v>44308</v>
      </c>
      <c r="P663" s="209">
        <f t="shared" si="124"/>
        <v>42937.979999999996</v>
      </c>
      <c r="Q663" s="209">
        <f>+SUMIF('A DEPOSITAR'!$D$2:$D$998,(O663-2),'A DEPOSITAR'!$H$2:$H$998)</f>
        <v>0</v>
      </c>
      <c r="R663" s="210">
        <f t="shared" si="125"/>
        <v>-42937.979999999996</v>
      </c>
      <c r="S663" s="210">
        <f t="shared" si="127"/>
        <v>3931174.2900000028</v>
      </c>
      <c r="T663" s="209">
        <f t="shared" si="126"/>
        <v>0</v>
      </c>
      <c r="U663" s="209">
        <f>+SUMIFS('A DEPOSITAR'!$H$2:$H$998,'A DEPOSITAR'!$D$2:$D$998,(O663-2),'A DEPOSITAR'!$I$2:$I$998,"A Depositar")</f>
        <v>0</v>
      </c>
      <c r="V663" s="6"/>
      <c r="W663" s="6"/>
      <c r="X663" s="6"/>
      <c r="Y663" s="6"/>
      <c r="Z663" s="6"/>
    </row>
    <row r="664" spans="1:26" ht="12.75" x14ac:dyDescent="0.2">
      <c r="A664" s="36">
        <v>44235</v>
      </c>
      <c r="B664" s="29" t="s">
        <v>1041</v>
      </c>
      <c r="C664" s="29">
        <v>83725599</v>
      </c>
      <c r="D664" s="37">
        <v>8500</v>
      </c>
      <c r="E664" s="18" t="s">
        <v>22</v>
      </c>
      <c r="F664" s="34">
        <v>44184</v>
      </c>
      <c r="G664" s="18"/>
      <c r="H664" s="16">
        <f t="shared" si="128"/>
        <v>8</v>
      </c>
      <c r="I664" s="16">
        <f t="shared" si="129"/>
        <v>2</v>
      </c>
      <c r="J664" s="122">
        <f t="shared" si="130"/>
        <v>2021</v>
      </c>
      <c r="K664" s="64">
        <f t="shared" si="123"/>
        <v>44295</v>
      </c>
      <c r="L664" s="6"/>
      <c r="M664" s="6"/>
      <c r="O664" s="208">
        <v>44309</v>
      </c>
      <c r="P664" s="209">
        <f t="shared" si="124"/>
        <v>0</v>
      </c>
      <c r="Q664" s="209">
        <f>+SUMIF('A DEPOSITAR'!$D$2:$D$998,(O664-2),'A DEPOSITAR'!$H$2:$H$998)</f>
        <v>0</v>
      </c>
      <c r="R664" s="210">
        <f t="shared" si="125"/>
        <v>0</v>
      </c>
      <c r="S664" s="210">
        <f t="shared" si="127"/>
        <v>3931174.2900000028</v>
      </c>
      <c r="T664" s="209">
        <f t="shared" si="126"/>
        <v>0</v>
      </c>
      <c r="U664" s="209">
        <f>+SUMIFS('A DEPOSITAR'!$H$2:$H$998,'A DEPOSITAR'!$D$2:$D$998,(O664-2),'A DEPOSITAR'!$I$2:$I$998,"A Depositar")</f>
        <v>0</v>
      </c>
      <c r="V664" s="6"/>
      <c r="W664" s="6"/>
      <c r="X664" s="6"/>
      <c r="Y664" s="6"/>
      <c r="Z664" s="6"/>
    </row>
    <row r="665" spans="1:26" ht="12.75" x14ac:dyDescent="0.2">
      <c r="A665" s="36">
        <v>44243</v>
      </c>
      <c r="B665" s="29" t="s">
        <v>1041</v>
      </c>
      <c r="C665" s="29">
        <v>83725600</v>
      </c>
      <c r="D665" s="37">
        <v>8300</v>
      </c>
      <c r="E665" s="29" t="s">
        <v>22</v>
      </c>
      <c r="F665" s="34">
        <v>44184</v>
      </c>
      <c r="G665" s="18"/>
      <c r="H665" s="16">
        <f t="shared" si="128"/>
        <v>16</v>
      </c>
      <c r="I665" s="16">
        <f t="shared" si="129"/>
        <v>2</v>
      </c>
      <c r="J665" s="122">
        <f t="shared" si="130"/>
        <v>2021</v>
      </c>
      <c r="K665" s="64">
        <f t="shared" si="123"/>
        <v>44303</v>
      </c>
      <c r="L665" s="6"/>
      <c r="M665" s="6"/>
      <c r="O665" s="208">
        <v>44310</v>
      </c>
      <c r="P665" s="209">
        <f t="shared" si="124"/>
        <v>0</v>
      </c>
      <c r="Q665" s="209">
        <f>+SUMIF('A DEPOSITAR'!$D$2:$D$998,(O665-2),'A DEPOSITAR'!$H$2:$H$998)</f>
        <v>0</v>
      </c>
      <c r="R665" s="210">
        <f t="shared" si="125"/>
        <v>0</v>
      </c>
      <c r="S665" s="210">
        <f t="shared" si="127"/>
        <v>3931174.2900000028</v>
      </c>
      <c r="T665" s="209">
        <f t="shared" si="126"/>
        <v>0</v>
      </c>
      <c r="U665" s="209">
        <f>+SUMIFS('A DEPOSITAR'!$H$2:$H$998,'A DEPOSITAR'!$D$2:$D$998,(O665-2),'A DEPOSITAR'!$I$2:$I$998,"A Depositar")</f>
        <v>0</v>
      </c>
      <c r="V665" s="6"/>
      <c r="W665" s="6"/>
      <c r="X665" s="6"/>
      <c r="Y665" s="6"/>
      <c r="Z665" s="6"/>
    </row>
    <row r="666" spans="1:26" ht="12.75" x14ac:dyDescent="0.2">
      <c r="A666" s="36">
        <v>44186</v>
      </c>
      <c r="B666" s="29" t="s">
        <v>122</v>
      </c>
      <c r="C666" s="29">
        <v>83725601</v>
      </c>
      <c r="D666" s="37">
        <v>0</v>
      </c>
      <c r="E666" s="18" t="s">
        <v>22</v>
      </c>
      <c r="F666" s="7">
        <v>44184</v>
      </c>
      <c r="G666" s="18" t="s">
        <v>1066</v>
      </c>
      <c r="H666" s="16">
        <f t="shared" si="128"/>
        <v>21</v>
      </c>
      <c r="I666" s="16">
        <f t="shared" si="129"/>
        <v>12</v>
      </c>
      <c r="J666" s="122">
        <f t="shared" si="130"/>
        <v>2020</v>
      </c>
      <c r="K666" s="64">
        <f t="shared" si="123"/>
        <v>44246</v>
      </c>
      <c r="L666" s="6"/>
      <c r="M666" s="6"/>
      <c r="O666" s="208">
        <v>44311</v>
      </c>
      <c r="P666" s="209">
        <f t="shared" si="124"/>
        <v>0</v>
      </c>
      <c r="Q666" s="209">
        <f>+SUMIF('A DEPOSITAR'!$D$2:$D$998,(O666-2),'A DEPOSITAR'!$H$2:$H$998)</f>
        <v>24115</v>
      </c>
      <c r="R666" s="210">
        <f t="shared" si="125"/>
        <v>24115</v>
      </c>
      <c r="S666" s="210">
        <f t="shared" si="127"/>
        <v>3955289.2900000028</v>
      </c>
      <c r="T666" s="209">
        <f t="shared" si="126"/>
        <v>0</v>
      </c>
      <c r="U666" s="209">
        <f>+SUMIFS('A DEPOSITAR'!$H$2:$H$998,'A DEPOSITAR'!$D$2:$D$998,(O666-2),'A DEPOSITAR'!$I$2:$I$998,"A Depositar")</f>
        <v>0</v>
      </c>
      <c r="V666" s="6"/>
      <c r="W666" s="6"/>
      <c r="X666" s="6"/>
      <c r="Y666" s="6"/>
      <c r="Z666" s="6"/>
    </row>
    <row r="667" spans="1:26" ht="12.75" x14ac:dyDescent="0.2">
      <c r="A667" s="36">
        <v>44193</v>
      </c>
      <c r="B667" s="29" t="s">
        <v>122</v>
      </c>
      <c r="C667" s="29">
        <v>83725602</v>
      </c>
      <c r="D667" s="37">
        <v>0</v>
      </c>
      <c r="E667" s="18" t="s">
        <v>22</v>
      </c>
      <c r="F667" s="7">
        <v>44193</v>
      </c>
      <c r="G667" s="18" t="s">
        <v>1072</v>
      </c>
      <c r="H667" s="16">
        <f t="shared" si="128"/>
        <v>28</v>
      </c>
      <c r="I667" s="16">
        <f t="shared" si="129"/>
        <v>12</v>
      </c>
      <c r="J667" s="122">
        <f t="shared" si="130"/>
        <v>2020</v>
      </c>
      <c r="K667" s="64">
        <f t="shared" si="123"/>
        <v>44253</v>
      </c>
      <c r="L667" s="6"/>
      <c r="M667" s="6"/>
      <c r="O667" s="208">
        <v>44312</v>
      </c>
      <c r="P667" s="209">
        <f t="shared" si="124"/>
        <v>0</v>
      </c>
      <c r="Q667" s="209">
        <f>+SUMIF('A DEPOSITAR'!$D$2:$D$998,(O667-2),'A DEPOSITAR'!$H$2:$H$998)</f>
        <v>0</v>
      </c>
      <c r="R667" s="210">
        <f t="shared" si="125"/>
        <v>0</v>
      </c>
      <c r="S667" s="210">
        <f t="shared" si="127"/>
        <v>3955289.2900000028</v>
      </c>
      <c r="T667" s="209">
        <f t="shared" si="126"/>
        <v>0</v>
      </c>
      <c r="U667" s="209">
        <f>+SUMIFS('A DEPOSITAR'!$H$2:$H$998,'A DEPOSITAR'!$D$2:$D$998,(O667-2),'A DEPOSITAR'!$I$2:$I$998,"A Depositar")</f>
        <v>0</v>
      </c>
      <c r="V667" s="6"/>
      <c r="W667" s="6"/>
      <c r="X667" s="6"/>
      <c r="Y667" s="6"/>
      <c r="Z667" s="6"/>
    </row>
    <row r="668" spans="1:26" ht="12.75" x14ac:dyDescent="0.2">
      <c r="A668" s="36">
        <v>44263</v>
      </c>
      <c r="B668" s="29" t="s">
        <v>222</v>
      </c>
      <c r="C668" s="29">
        <v>83725603</v>
      </c>
      <c r="D668" s="37">
        <v>14000</v>
      </c>
      <c r="E668" s="18" t="s">
        <v>22</v>
      </c>
      <c r="F668" s="7">
        <v>44203</v>
      </c>
      <c r="G668" s="18"/>
      <c r="H668" s="16">
        <f t="shared" si="128"/>
        <v>8</v>
      </c>
      <c r="I668" s="16">
        <f t="shared" si="129"/>
        <v>3</v>
      </c>
      <c r="J668" s="122">
        <f t="shared" si="130"/>
        <v>2021</v>
      </c>
      <c r="K668" s="64">
        <f t="shared" si="123"/>
        <v>44323</v>
      </c>
      <c r="L668" s="6"/>
      <c r="M668" s="6"/>
      <c r="O668" s="208">
        <v>44313</v>
      </c>
      <c r="P668" s="209">
        <f t="shared" si="124"/>
        <v>0</v>
      </c>
      <c r="Q668" s="209">
        <f>+SUMIF('A DEPOSITAR'!$D$2:$D$998,(O668-2),'A DEPOSITAR'!$H$2:$H$998)</f>
        <v>26624</v>
      </c>
      <c r="R668" s="210">
        <f t="shared" si="125"/>
        <v>26624</v>
      </c>
      <c r="S668" s="210">
        <f t="shared" si="127"/>
        <v>3981913.2900000028</v>
      </c>
      <c r="T668" s="209">
        <f t="shared" si="126"/>
        <v>0</v>
      </c>
      <c r="U668" s="209">
        <f>+SUMIFS('A DEPOSITAR'!$H$2:$H$998,'A DEPOSITAR'!$D$2:$D$998,(O668-2),'A DEPOSITAR'!$I$2:$I$998,"A Depositar")</f>
        <v>0</v>
      </c>
      <c r="V668" s="6"/>
      <c r="W668" s="6"/>
      <c r="X668" s="6"/>
      <c r="Y668" s="6"/>
      <c r="Z668" s="6"/>
    </row>
    <row r="669" spans="1:26" ht="12.75" x14ac:dyDescent="0.2">
      <c r="A669" s="36">
        <v>44271</v>
      </c>
      <c r="B669" s="29" t="s">
        <v>222</v>
      </c>
      <c r="C669" s="29">
        <v>83725604</v>
      </c>
      <c r="D669" s="37">
        <v>14500</v>
      </c>
      <c r="E669" s="29" t="s">
        <v>22</v>
      </c>
      <c r="F669" s="34">
        <v>44203</v>
      </c>
      <c r="G669" s="18"/>
      <c r="H669" s="16">
        <f t="shared" si="128"/>
        <v>16</v>
      </c>
      <c r="I669" s="16">
        <f t="shared" si="129"/>
        <v>3</v>
      </c>
      <c r="J669" s="122">
        <f t="shared" si="130"/>
        <v>2021</v>
      </c>
      <c r="K669" s="64">
        <f t="shared" si="123"/>
        <v>44331</v>
      </c>
      <c r="L669" s="6"/>
      <c r="M669" s="6"/>
      <c r="O669" s="208">
        <v>44314</v>
      </c>
      <c r="P669" s="209">
        <f t="shared" si="124"/>
        <v>0</v>
      </c>
      <c r="Q669" s="209">
        <f>+SUMIF('A DEPOSITAR'!$D$2:$D$998,(O669-2),'A DEPOSITAR'!$H$2:$H$998)</f>
        <v>0</v>
      </c>
      <c r="R669" s="210">
        <f t="shared" si="125"/>
        <v>0</v>
      </c>
      <c r="S669" s="210">
        <f t="shared" si="127"/>
        <v>3981913.2900000028</v>
      </c>
      <c r="T669" s="209">
        <f t="shared" si="126"/>
        <v>0</v>
      </c>
      <c r="U669" s="209">
        <f>+SUMIFS('A DEPOSITAR'!$H$2:$H$998,'A DEPOSITAR'!$D$2:$D$998,(O669-2),'A DEPOSITAR'!$I$2:$I$998,"A Depositar")</f>
        <v>0</v>
      </c>
      <c r="V669" s="6"/>
      <c r="W669" s="6"/>
      <c r="X669" s="6"/>
      <c r="Y669" s="6"/>
      <c r="Z669" s="6"/>
    </row>
    <row r="670" spans="1:26" ht="12.75" x14ac:dyDescent="0.2">
      <c r="A670" s="36">
        <v>44277</v>
      </c>
      <c r="B670" s="29" t="s">
        <v>222</v>
      </c>
      <c r="C670" s="29">
        <v>83725605</v>
      </c>
      <c r="D670" s="37">
        <v>15000</v>
      </c>
      <c r="E670" s="29" t="s">
        <v>22</v>
      </c>
      <c r="F670" s="34">
        <v>44203</v>
      </c>
      <c r="G670" s="18"/>
      <c r="H670" s="16">
        <f t="shared" si="128"/>
        <v>22</v>
      </c>
      <c r="I670" s="16">
        <f t="shared" si="129"/>
        <v>3</v>
      </c>
      <c r="J670" s="122">
        <f t="shared" si="130"/>
        <v>2021</v>
      </c>
      <c r="K670" s="64">
        <f t="shared" si="123"/>
        <v>44337</v>
      </c>
      <c r="L670" s="6"/>
      <c r="M670" s="6"/>
      <c r="O670" s="208">
        <v>44315</v>
      </c>
      <c r="P670" s="209">
        <f t="shared" si="124"/>
        <v>0</v>
      </c>
      <c r="Q670" s="209">
        <f>+SUMIF('A DEPOSITAR'!$D$2:$D$998,(O670-2),'A DEPOSITAR'!$H$2:$H$998)</f>
        <v>0</v>
      </c>
      <c r="R670" s="210">
        <f t="shared" si="125"/>
        <v>0</v>
      </c>
      <c r="S670" s="210">
        <f t="shared" si="127"/>
        <v>3981913.2900000028</v>
      </c>
      <c r="T670" s="209">
        <f t="shared" si="126"/>
        <v>0</v>
      </c>
      <c r="U670" s="209">
        <f>+SUMIFS('A DEPOSITAR'!$H$2:$H$998,'A DEPOSITAR'!$D$2:$D$998,(O670-2),'A DEPOSITAR'!$I$2:$I$998,"A Depositar")</f>
        <v>0</v>
      </c>
      <c r="V670" s="6"/>
      <c r="W670" s="6"/>
      <c r="X670" s="6"/>
      <c r="Y670" s="6"/>
      <c r="Z670" s="6"/>
    </row>
    <row r="671" spans="1:26" ht="12.75" x14ac:dyDescent="0.2">
      <c r="A671" s="36">
        <v>44285</v>
      </c>
      <c r="B671" s="29" t="s">
        <v>222</v>
      </c>
      <c r="C671" s="29">
        <v>83725606</v>
      </c>
      <c r="D671" s="37">
        <v>15500</v>
      </c>
      <c r="E671" s="29" t="s">
        <v>22</v>
      </c>
      <c r="F671" s="34">
        <v>44203</v>
      </c>
      <c r="G671" s="18"/>
      <c r="H671" s="16">
        <f t="shared" si="128"/>
        <v>30</v>
      </c>
      <c r="I671" s="16">
        <f t="shared" si="129"/>
        <v>3</v>
      </c>
      <c r="J671" s="122">
        <f t="shared" si="130"/>
        <v>2021</v>
      </c>
      <c r="K671" s="64">
        <f t="shared" si="123"/>
        <v>44345</v>
      </c>
      <c r="L671" s="6"/>
      <c r="M671" s="6"/>
      <c r="O671" s="208">
        <v>44316</v>
      </c>
      <c r="P671" s="209">
        <f t="shared" si="124"/>
        <v>30638.9</v>
      </c>
      <c r="Q671" s="209">
        <f>+SUMIF('A DEPOSITAR'!$D$2:$D$998,(O671-2),'A DEPOSITAR'!$H$2:$H$998)</f>
        <v>0</v>
      </c>
      <c r="R671" s="210">
        <f t="shared" si="125"/>
        <v>-30638.9</v>
      </c>
      <c r="S671" s="210">
        <f t="shared" si="127"/>
        <v>3951274.3900000029</v>
      </c>
      <c r="T671" s="209">
        <f t="shared" si="126"/>
        <v>0</v>
      </c>
      <c r="U671" s="209">
        <f>+SUMIFS('A DEPOSITAR'!$H$2:$H$998,'A DEPOSITAR'!$D$2:$D$998,(O671-2),'A DEPOSITAR'!$I$2:$I$998,"A Depositar")</f>
        <v>0</v>
      </c>
      <c r="V671" s="6"/>
      <c r="W671" s="6"/>
      <c r="X671" s="6"/>
      <c r="Y671" s="6"/>
      <c r="Z671" s="6"/>
    </row>
    <row r="672" spans="1:26" ht="12.75" x14ac:dyDescent="0.2">
      <c r="A672" s="36">
        <v>44294</v>
      </c>
      <c r="B672" s="29" t="s">
        <v>222</v>
      </c>
      <c r="C672" s="29">
        <v>83725607</v>
      </c>
      <c r="D672" s="37">
        <v>16000</v>
      </c>
      <c r="E672" s="29" t="s">
        <v>22</v>
      </c>
      <c r="F672" s="34">
        <v>44203</v>
      </c>
      <c r="G672" s="18"/>
      <c r="H672" s="16">
        <f t="shared" si="128"/>
        <v>8</v>
      </c>
      <c r="I672" s="16">
        <f t="shared" si="129"/>
        <v>4</v>
      </c>
      <c r="J672" s="122">
        <f t="shared" si="130"/>
        <v>2021</v>
      </c>
      <c r="K672" s="64">
        <f t="shared" si="123"/>
        <v>44354</v>
      </c>
      <c r="L672" s="6"/>
      <c r="M672" s="6"/>
      <c r="O672" s="208">
        <v>44317</v>
      </c>
      <c r="P672" s="209">
        <f t="shared" si="124"/>
        <v>0</v>
      </c>
      <c r="Q672" s="209">
        <f>+SUMIF('A DEPOSITAR'!$D$2:$D$998,(O672-2),'A DEPOSITAR'!$H$2:$H$998)</f>
        <v>0</v>
      </c>
      <c r="R672" s="210">
        <f t="shared" si="125"/>
        <v>0</v>
      </c>
      <c r="S672" s="210">
        <f t="shared" si="127"/>
        <v>3951274.3900000029</v>
      </c>
      <c r="T672" s="209">
        <f t="shared" si="126"/>
        <v>0</v>
      </c>
      <c r="U672" s="209">
        <f>+SUMIFS('A DEPOSITAR'!$H$2:$H$998,'A DEPOSITAR'!$D$2:$D$998,(O672-2),'A DEPOSITAR'!$I$2:$I$998,"A Depositar")</f>
        <v>0</v>
      </c>
      <c r="V672" s="6"/>
      <c r="W672" s="6"/>
      <c r="X672" s="6"/>
      <c r="Y672" s="6"/>
      <c r="Z672" s="6"/>
    </row>
    <row r="673" spans="1:26" ht="12.75" x14ac:dyDescent="0.2">
      <c r="A673" s="36">
        <v>44302</v>
      </c>
      <c r="B673" s="29" t="s">
        <v>222</v>
      </c>
      <c r="C673" s="29">
        <v>83725608</v>
      </c>
      <c r="D673" s="37">
        <v>13000</v>
      </c>
      <c r="E673" s="29" t="s">
        <v>22</v>
      </c>
      <c r="F673" s="34">
        <v>44203</v>
      </c>
      <c r="G673" s="18"/>
      <c r="H673" s="16">
        <f t="shared" si="128"/>
        <v>16</v>
      </c>
      <c r="I673" s="16">
        <f t="shared" si="129"/>
        <v>4</v>
      </c>
      <c r="J673" s="122">
        <f t="shared" si="130"/>
        <v>2021</v>
      </c>
      <c r="K673" s="64">
        <f t="shared" si="123"/>
        <v>44362</v>
      </c>
      <c r="L673" s="6"/>
      <c r="M673" s="6"/>
      <c r="O673" s="208">
        <v>44318</v>
      </c>
      <c r="P673" s="209">
        <f t="shared" si="124"/>
        <v>0</v>
      </c>
      <c r="Q673" s="209">
        <f>+SUMIF('A DEPOSITAR'!$D$2:$D$998,(O673-2),'A DEPOSITAR'!$H$2:$H$998)</f>
        <v>151256</v>
      </c>
      <c r="R673" s="210">
        <f t="shared" si="125"/>
        <v>151256</v>
      </c>
      <c r="S673" s="210">
        <f t="shared" si="127"/>
        <v>4102530.3900000029</v>
      </c>
      <c r="T673" s="209">
        <f t="shared" si="126"/>
        <v>0</v>
      </c>
      <c r="U673" s="209">
        <f>+SUMIFS('A DEPOSITAR'!$H$2:$H$998,'A DEPOSITAR'!$D$2:$D$998,(O673-2),'A DEPOSITAR'!$I$2:$I$998,"A Depositar")</f>
        <v>0</v>
      </c>
      <c r="V673" s="6"/>
      <c r="W673" s="6"/>
      <c r="X673" s="6"/>
      <c r="Y673" s="6"/>
      <c r="Z673" s="6"/>
    </row>
    <row r="674" spans="1:26" ht="12.75" x14ac:dyDescent="0.2">
      <c r="A674" s="36">
        <v>44308</v>
      </c>
      <c r="B674" s="29" t="s">
        <v>222</v>
      </c>
      <c r="C674" s="29">
        <v>83725609</v>
      </c>
      <c r="D674" s="37">
        <v>12000</v>
      </c>
      <c r="E674" s="29" t="s">
        <v>22</v>
      </c>
      <c r="F674" s="34">
        <v>44203</v>
      </c>
      <c r="G674" s="18"/>
      <c r="H674" s="16">
        <f t="shared" si="128"/>
        <v>22</v>
      </c>
      <c r="I674" s="16">
        <f t="shared" si="129"/>
        <v>4</v>
      </c>
      <c r="J674" s="122">
        <f t="shared" si="130"/>
        <v>2021</v>
      </c>
      <c r="K674" s="64">
        <f t="shared" si="123"/>
        <v>44368</v>
      </c>
      <c r="L674" s="6"/>
      <c r="M674" s="6"/>
      <c r="O674" s="208">
        <v>44319</v>
      </c>
      <c r="P674" s="209">
        <f t="shared" si="124"/>
        <v>0</v>
      </c>
      <c r="Q674" s="209">
        <f>+SUMIF('A DEPOSITAR'!$D$2:$D$998,(O674-2),'A DEPOSITAR'!$H$2:$H$998)</f>
        <v>0</v>
      </c>
      <c r="R674" s="210">
        <f t="shared" si="125"/>
        <v>0</v>
      </c>
      <c r="S674" s="210">
        <f t="shared" si="127"/>
        <v>4102530.3900000029</v>
      </c>
      <c r="T674" s="209">
        <f t="shared" si="126"/>
        <v>0</v>
      </c>
      <c r="U674" s="209">
        <f>+SUMIFS('A DEPOSITAR'!$H$2:$H$998,'A DEPOSITAR'!$D$2:$D$998,(O674-2),'A DEPOSITAR'!$I$2:$I$998,"A Depositar")</f>
        <v>0</v>
      </c>
      <c r="V674" s="6"/>
      <c r="W674" s="6"/>
      <c r="X674" s="6"/>
      <c r="Y674" s="6"/>
      <c r="Z674" s="6"/>
    </row>
    <row r="675" spans="1:26" ht="12.75" x14ac:dyDescent="0.2">
      <c r="A675" s="36">
        <v>44263</v>
      </c>
      <c r="B675" s="29" t="s">
        <v>199</v>
      </c>
      <c r="C675" s="29">
        <v>83725610</v>
      </c>
      <c r="D675" s="37">
        <v>10100</v>
      </c>
      <c r="E675" s="29" t="s">
        <v>22</v>
      </c>
      <c r="F675" s="7">
        <v>44208</v>
      </c>
      <c r="G675" s="18"/>
      <c r="H675" s="16">
        <f t="shared" si="128"/>
        <v>8</v>
      </c>
      <c r="I675" s="16">
        <f t="shared" si="129"/>
        <v>3</v>
      </c>
      <c r="J675" s="122">
        <f t="shared" si="130"/>
        <v>2021</v>
      </c>
      <c r="K675" s="64">
        <f t="shared" si="123"/>
        <v>44323</v>
      </c>
      <c r="L675" s="6"/>
      <c r="M675" s="6"/>
      <c r="O675" s="208">
        <v>44320</v>
      </c>
      <c r="P675" s="209">
        <f t="shared" si="124"/>
        <v>0</v>
      </c>
      <c r="Q675" s="209">
        <f>+SUMIF('A DEPOSITAR'!$D$2:$D$998,(O675-2),'A DEPOSITAR'!$H$2:$H$998)</f>
        <v>22330</v>
      </c>
      <c r="R675" s="210">
        <f t="shared" si="125"/>
        <v>22330</v>
      </c>
      <c r="S675" s="210">
        <f t="shared" si="127"/>
        <v>4124860.3900000029</v>
      </c>
      <c r="T675" s="209">
        <f t="shared" si="126"/>
        <v>0</v>
      </c>
      <c r="U675" s="209">
        <f>+SUMIFS('A DEPOSITAR'!$H$2:$H$998,'A DEPOSITAR'!$D$2:$D$998,(O675-2),'A DEPOSITAR'!$I$2:$I$998,"A Depositar")</f>
        <v>0</v>
      </c>
      <c r="V675" s="6"/>
      <c r="W675" s="6"/>
      <c r="X675" s="6"/>
      <c r="Y675" s="6"/>
      <c r="Z675" s="6"/>
    </row>
    <row r="676" spans="1:26" ht="12.75" x14ac:dyDescent="0.2">
      <c r="A676" s="36">
        <v>44271</v>
      </c>
      <c r="B676" s="29" t="s">
        <v>199</v>
      </c>
      <c r="C676" s="29">
        <v>83725611</v>
      </c>
      <c r="D676" s="37">
        <v>10190</v>
      </c>
      <c r="E676" s="29" t="s">
        <v>22</v>
      </c>
      <c r="F676" s="34">
        <v>44208</v>
      </c>
      <c r="G676" s="18"/>
      <c r="H676" s="16">
        <f t="shared" si="128"/>
        <v>16</v>
      </c>
      <c r="I676" s="16">
        <f t="shared" si="129"/>
        <v>3</v>
      </c>
      <c r="J676" s="122">
        <f t="shared" si="130"/>
        <v>2021</v>
      </c>
      <c r="K676" s="64">
        <f t="shared" si="123"/>
        <v>44331</v>
      </c>
      <c r="L676" s="6"/>
      <c r="M676" s="6"/>
      <c r="O676" s="208">
        <v>44321</v>
      </c>
      <c r="P676" s="209">
        <f t="shared" si="124"/>
        <v>0</v>
      </c>
      <c r="Q676" s="209">
        <f>+SUMIF('A DEPOSITAR'!$D$2:$D$998,(O676-2),'A DEPOSITAR'!$H$2:$H$998)</f>
        <v>0</v>
      </c>
      <c r="R676" s="210">
        <f t="shared" si="125"/>
        <v>0</v>
      </c>
      <c r="S676" s="210">
        <f t="shared" si="127"/>
        <v>4124860.3900000029</v>
      </c>
      <c r="T676" s="209">
        <f t="shared" si="126"/>
        <v>0</v>
      </c>
      <c r="U676" s="209">
        <f>+SUMIFS('A DEPOSITAR'!$H$2:$H$998,'A DEPOSITAR'!$D$2:$D$998,(O676-2),'A DEPOSITAR'!$I$2:$I$998,"A Depositar")</f>
        <v>0</v>
      </c>
      <c r="V676" s="6"/>
      <c r="W676" s="6"/>
      <c r="X676" s="6"/>
      <c r="Y676" s="6"/>
      <c r="Z676" s="6"/>
    </row>
    <row r="677" spans="1:26" ht="12.75" x14ac:dyDescent="0.2">
      <c r="A677" s="36">
        <v>44277</v>
      </c>
      <c r="B677" s="29" t="s">
        <v>199</v>
      </c>
      <c r="C677" s="29">
        <v>83725612</v>
      </c>
      <c r="D677" s="37">
        <v>10108.9</v>
      </c>
      <c r="E677" s="29" t="s">
        <v>22</v>
      </c>
      <c r="F677" s="34">
        <v>44208</v>
      </c>
      <c r="G677" s="18"/>
      <c r="H677" s="16">
        <f t="shared" si="128"/>
        <v>22</v>
      </c>
      <c r="I677" s="16">
        <f t="shared" si="129"/>
        <v>3</v>
      </c>
      <c r="J677" s="122">
        <f t="shared" si="130"/>
        <v>2021</v>
      </c>
      <c r="K677" s="64">
        <f t="shared" si="123"/>
        <v>44337</v>
      </c>
      <c r="L677" s="6"/>
      <c r="M677" s="6"/>
      <c r="O677" s="208">
        <v>44322</v>
      </c>
      <c r="P677" s="209">
        <f t="shared" si="124"/>
        <v>0</v>
      </c>
      <c r="Q677" s="209">
        <f>+SUMIF('A DEPOSITAR'!$D$2:$D$998,(O677-2),'A DEPOSITAR'!$H$2:$H$998)</f>
        <v>0</v>
      </c>
      <c r="R677" s="210">
        <f t="shared" si="125"/>
        <v>0</v>
      </c>
      <c r="S677" s="210">
        <f t="shared" si="127"/>
        <v>4124860.3900000029</v>
      </c>
      <c r="T677" s="209">
        <f t="shared" si="126"/>
        <v>0</v>
      </c>
      <c r="U677" s="209">
        <f>+SUMIFS('A DEPOSITAR'!$H$2:$H$998,'A DEPOSITAR'!$D$2:$D$998,(O677-2),'A DEPOSITAR'!$I$2:$I$998,"A Depositar")</f>
        <v>0</v>
      </c>
      <c r="V677" s="6"/>
      <c r="W677" s="6"/>
      <c r="X677" s="6"/>
      <c r="Y677" s="6"/>
      <c r="Z677" s="6"/>
    </row>
    <row r="678" spans="1:26" ht="12.75" x14ac:dyDescent="0.2">
      <c r="A678" s="36">
        <v>44285</v>
      </c>
      <c r="B678" s="29" t="s">
        <v>199</v>
      </c>
      <c r="C678" s="29">
        <v>83725613</v>
      </c>
      <c r="D678" s="37">
        <v>10060</v>
      </c>
      <c r="E678" s="29" t="s">
        <v>22</v>
      </c>
      <c r="F678" s="34">
        <v>44208</v>
      </c>
      <c r="G678" s="18"/>
      <c r="H678" s="16">
        <f t="shared" si="128"/>
        <v>30</v>
      </c>
      <c r="I678" s="16">
        <f t="shared" si="129"/>
        <v>3</v>
      </c>
      <c r="J678" s="122">
        <f t="shared" si="130"/>
        <v>2021</v>
      </c>
      <c r="K678" s="64">
        <f t="shared" si="123"/>
        <v>44345</v>
      </c>
      <c r="L678" s="6"/>
      <c r="M678" s="6"/>
      <c r="O678" s="208">
        <v>44323</v>
      </c>
      <c r="P678" s="209">
        <f t="shared" si="124"/>
        <v>0</v>
      </c>
      <c r="Q678" s="209">
        <f>+SUMIF('A DEPOSITAR'!$D$2:$D$998,(O678-2),'A DEPOSITAR'!$H$2:$H$998)</f>
        <v>60000</v>
      </c>
      <c r="R678" s="210">
        <f t="shared" si="125"/>
        <v>60000</v>
      </c>
      <c r="S678" s="210">
        <f t="shared" si="127"/>
        <v>4184860.3900000029</v>
      </c>
      <c r="T678" s="209">
        <f t="shared" si="126"/>
        <v>0</v>
      </c>
      <c r="U678" s="209">
        <f>+SUMIFS('A DEPOSITAR'!$H$2:$H$998,'A DEPOSITAR'!$D$2:$D$998,(O678-2),'A DEPOSITAR'!$I$2:$I$998,"A Depositar")</f>
        <v>0</v>
      </c>
      <c r="V678" s="6"/>
      <c r="W678" s="6"/>
      <c r="X678" s="6"/>
      <c r="Y678" s="6"/>
      <c r="Z678" s="6"/>
    </row>
    <row r="679" spans="1:26" ht="12.75" x14ac:dyDescent="0.2">
      <c r="A679" s="36">
        <v>44294</v>
      </c>
      <c r="B679" s="29" t="s">
        <v>199</v>
      </c>
      <c r="C679" s="29">
        <v>83725614</v>
      </c>
      <c r="D679" s="37">
        <v>10040</v>
      </c>
      <c r="E679" s="29" t="s">
        <v>22</v>
      </c>
      <c r="F679" s="34">
        <v>44208</v>
      </c>
      <c r="G679" s="18"/>
      <c r="H679" s="16">
        <f t="shared" si="128"/>
        <v>8</v>
      </c>
      <c r="I679" s="16">
        <f t="shared" si="129"/>
        <v>4</v>
      </c>
      <c r="J679" s="122">
        <f t="shared" si="130"/>
        <v>2021</v>
      </c>
      <c r="K679" s="64">
        <f t="shared" si="123"/>
        <v>44354</v>
      </c>
      <c r="L679" s="6"/>
      <c r="M679" s="6"/>
      <c r="O679" s="208">
        <v>44324</v>
      </c>
      <c r="P679" s="209">
        <f t="shared" si="124"/>
        <v>55620</v>
      </c>
      <c r="Q679" s="209">
        <f>+SUMIF('A DEPOSITAR'!$D$2:$D$998,(O679-2),'A DEPOSITAR'!$H$2:$H$998)</f>
        <v>0</v>
      </c>
      <c r="R679" s="210">
        <f t="shared" si="125"/>
        <v>-55620</v>
      </c>
      <c r="S679" s="210">
        <f t="shared" si="127"/>
        <v>4129240.3900000029</v>
      </c>
      <c r="T679" s="209">
        <f t="shared" si="126"/>
        <v>0</v>
      </c>
      <c r="U679" s="209">
        <f>+SUMIFS('A DEPOSITAR'!$H$2:$H$998,'A DEPOSITAR'!$D$2:$D$998,(O679-2),'A DEPOSITAR'!$I$2:$I$998,"A Depositar")</f>
        <v>0</v>
      </c>
      <c r="V679" s="6"/>
      <c r="W679" s="6"/>
      <c r="X679" s="6"/>
      <c r="Y679" s="6"/>
      <c r="Z679" s="6"/>
    </row>
    <row r="680" spans="1:26" ht="12.75" x14ac:dyDescent="0.2">
      <c r="A680" s="36">
        <v>44213</v>
      </c>
      <c r="B680" s="29" t="s">
        <v>201</v>
      </c>
      <c r="C680" s="29" t="s">
        <v>1073</v>
      </c>
      <c r="D680" s="37">
        <v>56666.67</v>
      </c>
      <c r="E680" s="29" t="s">
        <v>22</v>
      </c>
      <c r="F680" s="7">
        <v>44182</v>
      </c>
      <c r="G680" s="18"/>
      <c r="H680" s="16">
        <f t="shared" si="128"/>
        <v>17</v>
      </c>
      <c r="I680" s="16">
        <f t="shared" si="129"/>
        <v>1</v>
      </c>
      <c r="J680" s="122">
        <f t="shared" si="130"/>
        <v>2021</v>
      </c>
      <c r="K680" s="64">
        <f t="shared" si="123"/>
        <v>44273</v>
      </c>
      <c r="L680" s="6"/>
      <c r="M680" s="6"/>
      <c r="O680" s="208">
        <v>44325</v>
      </c>
      <c r="P680" s="209">
        <f t="shared" si="124"/>
        <v>0</v>
      </c>
      <c r="Q680" s="209">
        <f>+SUMIF('A DEPOSITAR'!$D$2:$D$998,(O680-2),'A DEPOSITAR'!$H$2:$H$998)</f>
        <v>0</v>
      </c>
      <c r="R680" s="210">
        <f t="shared" si="125"/>
        <v>0</v>
      </c>
      <c r="S680" s="210">
        <f t="shared" si="127"/>
        <v>4129240.3900000029</v>
      </c>
      <c r="T680" s="209">
        <f t="shared" si="126"/>
        <v>0</v>
      </c>
      <c r="U680" s="209">
        <f>+SUMIFS('A DEPOSITAR'!$H$2:$H$998,'A DEPOSITAR'!$D$2:$D$998,(O680-2),'A DEPOSITAR'!$I$2:$I$998,"A Depositar")</f>
        <v>0</v>
      </c>
      <c r="V680" s="6"/>
      <c r="W680" s="6"/>
      <c r="X680" s="6"/>
      <c r="Y680" s="6"/>
      <c r="Z680" s="6"/>
    </row>
    <row r="681" spans="1:26" ht="12.75" x14ac:dyDescent="0.2">
      <c r="A681" s="36">
        <v>44213</v>
      </c>
      <c r="B681" s="29" t="s">
        <v>201</v>
      </c>
      <c r="C681" s="29" t="s">
        <v>1074</v>
      </c>
      <c r="D681" s="37">
        <v>19636.16</v>
      </c>
      <c r="E681" s="29" t="s">
        <v>22</v>
      </c>
      <c r="F681" s="34">
        <v>44182</v>
      </c>
      <c r="G681" s="18"/>
      <c r="H681" s="16">
        <f t="shared" si="128"/>
        <v>17</v>
      </c>
      <c r="I681" s="16">
        <f t="shared" si="129"/>
        <v>1</v>
      </c>
      <c r="J681" s="122">
        <f t="shared" si="130"/>
        <v>2021</v>
      </c>
      <c r="K681" s="64">
        <f t="shared" si="123"/>
        <v>44273</v>
      </c>
      <c r="L681" s="6"/>
      <c r="M681" s="6"/>
      <c r="O681" s="208">
        <v>44326</v>
      </c>
      <c r="P681" s="209">
        <f t="shared" si="124"/>
        <v>0</v>
      </c>
      <c r="Q681" s="209">
        <f>+SUMIF('A DEPOSITAR'!$D$2:$D$998,(O681-2),'A DEPOSITAR'!$H$2:$H$998)</f>
        <v>0</v>
      </c>
      <c r="R681" s="210">
        <f t="shared" si="125"/>
        <v>0</v>
      </c>
      <c r="S681" s="210">
        <f t="shared" si="127"/>
        <v>4129240.3900000029</v>
      </c>
      <c r="T681" s="209">
        <f t="shared" si="126"/>
        <v>0</v>
      </c>
      <c r="U681" s="209">
        <f>+SUMIFS('A DEPOSITAR'!$H$2:$H$998,'A DEPOSITAR'!$D$2:$D$998,(O681-2),'A DEPOSITAR'!$I$2:$I$998,"A Depositar")</f>
        <v>0</v>
      </c>
      <c r="V681" s="6"/>
      <c r="W681" s="6"/>
      <c r="X681" s="6"/>
      <c r="Y681" s="6"/>
      <c r="Z681" s="6"/>
    </row>
    <row r="682" spans="1:26" ht="12.75" x14ac:dyDescent="0.2">
      <c r="A682" s="36">
        <v>44244</v>
      </c>
      <c r="B682" s="29" t="s">
        <v>201</v>
      </c>
      <c r="C682" s="29" t="s">
        <v>1075</v>
      </c>
      <c r="D682" s="37">
        <v>56666.67</v>
      </c>
      <c r="E682" s="29" t="s">
        <v>22</v>
      </c>
      <c r="F682" s="34">
        <v>44182</v>
      </c>
      <c r="G682" s="18"/>
      <c r="H682" s="16">
        <f t="shared" si="128"/>
        <v>17</v>
      </c>
      <c r="I682" s="16">
        <f t="shared" si="129"/>
        <v>2</v>
      </c>
      <c r="J682" s="122">
        <f t="shared" si="130"/>
        <v>2021</v>
      </c>
      <c r="K682" s="64">
        <f t="shared" si="123"/>
        <v>44304</v>
      </c>
      <c r="L682" s="6"/>
      <c r="M682" s="6"/>
      <c r="O682" s="208">
        <v>44327</v>
      </c>
      <c r="P682" s="209">
        <f t="shared" si="124"/>
        <v>0</v>
      </c>
      <c r="Q682" s="209">
        <f>+SUMIF('A DEPOSITAR'!$D$2:$D$998,(O682-2),'A DEPOSITAR'!$H$2:$H$998)</f>
        <v>0</v>
      </c>
      <c r="R682" s="210">
        <f t="shared" si="125"/>
        <v>0</v>
      </c>
      <c r="S682" s="210">
        <f t="shared" si="127"/>
        <v>4129240.3900000029</v>
      </c>
      <c r="T682" s="209">
        <f t="shared" si="126"/>
        <v>0</v>
      </c>
      <c r="U682" s="209">
        <f>+SUMIFS('A DEPOSITAR'!$H$2:$H$998,'A DEPOSITAR'!$D$2:$D$998,(O682-2),'A DEPOSITAR'!$I$2:$I$998,"A Depositar")</f>
        <v>0</v>
      </c>
      <c r="V682" s="6"/>
      <c r="W682" s="6"/>
      <c r="X682" s="6"/>
      <c r="Y682" s="6"/>
      <c r="Z682" s="6"/>
    </row>
    <row r="683" spans="1:26" ht="12.75" x14ac:dyDescent="0.2">
      <c r="A683" s="36">
        <v>44244</v>
      </c>
      <c r="B683" s="29" t="s">
        <v>201</v>
      </c>
      <c r="C683" s="29" t="s">
        <v>1076</v>
      </c>
      <c r="D683" s="37">
        <v>17999.810000000001</v>
      </c>
      <c r="E683" s="29" t="s">
        <v>22</v>
      </c>
      <c r="F683" s="34">
        <v>44182</v>
      </c>
      <c r="G683" s="18"/>
      <c r="H683" s="16">
        <f t="shared" si="128"/>
        <v>17</v>
      </c>
      <c r="I683" s="16">
        <f t="shared" si="129"/>
        <v>2</v>
      </c>
      <c r="J683" s="122">
        <f t="shared" si="130"/>
        <v>2021</v>
      </c>
      <c r="K683" s="64">
        <f t="shared" si="123"/>
        <v>44304</v>
      </c>
      <c r="L683" s="6"/>
      <c r="M683" s="6"/>
      <c r="O683" s="208">
        <v>44328</v>
      </c>
      <c r="P683" s="209">
        <f t="shared" si="124"/>
        <v>0</v>
      </c>
      <c r="Q683" s="209">
        <f>+SUMIF('A DEPOSITAR'!$D$2:$D$998,(O683-2),'A DEPOSITAR'!$H$2:$H$998)</f>
        <v>14000</v>
      </c>
      <c r="R683" s="210">
        <f t="shared" si="125"/>
        <v>14000</v>
      </c>
      <c r="S683" s="210">
        <f t="shared" si="127"/>
        <v>4143240.3900000029</v>
      </c>
      <c r="T683" s="209">
        <f t="shared" si="126"/>
        <v>0</v>
      </c>
      <c r="U683" s="209">
        <f>+SUMIFS('A DEPOSITAR'!$H$2:$H$998,'A DEPOSITAR'!$D$2:$D$998,(O683-2),'A DEPOSITAR'!$I$2:$I$998,"A Depositar")</f>
        <v>0</v>
      </c>
      <c r="V683" s="6"/>
      <c r="W683" s="6"/>
      <c r="X683" s="6"/>
      <c r="Y683" s="6"/>
      <c r="Z683" s="6"/>
    </row>
    <row r="684" spans="1:26" ht="12.75" x14ac:dyDescent="0.2">
      <c r="A684" s="36">
        <v>44272</v>
      </c>
      <c r="B684" s="29" t="s">
        <v>201</v>
      </c>
      <c r="C684" s="29" t="s">
        <v>1077</v>
      </c>
      <c r="D684" s="37">
        <v>56666.67</v>
      </c>
      <c r="E684" s="29" t="s">
        <v>22</v>
      </c>
      <c r="F684" s="34">
        <v>44182</v>
      </c>
      <c r="G684" s="18"/>
      <c r="H684" s="16">
        <f t="shared" si="128"/>
        <v>17</v>
      </c>
      <c r="I684" s="16">
        <f t="shared" si="129"/>
        <v>3</v>
      </c>
      <c r="J684" s="122">
        <f t="shared" si="130"/>
        <v>2021</v>
      </c>
      <c r="K684" s="64">
        <f t="shared" si="123"/>
        <v>44332</v>
      </c>
      <c r="L684" s="6"/>
      <c r="M684" s="6"/>
      <c r="O684" s="208">
        <v>44329</v>
      </c>
      <c r="P684" s="209">
        <f t="shared" si="124"/>
        <v>0</v>
      </c>
      <c r="Q684" s="209">
        <f>+SUMIF('A DEPOSITAR'!$D$2:$D$998,(O684-2),'A DEPOSITAR'!$H$2:$H$998)</f>
        <v>25000</v>
      </c>
      <c r="R684" s="210">
        <f t="shared" si="125"/>
        <v>25000</v>
      </c>
      <c r="S684" s="210">
        <f t="shared" si="127"/>
        <v>4168240.3900000029</v>
      </c>
      <c r="T684" s="209">
        <f t="shared" si="126"/>
        <v>0</v>
      </c>
      <c r="U684" s="209">
        <f>+SUMIFS('A DEPOSITAR'!$H$2:$H$998,'A DEPOSITAR'!$D$2:$D$998,(O684-2),'A DEPOSITAR'!$I$2:$I$998,"A Depositar")</f>
        <v>0</v>
      </c>
      <c r="V684" s="6"/>
      <c r="W684" s="6"/>
      <c r="X684" s="6"/>
      <c r="Y684" s="6"/>
      <c r="Z684" s="6"/>
    </row>
    <row r="685" spans="1:26" ht="12.75" x14ac:dyDescent="0.2">
      <c r="A685" s="36">
        <v>44272</v>
      </c>
      <c r="B685" s="29" t="s">
        <v>201</v>
      </c>
      <c r="C685" s="29" t="s">
        <v>1078</v>
      </c>
      <c r="D685" s="37">
        <v>14779.9</v>
      </c>
      <c r="E685" s="29" t="s">
        <v>22</v>
      </c>
      <c r="F685" s="34">
        <v>44182</v>
      </c>
      <c r="G685" s="18"/>
      <c r="H685" s="16">
        <f t="shared" si="128"/>
        <v>17</v>
      </c>
      <c r="I685" s="16">
        <f t="shared" si="129"/>
        <v>3</v>
      </c>
      <c r="J685" s="122">
        <f t="shared" si="130"/>
        <v>2021</v>
      </c>
      <c r="K685" s="64">
        <f t="shared" si="123"/>
        <v>44332</v>
      </c>
      <c r="L685" s="6"/>
      <c r="M685" s="6"/>
      <c r="O685" s="208">
        <v>44330</v>
      </c>
      <c r="P685" s="209">
        <f t="shared" si="124"/>
        <v>0</v>
      </c>
      <c r="Q685" s="209">
        <f>+SUMIF('A DEPOSITAR'!$D$2:$D$998,(O685-2),'A DEPOSITAR'!$H$2:$H$998)</f>
        <v>0</v>
      </c>
      <c r="R685" s="210">
        <f t="shared" si="125"/>
        <v>0</v>
      </c>
      <c r="S685" s="210">
        <f t="shared" si="127"/>
        <v>4168240.3900000029</v>
      </c>
      <c r="T685" s="209">
        <f t="shared" si="126"/>
        <v>0</v>
      </c>
      <c r="U685" s="209">
        <f>+SUMIFS('A DEPOSITAR'!$H$2:$H$998,'A DEPOSITAR'!$D$2:$D$998,(O685-2),'A DEPOSITAR'!$I$2:$I$998,"A Depositar")</f>
        <v>0</v>
      </c>
      <c r="V685" s="6"/>
      <c r="W685" s="6"/>
      <c r="X685" s="6"/>
      <c r="Y685" s="6"/>
      <c r="Z685" s="6"/>
    </row>
    <row r="686" spans="1:26" ht="12.75" x14ac:dyDescent="0.2">
      <c r="A686" s="36">
        <v>44303</v>
      </c>
      <c r="B686" s="29" t="s">
        <v>201</v>
      </c>
      <c r="C686" s="29" t="s">
        <v>1079</v>
      </c>
      <c r="D686" s="37">
        <v>56666.67</v>
      </c>
      <c r="E686" s="29" t="s">
        <v>22</v>
      </c>
      <c r="F686" s="34">
        <v>44182</v>
      </c>
      <c r="G686" s="18"/>
      <c r="H686" s="16">
        <f t="shared" si="128"/>
        <v>17</v>
      </c>
      <c r="I686" s="16">
        <f t="shared" si="129"/>
        <v>4</v>
      </c>
      <c r="J686" s="122">
        <f t="shared" si="130"/>
        <v>2021</v>
      </c>
      <c r="K686" s="64">
        <f t="shared" si="123"/>
        <v>44363</v>
      </c>
      <c r="L686" s="6"/>
      <c r="M686" s="6"/>
      <c r="O686" s="208">
        <v>44331</v>
      </c>
      <c r="P686" s="209">
        <f t="shared" si="124"/>
        <v>0</v>
      </c>
      <c r="Q686" s="209">
        <f>+SUMIF('A DEPOSITAR'!$D$2:$D$998,(O686-2),'A DEPOSITAR'!$H$2:$H$998)</f>
        <v>0</v>
      </c>
      <c r="R686" s="210">
        <f t="shared" si="125"/>
        <v>0</v>
      </c>
      <c r="S686" s="210">
        <f t="shared" si="127"/>
        <v>4168240.3900000029</v>
      </c>
      <c r="T686" s="209">
        <f t="shared" si="126"/>
        <v>0</v>
      </c>
      <c r="U686" s="209">
        <f>+SUMIFS('A DEPOSITAR'!$H$2:$H$998,'A DEPOSITAR'!$D$2:$D$998,(O686-2),'A DEPOSITAR'!$I$2:$I$998,"A Depositar")</f>
        <v>0</v>
      </c>
      <c r="V686" s="6"/>
      <c r="W686" s="6"/>
      <c r="X686" s="6"/>
      <c r="Y686" s="6"/>
      <c r="Z686" s="6"/>
    </row>
    <row r="687" spans="1:26" ht="12.75" x14ac:dyDescent="0.2">
      <c r="A687" s="36">
        <v>44303</v>
      </c>
      <c r="B687" s="29" t="s">
        <v>201</v>
      </c>
      <c r="C687" s="29" t="s">
        <v>1080</v>
      </c>
      <c r="D687" s="37">
        <v>14727.12</v>
      </c>
      <c r="E687" s="29" t="s">
        <v>22</v>
      </c>
      <c r="F687" s="34">
        <v>44182</v>
      </c>
      <c r="G687" s="18"/>
      <c r="H687" s="16">
        <f t="shared" si="128"/>
        <v>17</v>
      </c>
      <c r="I687" s="16">
        <f t="shared" si="129"/>
        <v>4</v>
      </c>
      <c r="J687" s="122">
        <f t="shared" si="130"/>
        <v>2021</v>
      </c>
      <c r="K687" s="64">
        <f t="shared" si="123"/>
        <v>44363</v>
      </c>
      <c r="L687" s="6"/>
      <c r="M687" s="6"/>
      <c r="O687" s="208">
        <v>44332</v>
      </c>
      <c r="P687" s="209">
        <f t="shared" si="124"/>
        <v>89728.94</v>
      </c>
      <c r="Q687" s="209">
        <f>+SUMIF('A DEPOSITAR'!$D$2:$D$998,(O687-2),'A DEPOSITAR'!$H$2:$H$998)</f>
        <v>10115</v>
      </c>
      <c r="R687" s="210">
        <f t="shared" si="125"/>
        <v>-79613.94</v>
      </c>
      <c r="S687" s="210">
        <f t="shared" si="127"/>
        <v>4088626.450000003</v>
      </c>
      <c r="T687" s="209">
        <f t="shared" si="126"/>
        <v>0</v>
      </c>
      <c r="U687" s="209">
        <f>+SUMIFS('A DEPOSITAR'!$H$2:$H$998,'A DEPOSITAR'!$D$2:$D$998,(O687-2),'A DEPOSITAR'!$I$2:$I$998,"A Depositar")</f>
        <v>0</v>
      </c>
      <c r="V687" s="6"/>
      <c r="W687" s="6"/>
      <c r="X687" s="6"/>
      <c r="Y687" s="6"/>
      <c r="Z687" s="6"/>
    </row>
    <row r="688" spans="1:26" ht="12.75" x14ac:dyDescent="0.2">
      <c r="A688" s="36">
        <v>44333</v>
      </c>
      <c r="B688" s="29" t="s">
        <v>201</v>
      </c>
      <c r="C688" s="29" t="s">
        <v>1081</v>
      </c>
      <c r="D688" s="37">
        <v>56666.67</v>
      </c>
      <c r="E688" s="29" t="s">
        <v>22</v>
      </c>
      <c r="F688" s="34">
        <v>44182</v>
      </c>
      <c r="G688" s="18"/>
      <c r="H688" s="16">
        <f t="shared" si="128"/>
        <v>17</v>
      </c>
      <c r="I688" s="16">
        <f t="shared" si="129"/>
        <v>5</v>
      </c>
      <c r="J688" s="122">
        <f t="shared" si="130"/>
        <v>2021</v>
      </c>
      <c r="K688" s="64">
        <f t="shared" si="123"/>
        <v>44393</v>
      </c>
      <c r="L688" s="6"/>
      <c r="M688" s="6"/>
      <c r="O688" s="208">
        <v>44333</v>
      </c>
      <c r="P688" s="209">
        <f t="shared" si="124"/>
        <v>69335.16</v>
      </c>
      <c r="Q688" s="209">
        <f>+SUMIF('A DEPOSITAR'!$D$2:$D$998,(O688-2),'A DEPOSITAR'!$H$2:$H$998)</f>
        <v>0</v>
      </c>
      <c r="R688" s="210">
        <f t="shared" si="125"/>
        <v>-69335.16</v>
      </c>
      <c r="S688" s="210">
        <f t="shared" si="127"/>
        <v>4019291.2900000028</v>
      </c>
      <c r="T688" s="209">
        <f t="shared" si="126"/>
        <v>0</v>
      </c>
      <c r="U688" s="209">
        <f>+SUMIFS('A DEPOSITAR'!$H$2:$H$998,'A DEPOSITAR'!$D$2:$D$998,(O688-2),'A DEPOSITAR'!$I$2:$I$998,"A Depositar")</f>
        <v>0</v>
      </c>
      <c r="V688" s="6"/>
      <c r="W688" s="6"/>
      <c r="X688" s="6"/>
      <c r="Y688" s="6"/>
      <c r="Z688" s="6"/>
    </row>
    <row r="689" spans="1:26" ht="12.75" x14ac:dyDescent="0.2">
      <c r="A689" s="36">
        <v>44333</v>
      </c>
      <c r="B689" s="29" t="s">
        <v>201</v>
      </c>
      <c r="C689" s="29" t="s">
        <v>1082</v>
      </c>
      <c r="D689" s="37">
        <v>12668.49</v>
      </c>
      <c r="E689" s="29" t="s">
        <v>22</v>
      </c>
      <c r="F689" s="34">
        <v>44182</v>
      </c>
      <c r="G689" s="18"/>
      <c r="H689" s="16">
        <f t="shared" si="128"/>
        <v>17</v>
      </c>
      <c r="I689" s="16">
        <f t="shared" si="129"/>
        <v>5</v>
      </c>
      <c r="J689" s="122">
        <f t="shared" si="130"/>
        <v>2021</v>
      </c>
      <c r="K689" s="64">
        <f t="shared" si="123"/>
        <v>44393</v>
      </c>
      <c r="L689" s="6"/>
      <c r="M689" s="6"/>
      <c r="O689" s="208">
        <v>44334</v>
      </c>
      <c r="P689" s="209">
        <f t="shared" si="124"/>
        <v>0</v>
      </c>
      <c r="Q689" s="209">
        <f>+SUMIF('A DEPOSITAR'!$D$2:$D$998,(O689-2),'A DEPOSITAR'!$H$2:$H$998)</f>
        <v>0</v>
      </c>
      <c r="R689" s="210">
        <f t="shared" si="125"/>
        <v>0</v>
      </c>
      <c r="S689" s="210">
        <f t="shared" si="127"/>
        <v>4019291.2900000028</v>
      </c>
      <c r="T689" s="209">
        <f t="shared" si="126"/>
        <v>0</v>
      </c>
      <c r="U689" s="209">
        <f>+SUMIFS('A DEPOSITAR'!$H$2:$H$998,'A DEPOSITAR'!$D$2:$D$998,(O689-2),'A DEPOSITAR'!$I$2:$I$998,"A Depositar")</f>
        <v>0</v>
      </c>
      <c r="V689" s="6"/>
      <c r="W689" s="6"/>
      <c r="X689" s="6"/>
      <c r="Y689" s="6"/>
      <c r="Z689" s="6"/>
    </row>
    <row r="690" spans="1:26" ht="12.75" x14ac:dyDescent="0.2">
      <c r="A690" s="36">
        <v>44364</v>
      </c>
      <c r="B690" s="29" t="s">
        <v>201</v>
      </c>
      <c r="C690" s="29" t="s">
        <v>1083</v>
      </c>
      <c r="D690" s="37">
        <v>56666.67</v>
      </c>
      <c r="E690" s="29" t="s">
        <v>22</v>
      </c>
      <c r="F690" s="34">
        <v>44182</v>
      </c>
      <c r="G690" s="18"/>
      <c r="H690" s="16">
        <f t="shared" si="128"/>
        <v>17</v>
      </c>
      <c r="I690" s="16">
        <f t="shared" si="129"/>
        <v>6</v>
      </c>
      <c r="J690" s="122">
        <f t="shared" si="130"/>
        <v>2021</v>
      </c>
      <c r="K690" s="64">
        <f t="shared" si="123"/>
        <v>44424</v>
      </c>
      <c r="L690" s="6"/>
      <c r="M690" s="6"/>
      <c r="O690" s="208">
        <v>44335</v>
      </c>
      <c r="P690" s="209">
        <f t="shared" si="124"/>
        <v>0</v>
      </c>
      <c r="Q690" s="209">
        <f>+SUMIF('A DEPOSITAR'!$D$2:$D$998,(O690-2),'A DEPOSITAR'!$H$2:$H$998)</f>
        <v>0</v>
      </c>
      <c r="R690" s="210">
        <f t="shared" si="125"/>
        <v>0</v>
      </c>
      <c r="S690" s="210">
        <f t="shared" si="127"/>
        <v>4019291.2900000028</v>
      </c>
      <c r="T690" s="209">
        <f t="shared" si="126"/>
        <v>0</v>
      </c>
      <c r="U690" s="209">
        <f>+SUMIFS('A DEPOSITAR'!$H$2:$H$998,'A DEPOSITAR'!$D$2:$D$998,(O690-2),'A DEPOSITAR'!$I$2:$I$998,"A Depositar")</f>
        <v>0</v>
      </c>
      <c r="V690" s="6"/>
      <c r="W690" s="6"/>
      <c r="X690" s="6"/>
      <c r="Y690" s="6"/>
      <c r="Z690" s="6"/>
    </row>
    <row r="691" spans="1:26" ht="12.75" x14ac:dyDescent="0.2">
      <c r="A691" s="36">
        <v>44364</v>
      </c>
      <c r="B691" s="29" t="s">
        <v>201</v>
      </c>
      <c r="C691" s="29" t="s">
        <v>1084</v>
      </c>
      <c r="D691" s="37">
        <v>11454.42</v>
      </c>
      <c r="E691" s="29" t="s">
        <v>22</v>
      </c>
      <c r="F691" s="34">
        <v>44182</v>
      </c>
      <c r="G691" s="18"/>
      <c r="H691" s="16">
        <f t="shared" si="128"/>
        <v>17</v>
      </c>
      <c r="I691" s="16">
        <f t="shared" si="129"/>
        <v>6</v>
      </c>
      <c r="J691" s="122">
        <f t="shared" si="130"/>
        <v>2021</v>
      </c>
      <c r="K691" s="64">
        <f t="shared" si="123"/>
        <v>44424</v>
      </c>
      <c r="L691" s="6"/>
      <c r="M691" s="6"/>
      <c r="O691" s="208">
        <v>44336</v>
      </c>
      <c r="P691" s="209">
        <f t="shared" si="124"/>
        <v>0</v>
      </c>
      <c r="Q691" s="209">
        <f>+SUMIF('A DEPOSITAR'!$D$2:$D$998,(O691-2),'A DEPOSITAR'!$H$2:$H$998)</f>
        <v>0</v>
      </c>
      <c r="R691" s="210">
        <f t="shared" si="125"/>
        <v>0</v>
      </c>
      <c r="S691" s="210">
        <f t="shared" si="127"/>
        <v>4019291.2900000028</v>
      </c>
      <c r="T691" s="209">
        <f t="shared" si="126"/>
        <v>0</v>
      </c>
      <c r="U691" s="209">
        <f>+SUMIFS('A DEPOSITAR'!$H$2:$H$998,'A DEPOSITAR'!$D$2:$D$998,(O691-2),'A DEPOSITAR'!$I$2:$I$998,"A Depositar")</f>
        <v>0</v>
      </c>
      <c r="V691" s="6"/>
      <c r="W691" s="6"/>
      <c r="X691" s="6"/>
      <c r="Y691" s="6"/>
      <c r="Z691" s="6"/>
    </row>
    <row r="692" spans="1:26" ht="12.75" x14ac:dyDescent="0.2">
      <c r="A692" s="36">
        <v>44394</v>
      </c>
      <c r="B692" s="29" t="s">
        <v>201</v>
      </c>
      <c r="C692" s="29" t="s">
        <v>1085</v>
      </c>
      <c r="D692" s="37">
        <v>56666.67</v>
      </c>
      <c r="E692" s="29" t="s">
        <v>22</v>
      </c>
      <c r="F692" s="34">
        <v>44182</v>
      </c>
      <c r="G692" s="18"/>
      <c r="H692" s="16">
        <f t="shared" si="128"/>
        <v>17</v>
      </c>
      <c r="I692" s="16">
        <f t="shared" si="129"/>
        <v>7</v>
      </c>
      <c r="J692" s="122">
        <f t="shared" si="130"/>
        <v>2021</v>
      </c>
      <c r="K692" s="64">
        <f t="shared" si="123"/>
        <v>44454</v>
      </c>
      <c r="L692" s="6"/>
      <c r="M692" s="6"/>
      <c r="O692" s="208">
        <v>44337</v>
      </c>
      <c r="P692" s="209">
        <f t="shared" si="124"/>
        <v>73110</v>
      </c>
      <c r="Q692" s="209">
        <f>+SUMIF('A DEPOSITAR'!$D$2:$D$998,(O692-2),'A DEPOSITAR'!$H$2:$H$998)</f>
        <v>19500</v>
      </c>
      <c r="R692" s="210">
        <f t="shared" si="125"/>
        <v>-53610</v>
      </c>
      <c r="S692" s="210">
        <f t="shared" si="127"/>
        <v>3965681.2900000028</v>
      </c>
      <c r="T692" s="209">
        <f t="shared" si="126"/>
        <v>0</v>
      </c>
      <c r="U692" s="209">
        <f>+SUMIFS('A DEPOSITAR'!$H$2:$H$998,'A DEPOSITAR'!$D$2:$D$998,(O692-2),'A DEPOSITAR'!$I$2:$I$998,"A Depositar")</f>
        <v>0</v>
      </c>
      <c r="V692" s="6"/>
      <c r="W692" s="6"/>
      <c r="X692" s="6"/>
      <c r="Y692" s="6"/>
      <c r="Z692" s="6"/>
    </row>
    <row r="693" spans="1:26" ht="12.75" x14ac:dyDescent="0.2">
      <c r="A693" s="36">
        <v>44394</v>
      </c>
      <c r="B693" s="29" t="s">
        <v>201</v>
      </c>
      <c r="C693" s="29" t="s">
        <v>1086</v>
      </c>
      <c r="D693" s="37">
        <v>9501.36</v>
      </c>
      <c r="E693" s="29" t="s">
        <v>22</v>
      </c>
      <c r="F693" s="34">
        <v>44182</v>
      </c>
      <c r="G693" s="18"/>
      <c r="H693" s="16">
        <f t="shared" si="128"/>
        <v>17</v>
      </c>
      <c r="I693" s="16">
        <f t="shared" si="129"/>
        <v>7</v>
      </c>
      <c r="J693" s="122">
        <f t="shared" si="130"/>
        <v>2021</v>
      </c>
      <c r="K693" s="64">
        <f t="shared" si="123"/>
        <v>44454</v>
      </c>
      <c r="L693" s="6"/>
      <c r="M693" s="6"/>
      <c r="O693" s="208">
        <v>44338</v>
      </c>
      <c r="P693" s="209">
        <f t="shared" si="124"/>
        <v>45356.39</v>
      </c>
      <c r="Q693" s="209">
        <f>+SUMIF('A DEPOSITAR'!$D$2:$D$998,(O693-2),'A DEPOSITAR'!$H$2:$H$998)</f>
        <v>28000</v>
      </c>
      <c r="R693" s="210">
        <f t="shared" si="125"/>
        <v>-17356.39</v>
      </c>
      <c r="S693" s="210">
        <f t="shared" si="127"/>
        <v>3948324.9000000027</v>
      </c>
      <c r="T693" s="209">
        <f t="shared" si="126"/>
        <v>0</v>
      </c>
      <c r="U693" s="209">
        <f>+SUMIFS('A DEPOSITAR'!$H$2:$H$998,'A DEPOSITAR'!$D$2:$D$998,(O693-2),'A DEPOSITAR'!$I$2:$I$998,"A Depositar")</f>
        <v>0</v>
      </c>
      <c r="V693" s="6"/>
      <c r="W693" s="6"/>
      <c r="X693" s="6"/>
      <c r="Y693" s="6"/>
      <c r="Z693" s="6"/>
    </row>
    <row r="694" spans="1:26" ht="12.75" x14ac:dyDescent="0.2">
      <c r="A694" s="36">
        <v>44425</v>
      </c>
      <c r="B694" s="29" t="s">
        <v>201</v>
      </c>
      <c r="C694" s="29" t="s">
        <v>1087</v>
      </c>
      <c r="D694" s="37">
        <v>56666.67</v>
      </c>
      <c r="E694" s="29" t="s">
        <v>22</v>
      </c>
      <c r="F694" s="34">
        <v>44182</v>
      </c>
      <c r="G694" s="18"/>
      <c r="H694" s="16">
        <f t="shared" si="128"/>
        <v>17</v>
      </c>
      <c r="I694" s="16">
        <f t="shared" si="129"/>
        <v>8</v>
      </c>
      <c r="J694" s="122">
        <f t="shared" si="130"/>
        <v>2021</v>
      </c>
      <c r="K694" s="64">
        <f t="shared" si="123"/>
        <v>44485</v>
      </c>
      <c r="L694" s="6"/>
      <c r="M694" s="6"/>
      <c r="O694" s="208">
        <v>44339</v>
      </c>
      <c r="P694" s="209">
        <f t="shared" si="124"/>
        <v>0</v>
      </c>
      <c r="Q694" s="209">
        <f>+SUMIF('A DEPOSITAR'!$D$2:$D$998,(O694-2),'A DEPOSITAR'!$H$2:$H$998)</f>
        <v>0</v>
      </c>
      <c r="R694" s="210">
        <f t="shared" si="125"/>
        <v>0</v>
      </c>
      <c r="S694" s="210">
        <f t="shared" si="127"/>
        <v>3948324.9000000027</v>
      </c>
      <c r="T694" s="209">
        <f t="shared" si="126"/>
        <v>0</v>
      </c>
      <c r="U694" s="209">
        <f>+SUMIFS('A DEPOSITAR'!$H$2:$H$998,'A DEPOSITAR'!$D$2:$D$998,(O694-2),'A DEPOSITAR'!$I$2:$I$998,"A Depositar")</f>
        <v>0</v>
      </c>
      <c r="V694" s="6"/>
      <c r="W694" s="6"/>
      <c r="X694" s="6"/>
      <c r="Y694" s="6"/>
      <c r="Z694" s="6"/>
    </row>
    <row r="695" spans="1:26" ht="12.75" x14ac:dyDescent="0.2">
      <c r="A695" s="36">
        <v>44425</v>
      </c>
      <c r="B695" s="29" t="s">
        <v>201</v>
      </c>
      <c r="C695" s="29" t="s">
        <v>1088</v>
      </c>
      <c r="D695" s="37">
        <v>8181.73</v>
      </c>
      <c r="E695" s="29" t="s">
        <v>22</v>
      </c>
      <c r="F695" s="34">
        <v>44182</v>
      </c>
      <c r="G695" s="18"/>
      <c r="H695" s="16">
        <f t="shared" si="128"/>
        <v>17</v>
      </c>
      <c r="I695" s="16">
        <f t="shared" si="129"/>
        <v>8</v>
      </c>
      <c r="J695" s="122">
        <f t="shared" si="130"/>
        <v>2021</v>
      </c>
      <c r="K695" s="64">
        <f t="shared" si="123"/>
        <v>44485</v>
      </c>
      <c r="L695" s="6"/>
      <c r="M695" s="6"/>
      <c r="O695" s="208">
        <v>44340</v>
      </c>
      <c r="P695" s="209">
        <f t="shared" si="124"/>
        <v>0</v>
      </c>
      <c r="Q695" s="209">
        <f>+SUMIF('A DEPOSITAR'!$D$2:$D$998,(O695-2),'A DEPOSITAR'!$H$2:$H$998)</f>
        <v>13000</v>
      </c>
      <c r="R695" s="210">
        <f t="shared" si="125"/>
        <v>13000</v>
      </c>
      <c r="S695" s="210">
        <f t="shared" si="127"/>
        <v>3961324.9000000027</v>
      </c>
      <c r="T695" s="209">
        <f t="shared" si="126"/>
        <v>0</v>
      </c>
      <c r="U695" s="209">
        <f>+SUMIFS('A DEPOSITAR'!$H$2:$H$998,'A DEPOSITAR'!$D$2:$D$998,(O695-2),'A DEPOSITAR'!$I$2:$I$998,"A Depositar")</f>
        <v>0</v>
      </c>
      <c r="V695" s="6"/>
      <c r="W695" s="6"/>
      <c r="X695" s="6"/>
      <c r="Y695" s="6"/>
      <c r="Z695" s="6"/>
    </row>
    <row r="696" spans="1:26" ht="12.75" x14ac:dyDescent="0.2">
      <c r="A696" s="36">
        <v>44456</v>
      </c>
      <c r="B696" s="29" t="s">
        <v>201</v>
      </c>
      <c r="C696" s="29" t="s">
        <v>1089</v>
      </c>
      <c r="D696" s="37">
        <v>56666.67</v>
      </c>
      <c r="E696" s="29" t="s">
        <v>22</v>
      </c>
      <c r="F696" s="34">
        <v>44182</v>
      </c>
      <c r="G696" s="18"/>
      <c r="H696" s="16">
        <f t="shared" si="128"/>
        <v>17</v>
      </c>
      <c r="I696" s="16">
        <f t="shared" si="129"/>
        <v>9</v>
      </c>
      <c r="J696" s="122">
        <f t="shared" si="130"/>
        <v>2021</v>
      </c>
      <c r="K696" s="64">
        <f t="shared" si="123"/>
        <v>44516</v>
      </c>
      <c r="L696" s="6"/>
      <c r="M696" s="6"/>
      <c r="O696" s="208">
        <v>44341</v>
      </c>
      <c r="P696" s="209">
        <f t="shared" si="124"/>
        <v>0</v>
      </c>
      <c r="Q696" s="209">
        <f>+SUMIF('A DEPOSITAR'!$D$2:$D$998,(O696-2),'A DEPOSITAR'!$H$2:$H$998)</f>
        <v>113594</v>
      </c>
      <c r="R696" s="210">
        <f t="shared" si="125"/>
        <v>113594</v>
      </c>
      <c r="S696" s="210">
        <f t="shared" si="127"/>
        <v>4074918.9000000027</v>
      </c>
      <c r="T696" s="209">
        <f t="shared" si="126"/>
        <v>0</v>
      </c>
      <c r="U696" s="209">
        <f>+SUMIFS('A DEPOSITAR'!$H$2:$H$998,'A DEPOSITAR'!$D$2:$D$998,(O696-2),'A DEPOSITAR'!$I$2:$I$998,"A Depositar")</f>
        <v>0</v>
      </c>
      <c r="V696" s="6"/>
      <c r="W696" s="6"/>
      <c r="X696" s="6"/>
      <c r="Y696" s="6"/>
      <c r="Z696" s="6"/>
    </row>
    <row r="697" spans="1:26" ht="12.75" x14ac:dyDescent="0.2">
      <c r="A697" s="36">
        <v>44456</v>
      </c>
      <c r="B697" s="29" t="s">
        <v>201</v>
      </c>
      <c r="C697" s="29" t="s">
        <v>1090</v>
      </c>
      <c r="D697" s="37">
        <v>6545.38</v>
      </c>
      <c r="E697" s="29" t="s">
        <v>22</v>
      </c>
      <c r="F697" s="34">
        <v>44182</v>
      </c>
      <c r="G697" s="18"/>
      <c r="H697" s="16">
        <f t="shared" si="128"/>
        <v>17</v>
      </c>
      <c r="I697" s="16">
        <f t="shared" si="129"/>
        <v>9</v>
      </c>
      <c r="J697" s="122">
        <f t="shared" si="130"/>
        <v>2021</v>
      </c>
      <c r="K697" s="64">
        <f t="shared" si="123"/>
        <v>44516</v>
      </c>
      <c r="L697" s="6"/>
      <c r="M697" s="6"/>
      <c r="O697" s="208">
        <v>44342</v>
      </c>
      <c r="P697" s="209">
        <f t="shared" si="124"/>
        <v>0</v>
      </c>
      <c r="Q697" s="209">
        <f>+SUMIF('A DEPOSITAR'!$D$2:$D$998,(O697-2),'A DEPOSITAR'!$H$2:$H$998)</f>
        <v>0</v>
      </c>
      <c r="R697" s="210">
        <f t="shared" si="125"/>
        <v>0</v>
      </c>
      <c r="S697" s="210">
        <f t="shared" si="127"/>
        <v>4074918.9000000027</v>
      </c>
      <c r="T697" s="209">
        <f t="shared" si="126"/>
        <v>0</v>
      </c>
      <c r="U697" s="209">
        <f>+SUMIFS('A DEPOSITAR'!$H$2:$H$998,'A DEPOSITAR'!$D$2:$D$998,(O697-2),'A DEPOSITAR'!$I$2:$I$998,"A Depositar")</f>
        <v>0</v>
      </c>
      <c r="V697" s="6"/>
      <c r="W697" s="6"/>
      <c r="X697" s="6"/>
      <c r="Y697" s="6"/>
      <c r="Z697" s="6"/>
    </row>
    <row r="698" spans="1:26" ht="12.75" x14ac:dyDescent="0.2">
      <c r="A698" s="36">
        <v>44486</v>
      </c>
      <c r="B698" s="29" t="s">
        <v>201</v>
      </c>
      <c r="C698" s="29" t="s">
        <v>1091</v>
      </c>
      <c r="D698" s="37">
        <v>56666.67</v>
      </c>
      <c r="E698" s="29" t="s">
        <v>22</v>
      </c>
      <c r="F698" s="34">
        <v>44182</v>
      </c>
      <c r="G698" s="18"/>
      <c r="H698" s="16">
        <f t="shared" si="128"/>
        <v>17</v>
      </c>
      <c r="I698" s="16">
        <f t="shared" si="129"/>
        <v>10</v>
      </c>
      <c r="J698" s="122">
        <f t="shared" si="130"/>
        <v>2021</v>
      </c>
      <c r="K698" s="64">
        <f t="shared" si="123"/>
        <v>44546</v>
      </c>
      <c r="L698" s="6"/>
      <c r="M698" s="6"/>
      <c r="O698" s="208">
        <v>44343</v>
      </c>
      <c r="P698" s="209">
        <f t="shared" si="124"/>
        <v>0</v>
      </c>
      <c r="Q698" s="209">
        <f>+SUMIF('A DEPOSITAR'!$D$2:$D$998,(O698-2),'A DEPOSITAR'!$H$2:$H$998)</f>
        <v>0</v>
      </c>
      <c r="R698" s="210">
        <f t="shared" si="125"/>
        <v>0</v>
      </c>
      <c r="S698" s="210">
        <f t="shared" si="127"/>
        <v>4074918.9000000027</v>
      </c>
      <c r="T698" s="209">
        <f t="shared" si="126"/>
        <v>0</v>
      </c>
      <c r="U698" s="209">
        <f>+SUMIFS('A DEPOSITAR'!$H$2:$H$998,'A DEPOSITAR'!$D$2:$D$998,(O698-2),'A DEPOSITAR'!$I$2:$I$998,"A Depositar")</f>
        <v>0</v>
      </c>
      <c r="V698" s="6"/>
      <c r="W698" s="6"/>
      <c r="X698" s="6"/>
      <c r="Y698" s="6"/>
      <c r="Z698" s="6"/>
    </row>
    <row r="699" spans="1:26" ht="12.75" x14ac:dyDescent="0.2">
      <c r="A699" s="36">
        <v>44486</v>
      </c>
      <c r="B699" s="29" t="s">
        <v>201</v>
      </c>
      <c r="C699" s="29" t="s">
        <v>1092</v>
      </c>
      <c r="D699" s="37">
        <v>4750.68</v>
      </c>
      <c r="E699" s="29" t="s">
        <v>22</v>
      </c>
      <c r="F699" s="34">
        <v>44182</v>
      </c>
      <c r="G699" s="18"/>
      <c r="H699" s="16">
        <f t="shared" si="128"/>
        <v>17</v>
      </c>
      <c r="I699" s="16">
        <f t="shared" si="129"/>
        <v>10</v>
      </c>
      <c r="J699" s="122">
        <f t="shared" si="130"/>
        <v>2021</v>
      </c>
      <c r="K699" s="64">
        <f t="shared" si="123"/>
        <v>44546</v>
      </c>
      <c r="L699" s="6"/>
      <c r="M699" s="6"/>
      <c r="O699" s="208">
        <v>44344</v>
      </c>
      <c r="P699" s="209">
        <f t="shared" si="124"/>
        <v>0</v>
      </c>
      <c r="Q699" s="209">
        <f>+SUMIF('A DEPOSITAR'!$D$2:$D$998,(O699-2),'A DEPOSITAR'!$H$2:$H$998)</f>
        <v>0</v>
      </c>
      <c r="R699" s="210">
        <f t="shared" si="125"/>
        <v>0</v>
      </c>
      <c r="S699" s="210">
        <f t="shared" si="127"/>
        <v>4074918.9000000027</v>
      </c>
      <c r="T699" s="209">
        <f t="shared" si="126"/>
        <v>0</v>
      </c>
      <c r="U699" s="209">
        <f>+SUMIFS('A DEPOSITAR'!$H$2:$H$998,'A DEPOSITAR'!$D$2:$D$998,(O699-2),'A DEPOSITAR'!$I$2:$I$998,"A Depositar")</f>
        <v>0</v>
      </c>
      <c r="V699" s="6"/>
      <c r="W699" s="6"/>
      <c r="X699" s="6"/>
      <c r="Y699" s="6"/>
      <c r="Z699" s="6"/>
    </row>
    <row r="700" spans="1:26" ht="12.75" x14ac:dyDescent="0.2">
      <c r="A700" s="36">
        <v>44517</v>
      </c>
      <c r="B700" s="29" t="s">
        <v>201</v>
      </c>
      <c r="C700" s="29" t="s">
        <v>1093</v>
      </c>
      <c r="D700" s="37">
        <v>56666.67</v>
      </c>
      <c r="E700" s="29" t="s">
        <v>136</v>
      </c>
      <c r="F700" s="34">
        <v>44182</v>
      </c>
      <c r="G700" s="18"/>
      <c r="H700" s="16">
        <f t="shared" si="128"/>
        <v>17</v>
      </c>
      <c r="I700" s="16">
        <f t="shared" si="129"/>
        <v>11</v>
      </c>
      <c r="J700" s="122">
        <f t="shared" si="130"/>
        <v>2021</v>
      </c>
      <c r="K700" s="64">
        <f t="shared" si="123"/>
        <v>44577</v>
      </c>
      <c r="L700" s="6"/>
      <c r="M700" s="6"/>
      <c r="O700" s="208">
        <v>44345</v>
      </c>
      <c r="P700" s="209">
        <f t="shared" si="124"/>
        <v>0</v>
      </c>
      <c r="Q700" s="209">
        <f>+SUMIF('A DEPOSITAR'!$D$2:$D$998,(O700-2),'A DEPOSITAR'!$H$2:$H$998)</f>
        <v>2800</v>
      </c>
      <c r="R700" s="210">
        <f t="shared" si="125"/>
        <v>2800</v>
      </c>
      <c r="S700" s="210">
        <f t="shared" si="127"/>
        <v>4077718.9000000027</v>
      </c>
      <c r="T700" s="209">
        <f t="shared" si="126"/>
        <v>0</v>
      </c>
      <c r="U700" s="209">
        <f>+SUMIFS('A DEPOSITAR'!$H$2:$H$998,'A DEPOSITAR'!$D$2:$D$998,(O700-2),'A DEPOSITAR'!$I$2:$I$998,"A Depositar")</f>
        <v>0</v>
      </c>
      <c r="V700" s="6"/>
      <c r="W700" s="6"/>
      <c r="X700" s="6"/>
      <c r="Y700" s="6"/>
      <c r="Z700" s="6"/>
    </row>
    <row r="701" spans="1:26" ht="12.75" x14ac:dyDescent="0.2">
      <c r="A701" s="36">
        <v>44517</v>
      </c>
      <c r="B701" s="29" t="s">
        <v>201</v>
      </c>
      <c r="C701" s="29" t="s">
        <v>1094</v>
      </c>
      <c r="D701" s="37">
        <v>3272.69</v>
      </c>
      <c r="E701" s="29" t="s">
        <v>136</v>
      </c>
      <c r="F701" s="34">
        <v>44182</v>
      </c>
      <c r="G701" s="18"/>
      <c r="H701" s="16">
        <f t="shared" si="128"/>
        <v>17</v>
      </c>
      <c r="I701" s="16">
        <f t="shared" si="129"/>
        <v>11</v>
      </c>
      <c r="J701" s="122">
        <f t="shared" si="130"/>
        <v>2021</v>
      </c>
      <c r="K701" s="64">
        <f t="shared" si="123"/>
        <v>44577</v>
      </c>
      <c r="L701" s="6"/>
      <c r="M701" s="6"/>
      <c r="O701" s="208">
        <v>44346</v>
      </c>
      <c r="P701" s="209">
        <f t="shared" si="124"/>
        <v>106645.53</v>
      </c>
      <c r="Q701" s="209">
        <f>+SUMIF('A DEPOSITAR'!$D$2:$D$998,(O701-2),'A DEPOSITAR'!$H$2:$H$998)</f>
        <v>14115</v>
      </c>
      <c r="R701" s="210">
        <f t="shared" si="125"/>
        <v>-92530.53</v>
      </c>
      <c r="S701" s="210">
        <f t="shared" si="127"/>
        <v>3985188.3700000029</v>
      </c>
      <c r="T701" s="209">
        <f t="shared" si="126"/>
        <v>0</v>
      </c>
      <c r="U701" s="209">
        <f>+SUMIFS('A DEPOSITAR'!$H$2:$H$998,'A DEPOSITAR'!$D$2:$D$998,(O701-2),'A DEPOSITAR'!$I$2:$I$998,"A Depositar")</f>
        <v>0</v>
      </c>
      <c r="V701" s="6"/>
      <c r="W701" s="6"/>
      <c r="X701" s="6"/>
      <c r="Y701" s="6"/>
      <c r="Z701" s="6"/>
    </row>
    <row r="702" spans="1:26" ht="12.75" x14ac:dyDescent="0.2">
      <c r="A702" s="36">
        <v>44547</v>
      </c>
      <c r="B702" s="29" t="s">
        <v>201</v>
      </c>
      <c r="C702" s="29" t="s">
        <v>1095</v>
      </c>
      <c r="D702" s="37">
        <v>56666.63</v>
      </c>
      <c r="E702" s="29" t="s">
        <v>136</v>
      </c>
      <c r="F702" s="34">
        <v>44182</v>
      </c>
      <c r="G702" s="18"/>
      <c r="H702" s="16">
        <f t="shared" si="128"/>
        <v>17</v>
      </c>
      <c r="I702" s="16">
        <f t="shared" si="129"/>
        <v>12</v>
      </c>
      <c r="J702" s="122">
        <f t="shared" si="130"/>
        <v>2021</v>
      </c>
      <c r="K702" s="64">
        <f t="shared" si="123"/>
        <v>44607</v>
      </c>
      <c r="L702" s="6"/>
      <c r="M702" s="6"/>
      <c r="O702" s="208">
        <v>44347</v>
      </c>
      <c r="P702" s="209">
        <f t="shared" si="124"/>
        <v>0</v>
      </c>
      <c r="Q702" s="209">
        <f>+SUMIF('A DEPOSITAR'!$D$2:$D$998,(O702-2),'A DEPOSITAR'!$H$2:$H$998)</f>
        <v>50000</v>
      </c>
      <c r="R702" s="210">
        <f t="shared" si="125"/>
        <v>50000</v>
      </c>
      <c r="S702" s="210">
        <f t="shared" si="127"/>
        <v>4035188.3700000029</v>
      </c>
      <c r="T702" s="209">
        <f t="shared" si="126"/>
        <v>0</v>
      </c>
      <c r="U702" s="209">
        <f>+SUMIFS('A DEPOSITAR'!$H$2:$H$998,'A DEPOSITAR'!$D$2:$D$998,(O702-2),'A DEPOSITAR'!$I$2:$I$998,"A Depositar")</f>
        <v>0</v>
      </c>
      <c r="V702" s="6"/>
      <c r="W702" s="6"/>
      <c r="X702" s="6"/>
      <c r="Y702" s="6"/>
      <c r="Z702" s="6"/>
    </row>
    <row r="703" spans="1:26" ht="12.75" x14ac:dyDescent="0.2">
      <c r="A703" s="36">
        <v>44547</v>
      </c>
      <c r="B703" s="29" t="s">
        <v>201</v>
      </c>
      <c r="C703" s="29" t="s">
        <v>1096</v>
      </c>
      <c r="D703" s="37">
        <v>1583.56</v>
      </c>
      <c r="E703" s="29" t="s">
        <v>136</v>
      </c>
      <c r="F703" s="34">
        <v>44182</v>
      </c>
      <c r="G703" s="18"/>
      <c r="H703" s="16">
        <f t="shared" si="128"/>
        <v>17</v>
      </c>
      <c r="I703" s="16">
        <f t="shared" si="129"/>
        <v>12</v>
      </c>
      <c r="J703" s="122">
        <f t="shared" si="130"/>
        <v>2021</v>
      </c>
      <c r="K703" s="64">
        <f t="shared" si="123"/>
        <v>44607</v>
      </c>
      <c r="L703" s="6"/>
      <c r="M703" s="6"/>
      <c r="O703" s="208">
        <v>44348</v>
      </c>
      <c r="P703" s="209">
        <f t="shared" si="124"/>
        <v>61365.299999999996</v>
      </c>
      <c r="Q703" s="209">
        <f>+SUMIF('A DEPOSITAR'!$D$2:$D$998,(O703-2),'A DEPOSITAR'!$H$2:$H$998)</f>
        <v>62448</v>
      </c>
      <c r="R703" s="210">
        <f t="shared" si="125"/>
        <v>1082.7000000000044</v>
      </c>
      <c r="S703" s="210">
        <f t="shared" si="127"/>
        <v>4036271.0700000031</v>
      </c>
      <c r="T703" s="209">
        <f t="shared" si="126"/>
        <v>0</v>
      </c>
      <c r="U703" s="209">
        <f>+SUMIFS('A DEPOSITAR'!$H$2:$H$998,'A DEPOSITAR'!$D$2:$D$998,(O703-2),'A DEPOSITAR'!$I$2:$I$998,"A Depositar")</f>
        <v>0</v>
      </c>
      <c r="V703" s="6"/>
      <c r="W703" s="6"/>
      <c r="X703" s="6"/>
      <c r="Y703" s="6"/>
      <c r="Z703" s="6"/>
    </row>
    <row r="704" spans="1:26" ht="12.75" x14ac:dyDescent="0.2">
      <c r="A704" s="36">
        <v>44285</v>
      </c>
      <c r="B704" s="29" t="s">
        <v>1097</v>
      </c>
      <c r="C704" s="29">
        <v>83725615</v>
      </c>
      <c r="D704" s="37">
        <v>6900</v>
      </c>
      <c r="E704" s="29" t="s">
        <v>22</v>
      </c>
      <c r="F704" s="7">
        <v>44211</v>
      </c>
      <c r="G704" s="18"/>
      <c r="H704" s="16">
        <f t="shared" si="128"/>
        <v>30</v>
      </c>
      <c r="I704" s="16">
        <f t="shared" si="129"/>
        <v>3</v>
      </c>
      <c r="J704" s="122">
        <f t="shared" si="130"/>
        <v>2021</v>
      </c>
      <c r="K704" s="64">
        <f t="shared" si="123"/>
        <v>44345</v>
      </c>
      <c r="L704" s="6"/>
      <c r="M704" s="6"/>
      <c r="O704" s="208">
        <v>44349</v>
      </c>
      <c r="P704" s="209">
        <f t="shared" si="124"/>
        <v>0</v>
      </c>
      <c r="Q704" s="209">
        <f>+SUMIF('A DEPOSITAR'!$D$2:$D$998,(O704-2),'A DEPOSITAR'!$H$2:$H$998)</f>
        <v>58000</v>
      </c>
      <c r="R704" s="210">
        <f t="shared" si="125"/>
        <v>58000</v>
      </c>
      <c r="S704" s="210">
        <f t="shared" si="127"/>
        <v>4094271.0700000031</v>
      </c>
      <c r="T704" s="209">
        <f t="shared" si="126"/>
        <v>0</v>
      </c>
      <c r="U704" s="209">
        <f>+SUMIFS('A DEPOSITAR'!$H$2:$H$998,'A DEPOSITAR'!$D$2:$D$998,(O704-2),'A DEPOSITAR'!$I$2:$I$998,"A Depositar")</f>
        <v>0</v>
      </c>
      <c r="V704" s="6"/>
      <c r="W704" s="6"/>
      <c r="X704" s="6"/>
      <c r="Y704" s="6"/>
      <c r="Z704" s="6"/>
    </row>
    <row r="705" spans="1:26" ht="12.75" x14ac:dyDescent="0.2">
      <c r="A705" s="36">
        <v>44294</v>
      </c>
      <c r="B705" s="29" t="s">
        <v>1097</v>
      </c>
      <c r="C705" s="29">
        <v>83725616</v>
      </c>
      <c r="D705" s="37">
        <v>7000</v>
      </c>
      <c r="E705" s="29" t="s">
        <v>892</v>
      </c>
      <c r="F705" s="7">
        <v>44211</v>
      </c>
      <c r="G705" s="18" t="s">
        <v>1175</v>
      </c>
      <c r="H705" s="16">
        <f t="shared" si="128"/>
        <v>8</v>
      </c>
      <c r="I705" s="16">
        <f t="shared" si="129"/>
        <v>4</v>
      </c>
      <c r="J705" s="122">
        <f t="shared" si="130"/>
        <v>2021</v>
      </c>
      <c r="K705" s="64">
        <f t="shared" si="123"/>
        <v>44354</v>
      </c>
      <c r="L705" s="6"/>
      <c r="M705" s="6"/>
      <c r="O705" s="208">
        <v>44350</v>
      </c>
      <c r="P705" s="209">
        <f t="shared" si="124"/>
        <v>0</v>
      </c>
      <c r="Q705" s="209">
        <f>+SUMIF('A DEPOSITAR'!$D$2:$D$998,(O705-2),'A DEPOSITAR'!$H$2:$H$998)</f>
        <v>0</v>
      </c>
      <c r="R705" s="210">
        <f t="shared" si="125"/>
        <v>0</v>
      </c>
      <c r="S705" s="210">
        <f t="shared" si="127"/>
        <v>4094271.0700000031</v>
      </c>
      <c r="T705" s="209">
        <f t="shared" si="126"/>
        <v>0</v>
      </c>
      <c r="U705" s="209">
        <f>+SUMIFS('A DEPOSITAR'!$H$2:$H$998,'A DEPOSITAR'!$D$2:$D$998,(O705-2),'A DEPOSITAR'!$I$2:$I$998,"A Depositar")</f>
        <v>0</v>
      </c>
      <c r="V705" s="6"/>
      <c r="W705" s="6"/>
      <c r="X705" s="6"/>
      <c r="Y705" s="6"/>
      <c r="Z705" s="6"/>
    </row>
    <row r="706" spans="1:26" ht="12.75" x14ac:dyDescent="0.2">
      <c r="A706" s="36">
        <v>44302</v>
      </c>
      <c r="B706" s="29" t="s">
        <v>1097</v>
      </c>
      <c r="C706" s="29">
        <v>83725617</v>
      </c>
      <c r="D706" s="37">
        <v>7182</v>
      </c>
      <c r="E706" s="29" t="s">
        <v>22</v>
      </c>
      <c r="F706" s="34">
        <v>44211</v>
      </c>
      <c r="G706" s="18"/>
      <c r="H706" s="16">
        <f t="shared" si="128"/>
        <v>16</v>
      </c>
      <c r="I706" s="16">
        <f t="shared" si="129"/>
        <v>4</v>
      </c>
      <c r="J706" s="122">
        <f t="shared" si="130"/>
        <v>2021</v>
      </c>
      <c r="K706" s="64">
        <f t="shared" ref="K706:K769" si="131">A706+60</f>
        <v>44362</v>
      </c>
      <c r="L706" s="6"/>
      <c r="M706" s="6"/>
      <c r="O706" s="208">
        <v>44351</v>
      </c>
      <c r="P706" s="209">
        <f t="shared" si="124"/>
        <v>0</v>
      </c>
      <c r="Q706" s="209">
        <f>+SUMIF('A DEPOSITAR'!$D$2:$D$998,(O706-2),'A DEPOSITAR'!$H$2:$H$998)</f>
        <v>0</v>
      </c>
      <c r="R706" s="210">
        <f t="shared" si="125"/>
        <v>0</v>
      </c>
      <c r="S706" s="210">
        <f t="shared" si="127"/>
        <v>4094271.0700000031</v>
      </c>
      <c r="T706" s="209">
        <f t="shared" si="126"/>
        <v>0</v>
      </c>
      <c r="U706" s="209">
        <f>+SUMIFS('A DEPOSITAR'!$H$2:$H$998,'A DEPOSITAR'!$D$2:$D$998,(O706-2),'A DEPOSITAR'!$I$2:$I$998,"A Depositar")</f>
        <v>0</v>
      </c>
      <c r="V706" s="6"/>
      <c r="W706" s="6"/>
      <c r="X706" s="6"/>
      <c r="Y706" s="6"/>
      <c r="Z706" s="6"/>
    </row>
    <row r="707" spans="1:26" ht="12.75" x14ac:dyDescent="0.2">
      <c r="A707" s="36">
        <v>44308</v>
      </c>
      <c r="B707" s="29" t="s">
        <v>1097</v>
      </c>
      <c r="C707" s="29">
        <v>83725618</v>
      </c>
      <c r="D707" s="37">
        <v>7000</v>
      </c>
      <c r="E707" s="29" t="s">
        <v>22</v>
      </c>
      <c r="F707" s="34">
        <v>44211</v>
      </c>
      <c r="G707" s="18"/>
      <c r="H707" s="16">
        <f t="shared" si="128"/>
        <v>22</v>
      </c>
      <c r="I707" s="16">
        <f t="shared" si="129"/>
        <v>4</v>
      </c>
      <c r="J707" s="122">
        <f t="shared" si="130"/>
        <v>2021</v>
      </c>
      <c r="K707" s="64">
        <f t="shared" si="131"/>
        <v>44368</v>
      </c>
      <c r="L707" s="6"/>
      <c r="M707" s="6"/>
      <c r="O707" s="208">
        <v>44352</v>
      </c>
      <c r="P707" s="209">
        <f t="shared" ref="P707:P770" si="132">+SUMIF($A$2:$A$998,O707,$D$2:$D$998)</f>
        <v>0</v>
      </c>
      <c r="Q707" s="209">
        <f>+SUMIF('A DEPOSITAR'!$D$2:$D$998,(O707-2),'A DEPOSITAR'!$H$2:$H$998)</f>
        <v>0</v>
      </c>
      <c r="R707" s="210">
        <f t="shared" ref="R707:R770" si="133">+Q707-P707</f>
        <v>0</v>
      </c>
      <c r="S707" s="210">
        <f t="shared" si="127"/>
        <v>4094271.0700000031</v>
      </c>
      <c r="T707" s="209">
        <f t="shared" ref="T707:T770" si="134">+SUMIFS($D$2:$D$998,$A$2:$A$998,O707,$E$2:$E$998,"A Pagar")</f>
        <v>0</v>
      </c>
      <c r="U707" s="209">
        <f>+SUMIFS('A DEPOSITAR'!$H$2:$H$998,'A DEPOSITAR'!$D$2:$D$998,(O707-2),'A DEPOSITAR'!$I$2:$I$998,"A Depositar")</f>
        <v>0</v>
      </c>
      <c r="V707" s="6"/>
      <c r="W707" s="6"/>
      <c r="X707" s="6"/>
      <c r="Y707" s="6"/>
      <c r="Z707" s="6"/>
    </row>
    <row r="708" spans="1:26" ht="12.75" x14ac:dyDescent="0.2">
      <c r="A708" s="36">
        <v>44316</v>
      </c>
      <c r="B708" s="29" t="s">
        <v>1097</v>
      </c>
      <c r="C708" s="29">
        <v>83725619</v>
      </c>
      <c r="D708" s="37">
        <v>7100</v>
      </c>
      <c r="E708" s="29" t="s">
        <v>22</v>
      </c>
      <c r="F708" s="34">
        <v>44211</v>
      </c>
      <c r="G708" s="18"/>
      <c r="H708" s="16">
        <f t="shared" si="128"/>
        <v>30</v>
      </c>
      <c r="I708" s="16">
        <f t="shared" si="129"/>
        <v>4</v>
      </c>
      <c r="J708" s="122">
        <f t="shared" si="130"/>
        <v>2021</v>
      </c>
      <c r="K708" s="64">
        <f t="shared" si="131"/>
        <v>44376</v>
      </c>
      <c r="L708" s="6"/>
      <c r="M708" s="6"/>
      <c r="O708" s="208">
        <v>44353</v>
      </c>
      <c r="P708" s="209">
        <f t="shared" si="132"/>
        <v>0</v>
      </c>
      <c r="Q708" s="209">
        <f>+SUMIF('A DEPOSITAR'!$D$2:$D$998,(O708-2),'A DEPOSITAR'!$H$2:$H$998)</f>
        <v>0</v>
      </c>
      <c r="R708" s="210">
        <f t="shared" si="133"/>
        <v>0</v>
      </c>
      <c r="S708" s="210">
        <f t="shared" ref="S708:S771" si="135">+S707+R708</f>
        <v>4094271.0700000031</v>
      </c>
      <c r="T708" s="209">
        <f t="shared" si="134"/>
        <v>0</v>
      </c>
      <c r="U708" s="209">
        <f>+SUMIFS('A DEPOSITAR'!$H$2:$H$998,'A DEPOSITAR'!$D$2:$D$998,(O708-2),'A DEPOSITAR'!$I$2:$I$998,"A Depositar")</f>
        <v>0</v>
      </c>
      <c r="V708" s="6"/>
      <c r="W708" s="6"/>
      <c r="X708" s="6"/>
      <c r="Y708" s="6"/>
      <c r="Z708" s="6"/>
    </row>
    <row r="709" spans="1:26" ht="12.75" x14ac:dyDescent="0.2">
      <c r="A709" s="36">
        <v>44256</v>
      </c>
      <c r="B709" s="29" t="s">
        <v>1108</v>
      </c>
      <c r="C709" s="211">
        <v>44166</v>
      </c>
      <c r="D709" s="37">
        <v>184500</v>
      </c>
      <c r="E709" s="18" t="s">
        <v>22</v>
      </c>
      <c r="F709" s="7">
        <v>44217</v>
      </c>
      <c r="G709" s="18"/>
      <c r="H709" s="16">
        <f t="shared" si="128"/>
        <v>1</v>
      </c>
      <c r="I709" s="16">
        <f t="shared" si="129"/>
        <v>3</v>
      </c>
      <c r="J709" s="122">
        <f t="shared" si="130"/>
        <v>2021</v>
      </c>
      <c r="K709" s="64">
        <f t="shared" si="131"/>
        <v>44316</v>
      </c>
      <c r="L709" s="6"/>
      <c r="M709" s="6"/>
      <c r="O709" s="208">
        <v>44354</v>
      </c>
      <c r="P709" s="209">
        <f t="shared" si="132"/>
        <v>0</v>
      </c>
      <c r="Q709" s="209">
        <f>+SUMIF('A DEPOSITAR'!$D$2:$D$998,(O709-2),'A DEPOSITAR'!$H$2:$H$998)</f>
        <v>22330</v>
      </c>
      <c r="R709" s="210">
        <f t="shared" si="133"/>
        <v>22330</v>
      </c>
      <c r="S709" s="210">
        <f t="shared" si="135"/>
        <v>4116601.0700000031</v>
      </c>
      <c r="T709" s="209">
        <f t="shared" si="134"/>
        <v>0</v>
      </c>
      <c r="U709" s="209">
        <f>+SUMIFS('A DEPOSITAR'!$H$2:$H$998,'A DEPOSITAR'!$D$2:$D$998,(O709-2),'A DEPOSITAR'!$I$2:$I$998,"A Depositar")</f>
        <v>0</v>
      </c>
      <c r="V709" s="6"/>
      <c r="W709" s="6"/>
      <c r="X709" s="6"/>
      <c r="Y709" s="6"/>
      <c r="Z709" s="6"/>
    </row>
    <row r="710" spans="1:26" ht="12.75" x14ac:dyDescent="0.2">
      <c r="A710" s="36">
        <v>44243</v>
      </c>
      <c r="B710" s="29" t="s">
        <v>1109</v>
      </c>
      <c r="C710" s="29">
        <v>83725620</v>
      </c>
      <c r="D710" s="37">
        <v>6000</v>
      </c>
      <c r="E710" s="29" t="s">
        <v>22</v>
      </c>
      <c r="F710" s="7">
        <v>44219</v>
      </c>
      <c r="G710" s="18"/>
      <c r="H710" s="16">
        <f t="shared" si="128"/>
        <v>16</v>
      </c>
      <c r="I710" s="16">
        <f t="shared" si="129"/>
        <v>2</v>
      </c>
      <c r="J710" s="122">
        <f t="shared" si="130"/>
        <v>2021</v>
      </c>
      <c r="K710" s="64">
        <f t="shared" si="131"/>
        <v>44303</v>
      </c>
      <c r="L710" s="6"/>
      <c r="M710" s="6"/>
      <c r="O710" s="208">
        <v>44355</v>
      </c>
      <c r="P710" s="209">
        <f t="shared" si="132"/>
        <v>97537.26</v>
      </c>
      <c r="Q710" s="209">
        <f>+SUMIF('A DEPOSITAR'!$D$2:$D$998,(O710-2),'A DEPOSITAR'!$H$2:$H$998)</f>
        <v>9548</v>
      </c>
      <c r="R710" s="210">
        <f t="shared" si="133"/>
        <v>-87989.26</v>
      </c>
      <c r="S710" s="210">
        <f t="shared" si="135"/>
        <v>4028611.8100000033</v>
      </c>
      <c r="T710" s="209">
        <f t="shared" si="134"/>
        <v>0</v>
      </c>
      <c r="U710" s="209">
        <f>+SUMIFS('A DEPOSITAR'!$H$2:$H$998,'A DEPOSITAR'!$D$2:$D$998,(O710-2),'A DEPOSITAR'!$I$2:$I$998,"A Depositar")</f>
        <v>0</v>
      </c>
      <c r="V710" s="6"/>
      <c r="W710" s="6"/>
      <c r="X710" s="6"/>
      <c r="Y710" s="6"/>
      <c r="Z710" s="6"/>
    </row>
    <row r="711" spans="1:26" ht="12.75" x14ac:dyDescent="0.2">
      <c r="A711" s="36">
        <v>44249</v>
      </c>
      <c r="B711" s="29" t="s">
        <v>1109</v>
      </c>
      <c r="C711" s="29">
        <v>83725621</v>
      </c>
      <c r="D711" s="37">
        <v>6023.89</v>
      </c>
      <c r="E711" s="29" t="s">
        <v>22</v>
      </c>
      <c r="F711" s="34">
        <v>44219</v>
      </c>
      <c r="G711" s="18"/>
      <c r="H711" s="16">
        <f t="shared" si="128"/>
        <v>22</v>
      </c>
      <c r="I711" s="16">
        <f t="shared" si="129"/>
        <v>2</v>
      </c>
      <c r="J711" s="122">
        <f t="shared" si="130"/>
        <v>2021</v>
      </c>
      <c r="K711" s="64">
        <f t="shared" si="131"/>
        <v>44309</v>
      </c>
      <c r="L711" s="6"/>
      <c r="M711" s="6"/>
      <c r="O711" s="208">
        <v>44356</v>
      </c>
      <c r="P711" s="209">
        <f t="shared" si="132"/>
        <v>0</v>
      </c>
      <c r="Q711" s="209">
        <f>+SUMIF('A DEPOSITAR'!$D$2:$D$998,(O711-2),'A DEPOSITAR'!$H$2:$H$998)</f>
        <v>50040</v>
      </c>
      <c r="R711" s="210">
        <f t="shared" si="133"/>
        <v>50040</v>
      </c>
      <c r="S711" s="210">
        <f t="shared" si="135"/>
        <v>4078651.8100000033</v>
      </c>
      <c r="T711" s="209">
        <f t="shared" si="134"/>
        <v>0</v>
      </c>
      <c r="U711" s="209">
        <f>+SUMIFS('A DEPOSITAR'!$H$2:$H$998,'A DEPOSITAR'!$D$2:$D$998,(O711-2),'A DEPOSITAR'!$I$2:$I$998,"A Depositar")</f>
        <v>0</v>
      </c>
      <c r="V711" s="6"/>
      <c r="W711" s="6"/>
      <c r="X711" s="6"/>
      <c r="Y711" s="6"/>
      <c r="Z711" s="6"/>
    </row>
    <row r="712" spans="1:26" ht="12.75" x14ac:dyDescent="0.2">
      <c r="A712" s="36">
        <v>44227</v>
      </c>
      <c r="B712" s="29" t="s">
        <v>94</v>
      </c>
      <c r="C712" s="29">
        <v>83725622</v>
      </c>
      <c r="D712" s="37">
        <v>17863.080000000002</v>
      </c>
      <c r="E712" s="18" t="s">
        <v>22</v>
      </c>
      <c r="F712" s="7">
        <v>44223</v>
      </c>
      <c r="G712" s="18"/>
      <c r="H712" s="16">
        <f t="shared" si="128"/>
        <v>31</v>
      </c>
      <c r="I712" s="16">
        <f t="shared" si="129"/>
        <v>1</v>
      </c>
      <c r="J712" s="122">
        <f t="shared" si="130"/>
        <v>2021</v>
      </c>
      <c r="K712" s="64">
        <f t="shared" si="131"/>
        <v>44287</v>
      </c>
      <c r="L712" s="6"/>
      <c r="M712" s="6"/>
      <c r="O712" s="208">
        <v>44357</v>
      </c>
      <c r="P712" s="209">
        <f t="shared" si="132"/>
        <v>0</v>
      </c>
      <c r="Q712" s="209">
        <f>+SUMIF('A DEPOSITAR'!$D$2:$D$998,(O712-2),'A DEPOSITAR'!$H$2:$H$998)</f>
        <v>0</v>
      </c>
      <c r="R712" s="210">
        <f t="shared" si="133"/>
        <v>0</v>
      </c>
      <c r="S712" s="210">
        <f t="shared" si="135"/>
        <v>4078651.8100000033</v>
      </c>
      <c r="T712" s="209">
        <f t="shared" si="134"/>
        <v>0</v>
      </c>
      <c r="U712" s="209">
        <f>+SUMIFS('A DEPOSITAR'!$H$2:$H$998,'A DEPOSITAR'!$D$2:$D$998,(O712-2),'A DEPOSITAR'!$I$2:$I$998,"A Depositar")</f>
        <v>0</v>
      </c>
      <c r="V712" s="6"/>
      <c r="W712" s="6"/>
      <c r="X712" s="6"/>
      <c r="Y712" s="6"/>
      <c r="Z712" s="6"/>
    </row>
    <row r="713" spans="1:26" ht="12.75" x14ac:dyDescent="0.2">
      <c r="A713" s="36">
        <v>44263</v>
      </c>
      <c r="B713" s="29" t="s">
        <v>139</v>
      </c>
      <c r="C713" s="29">
        <v>83725623</v>
      </c>
      <c r="D713" s="37">
        <v>18000</v>
      </c>
      <c r="E713" s="18" t="s">
        <v>22</v>
      </c>
      <c r="F713" s="7">
        <v>44230</v>
      </c>
      <c r="G713" s="18"/>
      <c r="H713" s="16">
        <f t="shared" si="128"/>
        <v>8</v>
      </c>
      <c r="I713" s="16">
        <f t="shared" si="129"/>
        <v>3</v>
      </c>
      <c r="J713" s="122">
        <f t="shared" si="130"/>
        <v>2021</v>
      </c>
      <c r="K713" s="64">
        <f t="shared" si="131"/>
        <v>44323</v>
      </c>
      <c r="L713" s="6"/>
      <c r="M713" s="6"/>
      <c r="O713" s="208">
        <v>44358</v>
      </c>
      <c r="P713" s="209">
        <f t="shared" si="132"/>
        <v>0</v>
      </c>
      <c r="Q713" s="209">
        <f>+SUMIF('A DEPOSITAR'!$D$2:$D$998,(O713-2),'A DEPOSITAR'!$H$2:$H$998)</f>
        <v>0</v>
      </c>
      <c r="R713" s="210">
        <f t="shared" si="133"/>
        <v>0</v>
      </c>
      <c r="S713" s="210">
        <f t="shared" si="135"/>
        <v>4078651.8100000033</v>
      </c>
      <c r="T713" s="209">
        <f t="shared" si="134"/>
        <v>0</v>
      </c>
      <c r="U713" s="209">
        <f>+SUMIFS('A DEPOSITAR'!$H$2:$H$998,'A DEPOSITAR'!$D$2:$D$998,(O713-2),'A DEPOSITAR'!$I$2:$I$998,"A Depositar")</f>
        <v>0</v>
      </c>
      <c r="V713" s="6"/>
      <c r="W713" s="6"/>
      <c r="X713" s="6"/>
      <c r="Y713" s="6"/>
      <c r="Z713" s="6"/>
    </row>
    <row r="714" spans="1:26" ht="12.75" x14ac:dyDescent="0.2">
      <c r="A714" s="36">
        <v>44271</v>
      </c>
      <c r="B714" s="29" t="s">
        <v>139</v>
      </c>
      <c r="C714" s="29">
        <v>83725624</v>
      </c>
      <c r="D714" s="37">
        <v>20500</v>
      </c>
      <c r="E714" s="18" t="s">
        <v>22</v>
      </c>
      <c r="F714" s="7">
        <v>44230</v>
      </c>
      <c r="G714" s="18"/>
      <c r="H714" s="16">
        <f t="shared" si="128"/>
        <v>16</v>
      </c>
      <c r="I714" s="16">
        <f t="shared" si="129"/>
        <v>3</v>
      </c>
      <c r="J714" s="122">
        <f t="shared" si="130"/>
        <v>2021</v>
      </c>
      <c r="K714" s="64">
        <f t="shared" si="131"/>
        <v>44331</v>
      </c>
      <c r="L714" s="6"/>
      <c r="M714" s="6"/>
      <c r="O714" s="208">
        <v>44359</v>
      </c>
      <c r="P714" s="209">
        <f t="shared" si="132"/>
        <v>0</v>
      </c>
      <c r="Q714" s="209">
        <f>+SUMIF('A DEPOSITAR'!$D$2:$D$998,(O714-2),'A DEPOSITAR'!$H$2:$H$998)</f>
        <v>64410</v>
      </c>
      <c r="R714" s="210">
        <f t="shared" si="133"/>
        <v>64410</v>
      </c>
      <c r="S714" s="210">
        <f t="shared" si="135"/>
        <v>4143061.8100000033</v>
      </c>
      <c r="T714" s="209">
        <f t="shared" si="134"/>
        <v>0</v>
      </c>
      <c r="U714" s="209">
        <f>+SUMIFS('A DEPOSITAR'!$H$2:$H$998,'A DEPOSITAR'!$D$2:$D$998,(O714-2),'A DEPOSITAR'!$I$2:$I$998,"A Depositar")</f>
        <v>0</v>
      </c>
      <c r="V714" s="6"/>
      <c r="W714" s="6"/>
      <c r="X714" s="6"/>
      <c r="Y714" s="6"/>
      <c r="Z714" s="6"/>
    </row>
    <row r="715" spans="1:26" ht="12.75" x14ac:dyDescent="0.2">
      <c r="A715" s="36">
        <v>44277</v>
      </c>
      <c r="B715" s="29" t="s">
        <v>139</v>
      </c>
      <c r="C715" s="29">
        <v>83725625</v>
      </c>
      <c r="D715" s="37">
        <v>22500</v>
      </c>
      <c r="E715" s="18" t="s">
        <v>22</v>
      </c>
      <c r="F715" s="7">
        <v>44230</v>
      </c>
      <c r="G715" s="18"/>
      <c r="H715" s="16">
        <f t="shared" si="128"/>
        <v>22</v>
      </c>
      <c r="I715" s="16">
        <f t="shared" si="129"/>
        <v>3</v>
      </c>
      <c r="J715" s="122">
        <f t="shared" si="130"/>
        <v>2021</v>
      </c>
      <c r="K715" s="64">
        <f t="shared" si="131"/>
        <v>44337</v>
      </c>
      <c r="L715" s="6"/>
      <c r="M715" s="6"/>
      <c r="O715" s="208">
        <v>44360</v>
      </c>
      <c r="P715" s="209">
        <f t="shared" si="132"/>
        <v>0</v>
      </c>
      <c r="Q715" s="209">
        <f>+SUMIF('A DEPOSITAR'!$D$2:$D$998,(O715-2),'A DEPOSITAR'!$H$2:$H$998)</f>
        <v>0</v>
      </c>
      <c r="R715" s="210">
        <f t="shared" si="133"/>
        <v>0</v>
      </c>
      <c r="S715" s="210">
        <f t="shared" si="135"/>
        <v>4143061.8100000033</v>
      </c>
      <c r="T715" s="209">
        <f t="shared" si="134"/>
        <v>0</v>
      </c>
      <c r="U715" s="209">
        <f>+SUMIFS('A DEPOSITAR'!$H$2:$H$998,'A DEPOSITAR'!$D$2:$D$998,(O715-2),'A DEPOSITAR'!$I$2:$I$998,"A Depositar")</f>
        <v>0</v>
      </c>
      <c r="V715" s="6"/>
      <c r="W715" s="6"/>
      <c r="X715" s="6"/>
      <c r="Y715" s="6"/>
      <c r="Z715" s="6"/>
    </row>
    <row r="716" spans="1:26" ht="12.75" x14ac:dyDescent="0.2">
      <c r="A716" s="36">
        <v>44285</v>
      </c>
      <c r="B716" s="29" t="s">
        <v>1111</v>
      </c>
      <c r="C716" s="29">
        <v>84573876</v>
      </c>
      <c r="D716" s="37">
        <v>9100</v>
      </c>
      <c r="E716" s="29" t="s">
        <v>22</v>
      </c>
      <c r="F716" s="34">
        <v>44228</v>
      </c>
      <c r="G716" s="18"/>
      <c r="H716" s="16">
        <f t="shared" si="128"/>
        <v>30</v>
      </c>
      <c r="I716" s="16">
        <f t="shared" si="129"/>
        <v>3</v>
      </c>
      <c r="J716" s="122">
        <f t="shared" si="130"/>
        <v>2021</v>
      </c>
      <c r="K716" s="64">
        <f t="shared" si="131"/>
        <v>44345</v>
      </c>
      <c r="L716" s="6"/>
      <c r="M716" s="6"/>
      <c r="O716" s="208">
        <v>44361</v>
      </c>
      <c r="P716" s="209">
        <f t="shared" si="132"/>
        <v>0</v>
      </c>
      <c r="Q716" s="209">
        <f>+SUMIF('A DEPOSITAR'!$D$2:$D$998,(O716-2),'A DEPOSITAR'!$H$2:$H$998)</f>
        <v>82800</v>
      </c>
      <c r="R716" s="210">
        <f t="shared" si="133"/>
        <v>82800</v>
      </c>
      <c r="S716" s="210">
        <f t="shared" si="135"/>
        <v>4225861.8100000033</v>
      </c>
      <c r="T716" s="209">
        <f t="shared" si="134"/>
        <v>0</v>
      </c>
      <c r="U716" s="209">
        <f>+SUMIFS('A DEPOSITAR'!$H$2:$H$998,'A DEPOSITAR'!$D$2:$D$998,(O716-2),'A DEPOSITAR'!$I$2:$I$998,"A Depositar")</f>
        <v>0</v>
      </c>
      <c r="V716" s="6"/>
      <c r="W716" s="6"/>
      <c r="X716" s="6"/>
      <c r="Y716" s="6"/>
      <c r="Z716" s="6"/>
    </row>
    <row r="717" spans="1:26" ht="12.75" x14ac:dyDescent="0.2">
      <c r="A717" s="36">
        <v>44294</v>
      </c>
      <c r="B717" s="29" t="s">
        <v>1111</v>
      </c>
      <c r="C717" s="29">
        <v>84573877</v>
      </c>
      <c r="D717" s="37">
        <v>9110</v>
      </c>
      <c r="E717" s="29" t="s">
        <v>22</v>
      </c>
      <c r="F717" s="7">
        <v>44228</v>
      </c>
      <c r="G717" s="18"/>
      <c r="H717" s="16">
        <f t="shared" si="128"/>
        <v>8</v>
      </c>
      <c r="I717" s="16">
        <f t="shared" si="129"/>
        <v>4</v>
      </c>
      <c r="J717" s="122">
        <f t="shared" si="130"/>
        <v>2021</v>
      </c>
      <c r="K717" s="64">
        <f t="shared" si="131"/>
        <v>44354</v>
      </c>
      <c r="L717" s="6"/>
      <c r="M717" s="6"/>
      <c r="O717" s="208">
        <v>44362</v>
      </c>
      <c r="P717" s="209">
        <f t="shared" si="132"/>
        <v>0</v>
      </c>
      <c r="Q717" s="209">
        <f>+SUMIF('A DEPOSITAR'!$D$2:$D$998,(O717-2),'A DEPOSITAR'!$H$2:$H$998)</f>
        <v>14564</v>
      </c>
      <c r="R717" s="210">
        <f t="shared" si="133"/>
        <v>14564</v>
      </c>
      <c r="S717" s="210">
        <f t="shared" si="135"/>
        <v>4240425.8100000033</v>
      </c>
      <c r="T717" s="209">
        <f t="shared" si="134"/>
        <v>0</v>
      </c>
      <c r="U717" s="209">
        <f>+SUMIFS('A DEPOSITAR'!$H$2:$H$998,'A DEPOSITAR'!$D$2:$D$998,(O717-2),'A DEPOSITAR'!$I$2:$I$998,"A Depositar")</f>
        <v>0</v>
      </c>
      <c r="V717" s="6"/>
      <c r="W717" s="6"/>
      <c r="X717" s="6"/>
      <c r="Y717" s="6"/>
      <c r="Z717" s="6"/>
    </row>
    <row r="718" spans="1:26" ht="12.75" x14ac:dyDescent="0.2">
      <c r="A718" s="36">
        <v>44302</v>
      </c>
      <c r="B718" s="29" t="s">
        <v>1111</v>
      </c>
      <c r="C718" s="29">
        <v>84573878</v>
      </c>
      <c r="D718" s="37">
        <v>9120</v>
      </c>
      <c r="E718" s="29" t="s">
        <v>22</v>
      </c>
      <c r="F718" s="7">
        <v>44228</v>
      </c>
      <c r="G718" s="18"/>
      <c r="H718" s="16">
        <f t="shared" si="128"/>
        <v>16</v>
      </c>
      <c r="I718" s="16">
        <f t="shared" si="129"/>
        <v>4</v>
      </c>
      <c r="J718" s="122">
        <f t="shared" si="130"/>
        <v>2021</v>
      </c>
      <c r="K718" s="64">
        <f t="shared" si="131"/>
        <v>44362</v>
      </c>
      <c r="L718" s="6"/>
      <c r="M718" s="6"/>
      <c r="O718" s="208">
        <v>44363</v>
      </c>
      <c r="P718" s="209">
        <f t="shared" si="132"/>
        <v>139232.99</v>
      </c>
      <c r="Q718" s="209">
        <f>+SUMIF('A DEPOSITAR'!$D$2:$D$998,(O718-2),'A DEPOSITAR'!$H$2:$H$998)</f>
        <v>0</v>
      </c>
      <c r="R718" s="210">
        <f t="shared" si="133"/>
        <v>-139232.99</v>
      </c>
      <c r="S718" s="210">
        <f t="shared" si="135"/>
        <v>4101192.8200000031</v>
      </c>
      <c r="T718" s="209">
        <f t="shared" si="134"/>
        <v>0</v>
      </c>
      <c r="U718" s="209">
        <f>+SUMIFS('A DEPOSITAR'!$H$2:$H$998,'A DEPOSITAR'!$D$2:$D$998,(O718-2),'A DEPOSITAR'!$I$2:$I$998,"A Depositar")</f>
        <v>0</v>
      </c>
      <c r="V718" s="6"/>
      <c r="W718" s="6"/>
      <c r="X718" s="6"/>
      <c r="Y718" s="6"/>
      <c r="Z718" s="6"/>
    </row>
    <row r="719" spans="1:26" ht="12.75" x14ac:dyDescent="0.2">
      <c r="A719" s="36">
        <v>44308</v>
      </c>
      <c r="B719" s="29" t="s">
        <v>1111</v>
      </c>
      <c r="C719" s="29">
        <v>84573879</v>
      </c>
      <c r="D719" s="37">
        <v>9130</v>
      </c>
      <c r="E719" s="29" t="s">
        <v>22</v>
      </c>
      <c r="F719" s="34">
        <v>44228</v>
      </c>
      <c r="G719" s="18"/>
      <c r="H719" s="16">
        <f t="shared" si="128"/>
        <v>22</v>
      </c>
      <c r="I719" s="16">
        <f t="shared" si="129"/>
        <v>4</v>
      </c>
      <c r="J719" s="122">
        <f t="shared" si="130"/>
        <v>2021</v>
      </c>
      <c r="K719" s="64">
        <f t="shared" si="131"/>
        <v>44368</v>
      </c>
      <c r="L719" s="6"/>
      <c r="M719" s="6"/>
      <c r="O719" s="208">
        <v>44364</v>
      </c>
      <c r="P719" s="209">
        <f t="shared" si="132"/>
        <v>68121.09</v>
      </c>
      <c r="Q719" s="209">
        <f>+SUMIF('A DEPOSITAR'!$D$2:$D$998,(O719-2),'A DEPOSITAR'!$H$2:$H$998)</f>
        <v>20000</v>
      </c>
      <c r="R719" s="210">
        <f t="shared" si="133"/>
        <v>-48121.09</v>
      </c>
      <c r="S719" s="210">
        <f t="shared" si="135"/>
        <v>4053071.7300000032</v>
      </c>
      <c r="T719" s="209">
        <f t="shared" si="134"/>
        <v>0</v>
      </c>
      <c r="U719" s="209">
        <f>+SUMIFS('A DEPOSITAR'!$H$2:$H$998,'A DEPOSITAR'!$D$2:$D$998,(O719-2),'A DEPOSITAR'!$I$2:$I$998,"A Depositar")</f>
        <v>0</v>
      </c>
      <c r="V719" s="6"/>
      <c r="W719" s="6"/>
      <c r="X719" s="6"/>
      <c r="Y719" s="6"/>
      <c r="Z719" s="6"/>
    </row>
    <row r="720" spans="1:26" ht="12.75" x14ac:dyDescent="0.2">
      <c r="A720" s="36">
        <v>44316</v>
      </c>
      <c r="B720" s="29" t="s">
        <v>1111</v>
      </c>
      <c r="C720" s="29">
        <v>84573880</v>
      </c>
      <c r="D720" s="37">
        <v>9140</v>
      </c>
      <c r="E720" s="29" t="s">
        <v>22</v>
      </c>
      <c r="F720" s="34">
        <v>44228</v>
      </c>
      <c r="G720" s="18"/>
      <c r="H720" s="16">
        <f t="shared" si="128"/>
        <v>30</v>
      </c>
      <c r="I720" s="16">
        <f t="shared" si="129"/>
        <v>4</v>
      </c>
      <c r="J720" s="122">
        <f t="shared" si="130"/>
        <v>2021</v>
      </c>
      <c r="K720" s="64">
        <f t="shared" si="131"/>
        <v>44376</v>
      </c>
      <c r="L720" s="6"/>
      <c r="M720" s="6"/>
      <c r="O720" s="208">
        <v>44365</v>
      </c>
      <c r="P720" s="209">
        <f t="shared" si="132"/>
        <v>0</v>
      </c>
      <c r="Q720" s="209">
        <f>+SUMIF('A DEPOSITAR'!$D$2:$D$998,(O720-2),'A DEPOSITAR'!$H$2:$H$998)</f>
        <v>15315</v>
      </c>
      <c r="R720" s="210">
        <f t="shared" si="133"/>
        <v>15315</v>
      </c>
      <c r="S720" s="210">
        <f t="shared" si="135"/>
        <v>4068386.7300000032</v>
      </c>
      <c r="T720" s="209">
        <f t="shared" si="134"/>
        <v>0</v>
      </c>
      <c r="U720" s="209">
        <f>+SUMIFS('A DEPOSITAR'!$H$2:$H$998,'A DEPOSITAR'!$D$2:$D$998,(O720-2),'A DEPOSITAR'!$I$2:$I$998,"A Depositar")</f>
        <v>0</v>
      </c>
      <c r="V720" s="6"/>
      <c r="W720" s="6"/>
      <c r="X720" s="6"/>
      <c r="Y720" s="6"/>
      <c r="Z720" s="6"/>
    </row>
    <row r="721" spans="1:26" ht="12.75" x14ac:dyDescent="0.2">
      <c r="A721" s="36">
        <v>44324</v>
      </c>
      <c r="B721" s="29" t="s">
        <v>1111</v>
      </c>
      <c r="C721" s="29">
        <v>84573881</v>
      </c>
      <c r="D721" s="37">
        <v>9590</v>
      </c>
      <c r="E721" s="29" t="s">
        <v>755</v>
      </c>
      <c r="F721" s="34">
        <v>44228</v>
      </c>
      <c r="G721" s="18"/>
      <c r="H721" s="16">
        <f t="shared" si="128"/>
        <v>8</v>
      </c>
      <c r="I721" s="16">
        <f t="shared" si="129"/>
        <v>5</v>
      </c>
      <c r="J721" s="122">
        <f t="shared" si="130"/>
        <v>2021</v>
      </c>
      <c r="K721" s="64">
        <f t="shared" si="131"/>
        <v>44384</v>
      </c>
      <c r="L721" s="6"/>
      <c r="M721" s="6"/>
      <c r="O721" s="208">
        <v>44366</v>
      </c>
      <c r="P721" s="209">
        <f t="shared" si="132"/>
        <v>0</v>
      </c>
      <c r="Q721" s="209">
        <f>+SUMIF('A DEPOSITAR'!$D$2:$D$998,(O721-2),'A DEPOSITAR'!$H$2:$H$998)</f>
        <v>15000</v>
      </c>
      <c r="R721" s="210">
        <f t="shared" si="133"/>
        <v>15000</v>
      </c>
      <c r="S721" s="210">
        <f t="shared" si="135"/>
        <v>4083386.7300000032</v>
      </c>
      <c r="T721" s="209">
        <f t="shared" si="134"/>
        <v>0</v>
      </c>
      <c r="U721" s="209">
        <f>+SUMIFS('A DEPOSITAR'!$H$2:$H$998,'A DEPOSITAR'!$D$2:$D$998,(O721-2),'A DEPOSITAR'!$I$2:$I$998,"A Depositar")</f>
        <v>0</v>
      </c>
      <c r="V721" s="6"/>
      <c r="W721" s="6"/>
      <c r="X721" s="6"/>
      <c r="Y721" s="6"/>
      <c r="Z721" s="6"/>
    </row>
    <row r="722" spans="1:26" ht="12.75" x14ac:dyDescent="0.2">
      <c r="A722" s="36">
        <v>44332</v>
      </c>
      <c r="B722" s="29" t="s">
        <v>1111</v>
      </c>
      <c r="C722" s="29">
        <v>84573882</v>
      </c>
      <c r="D722" s="37">
        <v>9600</v>
      </c>
      <c r="E722" s="29" t="s">
        <v>22</v>
      </c>
      <c r="F722" s="34">
        <v>44228</v>
      </c>
      <c r="G722" s="18"/>
      <c r="H722" s="16">
        <f t="shared" si="128"/>
        <v>16</v>
      </c>
      <c r="I722" s="16">
        <f t="shared" si="129"/>
        <v>5</v>
      </c>
      <c r="J722" s="122">
        <f t="shared" si="130"/>
        <v>2021</v>
      </c>
      <c r="K722" s="64">
        <f t="shared" si="131"/>
        <v>44392</v>
      </c>
      <c r="L722" s="6"/>
      <c r="M722" s="6"/>
      <c r="O722" s="208">
        <v>44367</v>
      </c>
      <c r="P722" s="209">
        <f t="shared" si="132"/>
        <v>0</v>
      </c>
      <c r="Q722" s="209">
        <f>+SUMIF('A DEPOSITAR'!$D$2:$D$998,(O722-2),'A DEPOSITAR'!$H$2:$H$998)</f>
        <v>0</v>
      </c>
      <c r="R722" s="210">
        <f t="shared" si="133"/>
        <v>0</v>
      </c>
      <c r="S722" s="210">
        <f t="shared" si="135"/>
        <v>4083386.7300000032</v>
      </c>
      <c r="T722" s="209">
        <f t="shared" si="134"/>
        <v>0</v>
      </c>
      <c r="U722" s="209">
        <f>+SUMIFS('A DEPOSITAR'!$H$2:$H$998,'A DEPOSITAR'!$D$2:$D$998,(O722-2),'A DEPOSITAR'!$I$2:$I$998,"A Depositar")</f>
        <v>0</v>
      </c>
      <c r="V722" s="6"/>
      <c r="W722" s="6"/>
      <c r="X722" s="6"/>
      <c r="Y722" s="6"/>
      <c r="Z722" s="6"/>
    </row>
    <row r="723" spans="1:26" ht="12.75" x14ac:dyDescent="0.2">
      <c r="A723" s="36">
        <v>44338</v>
      </c>
      <c r="B723" s="29" t="s">
        <v>1111</v>
      </c>
      <c r="C723" s="29">
        <v>84573883</v>
      </c>
      <c r="D723" s="37">
        <v>9610</v>
      </c>
      <c r="E723" s="29" t="s">
        <v>22</v>
      </c>
      <c r="F723" s="34">
        <v>44228</v>
      </c>
      <c r="G723" s="18"/>
      <c r="H723" s="16">
        <f t="shared" si="128"/>
        <v>22</v>
      </c>
      <c r="I723" s="16">
        <f t="shared" si="129"/>
        <v>5</v>
      </c>
      <c r="J723" s="122">
        <f t="shared" si="130"/>
        <v>2021</v>
      </c>
      <c r="K723" s="64">
        <f t="shared" si="131"/>
        <v>44398</v>
      </c>
      <c r="L723" s="6"/>
      <c r="M723" s="6"/>
      <c r="O723" s="208">
        <v>44368</v>
      </c>
      <c r="P723" s="209">
        <f t="shared" si="132"/>
        <v>0</v>
      </c>
      <c r="Q723" s="209">
        <f>+SUMIF('A DEPOSITAR'!$D$2:$D$998,(O723-2),'A DEPOSITAR'!$H$2:$H$998)</f>
        <v>7000</v>
      </c>
      <c r="R723" s="210">
        <f t="shared" si="133"/>
        <v>7000</v>
      </c>
      <c r="S723" s="210">
        <f t="shared" si="135"/>
        <v>4090386.7300000032</v>
      </c>
      <c r="T723" s="209">
        <f t="shared" si="134"/>
        <v>0</v>
      </c>
      <c r="U723" s="209">
        <f>+SUMIFS('A DEPOSITAR'!$H$2:$H$998,'A DEPOSITAR'!$D$2:$D$998,(O723-2),'A DEPOSITAR'!$I$2:$I$998,"A Depositar")</f>
        <v>0</v>
      </c>
      <c r="V723" s="6"/>
      <c r="W723" s="6"/>
      <c r="X723" s="6"/>
      <c r="Y723" s="6"/>
      <c r="Z723" s="6"/>
    </row>
    <row r="724" spans="1:26" ht="12.75" x14ac:dyDescent="0.2">
      <c r="A724" s="36">
        <v>44346</v>
      </c>
      <c r="B724" s="29" t="s">
        <v>1111</v>
      </c>
      <c r="C724" s="29">
        <v>84573884</v>
      </c>
      <c r="D724" s="37">
        <v>9140</v>
      </c>
      <c r="E724" s="29" t="s">
        <v>22</v>
      </c>
      <c r="F724" s="34">
        <v>44228</v>
      </c>
      <c r="G724" s="18"/>
      <c r="H724" s="16">
        <f t="shared" si="128"/>
        <v>30</v>
      </c>
      <c r="I724" s="16">
        <f t="shared" si="129"/>
        <v>5</v>
      </c>
      <c r="J724" s="122">
        <f t="shared" si="130"/>
        <v>2021</v>
      </c>
      <c r="K724" s="64">
        <f t="shared" si="131"/>
        <v>44406</v>
      </c>
      <c r="L724" s="6"/>
      <c r="M724" s="6"/>
      <c r="O724" s="208">
        <v>44369</v>
      </c>
      <c r="P724" s="209">
        <f t="shared" si="132"/>
        <v>86010</v>
      </c>
      <c r="Q724" s="209">
        <f>+SUMIF('A DEPOSITAR'!$D$2:$D$998,(O724-2),'A DEPOSITAR'!$H$2:$H$998)</f>
        <v>16500</v>
      </c>
      <c r="R724" s="210">
        <f t="shared" si="133"/>
        <v>-69510</v>
      </c>
      <c r="S724" s="210">
        <f t="shared" si="135"/>
        <v>4020876.7300000032</v>
      </c>
      <c r="T724" s="209">
        <f t="shared" si="134"/>
        <v>0</v>
      </c>
      <c r="U724" s="209">
        <f>+SUMIFS('A DEPOSITAR'!$H$2:$H$998,'A DEPOSITAR'!$D$2:$D$998,(O724-2),'A DEPOSITAR'!$I$2:$I$998,"A Depositar")</f>
        <v>0</v>
      </c>
      <c r="V724" s="6"/>
      <c r="W724" s="6"/>
      <c r="X724" s="6"/>
      <c r="Y724" s="6"/>
      <c r="Z724" s="6"/>
    </row>
    <row r="725" spans="1:26" ht="12.75" x14ac:dyDescent="0.2">
      <c r="A725" s="36">
        <v>44355</v>
      </c>
      <c r="B725" s="29" t="s">
        <v>1111</v>
      </c>
      <c r="C725" s="29">
        <v>84573885</v>
      </c>
      <c r="D725" s="37">
        <v>9130</v>
      </c>
      <c r="E725" s="29" t="s">
        <v>22</v>
      </c>
      <c r="F725" s="34">
        <v>44228</v>
      </c>
      <c r="G725" s="18"/>
      <c r="H725" s="16">
        <f t="shared" si="128"/>
        <v>8</v>
      </c>
      <c r="I725" s="16">
        <f t="shared" si="129"/>
        <v>6</v>
      </c>
      <c r="J725" s="122">
        <f t="shared" si="130"/>
        <v>2021</v>
      </c>
      <c r="K725" s="64">
        <f t="shared" si="131"/>
        <v>44415</v>
      </c>
      <c r="L725" s="6"/>
      <c r="M725" s="6"/>
      <c r="O725" s="208">
        <v>44370</v>
      </c>
      <c r="P725" s="209">
        <f t="shared" si="132"/>
        <v>0</v>
      </c>
      <c r="Q725" s="209">
        <f>+SUMIF('A DEPOSITAR'!$D$2:$D$998,(O725-2),'A DEPOSITAR'!$H$2:$H$998)</f>
        <v>0</v>
      </c>
      <c r="R725" s="210">
        <f t="shared" si="133"/>
        <v>0</v>
      </c>
      <c r="S725" s="210">
        <f t="shared" si="135"/>
        <v>4020876.7300000032</v>
      </c>
      <c r="T725" s="209">
        <f t="shared" si="134"/>
        <v>0</v>
      </c>
      <c r="U725" s="209">
        <f>+SUMIFS('A DEPOSITAR'!$H$2:$H$998,'A DEPOSITAR'!$D$2:$D$998,(O725-2),'A DEPOSITAR'!$I$2:$I$998,"A Depositar")</f>
        <v>0</v>
      </c>
      <c r="V725" s="6"/>
      <c r="W725" s="6"/>
      <c r="X725" s="6"/>
      <c r="Y725" s="6"/>
      <c r="Z725" s="6"/>
    </row>
    <row r="726" spans="1:26" ht="12.75" x14ac:dyDescent="0.2">
      <c r="A726" s="36">
        <v>44363</v>
      </c>
      <c r="B726" s="29" t="s">
        <v>1111</v>
      </c>
      <c r="C726" s="29">
        <v>84573886</v>
      </c>
      <c r="D726" s="37">
        <v>9120</v>
      </c>
      <c r="E726" s="29" t="s">
        <v>22</v>
      </c>
      <c r="F726" s="34">
        <v>44228</v>
      </c>
      <c r="G726" s="18"/>
      <c r="H726" s="16">
        <f t="shared" si="128"/>
        <v>16</v>
      </c>
      <c r="I726" s="16">
        <f t="shared" si="129"/>
        <v>6</v>
      </c>
      <c r="J726" s="122">
        <f t="shared" si="130"/>
        <v>2021</v>
      </c>
      <c r="K726" s="64">
        <f t="shared" si="131"/>
        <v>44423</v>
      </c>
      <c r="L726" s="6"/>
      <c r="M726" s="6"/>
      <c r="O726" s="208">
        <v>44371</v>
      </c>
      <c r="P726" s="209">
        <f t="shared" si="132"/>
        <v>0</v>
      </c>
      <c r="Q726" s="209">
        <f>+SUMIF('A DEPOSITAR'!$D$2:$D$998,(O726-2),'A DEPOSITAR'!$H$2:$H$998)</f>
        <v>30000</v>
      </c>
      <c r="R726" s="210">
        <f t="shared" si="133"/>
        <v>30000</v>
      </c>
      <c r="S726" s="210">
        <f t="shared" si="135"/>
        <v>4050876.7300000032</v>
      </c>
      <c r="T726" s="209">
        <f t="shared" si="134"/>
        <v>0</v>
      </c>
      <c r="U726" s="209">
        <f>+SUMIFS('A DEPOSITAR'!$H$2:$H$998,'A DEPOSITAR'!$D$2:$D$998,(O726-2),'A DEPOSITAR'!$I$2:$I$998,"A Depositar")</f>
        <v>0</v>
      </c>
      <c r="V726" s="6"/>
      <c r="W726" s="6"/>
      <c r="X726" s="6"/>
      <c r="Y726" s="6"/>
      <c r="Z726" s="6"/>
    </row>
    <row r="727" spans="1:26" ht="12.75" x14ac:dyDescent="0.2">
      <c r="A727" s="36">
        <v>44369</v>
      </c>
      <c r="B727" s="29" t="s">
        <v>1111</v>
      </c>
      <c r="C727" s="29">
        <v>84573887</v>
      </c>
      <c r="D727" s="37">
        <v>9110</v>
      </c>
      <c r="E727" s="29" t="s">
        <v>22</v>
      </c>
      <c r="F727" s="34">
        <v>44228</v>
      </c>
      <c r="G727" s="18"/>
      <c r="H727" s="16">
        <f t="shared" ref="H727:H790" si="136">DAY(A727)</f>
        <v>22</v>
      </c>
      <c r="I727" s="16">
        <f t="shared" ref="I727:I790" si="137">MONTH(A727)</f>
        <v>6</v>
      </c>
      <c r="J727" s="122">
        <f t="shared" ref="J727:J790" si="138">YEAR(A727)</f>
        <v>2021</v>
      </c>
      <c r="K727" s="64">
        <f t="shared" si="131"/>
        <v>44429</v>
      </c>
      <c r="L727" s="6"/>
      <c r="M727" s="6"/>
      <c r="O727" s="208">
        <v>44372</v>
      </c>
      <c r="P727" s="209">
        <f t="shared" si="132"/>
        <v>0</v>
      </c>
      <c r="Q727" s="209">
        <f>+SUMIF('A DEPOSITAR'!$D$2:$D$998,(O727-2),'A DEPOSITAR'!$H$2:$H$998)</f>
        <v>0</v>
      </c>
      <c r="R727" s="210">
        <f t="shared" si="133"/>
        <v>0</v>
      </c>
      <c r="S727" s="210">
        <f t="shared" si="135"/>
        <v>4050876.7300000032</v>
      </c>
      <c r="T727" s="209">
        <f t="shared" si="134"/>
        <v>0</v>
      </c>
      <c r="U727" s="209">
        <f>+SUMIFS('A DEPOSITAR'!$H$2:$H$998,'A DEPOSITAR'!$D$2:$D$998,(O727-2),'A DEPOSITAR'!$I$2:$I$998,"A Depositar")</f>
        <v>0</v>
      </c>
      <c r="V727" s="6"/>
      <c r="W727" s="6"/>
      <c r="X727" s="6"/>
      <c r="Y727" s="6"/>
      <c r="Z727" s="6"/>
    </row>
    <row r="728" spans="1:26" ht="12.75" x14ac:dyDescent="0.2">
      <c r="A728" s="36">
        <v>44377</v>
      </c>
      <c r="B728" s="29" t="s">
        <v>1111</v>
      </c>
      <c r="C728" s="29">
        <v>84573888</v>
      </c>
      <c r="D728" s="37">
        <v>9100</v>
      </c>
      <c r="E728" s="29" t="s">
        <v>22</v>
      </c>
      <c r="F728" s="34">
        <v>44228</v>
      </c>
      <c r="G728" s="18"/>
      <c r="H728" s="16">
        <f t="shared" si="136"/>
        <v>30</v>
      </c>
      <c r="I728" s="16">
        <f t="shared" si="137"/>
        <v>6</v>
      </c>
      <c r="J728" s="122">
        <f t="shared" si="138"/>
        <v>2021</v>
      </c>
      <c r="K728" s="64">
        <f t="shared" si="131"/>
        <v>44437</v>
      </c>
      <c r="L728" s="6"/>
      <c r="M728" s="6"/>
      <c r="O728" s="208">
        <v>44373</v>
      </c>
      <c r="P728" s="209">
        <f t="shared" si="132"/>
        <v>0</v>
      </c>
      <c r="Q728" s="209">
        <f>+SUMIF('A DEPOSITAR'!$D$2:$D$998,(O728-2),'A DEPOSITAR'!$H$2:$H$998)</f>
        <v>25000</v>
      </c>
      <c r="R728" s="210">
        <f t="shared" si="133"/>
        <v>25000</v>
      </c>
      <c r="S728" s="210">
        <f t="shared" si="135"/>
        <v>4075876.7300000032</v>
      </c>
      <c r="T728" s="209">
        <f t="shared" si="134"/>
        <v>0</v>
      </c>
      <c r="U728" s="209">
        <f>+SUMIFS('A DEPOSITAR'!$H$2:$H$998,'A DEPOSITAR'!$D$2:$D$998,(O728-2),'A DEPOSITAR'!$I$2:$I$998,"A Depositar")</f>
        <v>0</v>
      </c>
      <c r="V728" s="6"/>
      <c r="W728" s="6"/>
      <c r="X728" s="6"/>
      <c r="Y728" s="6"/>
      <c r="Z728" s="6"/>
    </row>
    <row r="729" spans="1:26" ht="12.75" x14ac:dyDescent="0.2">
      <c r="A729" s="36">
        <v>44285</v>
      </c>
      <c r="B729" s="29" t="s">
        <v>139</v>
      </c>
      <c r="C729" s="29">
        <v>84573889</v>
      </c>
      <c r="D729" s="37">
        <v>24010.86</v>
      </c>
      <c r="E729" s="18" t="s">
        <v>22</v>
      </c>
      <c r="F729" s="7">
        <v>44230</v>
      </c>
      <c r="G729" s="18"/>
      <c r="H729" s="16">
        <f t="shared" si="136"/>
        <v>30</v>
      </c>
      <c r="I729" s="16">
        <f t="shared" si="137"/>
        <v>3</v>
      </c>
      <c r="J729" s="122">
        <f t="shared" si="138"/>
        <v>2021</v>
      </c>
      <c r="K729" s="64">
        <f t="shared" si="131"/>
        <v>44345</v>
      </c>
      <c r="L729" s="6"/>
      <c r="M729" s="6"/>
      <c r="O729" s="208">
        <v>44374</v>
      </c>
      <c r="P729" s="209">
        <f t="shared" si="132"/>
        <v>0</v>
      </c>
      <c r="Q729" s="209">
        <f>+SUMIF('A DEPOSITAR'!$D$2:$D$998,(O729-2),'A DEPOSITAR'!$H$2:$H$998)</f>
        <v>0</v>
      </c>
      <c r="R729" s="210">
        <f t="shared" si="133"/>
        <v>0</v>
      </c>
      <c r="S729" s="210">
        <f t="shared" si="135"/>
        <v>4075876.7300000032</v>
      </c>
      <c r="T729" s="209">
        <f t="shared" si="134"/>
        <v>0</v>
      </c>
      <c r="U729" s="209">
        <f>+SUMIFS('A DEPOSITAR'!$H$2:$H$998,'A DEPOSITAR'!$D$2:$D$998,(O729-2),'A DEPOSITAR'!$I$2:$I$998,"A Depositar")</f>
        <v>0</v>
      </c>
      <c r="V729" s="6"/>
      <c r="W729" s="6"/>
      <c r="X729" s="6"/>
      <c r="Y729" s="6"/>
      <c r="Z729" s="6"/>
    </row>
    <row r="730" spans="1:26" ht="12.75" x14ac:dyDescent="0.2">
      <c r="A730" s="36">
        <v>44294</v>
      </c>
      <c r="B730" s="29" t="s">
        <v>139</v>
      </c>
      <c r="C730" s="29">
        <v>84573890</v>
      </c>
      <c r="D730" s="37">
        <v>23000</v>
      </c>
      <c r="E730" s="18" t="s">
        <v>22</v>
      </c>
      <c r="F730" s="7">
        <v>44230</v>
      </c>
      <c r="G730" s="18"/>
      <c r="H730" s="16">
        <f t="shared" si="136"/>
        <v>8</v>
      </c>
      <c r="I730" s="16">
        <f t="shared" si="137"/>
        <v>4</v>
      </c>
      <c r="J730" s="122">
        <f t="shared" si="138"/>
        <v>2021</v>
      </c>
      <c r="K730" s="64">
        <f t="shared" si="131"/>
        <v>44354</v>
      </c>
      <c r="L730" s="6"/>
      <c r="M730" s="6"/>
      <c r="O730" s="208">
        <v>44375</v>
      </c>
      <c r="P730" s="209">
        <f t="shared" si="132"/>
        <v>62000</v>
      </c>
      <c r="Q730" s="209">
        <f>+SUMIF('A DEPOSITAR'!$D$2:$D$998,(O730-2),'A DEPOSITAR'!$H$2:$H$998)</f>
        <v>0</v>
      </c>
      <c r="R730" s="210">
        <f t="shared" si="133"/>
        <v>-62000</v>
      </c>
      <c r="S730" s="210">
        <f t="shared" si="135"/>
        <v>4013876.7300000032</v>
      </c>
      <c r="T730" s="209">
        <f t="shared" si="134"/>
        <v>0</v>
      </c>
      <c r="U730" s="209">
        <f>+SUMIFS('A DEPOSITAR'!$H$2:$H$998,'A DEPOSITAR'!$D$2:$D$998,(O730-2),'A DEPOSITAR'!$I$2:$I$998,"A Depositar")</f>
        <v>0</v>
      </c>
      <c r="V730" s="6"/>
      <c r="W730" s="6"/>
      <c r="X730" s="6"/>
      <c r="Y730" s="6"/>
      <c r="Z730" s="6"/>
    </row>
    <row r="731" spans="1:26" ht="12.75" x14ac:dyDescent="0.2">
      <c r="A731" s="36">
        <v>44302</v>
      </c>
      <c r="B731" s="29" t="s">
        <v>139</v>
      </c>
      <c r="C731" s="29">
        <v>84573891</v>
      </c>
      <c r="D731" s="37">
        <v>23500</v>
      </c>
      <c r="E731" s="18" t="s">
        <v>22</v>
      </c>
      <c r="F731" s="7">
        <v>44230</v>
      </c>
      <c r="G731" s="18"/>
      <c r="H731" s="16">
        <f t="shared" si="136"/>
        <v>16</v>
      </c>
      <c r="I731" s="16">
        <f t="shared" si="137"/>
        <v>4</v>
      </c>
      <c r="J731" s="122">
        <f t="shared" si="138"/>
        <v>2021</v>
      </c>
      <c r="K731" s="64">
        <f t="shared" si="131"/>
        <v>44362</v>
      </c>
      <c r="L731" s="6"/>
      <c r="M731" s="6"/>
      <c r="O731" s="208">
        <v>44376</v>
      </c>
      <c r="P731" s="209">
        <f t="shared" si="132"/>
        <v>63000</v>
      </c>
      <c r="Q731" s="209">
        <f>+SUMIF('A DEPOSITAR'!$D$2:$D$998,(O731-2),'A DEPOSITAR'!$H$2:$H$998)</f>
        <v>35000</v>
      </c>
      <c r="R731" s="210">
        <f t="shared" si="133"/>
        <v>-28000</v>
      </c>
      <c r="S731" s="210">
        <f t="shared" si="135"/>
        <v>3985876.7300000032</v>
      </c>
      <c r="T731" s="209">
        <f t="shared" si="134"/>
        <v>0</v>
      </c>
      <c r="U731" s="209">
        <f>+SUMIFS('A DEPOSITAR'!$H$2:$H$998,'A DEPOSITAR'!$D$2:$D$998,(O731-2),'A DEPOSITAR'!$I$2:$I$998,"A Depositar")</f>
        <v>0</v>
      </c>
      <c r="V731" s="6"/>
      <c r="W731" s="6"/>
      <c r="X731" s="6"/>
      <c r="Y731" s="6"/>
      <c r="Z731" s="6"/>
    </row>
    <row r="732" spans="1:26" ht="12.75" x14ac:dyDescent="0.2">
      <c r="A732" s="36">
        <v>44263</v>
      </c>
      <c r="B732" s="29" t="s">
        <v>1041</v>
      </c>
      <c r="C732" s="29">
        <v>84573892</v>
      </c>
      <c r="D732" s="37">
        <v>4000</v>
      </c>
      <c r="E732" s="18" t="s">
        <v>22</v>
      </c>
      <c r="F732" s="7">
        <v>44230</v>
      </c>
      <c r="G732" s="18"/>
      <c r="H732" s="16">
        <f t="shared" si="136"/>
        <v>8</v>
      </c>
      <c r="I732" s="16">
        <f t="shared" si="137"/>
        <v>3</v>
      </c>
      <c r="J732" s="122">
        <f t="shared" si="138"/>
        <v>2021</v>
      </c>
      <c r="K732" s="64">
        <f t="shared" si="131"/>
        <v>44323</v>
      </c>
      <c r="L732" s="6"/>
      <c r="M732" s="6"/>
      <c r="O732" s="208">
        <v>44377</v>
      </c>
      <c r="P732" s="209">
        <f t="shared" si="132"/>
        <v>154350.29</v>
      </c>
      <c r="Q732" s="209">
        <f>+SUMIF('A DEPOSITAR'!$D$2:$D$998,(O732-2),'A DEPOSITAR'!$H$2:$H$998)</f>
        <v>40000</v>
      </c>
      <c r="R732" s="210">
        <f t="shared" si="133"/>
        <v>-114350.29000000001</v>
      </c>
      <c r="S732" s="210">
        <f t="shared" si="135"/>
        <v>3871526.4400000032</v>
      </c>
      <c r="T732" s="209">
        <f t="shared" si="134"/>
        <v>0</v>
      </c>
      <c r="U732" s="209">
        <f>+SUMIFS('A DEPOSITAR'!$H$2:$H$998,'A DEPOSITAR'!$D$2:$D$998,(O732-2),'A DEPOSITAR'!$I$2:$I$998,"A Depositar")</f>
        <v>0</v>
      </c>
      <c r="V732" s="6"/>
      <c r="W732" s="6"/>
      <c r="X732" s="6"/>
      <c r="Y732" s="6"/>
      <c r="Z732" s="6"/>
    </row>
    <row r="733" spans="1:26" ht="12.75" x14ac:dyDescent="0.2">
      <c r="A733" s="36">
        <v>44271</v>
      </c>
      <c r="B733" s="29" t="s">
        <v>1041</v>
      </c>
      <c r="C733" s="29">
        <v>84573893</v>
      </c>
      <c r="D733" s="37">
        <v>4000</v>
      </c>
      <c r="E733" s="18" t="s">
        <v>22</v>
      </c>
      <c r="F733" s="7">
        <v>44230</v>
      </c>
      <c r="G733" s="18"/>
      <c r="H733" s="16">
        <f t="shared" si="136"/>
        <v>16</v>
      </c>
      <c r="I733" s="16">
        <f t="shared" si="137"/>
        <v>3</v>
      </c>
      <c r="J733" s="122">
        <f t="shared" si="138"/>
        <v>2021</v>
      </c>
      <c r="K733" s="64">
        <f t="shared" si="131"/>
        <v>44331</v>
      </c>
      <c r="L733" s="6"/>
      <c r="M733" s="6"/>
      <c r="O733" s="208">
        <v>44378</v>
      </c>
      <c r="P733" s="209">
        <f t="shared" si="132"/>
        <v>0</v>
      </c>
      <c r="Q733" s="209">
        <f>+SUMIF('A DEPOSITAR'!$D$2:$D$998,(O733-2),'A DEPOSITAR'!$H$2:$H$998)</f>
        <v>0</v>
      </c>
      <c r="R733" s="210">
        <f t="shared" si="133"/>
        <v>0</v>
      </c>
      <c r="S733" s="210">
        <f t="shared" si="135"/>
        <v>3871526.4400000032</v>
      </c>
      <c r="T733" s="209">
        <f t="shared" si="134"/>
        <v>0</v>
      </c>
      <c r="U733" s="209">
        <f>+SUMIFS('A DEPOSITAR'!$H$2:$H$998,'A DEPOSITAR'!$D$2:$D$998,(O733-2),'A DEPOSITAR'!$I$2:$I$998,"A Depositar")</f>
        <v>0</v>
      </c>
      <c r="V733" s="6"/>
      <c r="W733" s="6"/>
      <c r="X733" s="6"/>
      <c r="Y733" s="6"/>
      <c r="Z733" s="6"/>
    </row>
    <row r="734" spans="1:26" ht="12.75" x14ac:dyDescent="0.2">
      <c r="A734" s="36">
        <v>44294</v>
      </c>
      <c r="B734" s="29" t="s">
        <v>323</v>
      </c>
      <c r="C734" s="29">
        <v>84573894</v>
      </c>
      <c r="D734" s="37">
        <v>12475.1</v>
      </c>
      <c r="E734" s="18" t="s">
        <v>22</v>
      </c>
      <c r="F734" s="7">
        <v>44232</v>
      </c>
      <c r="G734" s="18"/>
      <c r="H734" s="16">
        <f t="shared" si="136"/>
        <v>8</v>
      </c>
      <c r="I734" s="16">
        <f t="shared" si="137"/>
        <v>4</v>
      </c>
      <c r="J734" s="122">
        <f t="shared" si="138"/>
        <v>2021</v>
      </c>
      <c r="K734" s="64">
        <f t="shared" si="131"/>
        <v>44354</v>
      </c>
      <c r="L734" s="6"/>
      <c r="M734" s="6"/>
      <c r="O734" s="208">
        <v>44379</v>
      </c>
      <c r="P734" s="209">
        <f t="shared" si="132"/>
        <v>0</v>
      </c>
      <c r="Q734" s="209">
        <f>+SUMIF('A DEPOSITAR'!$D$2:$D$998,(O734-2),'A DEPOSITAR'!$H$2:$H$998)</f>
        <v>87800</v>
      </c>
      <c r="R734" s="210">
        <f t="shared" si="133"/>
        <v>87800</v>
      </c>
      <c r="S734" s="210">
        <f t="shared" si="135"/>
        <v>3959326.4400000032</v>
      </c>
      <c r="T734" s="209">
        <f t="shared" si="134"/>
        <v>0</v>
      </c>
      <c r="U734" s="209">
        <f>+SUMIFS('A DEPOSITAR'!$H$2:$H$998,'A DEPOSITAR'!$D$2:$D$998,(O734-2),'A DEPOSITAR'!$I$2:$I$998,"A Depositar")</f>
        <v>0</v>
      </c>
      <c r="V734" s="6"/>
      <c r="W734" s="6"/>
      <c r="X734" s="6"/>
      <c r="Y734" s="6"/>
      <c r="Z734" s="6"/>
    </row>
    <row r="735" spans="1:26" ht="12.75" x14ac:dyDescent="0.2">
      <c r="A735" s="36">
        <v>44302</v>
      </c>
      <c r="B735" s="29" t="s">
        <v>323</v>
      </c>
      <c r="C735" s="29">
        <v>84573895</v>
      </c>
      <c r="D735" s="37">
        <v>7500</v>
      </c>
      <c r="E735" s="18" t="s">
        <v>22</v>
      </c>
      <c r="F735" s="7">
        <v>44232</v>
      </c>
      <c r="G735" s="18"/>
      <c r="H735" s="16">
        <f t="shared" si="136"/>
        <v>16</v>
      </c>
      <c r="I735" s="16">
        <f t="shared" si="137"/>
        <v>4</v>
      </c>
      <c r="J735" s="122">
        <f t="shared" si="138"/>
        <v>2021</v>
      </c>
      <c r="K735" s="64">
        <f t="shared" si="131"/>
        <v>44362</v>
      </c>
      <c r="L735" s="6"/>
      <c r="M735" s="6"/>
      <c r="O735" s="208">
        <v>44380</v>
      </c>
      <c r="P735" s="209">
        <f t="shared" si="132"/>
        <v>0</v>
      </c>
      <c r="Q735" s="209">
        <f>+SUMIF('A DEPOSITAR'!$D$2:$D$998,(O735-2),'A DEPOSITAR'!$H$2:$H$998)</f>
        <v>0</v>
      </c>
      <c r="R735" s="210">
        <f t="shared" si="133"/>
        <v>0</v>
      </c>
      <c r="S735" s="210">
        <f t="shared" si="135"/>
        <v>3959326.4400000032</v>
      </c>
      <c r="T735" s="209">
        <f t="shared" si="134"/>
        <v>0</v>
      </c>
      <c r="U735" s="209">
        <f>+SUMIFS('A DEPOSITAR'!$H$2:$H$998,'A DEPOSITAR'!$D$2:$D$998,(O735-2),'A DEPOSITAR'!$I$2:$I$998,"A Depositar")</f>
        <v>0</v>
      </c>
      <c r="V735" s="6"/>
      <c r="W735" s="6"/>
      <c r="X735" s="6"/>
      <c r="Y735" s="6"/>
      <c r="Z735" s="6"/>
    </row>
    <row r="736" spans="1:26" ht="12.75" x14ac:dyDescent="0.2">
      <c r="A736" s="36">
        <v>44308</v>
      </c>
      <c r="B736" s="29" t="s">
        <v>323</v>
      </c>
      <c r="C736" s="29">
        <v>84573896</v>
      </c>
      <c r="D736" s="37">
        <v>8000</v>
      </c>
      <c r="E736" s="18" t="s">
        <v>22</v>
      </c>
      <c r="F736" s="7">
        <v>44232</v>
      </c>
      <c r="G736" s="18"/>
      <c r="H736" s="16">
        <f t="shared" si="136"/>
        <v>22</v>
      </c>
      <c r="I736" s="16">
        <f t="shared" si="137"/>
        <v>4</v>
      </c>
      <c r="J736" s="122">
        <f t="shared" si="138"/>
        <v>2021</v>
      </c>
      <c r="K736" s="64">
        <f t="shared" si="131"/>
        <v>44368</v>
      </c>
      <c r="L736" s="6"/>
      <c r="M736" s="6"/>
      <c r="O736" s="208">
        <v>44381</v>
      </c>
      <c r="P736" s="209">
        <f t="shared" si="132"/>
        <v>0</v>
      </c>
      <c r="Q736" s="209">
        <f>+SUMIF('A DEPOSITAR'!$D$2:$D$998,(O736-2),'A DEPOSITAR'!$H$2:$H$998)</f>
        <v>31995</v>
      </c>
      <c r="R736" s="210">
        <f t="shared" si="133"/>
        <v>31995</v>
      </c>
      <c r="S736" s="210">
        <f t="shared" si="135"/>
        <v>3991321.4400000032</v>
      </c>
      <c r="T736" s="209">
        <f t="shared" si="134"/>
        <v>0</v>
      </c>
      <c r="U736" s="209">
        <f>+SUMIFS('A DEPOSITAR'!$H$2:$H$998,'A DEPOSITAR'!$D$2:$D$998,(O736-2),'A DEPOSITAR'!$I$2:$I$998,"A Depositar")</f>
        <v>0</v>
      </c>
      <c r="V736" s="6"/>
      <c r="W736" s="6"/>
      <c r="X736" s="6"/>
      <c r="Y736" s="6"/>
      <c r="Z736" s="6"/>
    </row>
    <row r="737" spans="1:26" ht="12.75" x14ac:dyDescent="0.2">
      <c r="A737" s="36">
        <v>44316</v>
      </c>
      <c r="B737" s="29" t="s">
        <v>323</v>
      </c>
      <c r="C737" s="29">
        <v>84573897</v>
      </c>
      <c r="D737" s="37">
        <v>8500</v>
      </c>
      <c r="E737" s="18" t="s">
        <v>22</v>
      </c>
      <c r="F737" s="7" t="s">
        <v>1112</v>
      </c>
      <c r="G737" s="18"/>
      <c r="H737" s="16">
        <f t="shared" si="136"/>
        <v>30</v>
      </c>
      <c r="I737" s="16">
        <f t="shared" si="137"/>
        <v>4</v>
      </c>
      <c r="J737" s="122">
        <f t="shared" si="138"/>
        <v>2021</v>
      </c>
      <c r="K737" s="64">
        <f t="shared" si="131"/>
        <v>44376</v>
      </c>
      <c r="L737" s="6"/>
      <c r="M737" s="6"/>
      <c r="O737" s="208">
        <v>44382</v>
      </c>
      <c r="P737" s="209">
        <f t="shared" si="132"/>
        <v>0</v>
      </c>
      <c r="Q737" s="209">
        <f>+SUMIF('A DEPOSITAR'!$D$2:$D$998,(O737-2),'A DEPOSITAR'!$H$2:$H$998)</f>
        <v>22330.42</v>
      </c>
      <c r="R737" s="210">
        <f t="shared" si="133"/>
        <v>22330.42</v>
      </c>
      <c r="S737" s="210">
        <f t="shared" si="135"/>
        <v>4013651.8600000031</v>
      </c>
      <c r="T737" s="209">
        <f t="shared" si="134"/>
        <v>0</v>
      </c>
      <c r="U737" s="209">
        <f>+SUMIFS('A DEPOSITAR'!$H$2:$H$998,'A DEPOSITAR'!$D$2:$D$998,(O737-2),'A DEPOSITAR'!$I$2:$I$998,"A Depositar")</f>
        <v>0</v>
      </c>
      <c r="V737" s="6"/>
      <c r="W737" s="6"/>
      <c r="X737" s="6"/>
      <c r="Y737" s="6"/>
      <c r="Z737" s="6"/>
    </row>
    <row r="738" spans="1:26" ht="12.75" x14ac:dyDescent="0.2">
      <c r="A738" s="36">
        <v>44363</v>
      </c>
      <c r="B738" s="29" t="s">
        <v>199</v>
      </c>
      <c r="C738" s="29">
        <v>84573898</v>
      </c>
      <c r="D738" s="37">
        <v>6360</v>
      </c>
      <c r="E738" s="18" t="s">
        <v>22</v>
      </c>
      <c r="F738" s="7">
        <v>44308</v>
      </c>
      <c r="G738" s="18"/>
      <c r="H738" s="16">
        <f t="shared" si="136"/>
        <v>16</v>
      </c>
      <c r="I738" s="16">
        <f t="shared" si="137"/>
        <v>6</v>
      </c>
      <c r="J738" s="122">
        <f t="shared" si="138"/>
        <v>2021</v>
      </c>
      <c r="K738" s="64">
        <f t="shared" si="131"/>
        <v>44423</v>
      </c>
      <c r="L738" s="6"/>
      <c r="M738" s="6"/>
      <c r="O738" s="208">
        <v>44383</v>
      </c>
      <c r="P738" s="209">
        <f t="shared" si="132"/>
        <v>0</v>
      </c>
      <c r="Q738" s="209">
        <f>+SUMIF('A DEPOSITAR'!$D$2:$D$998,(O738-2),'A DEPOSITAR'!$H$2:$H$998)</f>
        <v>0</v>
      </c>
      <c r="R738" s="210">
        <f t="shared" si="133"/>
        <v>0</v>
      </c>
      <c r="S738" s="210">
        <f t="shared" si="135"/>
        <v>4013651.8600000031</v>
      </c>
      <c r="T738" s="209">
        <f t="shared" si="134"/>
        <v>0</v>
      </c>
      <c r="U738" s="209">
        <f>+SUMIFS('A DEPOSITAR'!$H$2:$H$998,'A DEPOSITAR'!$D$2:$D$998,(O738-2),'A DEPOSITAR'!$I$2:$I$998,"A Depositar")</f>
        <v>0</v>
      </c>
      <c r="V738" s="6"/>
      <c r="W738" s="6"/>
      <c r="X738" s="6"/>
      <c r="Y738" s="6"/>
      <c r="Z738" s="6"/>
    </row>
    <row r="739" spans="1:26" ht="12.75" x14ac:dyDescent="0.2">
      <c r="A739" s="36">
        <v>44285</v>
      </c>
      <c r="B739" s="29" t="s">
        <v>1115</v>
      </c>
      <c r="C739" s="29">
        <v>84573899</v>
      </c>
      <c r="D739" s="37">
        <v>3980</v>
      </c>
      <c r="E739" s="18" t="s">
        <v>22</v>
      </c>
      <c r="F739" s="7">
        <v>44247</v>
      </c>
      <c r="G739" s="18"/>
      <c r="H739" s="16">
        <f t="shared" si="136"/>
        <v>30</v>
      </c>
      <c r="I739" s="16">
        <f t="shared" si="137"/>
        <v>3</v>
      </c>
      <c r="J739" s="122">
        <f t="shared" si="138"/>
        <v>2021</v>
      </c>
      <c r="K739" s="64">
        <f t="shared" si="131"/>
        <v>44345</v>
      </c>
      <c r="L739" s="6"/>
      <c r="M739" s="6"/>
      <c r="O739" s="208">
        <v>44384</v>
      </c>
      <c r="P739" s="209">
        <f t="shared" si="132"/>
        <v>0</v>
      </c>
      <c r="Q739" s="209">
        <f>+SUMIF('A DEPOSITAR'!$D$2:$D$998,(O739-2),'A DEPOSITAR'!$H$2:$H$998)</f>
        <v>0</v>
      </c>
      <c r="R739" s="210">
        <f t="shared" si="133"/>
        <v>0</v>
      </c>
      <c r="S739" s="210">
        <f t="shared" si="135"/>
        <v>4013651.8600000031</v>
      </c>
      <c r="T739" s="209">
        <f t="shared" si="134"/>
        <v>0</v>
      </c>
      <c r="U739" s="209">
        <f>+SUMIFS('A DEPOSITAR'!$H$2:$H$998,'A DEPOSITAR'!$D$2:$D$998,(O739-2),'A DEPOSITAR'!$I$2:$I$998,"A Depositar")</f>
        <v>0</v>
      </c>
      <c r="V739" s="6"/>
      <c r="W739" s="6"/>
      <c r="X739" s="6"/>
      <c r="Y739" s="6"/>
      <c r="Z739" s="6"/>
    </row>
    <row r="740" spans="1:26" ht="12.75" x14ac:dyDescent="0.2">
      <c r="A740" s="36">
        <v>44294</v>
      </c>
      <c r="B740" s="29" t="s">
        <v>1115</v>
      </c>
      <c r="C740" s="29">
        <v>84573900</v>
      </c>
      <c r="D740" s="37">
        <v>3972</v>
      </c>
      <c r="E740" s="18" t="s">
        <v>22</v>
      </c>
      <c r="F740" s="7">
        <v>44247</v>
      </c>
      <c r="G740" s="18"/>
      <c r="H740" s="16">
        <f t="shared" si="136"/>
        <v>8</v>
      </c>
      <c r="I740" s="16">
        <f t="shared" si="137"/>
        <v>4</v>
      </c>
      <c r="J740" s="122">
        <f t="shared" si="138"/>
        <v>2021</v>
      </c>
      <c r="K740" s="64">
        <f t="shared" si="131"/>
        <v>44354</v>
      </c>
      <c r="L740" s="6"/>
      <c r="M740" s="6"/>
      <c r="O740" s="208">
        <v>44385</v>
      </c>
      <c r="P740" s="209">
        <f t="shared" si="132"/>
        <v>84780</v>
      </c>
      <c r="Q740" s="209">
        <f>+SUMIF('A DEPOSITAR'!$D$2:$D$998,(O740-2),'A DEPOSITAR'!$H$2:$H$998)</f>
        <v>37968</v>
      </c>
      <c r="R740" s="210">
        <f t="shared" si="133"/>
        <v>-46812</v>
      </c>
      <c r="S740" s="210">
        <f t="shared" si="135"/>
        <v>3966839.8600000031</v>
      </c>
      <c r="T740" s="209">
        <f t="shared" si="134"/>
        <v>0</v>
      </c>
      <c r="U740" s="209">
        <f>+SUMIFS('A DEPOSITAR'!$H$2:$H$998,'A DEPOSITAR'!$D$2:$D$998,(O740-2),'A DEPOSITAR'!$I$2:$I$998,"A Depositar")</f>
        <v>0</v>
      </c>
      <c r="V740" s="6"/>
      <c r="W740" s="6"/>
      <c r="X740" s="6"/>
      <c r="Y740" s="6"/>
      <c r="Z740" s="6"/>
    </row>
    <row r="741" spans="1:26" ht="12.75" x14ac:dyDescent="0.2">
      <c r="A741" s="36">
        <v>44324</v>
      </c>
      <c r="B741" s="29" t="s">
        <v>833</v>
      </c>
      <c r="C741" s="29">
        <v>84573901</v>
      </c>
      <c r="D741" s="37">
        <v>19540</v>
      </c>
      <c r="E741" s="29" t="s">
        <v>22</v>
      </c>
      <c r="F741" s="7">
        <v>44247</v>
      </c>
      <c r="G741" s="18"/>
      <c r="H741" s="16">
        <f t="shared" si="136"/>
        <v>8</v>
      </c>
      <c r="I741" s="16">
        <f t="shared" si="137"/>
        <v>5</v>
      </c>
      <c r="J741" s="122">
        <f t="shared" si="138"/>
        <v>2021</v>
      </c>
      <c r="K741" s="64">
        <f t="shared" si="131"/>
        <v>44384</v>
      </c>
      <c r="L741" s="6"/>
      <c r="M741" s="6"/>
      <c r="O741" s="208">
        <v>44386</v>
      </c>
      <c r="P741" s="209">
        <f t="shared" si="132"/>
        <v>0</v>
      </c>
      <c r="Q741" s="209">
        <f>+SUMIF('A DEPOSITAR'!$D$2:$D$998,(O741-2),'A DEPOSITAR'!$H$2:$H$998)</f>
        <v>0</v>
      </c>
      <c r="R741" s="210">
        <f t="shared" si="133"/>
        <v>0</v>
      </c>
      <c r="S741" s="210">
        <f t="shared" si="135"/>
        <v>3966839.8600000031</v>
      </c>
      <c r="T741" s="209">
        <f t="shared" si="134"/>
        <v>0</v>
      </c>
      <c r="U741" s="209">
        <f>+SUMIFS('A DEPOSITAR'!$H$2:$H$998,'A DEPOSITAR'!$D$2:$D$998,(O741-2),'A DEPOSITAR'!$I$2:$I$998,"A Depositar")</f>
        <v>0</v>
      </c>
      <c r="V741" s="6"/>
      <c r="W741" s="6"/>
      <c r="X741" s="6"/>
      <c r="Y741" s="6"/>
      <c r="Z741" s="6"/>
    </row>
    <row r="742" spans="1:26" ht="12.75" x14ac:dyDescent="0.2">
      <c r="A742" s="36">
        <v>44332</v>
      </c>
      <c r="B742" s="29" t="s">
        <v>833</v>
      </c>
      <c r="C742" s="29">
        <v>84573902</v>
      </c>
      <c r="D742" s="37">
        <v>19640</v>
      </c>
      <c r="E742" s="18" t="s">
        <v>22</v>
      </c>
      <c r="F742" s="7">
        <v>44247</v>
      </c>
      <c r="G742" s="18"/>
      <c r="H742" s="16">
        <f t="shared" si="136"/>
        <v>16</v>
      </c>
      <c r="I742" s="16">
        <f t="shared" si="137"/>
        <v>5</v>
      </c>
      <c r="J742" s="122">
        <f t="shared" si="138"/>
        <v>2021</v>
      </c>
      <c r="K742" s="64">
        <f t="shared" si="131"/>
        <v>44392</v>
      </c>
      <c r="L742" s="6"/>
      <c r="M742" s="6"/>
      <c r="O742" s="208">
        <v>44387</v>
      </c>
      <c r="P742" s="209">
        <f t="shared" si="132"/>
        <v>0</v>
      </c>
      <c r="Q742" s="209">
        <f>+SUMIF('A DEPOSITAR'!$D$2:$D$998,(O742-2),'A DEPOSITAR'!$H$2:$H$998)</f>
        <v>0</v>
      </c>
      <c r="R742" s="210">
        <f t="shared" si="133"/>
        <v>0</v>
      </c>
      <c r="S742" s="210">
        <f t="shared" si="135"/>
        <v>3966839.8600000031</v>
      </c>
      <c r="T742" s="209">
        <f t="shared" si="134"/>
        <v>0</v>
      </c>
      <c r="U742" s="209">
        <f>+SUMIFS('A DEPOSITAR'!$H$2:$H$998,'A DEPOSITAR'!$D$2:$D$998,(O742-2),'A DEPOSITAR'!$I$2:$I$998,"A Depositar")</f>
        <v>0</v>
      </c>
      <c r="V742" s="6"/>
      <c r="W742" s="6"/>
      <c r="X742" s="6"/>
      <c r="Y742" s="6"/>
      <c r="Z742" s="6"/>
    </row>
    <row r="743" spans="1:26" ht="12.75" x14ac:dyDescent="0.2">
      <c r="A743" s="36">
        <v>44338</v>
      </c>
      <c r="B743" s="29" t="s">
        <v>833</v>
      </c>
      <c r="C743" s="29">
        <v>84573903</v>
      </c>
      <c r="D743" s="37">
        <v>19746.39</v>
      </c>
      <c r="E743" s="18" t="s">
        <v>22</v>
      </c>
      <c r="F743" s="7">
        <v>44247</v>
      </c>
      <c r="G743" s="18"/>
      <c r="H743" s="16">
        <f t="shared" si="136"/>
        <v>22</v>
      </c>
      <c r="I743" s="16">
        <f t="shared" si="137"/>
        <v>5</v>
      </c>
      <c r="J743" s="122">
        <f t="shared" si="138"/>
        <v>2021</v>
      </c>
      <c r="K743" s="64">
        <f t="shared" si="131"/>
        <v>44398</v>
      </c>
      <c r="L743" s="6"/>
      <c r="M743" s="6"/>
      <c r="O743" s="208">
        <v>44388</v>
      </c>
      <c r="P743" s="209">
        <f t="shared" si="132"/>
        <v>0</v>
      </c>
      <c r="Q743" s="209">
        <f>+SUMIF('A DEPOSITAR'!$D$2:$D$998,(O743-2),'A DEPOSITAR'!$H$2:$H$998)</f>
        <v>0</v>
      </c>
      <c r="R743" s="210">
        <f t="shared" si="133"/>
        <v>0</v>
      </c>
      <c r="S743" s="210">
        <f t="shared" si="135"/>
        <v>3966839.8600000031</v>
      </c>
      <c r="T743" s="209">
        <f t="shared" si="134"/>
        <v>0</v>
      </c>
      <c r="U743" s="209">
        <f>+SUMIFS('A DEPOSITAR'!$H$2:$H$998,'A DEPOSITAR'!$D$2:$D$998,(O743-2),'A DEPOSITAR'!$I$2:$I$998,"A Depositar")</f>
        <v>0</v>
      </c>
      <c r="V743" s="6"/>
      <c r="W743" s="6"/>
      <c r="X743" s="6"/>
      <c r="Y743" s="6"/>
      <c r="Z743" s="6"/>
    </row>
    <row r="744" spans="1:26" ht="12.75" x14ac:dyDescent="0.2">
      <c r="A744" s="36">
        <v>44346</v>
      </c>
      <c r="B744" s="29" t="s">
        <v>833</v>
      </c>
      <c r="C744" s="29">
        <v>84573904</v>
      </c>
      <c r="D744" s="37">
        <v>19840</v>
      </c>
      <c r="E744" s="18" t="s">
        <v>22</v>
      </c>
      <c r="F744" s="7">
        <v>44247</v>
      </c>
      <c r="G744" s="18"/>
      <c r="H744" s="16">
        <f t="shared" si="136"/>
        <v>30</v>
      </c>
      <c r="I744" s="16">
        <f t="shared" si="137"/>
        <v>5</v>
      </c>
      <c r="J744" s="122">
        <f t="shared" si="138"/>
        <v>2021</v>
      </c>
      <c r="K744" s="64">
        <f t="shared" si="131"/>
        <v>44406</v>
      </c>
      <c r="L744" s="6"/>
      <c r="M744" s="6"/>
      <c r="O744" s="208">
        <v>44389</v>
      </c>
      <c r="P744" s="209">
        <f t="shared" si="132"/>
        <v>0</v>
      </c>
      <c r="Q744" s="209">
        <f>+SUMIF('A DEPOSITAR'!$D$2:$D$998,(O744-2),'A DEPOSITAR'!$H$2:$H$998)</f>
        <v>35850</v>
      </c>
      <c r="R744" s="210">
        <f t="shared" si="133"/>
        <v>35850</v>
      </c>
      <c r="S744" s="210">
        <f t="shared" si="135"/>
        <v>4002689.8600000031</v>
      </c>
      <c r="T744" s="209">
        <f t="shared" si="134"/>
        <v>0</v>
      </c>
      <c r="U744" s="209">
        <f>+SUMIFS('A DEPOSITAR'!$H$2:$H$998,'A DEPOSITAR'!$D$2:$D$998,(O744-2),'A DEPOSITAR'!$I$2:$I$998,"A Depositar")</f>
        <v>0</v>
      </c>
      <c r="V744" s="6"/>
      <c r="W744" s="6"/>
      <c r="X744" s="6"/>
      <c r="Y744" s="6"/>
      <c r="Z744" s="6"/>
    </row>
    <row r="745" spans="1:26" ht="12.75" x14ac:dyDescent="0.2">
      <c r="A745" s="36">
        <v>44355</v>
      </c>
      <c r="B745" s="29" t="s">
        <v>833</v>
      </c>
      <c r="C745" s="29">
        <v>84573905</v>
      </c>
      <c r="D745" s="37">
        <v>19940</v>
      </c>
      <c r="E745" s="18" t="s">
        <v>22</v>
      </c>
      <c r="F745" s="7">
        <v>44247</v>
      </c>
      <c r="G745" s="18"/>
      <c r="H745" s="16">
        <f t="shared" si="136"/>
        <v>8</v>
      </c>
      <c r="I745" s="16">
        <f t="shared" si="137"/>
        <v>6</v>
      </c>
      <c r="J745" s="122">
        <f t="shared" si="138"/>
        <v>2021</v>
      </c>
      <c r="K745" s="64">
        <f t="shared" si="131"/>
        <v>44415</v>
      </c>
      <c r="L745" s="6"/>
      <c r="M745" s="6"/>
      <c r="O745" s="208">
        <v>44390</v>
      </c>
      <c r="P745" s="209">
        <f t="shared" si="132"/>
        <v>0</v>
      </c>
      <c r="Q745" s="209">
        <f>+SUMIF('A DEPOSITAR'!$D$2:$D$998,(O745-2),'A DEPOSITAR'!$H$2:$H$998)</f>
        <v>0</v>
      </c>
      <c r="R745" s="210">
        <f t="shared" si="133"/>
        <v>0</v>
      </c>
      <c r="S745" s="210">
        <f t="shared" si="135"/>
        <v>4002689.8600000031</v>
      </c>
      <c r="T745" s="209">
        <f t="shared" si="134"/>
        <v>0</v>
      </c>
      <c r="U745" s="209">
        <f>+SUMIFS('A DEPOSITAR'!$H$2:$H$998,'A DEPOSITAR'!$D$2:$D$998,(O745-2),'A DEPOSITAR'!$I$2:$I$998,"A Depositar")</f>
        <v>0</v>
      </c>
      <c r="V745" s="6"/>
      <c r="W745" s="6"/>
      <c r="X745" s="6"/>
      <c r="Y745" s="6"/>
      <c r="Z745" s="6"/>
    </row>
    <row r="746" spans="1:26" ht="12.75" x14ac:dyDescent="0.2">
      <c r="A746" s="36">
        <v>44302</v>
      </c>
      <c r="B746" s="29" t="s">
        <v>1119</v>
      </c>
      <c r="C746" s="29">
        <v>84573906</v>
      </c>
      <c r="D746" s="37">
        <v>2500</v>
      </c>
      <c r="E746" s="29" t="s">
        <v>22</v>
      </c>
      <c r="F746" s="7">
        <v>44258</v>
      </c>
      <c r="G746" s="18"/>
      <c r="H746" s="16">
        <f t="shared" si="136"/>
        <v>16</v>
      </c>
      <c r="I746" s="16">
        <f t="shared" si="137"/>
        <v>4</v>
      </c>
      <c r="J746" s="122">
        <f t="shared" si="138"/>
        <v>2021</v>
      </c>
      <c r="K746" s="64">
        <f t="shared" si="131"/>
        <v>44362</v>
      </c>
      <c r="L746" s="6"/>
      <c r="M746" s="6"/>
      <c r="O746" s="208">
        <v>44391</v>
      </c>
      <c r="P746" s="209">
        <f t="shared" si="132"/>
        <v>0</v>
      </c>
      <c r="Q746" s="209">
        <f>+SUMIF('A DEPOSITAR'!$D$2:$D$998,(O746-2),'A DEPOSITAR'!$H$2:$H$998)</f>
        <v>0</v>
      </c>
      <c r="R746" s="210">
        <f t="shared" si="133"/>
        <v>0</v>
      </c>
      <c r="S746" s="210">
        <f t="shared" si="135"/>
        <v>4002689.8600000031</v>
      </c>
      <c r="T746" s="209">
        <f t="shared" si="134"/>
        <v>0</v>
      </c>
      <c r="U746" s="209">
        <f>+SUMIFS('A DEPOSITAR'!$H$2:$H$998,'A DEPOSITAR'!$D$2:$D$998,(O746-2),'A DEPOSITAR'!$I$2:$I$998,"A Depositar")</f>
        <v>0</v>
      </c>
      <c r="V746" s="6"/>
      <c r="W746" s="6"/>
      <c r="X746" s="6"/>
      <c r="Y746" s="6"/>
      <c r="Z746" s="6"/>
    </row>
    <row r="747" spans="1:26" ht="12.75" x14ac:dyDescent="0.2">
      <c r="A747" s="36">
        <v>44316</v>
      </c>
      <c r="B747" s="29" t="s">
        <v>1119</v>
      </c>
      <c r="C747" s="29">
        <v>84573907</v>
      </c>
      <c r="D747" s="37">
        <v>3098.9</v>
      </c>
      <c r="E747" s="29" t="s">
        <v>22</v>
      </c>
      <c r="F747" s="34">
        <v>44258</v>
      </c>
      <c r="G747" s="18"/>
      <c r="H747" s="16">
        <f t="shared" si="136"/>
        <v>30</v>
      </c>
      <c r="I747" s="16">
        <f t="shared" si="137"/>
        <v>4</v>
      </c>
      <c r="J747" s="122">
        <f t="shared" si="138"/>
        <v>2021</v>
      </c>
      <c r="K747" s="64">
        <f t="shared" si="131"/>
        <v>44376</v>
      </c>
      <c r="L747" s="6"/>
      <c r="M747" s="6"/>
      <c r="O747" s="208">
        <v>44392</v>
      </c>
      <c r="P747" s="209">
        <f t="shared" si="132"/>
        <v>0</v>
      </c>
      <c r="Q747" s="209">
        <f>+SUMIF('A DEPOSITAR'!$D$2:$D$998,(O747-2),'A DEPOSITAR'!$H$2:$H$998)</f>
        <v>40000</v>
      </c>
      <c r="R747" s="210">
        <f t="shared" si="133"/>
        <v>40000</v>
      </c>
      <c r="S747" s="210">
        <f t="shared" si="135"/>
        <v>4042689.8600000031</v>
      </c>
      <c r="T747" s="209">
        <f t="shared" si="134"/>
        <v>0</v>
      </c>
      <c r="U747" s="209">
        <f>+SUMIFS('A DEPOSITAR'!$H$2:$H$998,'A DEPOSITAR'!$D$2:$D$998,(O747-2),'A DEPOSITAR'!$I$2:$I$998,"A Depositar")</f>
        <v>0</v>
      </c>
      <c r="V747" s="6"/>
      <c r="W747" s="6"/>
      <c r="X747" s="6"/>
      <c r="Y747" s="6"/>
      <c r="Z747" s="6"/>
    </row>
    <row r="748" spans="1:26" ht="12.75" x14ac:dyDescent="0.2">
      <c r="A748" s="36">
        <v>44332</v>
      </c>
      <c r="B748" s="29" t="s">
        <v>1119</v>
      </c>
      <c r="C748" s="29">
        <v>84573908</v>
      </c>
      <c r="D748" s="37">
        <v>3500</v>
      </c>
      <c r="E748" s="29" t="s">
        <v>22</v>
      </c>
      <c r="F748" s="34">
        <v>44258</v>
      </c>
      <c r="G748" s="18"/>
      <c r="H748" s="16">
        <f t="shared" si="136"/>
        <v>16</v>
      </c>
      <c r="I748" s="16">
        <f t="shared" si="137"/>
        <v>5</v>
      </c>
      <c r="J748" s="122">
        <f t="shared" si="138"/>
        <v>2021</v>
      </c>
      <c r="K748" s="64">
        <f t="shared" si="131"/>
        <v>44392</v>
      </c>
      <c r="L748" s="6"/>
      <c r="M748" s="6"/>
      <c r="O748" s="208">
        <v>44393</v>
      </c>
      <c r="P748" s="209">
        <f t="shared" si="132"/>
        <v>96586.26999999999</v>
      </c>
      <c r="Q748" s="209">
        <f>+SUMIF('A DEPOSITAR'!$D$2:$D$998,(O748-2),'A DEPOSITAR'!$H$2:$H$998)</f>
        <v>15700</v>
      </c>
      <c r="R748" s="210">
        <f t="shared" si="133"/>
        <v>-80886.26999999999</v>
      </c>
      <c r="S748" s="210">
        <f t="shared" si="135"/>
        <v>3961803.5900000031</v>
      </c>
      <c r="T748" s="209">
        <f t="shared" si="134"/>
        <v>0</v>
      </c>
      <c r="U748" s="209">
        <f>+SUMIFS('A DEPOSITAR'!$H$2:$H$998,'A DEPOSITAR'!$D$2:$D$998,(O748-2),'A DEPOSITAR'!$I$2:$I$998,"A Depositar")</f>
        <v>0</v>
      </c>
      <c r="V748" s="6"/>
      <c r="W748" s="6"/>
      <c r="X748" s="6"/>
      <c r="Y748" s="6"/>
      <c r="Z748" s="6"/>
    </row>
    <row r="749" spans="1:26" ht="12.75" x14ac:dyDescent="0.2">
      <c r="A749" s="36">
        <v>44346</v>
      </c>
      <c r="B749" s="29" t="s">
        <v>1119</v>
      </c>
      <c r="C749" s="29">
        <v>84573909</v>
      </c>
      <c r="D749" s="37">
        <v>4230.6499999999996</v>
      </c>
      <c r="E749" s="29" t="s">
        <v>22</v>
      </c>
      <c r="F749" s="34">
        <v>44258</v>
      </c>
      <c r="G749" s="18"/>
      <c r="H749" s="16">
        <f t="shared" si="136"/>
        <v>30</v>
      </c>
      <c r="I749" s="16">
        <f t="shared" si="137"/>
        <v>5</v>
      </c>
      <c r="J749" s="122">
        <f t="shared" si="138"/>
        <v>2021</v>
      </c>
      <c r="K749" s="64">
        <f t="shared" si="131"/>
        <v>44406</v>
      </c>
      <c r="L749" s="6"/>
      <c r="M749" s="6"/>
      <c r="O749" s="208">
        <v>44394</v>
      </c>
      <c r="P749" s="209">
        <f t="shared" si="132"/>
        <v>66168.03</v>
      </c>
      <c r="Q749" s="209">
        <f>+SUMIF('A DEPOSITAR'!$D$2:$D$998,(O749-2),'A DEPOSITAR'!$H$2:$H$998)</f>
        <v>15000</v>
      </c>
      <c r="R749" s="210">
        <f t="shared" si="133"/>
        <v>-51168.03</v>
      </c>
      <c r="S749" s="210">
        <f t="shared" si="135"/>
        <v>3910635.5600000033</v>
      </c>
      <c r="T749" s="209">
        <f t="shared" si="134"/>
        <v>0</v>
      </c>
      <c r="U749" s="209">
        <f>+SUMIFS('A DEPOSITAR'!$H$2:$H$998,'A DEPOSITAR'!$D$2:$D$998,(O749-2),'A DEPOSITAR'!$I$2:$I$998,"A Depositar")</f>
        <v>0</v>
      </c>
      <c r="V749" s="6"/>
      <c r="W749" s="6"/>
      <c r="X749" s="6"/>
      <c r="Y749" s="6"/>
      <c r="Z749" s="6"/>
    </row>
    <row r="750" spans="1:26" ht="12.75" x14ac:dyDescent="0.2">
      <c r="A750" s="36">
        <v>44363</v>
      </c>
      <c r="B750" s="29" t="s">
        <v>1119</v>
      </c>
      <c r="C750" s="29">
        <v>84573910</v>
      </c>
      <c r="D750" s="37">
        <v>3500</v>
      </c>
      <c r="E750" s="29" t="s">
        <v>22</v>
      </c>
      <c r="F750" s="34">
        <v>44258</v>
      </c>
      <c r="G750" s="18"/>
      <c r="H750" s="16">
        <f t="shared" si="136"/>
        <v>16</v>
      </c>
      <c r="I750" s="16">
        <f t="shared" si="137"/>
        <v>6</v>
      </c>
      <c r="J750" s="122">
        <f t="shared" si="138"/>
        <v>2021</v>
      </c>
      <c r="K750" s="64">
        <f t="shared" si="131"/>
        <v>44423</v>
      </c>
      <c r="L750" s="6"/>
      <c r="M750" s="6"/>
      <c r="O750" s="208">
        <v>44395</v>
      </c>
      <c r="P750" s="209">
        <f t="shared" si="132"/>
        <v>0</v>
      </c>
      <c r="Q750" s="209">
        <f>+SUMIF('A DEPOSITAR'!$D$2:$D$998,(O750-2),'A DEPOSITAR'!$H$2:$H$998)</f>
        <v>64920</v>
      </c>
      <c r="R750" s="210">
        <f t="shared" si="133"/>
        <v>64920</v>
      </c>
      <c r="S750" s="210">
        <f t="shared" si="135"/>
        <v>3975555.5600000033</v>
      </c>
      <c r="T750" s="209">
        <f t="shared" si="134"/>
        <v>0</v>
      </c>
      <c r="U750" s="209">
        <f>+SUMIFS('A DEPOSITAR'!$H$2:$H$998,'A DEPOSITAR'!$D$2:$D$998,(O750-2),'A DEPOSITAR'!$I$2:$I$998,"A Depositar")</f>
        <v>0</v>
      </c>
      <c r="V750" s="6"/>
      <c r="W750" s="6"/>
      <c r="X750" s="6"/>
      <c r="Y750" s="6"/>
      <c r="Z750" s="6"/>
    </row>
    <row r="751" spans="1:26" ht="12.75" x14ac:dyDescent="0.2">
      <c r="A751" s="36">
        <v>44377</v>
      </c>
      <c r="B751" s="29" t="s">
        <v>1119</v>
      </c>
      <c r="C751" s="29">
        <v>84573911</v>
      </c>
      <c r="D751" s="37">
        <v>3344.29</v>
      </c>
      <c r="E751" s="29" t="s">
        <v>22</v>
      </c>
      <c r="F751" s="34">
        <v>44258</v>
      </c>
      <c r="G751" s="18"/>
      <c r="H751" s="16">
        <f t="shared" si="136"/>
        <v>30</v>
      </c>
      <c r="I751" s="16">
        <f t="shared" si="137"/>
        <v>6</v>
      </c>
      <c r="J751" s="122">
        <f t="shared" si="138"/>
        <v>2021</v>
      </c>
      <c r="K751" s="64">
        <f t="shared" si="131"/>
        <v>44437</v>
      </c>
      <c r="L751" s="6"/>
      <c r="M751" s="6"/>
      <c r="O751" s="208">
        <v>44396</v>
      </c>
      <c r="P751" s="209">
        <f t="shared" si="132"/>
        <v>2715</v>
      </c>
      <c r="Q751" s="209">
        <f>+SUMIF('A DEPOSITAR'!$D$2:$D$998,(O751-2),'A DEPOSITAR'!$H$2:$H$998)</f>
        <v>0</v>
      </c>
      <c r="R751" s="210">
        <f t="shared" si="133"/>
        <v>-2715</v>
      </c>
      <c r="S751" s="210">
        <f t="shared" si="135"/>
        <v>3972840.5600000033</v>
      </c>
      <c r="T751" s="209">
        <f t="shared" si="134"/>
        <v>0</v>
      </c>
      <c r="U751" s="209">
        <f>+SUMIFS('A DEPOSITAR'!$H$2:$H$998,'A DEPOSITAR'!$D$2:$D$998,(O751-2),'A DEPOSITAR'!$I$2:$I$998,"A Depositar")</f>
        <v>0</v>
      </c>
      <c r="V751" s="6"/>
      <c r="W751" s="6"/>
      <c r="X751" s="6"/>
      <c r="Y751" s="6"/>
      <c r="Z751" s="6"/>
    </row>
    <row r="752" spans="1:26" ht="12.75" x14ac:dyDescent="0.2">
      <c r="A752" s="36">
        <v>44316</v>
      </c>
      <c r="B752" s="29" t="s">
        <v>199</v>
      </c>
      <c r="C752" s="29">
        <v>84573912</v>
      </c>
      <c r="D752" s="37">
        <v>2800</v>
      </c>
      <c r="E752" s="18" t="s">
        <v>22</v>
      </c>
      <c r="F752" s="7">
        <v>44258</v>
      </c>
      <c r="G752" s="18"/>
      <c r="H752" s="16">
        <f t="shared" si="136"/>
        <v>30</v>
      </c>
      <c r="I752" s="16">
        <f t="shared" si="137"/>
        <v>4</v>
      </c>
      <c r="J752" s="122">
        <f t="shared" si="138"/>
        <v>2021</v>
      </c>
      <c r="K752" s="64">
        <f t="shared" si="131"/>
        <v>44376</v>
      </c>
      <c r="L752" s="6"/>
      <c r="M752" s="6"/>
      <c r="O752" s="208">
        <v>44397</v>
      </c>
      <c r="P752" s="209">
        <f t="shared" si="132"/>
        <v>0</v>
      </c>
      <c r="Q752" s="209">
        <f>+SUMIF('A DEPOSITAR'!$D$2:$D$998,(O752-2),'A DEPOSITAR'!$H$2:$H$998)</f>
        <v>15000</v>
      </c>
      <c r="R752" s="210">
        <f t="shared" si="133"/>
        <v>15000</v>
      </c>
      <c r="S752" s="210">
        <f t="shared" si="135"/>
        <v>3987840.5600000033</v>
      </c>
      <c r="T752" s="209">
        <f t="shared" si="134"/>
        <v>0</v>
      </c>
      <c r="U752" s="209">
        <f>+SUMIFS('A DEPOSITAR'!$H$2:$H$998,'A DEPOSITAR'!$D$2:$D$998,(O752-2),'A DEPOSITAR'!$I$2:$I$998,"A Depositar")</f>
        <v>0</v>
      </c>
      <c r="V752" s="6"/>
      <c r="W752" s="6"/>
      <c r="X752" s="6"/>
      <c r="Y752" s="6"/>
      <c r="Z752" s="6"/>
    </row>
    <row r="753" spans="1:26" ht="12.75" x14ac:dyDescent="0.2">
      <c r="A753" s="36">
        <v>44324</v>
      </c>
      <c r="B753" s="29" t="s">
        <v>199</v>
      </c>
      <c r="C753" s="29">
        <v>84573913</v>
      </c>
      <c r="D753" s="37">
        <v>2900</v>
      </c>
      <c r="E753" s="18" t="s">
        <v>22</v>
      </c>
      <c r="F753" s="34">
        <v>44258</v>
      </c>
      <c r="G753" s="18"/>
      <c r="H753" s="16">
        <f t="shared" si="136"/>
        <v>8</v>
      </c>
      <c r="I753" s="16">
        <f t="shared" si="137"/>
        <v>5</v>
      </c>
      <c r="J753" s="122">
        <f t="shared" si="138"/>
        <v>2021</v>
      </c>
      <c r="K753" s="64">
        <f t="shared" si="131"/>
        <v>44384</v>
      </c>
      <c r="L753" s="6"/>
      <c r="M753" s="6"/>
      <c r="O753" s="208">
        <v>44398</v>
      </c>
      <c r="P753" s="209">
        <f t="shared" si="132"/>
        <v>0</v>
      </c>
      <c r="Q753" s="209">
        <f>+SUMIF('A DEPOSITAR'!$D$2:$D$998,(O753-2),'A DEPOSITAR'!$H$2:$H$998)</f>
        <v>13575</v>
      </c>
      <c r="R753" s="210">
        <f t="shared" si="133"/>
        <v>13575</v>
      </c>
      <c r="S753" s="210">
        <f t="shared" si="135"/>
        <v>4001415.5600000033</v>
      </c>
      <c r="T753" s="209">
        <f t="shared" si="134"/>
        <v>0</v>
      </c>
      <c r="U753" s="209">
        <f>+SUMIFS('A DEPOSITAR'!$H$2:$H$998,'A DEPOSITAR'!$D$2:$D$998,(O753-2),'A DEPOSITAR'!$I$2:$I$998,"A Depositar")</f>
        <v>0</v>
      </c>
      <c r="V753" s="6"/>
      <c r="W753" s="6"/>
      <c r="X753" s="6"/>
      <c r="Y753" s="6"/>
      <c r="Z753" s="6"/>
    </row>
    <row r="754" spans="1:26" ht="12.75" x14ac:dyDescent="0.2">
      <c r="A754" s="36">
        <v>44369</v>
      </c>
      <c r="B754" s="29" t="s">
        <v>199</v>
      </c>
      <c r="C754" s="29">
        <v>84573914</v>
      </c>
      <c r="D754" s="37">
        <v>3000</v>
      </c>
      <c r="E754" s="29" t="s">
        <v>22</v>
      </c>
      <c r="F754" s="34">
        <v>44258</v>
      </c>
      <c r="G754" s="18"/>
      <c r="H754" s="16">
        <f t="shared" si="136"/>
        <v>22</v>
      </c>
      <c r="I754" s="16">
        <f t="shared" si="137"/>
        <v>6</v>
      </c>
      <c r="J754" s="122">
        <f t="shared" si="138"/>
        <v>2021</v>
      </c>
      <c r="K754" s="64">
        <f t="shared" si="131"/>
        <v>44429</v>
      </c>
      <c r="L754" s="6"/>
      <c r="M754" s="6"/>
      <c r="O754" s="208">
        <v>44399</v>
      </c>
      <c r="P754" s="209">
        <f t="shared" si="132"/>
        <v>74200</v>
      </c>
      <c r="Q754" s="209">
        <f>+SUMIF('A DEPOSITAR'!$D$2:$D$998,(O754-2),'A DEPOSITAR'!$H$2:$H$998)</f>
        <v>147247.4</v>
      </c>
      <c r="R754" s="210">
        <f t="shared" si="133"/>
        <v>73047.399999999994</v>
      </c>
      <c r="S754" s="210">
        <f t="shared" si="135"/>
        <v>4074462.9600000032</v>
      </c>
      <c r="T754" s="209">
        <f t="shared" si="134"/>
        <v>0</v>
      </c>
      <c r="U754" s="209">
        <f>+SUMIFS('A DEPOSITAR'!$H$2:$H$998,'A DEPOSITAR'!$D$2:$D$998,(O754-2),'A DEPOSITAR'!$I$2:$I$998,"A Depositar")</f>
        <v>0</v>
      </c>
      <c r="V754" s="6"/>
      <c r="W754" s="6"/>
      <c r="X754" s="6"/>
      <c r="Y754" s="6"/>
      <c r="Z754" s="6"/>
    </row>
    <row r="755" spans="1:26" ht="12.75" x14ac:dyDescent="0.2">
      <c r="A755" s="36">
        <v>44324</v>
      </c>
      <c r="B755" s="29" t="s">
        <v>833</v>
      </c>
      <c r="C755" s="29">
        <v>84573915</v>
      </c>
      <c r="D755" s="37">
        <v>14000</v>
      </c>
      <c r="E755" s="18" t="s">
        <v>22</v>
      </c>
      <c r="F755" s="7">
        <v>44266</v>
      </c>
      <c r="G755" s="18"/>
      <c r="H755" s="16">
        <f t="shared" si="136"/>
        <v>8</v>
      </c>
      <c r="I755" s="16">
        <f t="shared" si="137"/>
        <v>5</v>
      </c>
      <c r="J755" s="122">
        <f t="shared" si="138"/>
        <v>2021</v>
      </c>
      <c r="K755" s="64">
        <f t="shared" si="131"/>
        <v>44384</v>
      </c>
      <c r="L755" s="6"/>
      <c r="M755" s="6"/>
      <c r="O755" s="208">
        <v>44400</v>
      </c>
      <c r="P755" s="209">
        <f t="shared" si="132"/>
        <v>0</v>
      </c>
      <c r="Q755" s="209">
        <f>+SUMIF('A DEPOSITAR'!$D$2:$D$998,(O755-2),'A DEPOSITAR'!$H$2:$H$998)</f>
        <v>0</v>
      </c>
      <c r="R755" s="210">
        <f t="shared" si="133"/>
        <v>0</v>
      </c>
      <c r="S755" s="210">
        <f t="shared" si="135"/>
        <v>4074462.9600000032</v>
      </c>
      <c r="T755" s="209">
        <f t="shared" si="134"/>
        <v>0</v>
      </c>
      <c r="U755" s="209">
        <f>+SUMIFS('A DEPOSITAR'!$H$2:$H$998,'A DEPOSITAR'!$D$2:$D$998,(O755-2),'A DEPOSITAR'!$I$2:$I$998,"A Depositar")</f>
        <v>0</v>
      </c>
      <c r="V755" s="6"/>
      <c r="W755" s="6"/>
      <c r="X755" s="6"/>
      <c r="Y755" s="6"/>
      <c r="Z755" s="6"/>
    </row>
    <row r="756" spans="1:26" ht="12.75" x14ac:dyDescent="0.2">
      <c r="A756" s="36">
        <v>44332</v>
      </c>
      <c r="B756" s="29" t="s">
        <v>833</v>
      </c>
      <c r="C756" s="29">
        <v>84573916</v>
      </c>
      <c r="D756" s="37">
        <v>15000</v>
      </c>
      <c r="E756" s="18" t="s">
        <v>22</v>
      </c>
      <c r="F756" s="34">
        <v>44266</v>
      </c>
      <c r="G756" s="18"/>
      <c r="H756" s="16">
        <f t="shared" si="136"/>
        <v>16</v>
      </c>
      <c r="I756" s="16">
        <f t="shared" si="137"/>
        <v>5</v>
      </c>
      <c r="J756" s="122">
        <f t="shared" si="138"/>
        <v>2021</v>
      </c>
      <c r="K756" s="64">
        <f t="shared" si="131"/>
        <v>44392</v>
      </c>
      <c r="L756" s="6"/>
      <c r="M756" s="6"/>
      <c r="O756" s="208">
        <v>44401</v>
      </c>
      <c r="P756" s="209">
        <f t="shared" si="132"/>
        <v>0</v>
      </c>
      <c r="Q756" s="209">
        <f>+SUMIF('A DEPOSITAR'!$D$2:$D$998,(O756-2),'A DEPOSITAR'!$H$2:$H$998)</f>
        <v>0</v>
      </c>
      <c r="R756" s="210">
        <f t="shared" si="133"/>
        <v>0</v>
      </c>
      <c r="S756" s="210">
        <f t="shared" si="135"/>
        <v>4074462.9600000032</v>
      </c>
      <c r="T756" s="209">
        <f t="shared" si="134"/>
        <v>0</v>
      </c>
      <c r="U756" s="209">
        <f>+SUMIFS('A DEPOSITAR'!$H$2:$H$998,'A DEPOSITAR'!$D$2:$D$998,(O756-2),'A DEPOSITAR'!$I$2:$I$998,"A Depositar")</f>
        <v>0</v>
      </c>
      <c r="V756" s="6"/>
      <c r="W756" s="6"/>
      <c r="X756" s="6"/>
      <c r="Y756" s="6"/>
      <c r="Z756" s="6"/>
    </row>
    <row r="757" spans="1:26" ht="12.75" x14ac:dyDescent="0.2">
      <c r="A757" s="36">
        <v>44338</v>
      </c>
      <c r="B757" s="29" t="s">
        <v>833</v>
      </c>
      <c r="C757" s="29">
        <v>84573917</v>
      </c>
      <c r="D757" s="37">
        <v>16000</v>
      </c>
      <c r="E757" s="18" t="s">
        <v>22</v>
      </c>
      <c r="F757" s="34">
        <v>44266</v>
      </c>
      <c r="G757" s="18"/>
      <c r="H757" s="16">
        <f t="shared" si="136"/>
        <v>22</v>
      </c>
      <c r="I757" s="16">
        <f t="shared" si="137"/>
        <v>5</v>
      </c>
      <c r="J757" s="122">
        <f t="shared" si="138"/>
        <v>2021</v>
      </c>
      <c r="K757" s="64">
        <f t="shared" si="131"/>
        <v>44398</v>
      </c>
      <c r="L757" s="6"/>
      <c r="M757" s="6"/>
      <c r="O757" s="208">
        <v>44402</v>
      </c>
      <c r="P757" s="209">
        <f t="shared" si="132"/>
        <v>0</v>
      </c>
      <c r="Q757" s="209">
        <f>+SUMIF('A DEPOSITAR'!$D$2:$D$998,(O757-2),'A DEPOSITAR'!$H$2:$H$998)</f>
        <v>39000</v>
      </c>
      <c r="R757" s="210">
        <f t="shared" si="133"/>
        <v>39000</v>
      </c>
      <c r="S757" s="210">
        <f t="shared" si="135"/>
        <v>4113462.9600000032</v>
      </c>
      <c r="T757" s="209">
        <f t="shared" si="134"/>
        <v>0</v>
      </c>
      <c r="U757" s="209">
        <f>+SUMIFS('A DEPOSITAR'!$H$2:$H$998,'A DEPOSITAR'!$D$2:$D$998,(O757-2),'A DEPOSITAR'!$I$2:$I$998,"A Depositar")</f>
        <v>0</v>
      </c>
      <c r="V757" s="6"/>
      <c r="W757" s="6"/>
      <c r="X757" s="6"/>
      <c r="Y757" s="6"/>
      <c r="Z757" s="6"/>
    </row>
    <row r="758" spans="1:26" ht="12.75" x14ac:dyDescent="0.2">
      <c r="A758" s="36">
        <v>44346</v>
      </c>
      <c r="B758" s="29" t="s">
        <v>833</v>
      </c>
      <c r="C758" s="29">
        <v>84573918</v>
      </c>
      <c r="D758" s="37">
        <v>16510.88</v>
      </c>
      <c r="E758" s="18" t="s">
        <v>22</v>
      </c>
      <c r="F758" s="34">
        <v>44266</v>
      </c>
      <c r="G758" s="18"/>
      <c r="H758" s="16">
        <f t="shared" si="136"/>
        <v>30</v>
      </c>
      <c r="I758" s="16">
        <f t="shared" si="137"/>
        <v>5</v>
      </c>
      <c r="J758" s="122">
        <f t="shared" si="138"/>
        <v>2021</v>
      </c>
      <c r="K758" s="64">
        <f t="shared" si="131"/>
        <v>44406</v>
      </c>
      <c r="L758" s="6"/>
      <c r="M758" s="6"/>
      <c r="O758" s="208">
        <v>44403</v>
      </c>
      <c r="P758" s="209">
        <f t="shared" si="132"/>
        <v>0</v>
      </c>
      <c r="Q758" s="209">
        <f>+SUMIF('A DEPOSITAR'!$D$2:$D$998,(O758-2),'A DEPOSITAR'!$H$2:$H$998)</f>
        <v>20000</v>
      </c>
      <c r="R758" s="210">
        <f t="shared" si="133"/>
        <v>20000</v>
      </c>
      <c r="S758" s="210">
        <f t="shared" si="135"/>
        <v>4133462.9600000032</v>
      </c>
      <c r="T758" s="209">
        <f t="shared" si="134"/>
        <v>0</v>
      </c>
      <c r="U758" s="209">
        <f>+SUMIFS('A DEPOSITAR'!$H$2:$H$998,'A DEPOSITAR'!$D$2:$D$998,(O758-2),'A DEPOSITAR'!$I$2:$I$998,"A Depositar")</f>
        <v>0</v>
      </c>
      <c r="V758" s="6"/>
      <c r="W758" s="6"/>
      <c r="X758" s="6"/>
      <c r="Y758" s="6"/>
      <c r="Z758" s="6"/>
    </row>
    <row r="759" spans="1:26" ht="12.75" x14ac:dyDescent="0.2">
      <c r="A759" s="36">
        <v>44355</v>
      </c>
      <c r="B759" s="29" t="s">
        <v>833</v>
      </c>
      <c r="C759" s="29">
        <v>84573919</v>
      </c>
      <c r="D759" s="37">
        <v>16000</v>
      </c>
      <c r="E759" s="18" t="s">
        <v>22</v>
      </c>
      <c r="F759" s="34">
        <v>44266</v>
      </c>
      <c r="G759" s="18"/>
      <c r="H759" s="16">
        <f t="shared" si="136"/>
        <v>8</v>
      </c>
      <c r="I759" s="16">
        <f t="shared" si="137"/>
        <v>6</v>
      </c>
      <c r="J759" s="122">
        <f t="shared" si="138"/>
        <v>2021</v>
      </c>
      <c r="K759" s="64">
        <f t="shared" si="131"/>
        <v>44415</v>
      </c>
      <c r="L759" s="6"/>
      <c r="M759" s="6"/>
      <c r="O759" s="208">
        <v>44404</v>
      </c>
      <c r="P759" s="209">
        <f t="shared" si="132"/>
        <v>0</v>
      </c>
      <c r="Q759" s="209">
        <f>+SUMIF('A DEPOSITAR'!$D$2:$D$998,(O759-2),'A DEPOSITAR'!$H$2:$H$998)</f>
        <v>108290</v>
      </c>
      <c r="R759" s="210">
        <f t="shared" si="133"/>
        <v>108290</v>
      </c>
      <c r="S759" s="210">
        <f t="shared" si="135"/>
        <v>4241752.9600000028</v>
      </c>
      <c r="T759" s="209">
        <f t="shared" si="134"/>
        <v>0</v>
      </c>
      <c r="U759" s="209">
        <f>+SUMIFS('A DEPOSITAR'!$H$2:$H$998,'A DEPOSITAR'!$D$2:$D$998,(O759-2),'A DEPOSITAR'!$I$2:$I$998,"A Depositar")</f>
        <v>0</v>
      </c>
      <c r="V759" s="6"/>
      <c r="W759" s="6"/>
      <c r="X759" s="6"/>
      <c r="Y759" s="6"/>
      <c r="Z759" s="6"/>
    </row>
    <row r="760" spans="1:26" ht="12.75" x14ac:dyDescent="0.2">
      <c r="A760" s="36">
        <v>44424</v>
      </c>
      <c r="B760" s="29" t="s">
        <v>833</v>
      </c>
      <c r="C760" s="29">
        <v>84573920</v>
      </c>
      <c r="D760" s="37">
        <v>17000</v>
      </c>
      <c r="E760" s="18" t="s">
        <v>22</v>
      </c>
      <c r="F760" s="34">
        <v>44266</v>
      </c>
      <c r="G760" s="18"/>
      <c r="H760" s="16">
        <f t="shared" si="136"/>
        <v>16</v>
      </c>
      <c r="I760" s="16">
        <f t="shared" si="137"/>
        <v>8</v>
      </c>
      <c r="J760" s="122">
        <f t="shared" si="138"/>
        <v>2021</v>
      </c>
      <c r="K760" s="64">
        <f t="shared" si="131"/>
        <v>44484</v>
      </c>
      <c r="L760" s="6"/>
      <c r="M760" s="6"/>
      <c r="O760" s="208">
        <v>44405</v>
      </c>
      <c r="P760" s="209">
        <f t="shared" si="132"/>
        <v>24657.53</v>
      </c>
      <c r="Q760" s="209">
        <f>+SUMIF('A DEPOSITAR'!$D$2:$D$998,(O760-2),'A DEPOSITAR'!$H$2:$H$998)</f>
        <v>57522</v>
      </c>
      <c r="R760" s="210">
        <f t="shared" si="133"/>
        <v>32864.47</v>
      </c>
      <c r="S760" s="210">
        <f t="shared" si="135"/>
        <v>4274617.4300000025</v>
      </c>
      <c r="T760" s="209">
        <f t="shared" si="134"/>
        <v>0</v>
      </c>
      <c r="U760" s="209">
        <f>+SUMIFS('A DEPOSITAR'!$H$2:$H$998,'A DEPOSITAR'!$D$2:$D$998,(O760-2),'A DEPOSITAR'!$I$2:$I$998,"A Depositar")</f>
        <v>0</v>
      </c>
      <c r="V760" s="6"/>
      <c r="W760" s="6"/>
      <c r="X760" s="6"/>
      <c r="Y760" s="6"/>
      <c r="Z760" s="6"/>
    </row>
    <row r="761" spans="1:26" ht="12.75" x14ac:dyDescent="0.2">
      <c r="A761" s="36">
        <v>44369</v>
      </c>
      <c r="B761" s="29" t="s">
        <v>833</v>
      </c>
      <c r="C761" s="29">
        <v>84573921</v>
      </c>
      <c r="D761" s="37">
        <v>18000</v>
      </c>
      <c r="E761" s="18" t="s">
        <v>22</v>
      </c>
      <c r="F761" s="34">
        <v>44266</v>
      </c>
      <c r="G761" s="18"/>
      <c r="H761" s="16">
        <f t="shared" si="136"/>
        <v>22</v>
      </c>
      <c r="I761" s="16">
        <f t="shared" si="137"/>
        <v>6</v>
      </c>
      <c r="J761" s="122">
        <f t="shared" si="138"/>
        <v>2021</v>
      </c>
      <c r="K761" s="64">
        <f t="shared" si="131"/>
        <v>44429</v>
      </c>
      <c r="L761" s="6"/>
      <c r="M761" s="6"/>
      <c r="O761" s="208">
        <v>44406</v>
      </c>
      <c r="P761" s="209">
        <f t="shared" si="132"/>
        <v>0</v>
      </c>
      <c r="Q761" s="209">
        <f>+SUMIF('A DEPOSITAR'!$D$2:$D$998,(O761-2),'A DEPOSITAR'!$H$2:$H$998)</f>
        <v>26000</v>
      </c>
      <c r="R761" s="210">
        <f t="shared" si="133"/>
        <v>26000</v>
      </c>
      <c r="S761" s="210">
        <f t="shared" si="135"/>
        <v>4300617.4300000025</v>
      </c>
      <c r="T761" s="209">
        <f t="shared" si="134"/>
        <v>0</v>
      </c>
      <c r="U761" s="209">
        <f>+SUMIFS('A DEPOSITAR'!$H$2:$H$998,'A DEPOSITAR'!$D$2:$D$998,(O761-2),'A DEPOSITAR'!$I$2:$I$998,"A Depositar")</f>
        <v>0</v>
      </c>
      <c r="V761" s="6"/>
      <c r="W761" s="6"/>
      <c r="X761" s="6"/>
      <c r="Y761" s="6"/>
      <c r="Z761" s="6"/>
    </row>
    <row r="762" spans="1:26" ht="12.75" x14ac:dyDescent="0.2">
      <c r="A762" s="36">
        <v>44355</v>
      </c>
      <c r="B762" s="29" t="s">
        <v>833</v>
      </c>
      <c r="C762" s="29">
        <v>84573922</v>
      </c>
      <c r="D762" s="37">
        <v>14444.2</v>
      </c>
      <c r="E762" s="29" t="s">
        <v>22</v>
      </c>
      <c r="F762" s="7">
        <v>44280</v>
      </c>
      <c r="G762" s="18"/>
      <c r="H762" s="16">
        <f t="shared" si="136"/>
        <v>8</v>
      </c>
      <c r="I762" s="16">
        <f t="shared" si="137"/>
        <v>6</v>
      </c>
      <c r="J762" s="122">
        <f t="shared" si="138"/>
        <v>2021</v>
      </c>
      <c r="K762" s="64">
        <f t="shared" si="131"/>
        <v>44415</v>
      </c>
      <c r="L762" s="6"/>
      <c r="M762" s="6"/>
      <c r="O762" s="208">
        <v>44407</v>
      </c>
      <c r="P762" s="209">
        <f t="shared" si="132"/>
        <v>97127.55</v>
      </c>
      <c r="Q762" s="209">
        <f>+SUMIF('A DEPOSITAR'!$D$2:$D$998,(O762-2),'A DEPOSITAR'!$H$2:$H$998)</f>
        <v>0</v>
      </c>
      <c r="R762" s="210">
        <f t="shared" si="133"/>
        <v>-97127.55</v>
      </c>
      <c r="S762" s="210">
        <f t="shared" si="135"/>
        <v>4203489.8800000027</v>
      </c>
      <c r="T762" s="209">
        <f t="shared" si="134"/>
        <v>0</v>
      </c>
      <c r="U762" s="209">
        <f>+SUMIFS('A DEPOSITAR'!$H$2:$H$998,'A DEPOSITAR'!$D$2:$D$998,(O762-2),'A DEPOSITAR'!$I$2:$I$998,"A Depositar")</f>
        <v>0</v>
      </c>
      <c r="V762" s="6"/>
      <c r="W762" s="6"/>
      <c r="X762" s="6"/>
      <c r="Y762" s="6"/>
      <c r="Z762" s="6"/>
    </row>
    <row r="763" spans="1:26" ht="12.75" x14ac:dyDescent="0.2">
      <c r="A763" s="36">
        <v>44363</v>
      </c>
      <c r="B763" s="29" t="s">
        <v>833</v>
      </c>
      <c r="C763" s="29">
        <v>84573923</v>
      </c>
      <c r="D763" s="37">
        <v>18000</v>
      </c>
      <c r="E763" s="29" t="s">
        <v>22</v>
      </c>
      <c r="F763" s="7">
        <v>44280</v>
      </c>
      <c r="G763" s="18"/>
      <c r="H763" s="16">
        <f t="shared" si="136"/>
        <v>16</v>
      </c>
      <c r="I763" s="16">
        <f t="shared" si="137"/>
        <v>6</v>
      </c>
      <c r="J763" s="122">
        <f t="shared" si="138"/>
        <v>2021</v>
      </c>
      <c r="K763" s="64">
        <f t="shared" si="131"/>
        <v>44423</v>
      </c>
      <c r="L763" s="6"/>
      <c r="M763" s="6"/>
      <c r="O763" s="208">
        <v>44408</v>
      </c>
      <c r="P763" s="209">
        <f t="shared" si="132"/>
        <v>4000</v>
      </c>
      <c r="Q763" s="209">
        <f>+SUMIF('A DEPOSITAR'!$D$2:$D$998,(O763-2),'A DEPOSITAR'!$H$2:$H$998)</f>
        <v>40000</v>
      </c>
      <c r="R763" s="210">
        <f t="shared" si="133"/>
        <v>36000</v>
      </c>
      <c r="S763" s="210">
        <f t="shared" si="135"/>
        <v>4239489.8800000027</v>
      </c>
      <c r="T763" s="209">
        <f t="shared" si="134"/>
        <v>0</v>
      </c>
      <c r="U763" s="209">
        <f>+SUMIFS('A DEPOSITAR'!$H$2:$H$998,'A DEPOSITAR'!$D$2:$D$998,(O763-2),'A DEPOSITAR'!$I$2:$I$998,"A Depositar")</f>
        <v>0</v>
      </c>
      <c r="V763" s="6"/>
      <c r="W763" s="6"/>
      <c r="X763" s="6"/>
      <c r="Y763" s="6"/>
      <c r="Z763" s="6"/>
    </row>
    <row r="764" spans="1:26" ht="12.75" x14ac:dyDescent="0.2">
      <c r="A764" s="36">
        <v>44369</v>
      </c>
      <c r="B764" s="29" t="s">
        <v>833</v>
      </c>
      <c r="C764" s="29">
        <v>84573924</v>
      </c>
      <c r="D764" s="37">
        <v>19000</v>
      </c>
      <c r="E764" s="29" t="s">
        <v>22</v>
      </c>
      <c r="F764" s="7">
        <v>44280</v>
      </c>
      <c r="G764" s="18"/>
      <c r="H764" s="16">
        <f t="shared" si="136"/>
        <v>22</v>
      </c>
      <c r="I764" s="16">
        <f t="shared" si="137"/>
        <v>6</v>
      </c>
      <c r="J764" s="122">
        <f t="shared" si="138"/>
        <v>2021</v>
      </c>
      <c r="K764" s="64">
        <f t="shared" si="131"/>
        <v>44429</v>
      </c>
      <c r="L764" s="6"/>
      <c r="M764" s="6"/>
      <c r="O764" s="208">
        <v>44409</v>
      </c>
      <c r="P764" s="209">
        <f t="shared" si="132"/>
        <v>0</v>
      </c>
      <c r="Q764" s="209">
        <f>+SUMIF('A DEPOSITAR'!$D$2:$D$998,(O764-2),'A DEPOSITAR'!$H$2:$H$998)</f>
        <v>51530</v>
      </c>
      <c r="R764" s="210">
        <f t="shared" si="133"/>
        <v>51530</v>
      </c>
      <c r="S764" s="210">
        <f t="shared" si="135"/>
        <v>4291019.8800000027</v>
      </c>
      <c r="T764" s="209">
        <f t="shared" si="134"/>
        <v>0</v>
      </c>
      <c r="U764" s="209">
        <f>+SUMIFS('A DEPOSITAR'!$H$2:$H$998,'A DEPOSITAR'!$D$2:$D$998,(O764-2),'A DEPOSITAR'!$I$2:$I$998,"A Depositar")</f>
        <v>0</v>
      </c>
      <c r="V764" s="6"/>
      <c r="W764" s="6"/>
      <c r="X764" s="6"/>
      <c r="Y764" s="6"/>
      <c r="Z764" s="6"/>
    </row>
    <row r="765" spans="1:26" ht="12.75" x14ac:dyDescent="0.2">
      <c r="A765" s="36">
        <v>44377</v>
      </c>
      <c r="B765" s="29" t="s">
        <v>833</v>
      </c>
      <c r="C765" s="29">
        <v>84573925</v>
      </c>
      <c r="D765" s="37">
        <v>20000</v>
      </c>
      <c r="E765" s="29" t="s">
        <v>22</v>
      </c>
      <c r="F765" s="7">
        <v>44280</v>
      </c>
      <c r="G765" s="18"/>
      <c r="H765" s="16">
        <f t="shared" si="136"/>
        <v>30</v>
      </c>
      <c r="I765" s="16">
        <f t="shared" si="137"/>
        <v>6</v>
      </c>
      <c r="J765" s="122">
        <f t="shared" si="138"/>
        <v>2021</v>
      </c>
      <c r="K765" s="64">
        <f t="shared" si="131"/>
        <v>44437</v>
      </c>
      <c r="L765" s="6"/>
      <c r="M765" s="6"/>
      <c r="O765" s="208">
        <v>44410</v>
      </c>
      <c r="P765" s="209">
        <f t="shared" si="132"/>
        <v>0</v>
      </c>
      <c r="Q765" s="209">
        <f>+SUMIF('A DEPOSITAR'!$D$2:$D$998,(O765-2),'A DEPOSITAR'!$H$2:$H$998)</f>
        <v>80000</v>
      </c>
      <c r="R765" s="210">
        <f t="shared" si="133"/>
        <v>80000</v>
      </c>
      <c r="S765" s="210">
        <f t="shared" si="135"/>
        <v>4371019.8800000027</v>
      </c>
      <c r="T765" s="209">
        <f t="shared" si="134"/>
        <v>0</v>
      </c>
      <c r="U765" s="209">
        <f>+SUMIFS('A DEPOSITAR'!$H$2:$H$998,'A DEPOSITAR'!$D$2:$D$998,(O765-2),'A DEPOSITAR'!$I$2:$I$998,"A Depositar")</f>
        <v>0</v>
      </c>
      <c r="V765" s="6"/>
      <c r="W765" s="6"/>
      <c r="X765" s="6"/>
      <c r="Y765" s="6"/>
      <c r="Z765" s="6"/>
    </row>
    <row r="766" spans="1:26" ht="12.75" x14ac:dyDescent="0.2">
      <c r="A766" s="36">
        <v>44385</v>
      </c>
      <c r="B766" s="29" t="s">
        <v>833</v>
      </c>
      <c r="C766" s="29">
        <v>85509976</v>
      </c>
      <c r="D766" s="37">
        <v>21000</v>
      </c>
      <c r="E766" s="18" t="s">
        <v>22</v>
      </c>
      <c r="F766" s="7">
        <v>44280</v>
      </c>
      <c r="G766" s="18"/>
      <c r="H766" s="16">
        <f t="shared" si="136"/>
        <v>8</v>
      </c>
      <c r="I766" s="16">
        <f t="shared" si="137"/>
        <v>7</v>
      </c>
      <c r="J766" s="122">
        <f t="shared" si="138"/>
        <v>2021</v>
      </c>
      <c r="K766" s="64">
        <f t="shared" si="131"/>
        <v>44445</v>
      </c>
      <c r="L766" s="6"/>
      <c r="M766" s="6"/>
      <c r="O766" s="208">
        <v>44411</v>
      </c>
      <c r="P766" s="209">
        <f t="shared" si="132"/>
        <v>0</v>
      </c>
      <c r="Q766" s="209">
        <f>+SUMIF('A DEPOSITAR'!$D$2:$D$998,(O766-2),'A DEPOSITAR'!$H$2:$H$998)</f>
        <v>0</v>
      </c>
      <c r="R766" s="210">
        <f t="shared" si="133"/>
        <v>0</v>
      </c>
      <c r="S766" s="210">
        <f t="shared" si="135"/>
        <v>4371019.8800000027</v>
      </c>
      <c r="T766" s="209">
        <f t="shared" si="134"/>
        <v>0</v>
      </c>
      <c r="U766" s="209">
        <f>+SUMIFS('A DEPOSITAR'!$H$2:$H$998,'A DEPOSITAR'!$D$2:$D$998,(O766-2),'A DEPOSITAR'!$I$2:$I$998,"A Depositar")</f>
        <v>0</v>
      </c>
      <c r="V766" s="6"/>
      <c r="W766" s="6"/>
      <c r="X766" s="6"/>
      <c r="Y766" s="6"/>
      <c r="Z766" s="6"/>
    </row>
    <row r="767" spans="1:26" ht="12.75" x14ac:dyDescent="0.2">
      <c r="A767" s="36">
        <v>44303</v>
      </c>
      <c r="B767" s="29" t="s">
        <v>222</v>
      </c>
      <c r="C767" s="29">
        <v>85509977</v>
      </c>
      <c r="D767" s="37">
        <v>30000</v>
      </c>
      <c r="E767" s="18" t="s">
        <v>22</v>
      </c>
      <c r="F767" s="7">
        <v>44284</v>
      </c>
      <c r="G767" s="18"/>
      <c r="H767" s="16">
        <f t="shared" si="136"/>
        <v>17</v>
      </c>
      <c r="I767" s="16">
        <f t="shared" si="137"/>
        <v>4</v>
      </c>
      <c r="J767" s="122">
        <f t="shared" si="138"/>
        <v>2021</v>
      </c>
      <c r="K767" s="64">
        <f t="shared" si="131"/>
        <v>44363</v>
      </c>
      <c r="L767" s="6"/>
      <c r="M767" s="6"/>
      <c r="O767" s="208">
        <v>44412</v>
      </c>
      <c r="P767" s="209">
        <f t="shared" si="132"/>
        <v>0</v>
      </c>
      <c r="Q767" s="209">
        <f>+SUMIF('A DEPOSITAR'!$D$2:$D$998,(O767-2),'A DEPOSITAR'!$H$2:$H$998)</f>
        <v>0</v>
      </c>
      <c r="R767" s="210">
        <f t="shared" si="133"/>
        <v>0</v>
      </c>
      <c r="S767" s="210">
        <f t="shared" si="135"/>
        <v>4371019.8800000027</v>
      </c>
      <c r="T767" s="209">
        <f t="shared" si="134"/>
        <v>0</v>
      </c>
      <c r="U767" s="209">
        <f>+SUMIFS('A DEPOSITAR'!$H$2:$H$998,'A DEPOSITAR'!$D$2:$D$998,(O767-2),'A DEPOSITAR'!$I$2:$I$998,"A Depositar")</f>
        <v>0</v>
      </c>
      <c r="V767" s="6"/>
      <c r="W767" s="6"/>
      <c r="X767" s="6"/>
      <c r="Y767" s="6"/>
      <c r="Z767" s="6"/>
    </row>
    <row r="768" spans="1:26" ht="12.75" x14ac:dyDescent="0.2">
      <c r="A768" s="36">
        <v>44324</v>
      </c>
      <c r="B768" s="29" t="s">
        <v>139</v>
      </c>
      <c r="C768" s="29">
        <v>85509978</v>
      </c>
      <c r="D768" s="37">
        <v>9590</v>
      </c>
      <c r="E768" s="18" t="s">
        <v>22</v>
      </c>
      <c r="F768" s="7">
        <v>44316</v>
      </c>
      <c r="G768" s="18"/>
      <c r="H768" s="16">
        <f t="shared" si="136"/>
        <v>8</v>
      </c>
      <c r="I768" s="16">
        <f t="shared" si="137"/>
        <v>5</v>
      </c>
      <c r="J768" s="122">
        <f t="shared" si="138"/>
        <v>2021</v>
      </c>
      <c r="K768" s="64">
        <f t="shared" si="131"/>
        <v>44384</v>
      </c>
      <c r="L768" s="6"/>
      <c r="M768" s="6"/>
      <c r="O768" s="208">
        <v>44413</v>
      </c>
      <c r="P768" s="209">
        <f t="shared" si="132"/>
        <v>0</v>
      </c>
      <c r="Q768" s="209">
        <f>+SUMIF('A DEPOSITAR'!$D$2:$D$998,(O768-2),'A DEPOSITAR'!$H$2:$H$998)</f>
        <v>0</v>
      </c>
      <c r="R768" s="210">
        <f t="shared" si="133"/>
        <v>0</v>
      </c>
      <c r="S768" s="210">
        <f t="shared" si="135"/>
        <v>4371019.8800000027</v>
      </c>
      <c r="T768" s="209">
        <f t="shared" si="134"/>
        <v>0</v>
      </c>
      <c r="U768" s="209">
        <f>+SUMIFS('A DEPOSITAR'!$H$2:$H$998,'A DEPOSITAR'!$D$2:$D$998,(O768-2),'A DEPOSITAR'!$I$2:$I$998,"A Depositar")</f>
        <v>0</v>
      </c>
      <c r="V768" s="6"/>
      <c r="W768" s="6"/>
      <c r="X768" s="6"/>
      <c r="Y768" s="6"/>
      <c r="Z768" s="6"/>
    </row>
    <row r="769" spans="1:26" ht="12.75" x14ac:dyDescent="0.2">
      <c r="A769" s="36">
        <v>44302</v>
      </c>
      <c r="B769" s="29" t="s">
        <v>283</v>
      </c>
      <c r="C769" s="29">
        <v>85509979</v>
      </c>
      <c r="D769" s="37">
        <v>6000</v>
      </c>
      <c r="E769" s="18" t="s">
        <v>22</v>
      </c>
      <c r="F769" s="7">
        <v>44294</v>
      </c>
      <c r="G769" s="18"/>
      <c r="H769" s="16">
        <f t="shared" si="136"/>
        <v>16</v>
      </c>
      <c r="I769" s="16">
        <f t="shared" si="137"/>
        <v>4</v>
      </c>
      <c r="J769" s="122">
        <f t="shared" si="138"/>
        <v>2021</v>
      </c>
      <c r="K769" s="64">
        <f t="shared" si="131"/>
        <v>44362</v>
      </c>
      <c r="L769" s="6"/>
      <c r="M769" s="6"/>
      <c r="O769" s="208">
        <v>44414</v>
      </c>
      <c r="P769" s="209">
        <f t="shared" si="132"/>
        <v>0</v>
      </c>
      <c r="Q769" s="209">
        <f>+SUMIF('A DEPOSITAR'!$D$2:$D$998,(O769-2),'A DEPOSITAR'!$H$2:$H$998)</f>
        <v>0</v>
      </c>
      <c r="R769" s="210">
        <f t="shared" si="133"/>
        <v>0</v>
      </c>
      <c r="S769" s="210">
        <f t="shared" si="135"/>
        <v>4371019.8800000027</v>
      </c>
      <c r="T769" s="209">
        <f t="shared" si="134"/>
        <v>0</v>
      </c>
      <c r="U769" s="209">
        <f>+SUMIFS('A DEPOSITAR'!$H$2:$H$998,'A DEPOSITAR'!$D$2:$D$998,(O769-2),'A DEPOSITAR'!$I$2:$I$998,"A Depositar")</f>
        <v>0</v>
      </c>
      <c r="V769" s="6"/>
      <c r="W769" s="6"/>
      <c r="X769" s="6"/>
      <c r="Y769" s="6"/>
      <c r="Z769" s="6"/>
    </row>
    <row r="770" spans="1:26" ht="12.75" x14ac:dyDescent="0.2">
      <c r="A770" s="36">
        <v>44308</v>
      </c>
      <c r="B770" s="29" t="s">
        <v>283</v>
      </c>
      <c r="C770" s="29">
        <v>85509980</v>
      </c>
      <c r="D770" s="37">
        <v>6807.98</v>
      </c>
      <c r="E770" s="18" t="s">
        <v>22</v>
      </c>
      <c r="F770" s="7">
        <v>44294</v>
      </c>
      <c r="G770" s="18"/>
      <c r="H770" s="16">
        <f t="shared" si="136"/>
        <v>22</v>
      </c>
      <c r="I770" s="16">
        <f t="shared" si="137"/>
        <v>4</v>
      </c>
      <c r="J770" s="122">
        <f t="shared" si="138"/>
        <v>2021</v>
      </c>
      <c r="K770" s="64">
        <f t="shared" ref="K770:K833" si="139">A770+60</f>
        <v>44368</v>
      </c>
      <c r="L770" s="6"/>
      <c r="M770" s="6"/>
      <c r="O770" s="208">
        <v>44415</v>
      </c>
      <c r="P770" s="209">
        <f t="shared" si="132"/>
        <v>0</v>
      </c>
      <c r="Q770" s="209">
        <f>+SUMIF('A DEPOSITAR'!$D$2:$D$998,(O770-2),'A DEPOSITAR'!$H$2:$H$998)</f>
        <v>0</v>
      </c>
      <c r="R770" s="210">
        <f t="shared" si="133"/>
        <v>0</v>
      </c>
      <c r="S770" s="210">
        <f t="shared" si="135"/>
        <v>4371019.8800000027</v>
      </c>
      <c r="T770" s="209">
        <f t="shared" si="134"/>
        <v>0</v>
      </c>
      <c r="U770" s="209">
        <f>+SUMIFS('A DEPOSITAR'!$H$2:$H$998,'A DEPOSITAR'!$D$2:$D$998,(O770-2),'A DEPOSITAR'!$I$2:$I$998,"A Depositar")</f>
        <v>0</v>
      </c>
      <c r="V770" s="6"/>
      <c r="W770" s="6"/>
      <c r="X770" s="6"/>
      <c r="Y770" s="6"/>
      <c r="Z770" s="6"/>
    </row>
    <row r="771" spans="1:26" ht="12.75" x14ac:dyDescent="0.2">
      <c r="A771" s="36">
        <v>44396</v>
      </c>
      <c r="B771" s="29" t="s">
        <v>199</v>
      </c>
      <c r="C771" s="29">
        <v>85509981</v>
      </c>
      <c r="D771" s="37">
        <v>2715</v>
      </c>
      <c r="E771" s="18" t="s">
        <v>22</v>
      </c>
      <c r="F771" s="7">
        <v>44294</v>
      </c>
      <c r="G771" s="18" t="s">
        <v>1288</v>
      </c>
      <c r="H771" s="16">
        <f t="shared" si="136"/>
        <v>19</v>
      </c>
      <c r="I771" s="16">
        <f t="shared" si="137"/>
        <v>7</v>
      </c>
      <c r="J771" s="122">
        <f t="shared" si="138"/>
        <v>2021</v>
      </c>
      <c r="K771" s="64">
        <f t="shared" si="139"/>
        <v>44456</v>
      </c>
      <c r="L771" s="6"/>
      <c r="M771" s="6"/>
      <c r="O771" s="208">
        <v>44416</v>
      </c>
      <c r="P771" s="209">
        <f t="shared" ref="P771:P834" si="140">+SUMIF($A$2:$A$998,O771,$D$2:$D$998)</f>
        <v>85028.66</v>
      </c>
      <c r="Q771" s="209">
        <f>+SUMIF('A DEPOSITAR'!$D$2:$D$998,(O771-2),'A DEPOSITAR'!$H$2:$H$998)</f>
        <v>0</v>
      </c>
      <c r="R771" s="210">
        <f t="shared" ref="R771:R834" si="141">+Q771-P771</f>
        <v>-85028.66</v>
      </c>
      <c r="S771" s="210">
        <f t="shared" si="135"/>
        <v>4285991.2200000025</v>
      </c>
      <c r="T771" s="209">
        <f t="shared" ref="T771:T834" si="142">+SUMIFS($D$2:$D$998,$A$2:$A$998,O771,$E$2:$E$998,"A Pagar")</f>
        <v>0</v>
      </c>
      <c r="U771" s="209">
        <f>+SUMIFS('A DEPOSITAR'!$H$2:$H$998,'A DEPOSITAR'!$D$2:$D$998,(O771-2),'A DEPOSITAR'!$I$2:$I$998,"A Depositar")</f>
        <v>0</v>
      </c>
      <c r="V771" s="6"/>
      <c r="W771" s="6"/>
      <c r="X771" s="6"/>
      <c r="Y771" s="6"/>
      <c r="Z771" s="6"/>
    </row>
    <row r="772" spans="1:26" ht="12.75" x14ac:dyDescent="0.2">
      <c r="A772" s="36">
        <v>44298</v>
      </c>
      <c r="B772" s="29" t="s">
        <v>122</v>
      </c>
      <c r="C772" s="29">
        <v>85509982</v>
      </c>
      <c r="D772" s="37">
        <v>0</v>
      </c>
      <c r="E772" s="18" t="s">
        <v>22</v>
      </c>
      <c r="F772" s="7">
        <v>44298</v>
      </c>
      <c r="G772" s="18" t="s">
        <v>1152</v>
      </c>
      <c r="H772" s="16">
        <f t="shared" si="136"/>
        <v>12</v>
      </c>
      <c r="I772" s="16">
        <f t="shared" si="137"/>
        <v>4</v>
      </c>
      <c r="J772" s="122">
        <f t="shared" si="138"/>
        <v>2021</v>
      </c>
      <c r="K772" s="64">
        <f t="shared" si="139"/>
        <v>44358</v>
      </c>
      <c r="L772" s="6"/>
      <c r="M772" s="6"/>
      <c r="O772" s="208">
        <v>44417</v>
      </c>
      <c r="P772" s="209">
        <f t="shared" si="140"/>
        <v>0</v>
      </c>
      <c r="Q772" s="209">
        <f>+SUMIF('A DEPOSITAR'!$D$2:$D$998,(O772-2),'A DEPOSITAR'!$H$2:$H$998)</f>
        <v>0</v>
      </c>
      <c r="R772" s="210">
        <f t="shared" si="141"/>
        <v>0</v>
      </c>
      <c r="S772" s="210">
        <f t="shared" ref="S772:S835" si="143">+S771+R772</f>
        <v>4285991.2200000025</v>
      </c>
      <c r="T772" s="209">
        <f t="shared" si="142"/>
        <v>0</v>
      </c>
      <c r="U772" s="209">
        <f>+SUMIFS('A DEPOSITAR'!$H$2:$H$998,'A DEPOSITAR'!$D$2:$D$998,(O772-2),'A DEPOSITAR'!$I$2:$I$998,"A Depositar")</f>
        <v>0</v>
      </c>
      <c r="V772" s="6"/>
      <c r="W772" s="6"/>
      <c r="X772" s="6"/>
      <c r="Y772" s="6"/>
      <c r="Z772" s="6"/>
    </row>
    <row r="773" spans="1:26" ht="12.75" x14ac:dyDescent="0.2">
      <c r="A773" s="36">
        <v>44363</v>
      </c>
      <c r="B773" s="29" t="s">
        <v>833</v>
      </c>
      <c r="C773" s="29">
        <v>85509983</v>
      </c>
      <c r="D773" s="37">
        <v>16500</v>
      </c>
      <c r="E773" s="18" t="s">
        <v>22</v>
      </c>
      <c r="F773" s="7">
        <v>44298</v>
      </c>
      <c r="G773" s="18"/>
      <c r="H773" s="16">
        <f t="shared" si="136"/>
        <v>16</v>
      </c>
      <c r="I773" s="16">
        <f t="shared" si="137"/>
        <v>6</v>
      </c>
      <c r="J773" s="122">
        <f t="shared" si="138"/>
        <v>2021</v>
      </c>
      <c r="K773" s="64">
        <f t="shared" si="139"/>
        <v>44423</v>
      </c>
      <c r="L773" s="6"/>
      <c r="M773" s="6"/>
      <c r="O773" s="208">
        <v>44418</v>
      </c>
      <c r="P773" s="209">
        <f t="shared" si="140"/>
        <v>0</v>
      </c>
      <c r="Q773" s="209">
        <f>+SUMIF('A DEPOSITAR'!$D$2:$D$998,(O773-2),'A DEPOSITAR'!$H$2:$H$998)</f>
        <v>0</v>
      </c>
      <c r="R773" s="210">
        <f t="shared" si="141"/>
        <v>0</v>
      </c>
      <c r="S773" s="210">
        <f t="shared" si="143"/>
        <v>4285991.2200000025</v>
      </c>
      <c r="T773" s="209">
        <f t="shared" si="142"/>
        <v>0</v>
      </c>
      <c r="U773" s="209">
        <f>+SUMIFS('A DEPOSITAR'!$H$2:$H$998,'A DEPOSITAR'!$D$2:$D$998,(O773-2),'A DEPOSITAR'!$I$2:$I$998,"A Depositar")</f>
        <v>0</v>
      </c>
      <c r="V773" s="6"/>
      <c r="W773" s="6"/>
      <c r="X773" s="6"/>
      <c r="Y773" s="6"/>
      <c r="Z773" s="6"/>
    </row>
    <row r="774" spans="1:26" ht="12.75" x14ac:dyDescent="0.2">
      <c r="A774" s="36">
        <v>44369</v>
      </c>
      <c r="B774" s="29" t="s">
        <v>833</v>
      </c>
      <c r="C774" s="29">
        <v>85509984</v>
      </c>
      <c r="D774" s="37">
        <v>17000</v>
      </c>
      <c r="E774" s="18" t="s">
        <v>22</v>
      </c>
      <c r="F774" s="7">
        <v>44298</v>
      </c>
      <c r="G774" s="18"/>
      <c r="H774" s="16">
        <f t="shared" si="136"/>
        <v>22</v>
      </c>
      <c r="I774" s="16">
        <f t="shared" si="137"/>
        <v>6</v>
      </c>
      <c r="J774" s="122">
        <f t="shared" si="138"/>
        <v>2021</v>
      </c>
      <c r="K774" s="64">
        <f t="shared" si="139"/>
        <v>44429</v>
      </c>
      <c r="L774" s="6"/>
      <c r="M774" s="6"/>
      <c r="O774" s="208">
        <v>44419</v>
      </c>
      <c r="P774" s="209">
        <f t="shared" si="140"/>
        <v>0</v>
      </c>
      <c r="Q774" s="209">
        <f>+SUMIF('A DEPOSITAR'!$D$2:$D$998,(O774-2),'A DEPOSITAR'!$H$2:$H$998)</f>
        <v>21030</v>
      </c>
      <c r="R774" s="210">
        <f t="shared" si="141"/>
        <v>21030</v>
      </c>
      <c r="S774" s="210">
        <f t="shared" si="143"/>
        <v>4307021.2200000025</v>
      </c>
      <c r="T774" s="209">
        <f t="shared" si="142"/>
        <v>0</v>
      </c>
      <c r="U774" s="209">
        <f>+SUMIFS('A DEPOSITAR'!$H$2:$H$998,'A DEPOSITAR'!$D$2:$D$998,(O774-2),'A DEPOSITAR'!$I$2:$I$998,"A Depositar")</f>
        <v>0</v>
      </c>
      <c r="V774" s="6"/>
      <c r="W774" s="6"/>
      <c r="X774" s="6"/>
      <c r="Y774" s="6"/>
      <c r="Z774" s="6"/>
    </row>
    <row r="775" spans="1:26" ht="12.75" x14ac:dyDescent="0.2">
      <c r="A775" s="36">
        <v>44377</v>
      </c>
      <c r="B775" s="29" t="s">
        <v>833</v>
      </c>
      <c r="C775" s="29">
        <v>85509985</v>
      </c>
      <c r="D775" s="37">
        <v>17000</v>
      </c>
      <c r="E775" s="18" t="s">
        <v>22</v>
      </c>
      <c r="F775" s="7">
        <v>44298</v>
      </c>
      <c r="G775" s="18"/>
      <c r="H775" s="16">
        <f t="shared" si="136"/>
        <v>30</v>
      </c>
      <c r="I775" s="16">
        <f t="shared" si="137"/>
        <v>6</v>
      </c>
      <c r="J775" s="122">
        <f t="shared" si="138"/>
        <v>2021</v>
      </c>
      <c r="K775" s="64">
        <f t="shared" si="139"/>
        <v>44437</v>
      </c>
      <c r="L775" s="6"/>
      <c r="M775" s="6"/>
      <c r="O775" s="208">
        <v>44420</v>
      </c>
      <c r="P775" s="209">
        <f t="shared" si="140"/>
        <v>0</v>
      </c>
      <c r="Q775" s="209">
        <f>+SUMIF('A DEPOSITAR'!$D$2:$D$998,(O775-2),'A DEPOSITAR'!$H$2:$H$998)</f>
        <v>8370</v>
      </c>
      <c r="R775" s="210">
        <f t="shared" si="141"/>
        <v>8370</v>
      </c>
      <c r="S775" s="210">
        <f t="shared" si="143"/>
        <v>4315391.2200000025</v>
      </c>
      <c r="T775" s="209">
        <f t="shared" si="142"/>
        <v>0</v>
      </c>
      <c r="U775" s="209">
        <f>+SUMIFS('A DEPOSITAR'!$H$2:$H$998,'A DEPOSITAR'!$D$2:$D$998,(O775-2),'A DEPOSITAR'!$I$2:$I$998,"A Depositar")</f>
        <v>0</v>
      </c>
      <c r="V775" s="6"/>
      <c r="W775" s="6"/>
      <c r="X775" s="6"/>
      <c r="Y775" s="6"/>
      <c r="Z775" s="6"/>
    </row>
    <row r="776" spans="1:26" ht="12.75" x14ac:dyDescent="0.2">
      <c r="A776" s="36">
        <v>44385</v>
      </c>
      <c r="B776" s="29" t="s">
        <v>833</v>
      </c>
      <c r="C776" s="29">
        <v>85509986</v>
      </c>
      <c r="D776" s="37">
        <v>18000</v>
      </c>
      <c r="E776" s="18" t="s">
        <v>22</v>
      </c>
      <c r="F776" s="7">
        <v>44298</v>
      </c>
      <c r="G776" s="18"/>
      <c r="H776" s="16">
        <f t="shared" si="136"/>
        <v>8</v>
      </c>
      <c r="I776" s="16">
        <f t="shared" si="137"/>
        <v>7</v>
      </c>
      <c r="J776" s="122">
        <f t="shared" si="138"/>
        <v>2021</v>
      </c>
      <c r="K776" s="64">
        <f t="shared" si="139"/>
        <v>44445</v>
      </c>
      <c r="L776" s="6"/>
      <c r="M776" s="6"/>
      <c r="O776" s="208">
        <v>44421</v>
      </c>
      <c r="P776" s="209">
        <f t="shared" si="140"/>
        <v>0</v>
      </c>
      <c r="Q776" s="209">
        <f>+SUMIF('A DEPOSITAR'!$D$2:$D$998,(O776-2),'A DEPOSITAR'!$H$2:$H$998)</f>
        <v>0</v>
      </c>
      <c r="R776" s="210">
        <f t="shared" si="141"/>
        <v>0</v>
      </c>
      <c r="S776" s="210">
        <f t="shared" si="143"/>
        <v>4315391.2200000025</v>
      </c>
      <c r="T776" s="209">
        <f t="shared" si="142"/>
        <v>0</v>
      </c>
      <c r="U776" s="209">
        <f>+SUMIFS('A DEPOSITAR'!$H$2:$H$998,'A DEPOSITAR'!$D$2:$D$998,(O776-2),'A DEPOSITAR'!$I$2:$I$998,"A Depositar")</f>
        <v>0</v>
      </c>
      <c r="V776" s="6"/>
      <c r="W776" s="6"/>
      <c r="X776" s="6"/>
      <c r="Y776" s="6"/>
      <c r="Z776" s="6"/>
    </row>
    <row r="777" spans="1:26" ht="12.75" x14ac:dyDescent="0.2">
      <c r="A777" s="36">
        <v>44393</v>
      </c>
      <c r="B777" s="29" t="s">
        <v>833</v>
      </c>
      <c r="C777" s="29">
        <v>85509987</v>
      </c>
      <c r="D777" s="37">
        <v>18826.16</v>
      </c>
      <c r="E777" s="18" t="s">
        <v>22</v>
      </c>
      <c r="F777" s="7">
        <v>44298</v>
      </c>
      <c r="G777" s="29"/>
      <c r="H777" s="16">
        <f t="shared" si="136"/>
        <v>16</v>
      </c>
      <c r="I777" s="16">
        <f t="shared" si="137"/>
        <v>7</v>
      </c>
      <c r="J777" s="122">
        <f t="shared" si="138"/>
        <v>2021</v>
      </c>
      <c r="K777" s="64">
        <f t="shared" si="139"/>
        <v>44453</v>
      </c>
      <c r="L777" s="6"/>
      <c r="M777" s="6"/>
      <c r="O777" s="208">
        <v>44422</v>
      </c>
      <c r="P777" s="209">
        <f t="shared" si="140"/>
        <v>0</v>
      </c>
      <c r="Q777" s="209">
        <f>+SUMIF('A DEPOSITAR'!$D$2:$D$998,(O777-2),'A DEPOSITAR'!$H$2:$H$998)</f>
        <v>7530</v>
      </c>
      <c r="R777" s="210">
        <f t="shared" si="141"/>
        <v>7530</v>
      </c>
      <c r="S777" s="210">
        <f t="shared" si="143"/>
        <v>4322921.2200000025</v>
      </c>
      <c r="T777" s="209">
        <f t="shared" si="142"/>
        <v>0</v>
      </c>
      <c r="U777" s="209">
        <f>+SUMIFS('A DEPOSITAR'!$H$2:$H$998,'A DEPOSITAR'!$D$2:$D$998,(O777-2),'A DEPOSITAR'!$I$2:$I$998,"A Depositar")</f>
        <v>0</v>
      </c>
      <c r="V777" s="6"/>
      <c r="W777" s="6"/>
      <c r="X777" s="6"/>
      <c r="Y777" s="6"/>
      <c r="Z777" s="6"/>
    </row>
    <row r="778" spans="1:26" ht="12.75" x14ac:dyDescent="0.2">
      <c r="A778" s="36">
        <v>44299</v>
      </c>
      <c r="B778" s="29" t="s">
        <v>122</v>
      </c>
      <c r="C778" s="29">
        <v>85509988</v>
      </c>
      <c r="D778" s="37">
        <v>0</v>
      </c>
      <c r="E778" s="18" t="s">
        <v>22</v>
      </c>
      <c r="F778" s="7">
        <v>44298</v>
      </c>
      <c r="G778" s="29" t="s">
        <v>1152</v>
      </c>
      <c r="H778" s="16">
        <f t="shared" si="136"/>
        <v>13</v>
      </c>
      <c r="I778" s="16">
        <f t="shared" si="137"/>
        <v>4</v>
      </c>
      <c r="J778" s="122">
        <f t="shared" si="138"/>
        <v>2021</v>
      </c>
      <c r="K778" s="64">
        <f t="shared" si="139"/>
        <v>44359</v>
      </c>
      <c r="L778" s="6"/>
      <c r="M778" s="6"/>
      <c r="O778" s="208">
        <v>44423</v>
      </c>
      <c r="P778" s="209">
        <f t="shared" si="140"/>
        <v>0</v>
      </c>
      <c r="Q778" s="209">
        <f>+SUMIF('A DEPOSITAR'!$D$2:$D$998,(O778-2),'A DEPOSITAR'!$H$2:$H$998)</f>
        <v>0</v>
      </c>
      <c r="R778" s="210">
        <f t="shared" si="141"/>
        <v>0</v>
      </c>
      <c r="S778" s="210">
        <f t="shared" si="143"/>
        <v>4322921.2200000025</v>
      </c>
      <c r="T778" s="209">
        <f t="shared" si="142"/>
        <v>0</v>
      </c>
      <c r="U778" s="209">
        <f>+SUMIFS('A DEPOSITAR'!$H$2:$H$998,'A DEPOSITAR'!$D$2:$D$998,(O778-2),'A DEPOSITAR'!$I$2:$I$998,"A Depositar")</f>
        <v>0</v>
      </c>
      <c r="V778" s="6"/>
      <c r="W778" s="6"/>
      <c r="X778" s="6"/>
      <c r="Y778" s="6"/>
      <c r="Z778" s="6"/>
    </row>
    <row r="779" spans="1:26" ht="12.75" x14ac:dyDescent="0.2">
      <c r="A779" s="36">
        <v>44301</v>
      </c>
      <c r="B779" s="29" t="s">
        <v>122</v>
      </c>
      <c r="C779" s="29">
        <v>85509989</v>
      </c>
      <c r="D779" s="50">
        <v>0</v>
      </c>
      <c r="E779" s="29" t="s">
        <v>22</v>
      </c>
      <c r="F779" s="34">
        <v>44298</v>
      </c>
      <c r="G779" s="29" t="s">
        <v>1160</v>
      </c>
      <c r="H779" s="16">
        <f t="shared" si="136"/>
        <v>15</v>
      </c>
      <c r="I779" s="16">
        <f t="shared" si="137"/>
        <v>4</v>
      </c>
      <c r="J779" s="122">
        <f t="shared" si="138"/>
        <v>2021</v>
      </c>
      <c r="K779" s="64">
        <f t="shared" si="139"/>
        <v>44361</v>
      </c>
      <c r="L779" s="6"/>
      <c r="M779" s="6"/>
      <c r="O779" s="208">
        <v>44424</v>
      </c>
      <c r="P779" s="209">
        <f t="shared" si="140"/>
        <v>76014.649999999994</v>
      </c>
      <c r="Q779" s="209">
        <f>+SUMIF('A DEPOSITAR'!$D$2:$D$998,(O779-2),'A DEPOSITAR'!$H$2:$H$998)</f>
        <v>0</v>
      </c>
      <c r="R779" s="210">
        <f t="shared" si="141"/>
        <v>-76014.649999999994</v>
      </c>
      <c r="S779" s="210">
        <f t="shared" si="143"/>
        <v>4246906.5700000022</v>
      </c>
      <c r="T779" s="209">
        <f t="shared" si="142"/>
        <v>0</v>
      </c>
      <c r="U779" s="209">
        <f>+SUMIFS('A DEPOSITAR'!$H$2:$H$998,'A DEPOSITAR'!$D$2:$D$998,(O779-2),'A DEPOSITAR'!$I$2:$I$998,"A Depositar")</f>
        <v>0</v>
      </c>
      <c r="V779" s="6"/>
      <c r="W779" s="6"/>
      <c r="X779" s="6"/>
      <c r="Y779" s="6"/>
      <c r="Z779" s="6"/>
    </row>
    <row r="780" spans="1:26" ht="12.75" x14ac:dyDescent="0.2">
      <c r="A780" s="36">
        <v>44302</v>
      </c>
      <c r="B780" s="29" t="s">
        <v>122</v>
      </c>
      <c r="C780" s="29">
        <v>85509990</v>
      </c>
      <c r="D780" s="50">
        <v>0</v>
      </c>
      <c r="E780" s="29" t="s">
        <v>22</v>
      </c>
      <c r="F780" s="34">
        <v>44298</v>
      </c>
      <c r="G780" s="29" t="s">
        <v>1161</v>
      </c>
      <c r="H780" s="16">
        <f t="shared" si="136"/>
        <v>16</v>
      </c>
      <c r="I780" s="16">
        <f t="shared" si="137"/>
        <v>4</v>
      </c>
      <c r="J780" s="122">
        <f t="shared" si="138"/>
        <v>2021</v>
      </c>
      <c r="K780" s="64">
        <f t="shared" si="139"/>
        <v>44362</v>
      </c>
      <c r="L780" s="6"/>
      <c r="M780" s="6"/>
      <c r="O780" s="208">
        <v>44425</v>
      </c>
      <c r="P780" s="209">
        <f t="shared" si="140"/>
        <v>64848.399999999994</v>
      </c>
      <c r="Q780" s="209">
        <f>+SUMIF('A DEPOSITAR'!$D$2:$D$998,(O780-2),'A DEPOSITAR'!$H$2:$H$998)</f>
        <v>20000</v>
      </c>
      <c r="R780" s="210">
        <f t="shared" si="141"/>
        <v>-44848.399999999994</v>
      </c>
      <c r="S780" s="210">
        <f t="shared" si="143"/>
        <v>4202058.1700000018</v>
      </c>
      <c r="T780" s="209">
        <f t="shared" si="142"/>
        <v>0</v>
      </c>
      <c r="U780" s="209">
        <f>+SUMIFS('A DEPOSITAR'!$H$2:$H$998,'A DEPOSITAR'!$D$2:$D$998,(O780-2),'A DEPOSITAR'!$I$2:$I$998,"A Depositar")</f>
        <v>0</v>
      </c>
      <c r="V780" s="6"/>
      <c r="W780" s="6"/>
      <c r="X780" s="6"/>
      <c r="Y780" s="6"/>
      <c r="Z780" s="6"/>
    </row>
    <row r="781" spans="1:26" ht="12.75" x14ac:dyDescent="0.2">
      <c r="A781" s="36">
        <v>44377</v>
      </c>
      <c r="B781" s="29" t="s">
        <v>222</v>
      </c>
      <c r="C781" s="29">
        <v>85509991</v>
      </c>
      <c r="D781" s="37">
        <v>8800</v>
      </c>
      <c r="E781" s="18" t="s">
        <v>22</v>
      </c>
      <c r="F781" s="7">
        <v>44306</v>
      </c>
      <c r="G781" s="18"/>
      <c r="H781" s="16">
        <f t="shared" si="136"/>
        <v>30</v>
      </c>
      <c r="I781" s="16">
        <f t="shared" si="137"/>
        <v>6</v>
      </c>
      <c r="J781" s="122">
        <f t="shared" si="138"/>
        <v>2021</v>
      </c>
      <c r="K781" s="64">
        <f t="shared" si="139"/>
        <v>44437</v>
      </c>
      <c r="L781" s="6"/>
      <c r="M781" s="6"/>
      <c r="O781" s="208">
        <v>44426</v>
      </c>
      <c r="P781" s="209">
        <f t="shared" si="140"/>
        <v>0</v>
      </c>
      <c r="Q781" s="209">
        <f>+SUMIF('A DEPOSITAR'!$D$2:$D$998,(O781-2),'A DEPOSITAR'!$H$2:$H$998)</f>
        <v>7530</v>
      </c>
      <c r="R781" s="210">
        <f t="shared" si="141"/>
        <v>7530</v>
      </c>
      <c r="S781" s="210">
        <f t="shared" si="143"/>
        <v>4209588.1700000018</v>
      </c>
      <c r="T781" s="209">
        <f t="shared" si="142"/>
        <v>0</v>
      </c>
      <c r="U781" s="209">
        <f>+SUMIFS('A DEPOSITAR'!$H$2:$H$998,'A DEPOSITAR'!$D$2:$D$998,(O781-2),'A DEPOSITAR'!$I$2:$I$998,"A Depositar")</f>
        <v>0</v>
      </c>
      <c r="V781" s="6"/>
      <c r="W781" s="6"/>
      <c r="X781" s="6"/>
      <c r="Y781" s="6"/>
      <c r="Z781" s="6"/>
    </row>
    <row r="782" spans="1:26" ht="12.75" x14ac:dyDescent="0.2">
      <c r="A782" s="36">
        <v>44369</v>
      </c>
      <c r="B782" s="29" t="s">
        <v>222</v>
      </c>
      <c r="C782" s="29">
        <v>85509992</v>
      </c>
      <c r="D782" s="37">
        <v>8900</v>
      </c>
      <c r="E782" s="18" t="s">
        <v>22</v>
      </c>
      <c r="F782" s="7">
        <v>44306</v>
      </c>
      <c r="G782" s="18"/>
      <c r="H782" s="16">
        <f t="shared" si="136"/>
        <v>22</v>
      </c>
      <c r="I782" s="16">
        <f t="shared" si="137"/>
        <v>6</v>
      </c>
      <c r="J782" s="122">
        <f t="shared" si="138"/>
        <v>2021</v>
      </c>
      <c r="K782" s="64">
        <f t="shared" si="139"/>
        <v>44429</v>
      </c>
      <c r="L782" s="6"/>
      <c r="M782" s="6"/>
      <c r="O782" s="208">
        <v>44427</v>
      </c>
      <c r="P782" s="209">
        <f t="shared" si="140"/>
        <v>0</v>
      </c>
      <c r="Q782" s="209">
        <f>+SUMIF('A DEPOSITAR'!$D$2:$D$998,(O782-2),'A DEPOSITAR'!$H$2:$H$998)</f>
        <v>38370.009999999995</v>
      </c>
      <c r="R782" s="210">
        <f t="shared" si="141"/>
        <v>38370.009999999995</v>
      </c>
      <c r="S782" s="210">
        <f t="shared" si="143"/>
        <v>4247958.1800000016</v>
      </c>
      <c r="T782" s="209">
        <f t="shared" si="142"/>
        <v>0</v>
      </c>
      <c r="U782" s="209">
        <f>+SUMIFS('A DEPOSITAR'!$H$2:$H$998,'A DEPOSITAR'!$D$2:$D$998,(O782-2),'A DEPOSITAR'!$I$2:$I$998,"A Depositar")</f>
        <v>0</v>
      </c>
      <c r="V782" s="6"/>
      <c r="W782" s="6"/>
      <c r="X782" s="6"/>
      <c r="Y782" s="6"/>
      <c r="Z782" s="6"/>
    </row>
    <row r="783" spans="1:26" ht="12.75" x14ac:dyDescent="0.2">
      <c r="A783" s="36">
        <v>44385</v>
      </c>
      <c r="B783" s="29" t="s">
        <v>222</v>
      </c>
      <c r="C783" s="29">
        <v>85509993</v>
      </c>
      <c r="D783" s="37">
        <v>9280</v>
      </c>
      <c r="E783" s="18" t="s">
        <v>22</v>
      </c>
      <c r="F783" s="7">
        <v>44306</v>
      </c>
      <c r="G783" s="18"/>
      <c r="H783" s="16">
        <f t="shared" si="136"/>
        <v>8</v>
      </c>
      <c r="I783" s="16">
        <f t="shared" si="137"/>
        <v>7</v>
      </c>
      <c r="J783" s="122">
        <f t="shared" si="138"/>
        <v>2021</v>
      </c>
      <c r="K783" s="64">
        <f t="shared" si="139"/>
        <v>44445</v>
      </c>
      <c r="L783" s="6"/>
      <c r="M783" s="6"/>
      <c r="O783" s="208">
        <v>44428</v>
      </c>
      <c r="P783" s="209">
        <f t="shared" si="140"/>
        <v>0</v>
      </c>
      <c r="Q783" s="209">
        <f>+SUMIF('A DEPOSITAR'!$D$2:$D$998,(O783-2),'A DEPOSITAR'!$H$2:$H$998)</f>
        <v>0</v>
      </c>
      <c r="R783" s="210">
        <f t="shared" si="141"/>
        <v>0</v>
      </c>
      <c r="S783" s="210">
        <f t="shared" si="143"/>
        <v>4247958.1800000016</v>
      </c>
      <c r="T783" s="209">
        <f t="shared" si="142"/>
        <v>0</v>
      </c>
      <c r="U783" s="209">
        <f>+SUMIFS('A DEPOSITAR'!$H$2:$H$998,'A DEPOSITAR'!$D$2:$D$998,(O783-2),'A DEPOSITAR'!$I$2:$I$998,"A Depositar")</f>
        <v>0</v>
      </c>
      <c r="V783" s="6"/>
      <c r="W783" s="6"/>
      <c r="X783" s="6"/>
      <c r="Y783" s="6"/>
      <c r="Z783" s="6"/>
    </row>
    <row r="784" spans="1:26" ht="12.75" x14ac:dyDescent="0.2">
      <c r="A784" s="36">
        <v>44393</v>
      </c>
      <c r="B784" s="29" t="s">
        <v>222</v>
      </c>
      <c r="C784" s="29">
        <v>85509994</v>
      </c>
      <c r="D784" s="37">
        <v>9100</v>
      </c>
      <c r="E784" s="18" t="s">
        <v>22</v>
      </c>
      <c r="F784" s="7">
        <v>44306</v>
      </c>
      <c r="G784" s="18"/>
      <c r="H784" s="16">
        <f t="shared" si="136"/>
        <v>16</v>
      </c>
      <c r="I784" s="16">
        <f t="shared" si="137"/>
        <v>7</v>
      </c>
      <c r="J784" s="122">
        <f t="shared" si="138"/>
        <v>2021</v>
      </c>
      <c r="K784" s="64">
        <f t="shared" si="139"/>
        <v>44453</v>
      </c>
      <c r="L784" s="6"/>
      <c r="M784" s="6"/>
      <c r="O784" s="208">
        <v>44429</v>
      </c>
      <c r="P784" s="209">
        <f t="shared" si="140"/>
        <v>0</v>
      </c>
      <c r="Q784" s="209">
        <f>+SUMIF('A DEPOSITAR'!$D$2:$D$998,(O784-2),'A DEPOSITAR'!$H$2:$H$998)</f>
        <v>62800</v>
      </c>
      <c r="R784" s="210">
        <f t="shared" si="141"/>
        <v>62800</v>
      </c>
      <c r="S784" s="210">
        <f t="shared" si="143"/>
        <v>4310758.1800000016</v>
      </c>
      <c r="T784" s="209">
        <f t="shared" si="142"/>
        <v>0</v>
      </c>
      <c r="U784" s="209">
        <f>+SUMIFS('A DEPOSITAR'!$H$2:$H$998,'A DEPOSITAR'!$D$2:$D$998,(O784-2),'A DEPOSITAR'!$I$2:$I$998,"A Depositar")</f>
        <v>0</v>
      </c>
      <c r="V784" s="6"/>
      <c r="W784" s="6"/>
      <c r="X784" s="6"/>
      <c r="Y784" s="6"/>
      <c r="Z784" s="6"/>
    </row>
    <row r="785" spans="1:26" ht="12.75" x14ac:dyDescent="0.2">
      <c r="A785" s="36">
        <v>44399</v>
      </c>
      <c r="B785" s="29" t="s">
        <v>222</v>
      </c>
      <c r="C785" s="29">
        <v>85509995</v>
      </c>
      <c r="D785" s="37">
        <v>9200</v>
      </c>
      <c r="E785" s="18" t="s">
        <v>892</v>
      </c>
      <c r="F785" s="7">
        <v>44306</v>
      </c>
      <c r="G785" s="18" t="s">
        <v>1276</v>
      </c>
      <c r="H785" s="16">
        <f t="shared" si="136"/>
        <v>22</v>
      </c>
      <c r="I785" s="16">
        <f t="shared" si="137"/>
        <v>7</v>
      </c>
      <c r="J785" s="122">
        <f t="shared" si="138"/>
        <v>2021</v>
      </c>
      <c r="K785" s="64">
        <f t="shared" si="139"/>
        <v>44459</v>
      </c>
      <c r="L785" s="6"/>
      <c r="M785" s="6"/>
      <c r="O785" s="208">
        <v>44430</v>
      </c>
      <c r="P785" s="209">
        <f t="shared" si="140"/>
        <v>62101</v>
      </c>
      <c r="Q785" s="209">
        <f>+SUMIF('A DEPOSITAR'!$D$2:$D$998,(O785-2),'A DEPOSITAR'!$H$2:$H$998)</f>
        <v>43500</v>
      </c>
      <c r="R785" s="210">
        <f t="shared" si="141"/>
        <v>-18601</v>
      </c>
      <c r="S785" s="210">
        <f t="shared" si="143"/>
        <v>4292157.1800000016</v>
      </c>
      <c r="T785" s="209">
        <f t="shared" si="142"/>
        <v>0</v>
      </c>
      <c r="U785" s="209">
        <f>+SUMIFS('A DEPOSITAR'!$H$2:$H$998,'A DEPOSITAR'!$D$2:$D$998,(O785-2),'A DEPOSITAR'!$I$2:$I$998,"A Depositar")</f>
        <v>0</v>
      </c>
      <c r="V785" s="6"/>
      <c r="W785" s="6"/>
      <c r="X785" s="6"/>
      <c r="Y785" s="6"/>
      <c r="Z785" s="6"/>
    </row>
    <row r="786" spans="1:26" ht="12.75" x14ac:dyDescent="0.2">
      <c r="A786" s="36">
        <v>44385</v>
      </c>
      <c r="B786" s="29" t="s">
        <v>1174</v>
      </c>
      <c r="C786" s="29">
        <v>85509996</v>
      </c>
      <c r="D786" s="37">
        <v>4000</v>
      </c>
      <c r="E786" s="18" t="s">
        <v>22</v>
      </c>
      <c r="F786" s="7">
        <v>44307</v>
      </c>
      <c r="G786" s="18"/>
      <c r="H786" s="16">
        <f t="shared" si="136"/>
        <v>8</v>
      </c>
      <c r="I786" s="16">
        <f t="shared" si="137"/>
        <v>7</v>
      </c>
      <c r="J786" s="122">
        <f t="shared" si="138"/>
        <v>2021</v>
      </c>
      <c r="K786" s="64">
        <f t="shared" si="139"/>
        <v>44445</v>
      </c>
      <c r="L786" s="6"/>
      <c r="M786" s="6"/>
      <c r="O786" s="208">
        <v>44431</v>
      </c>
      <c r="P786" s="209">
        <f t="shared" si="140"/>
        <v>0</v>
      </c>
      <c r="Q786" s="209">
        <f>+SUMIF('A DEPOSITAR'!$D$2:$D$998,(O786-2),'A DEPOSITAR'!$H$2:$H$998)</f>
        <v>0</v>
      </c>
      <c r="R786" s="210">
        <f t="shared" si="141"/>
        <v>0</v>
      </c>
      <c r="S786" s="210">
        <f t="shared" si="143"/>
        <v>4292157.1800000016</v>
      </c>
      <c r="T786" s="209">
        <f t="shared" si="142"/>
        <v>0</v>
      </c>
      <c r="U786" s="209">
        <f>+SUMIFS('A DEPOSITAR'!$H$2:$H$998,'A DEPOSITAR'!$D$2:$D$998,(O786-2),'A DEPOSITAR'!$I$2:$I$998,"A Depositar")</f>
        <v>0</v>
      </c>
      <c r="V786" s="6"/>
      <c r="W786" s="6"/>
      <c r="X786" s="6"/>
      <c r="Y786" s="6"/>
      <c r="Z786" s="6"/>
    </row>
    <row r="787" spans="1:26" ht="12.75" x14ac:dyDescent="0.2">
      <c r="A787" s="36">
        <v>44306</v>
      </c>
      <c r="B787" s="29" t="s">
        <v>122</v>
      </c>
      <c r="C787" s="29">
        <v>85509997</v>
      </c>
      <c r="D787" s="37">
        <v>0</v>
      </c>
      <c r="E787" s="18" t="s">
        <v>22</v>
      </c>
      <c r="F787" s="7">
        <v>44307</v>
      </c>
      <c r="G787" s="29" t="s">
        <v>1164</v>
      </c>
      <c r="H787" s="16">
        <f t="shared" si="136"/>
        <v>20</v>
      </c>
      <c r="I787" s="16">
        <f t="shared" si="137"/>
        <v>4</v>
      </c>
      <c r="J787" s="122">
        <f t="shared" si="138"/>
        <v>2021</v>
      </c>
      <c r="K787" s="64">
        <f t="shared" si="139"/>
        <v>44366</v>
      </c>
      <c r="L787" s="6"/>
      <c r="M787" s="6"/>
      <c r="O787" s="208">
        <v>44432</v>
      </c>
      <c r="P787" s="209">
        <f t="shared" si="140"/>
        <v>0</v>
      </c>
      <c r="Q787" s="209">
        <f>+SUMIF('A DEPOSITAR'!$D$2:$D$998,(O787-2),'A DEPOSITAR'!$H$2:$H$998)</f>
        <v>10000</v>
      </c>
      <c r="R787" s="210">
        <f t="shared" si="141"/>
        <v>10000</v>
      </c>
      <c r="S787" s="210">
        <f t="shared" si="143"/>
        <v>4302157.1800000016</v>
      </c>
      <c r="T787" s="209">
        <f t="shared" si="142"/>
        <v>0</v>
      </c>
      <c r="U787" s="209">
        <f>+SUMIFS('A DEPOSITAR'!$H$2:$H$998,'A DEPOSITAR'!$D$2:$D$998,(O787-2),'A DEPOSITAR'!$I$2:$I$998,"A Depositar")</f>
        <v>0</v>
      </c>
      <c r="V787" s="6"/>
      <c r="W787" s="6"/>
      <c r="X787" s="6"/>
      <c r="Y787" s="6"/>
      <c r="Z787" s="6"/>
    </row>
    <row r="788" spans="1:26" ht="12.75" x14ac:dyDescent="0.2">
      <c r="A788" s="36">
        <v>44363</v>
      </c>
      <c r="B788" s="29" t="s">
        <v>139</v>
      </c>
      <c r="C788" s="29">
        <v>85509998</v>
      </c>
      <c r="D788" s="37">
        <v>16000</v>
      </c>
      <c r="E788" s="18" t="s">
        <v>22</v>
      </c>
      <c r="F788" s="7">
        <v>44315</v>
      </c>
      <c r="G788" s="18"/>
      <c r="H788" s="16">
        <f t="shared" si="136"/>
        <v>16</v>
      </c>
      <c r="I788" s="16">
        <f t="shared" si="137"/>
        <v>6</v>
      </c>
      <c r="J788" s="122">
        <f t="shared" si="138"/>
        <v>2021</v>
      </c>
      <c r="K788" s="64">
        <f t="shared" si="139"/>
        <v>44423</v>
      </c>
      <c r="L788" s="6"/>
      <c r="M788" s="6"/>
      <c r="O788" s="208">
        <v>44433</v>
      </c>
      <c r="P788" s="209">
        <f t="shared" si="140"/>
        <v>0</v>
      </c>
      <c r="Q788" s="209">
        <f>+SUMIF('A DEPOSITAR'!$D$2:$D$998,(O788-2),'A DEPOSITAR'!$H$2:$H$998)</f>
        <v>21530</v>
      </c>
      <c r="R788" s="210">
        <f t="shared" si="141"/>
        <v>21530</v>
      </c>
      <c r="S788" s="210">
        <f t="shared" si="143"/>
        <v>4323687.1800000016</v>
      </c>
      <c r="T788" s="209">
        <f t="shared" si="142"/>
        <v>0</v>
      </c>
      <c r="U788" s="209">
        <f>+SUMIFS('A DEPOSITAR'!$H$2:$H$998,'A DEPOSITAR'!$D$2:$D$998,(O788-2),'A DEPOSITAR'!$I$2:$I$998,"A Depositar")</f>
        <v>0</v>
      </c>
      <c r="V788" s="6"/>
      <c r="W788" s="6"/>
      <c r="X788" s="6"/>
      <c r="Y788" s="6"/>
      <c r="Z788" s="6"/>
    </row>
    <row r="789" spans="1:26" ht="12.75" x14ac:dyDescent="0.2">
      <c r="A789" s="36">
        <v>44332</v>
      </c>
      <c r="B789" s="29" t="s">
        <v>139</v>
      </c>
      <c r="C789" s="29">
        <v>85509999</v>
      </c>
      <c r="D789" s="37">
        <v>17000</v>
      </c>
      <c r="E789" s="18" t="s">
        <v>22</v>
      </c>
      <c r="F789" s="7">
        <v>44315</v>
      </c>
      <c r="G789" s="18"/>
      <c r="H789" s="16">
        <f t="shared" si="136"/>
        <v>16</v>
      </c>
      <c r="I789" s="16">
        <f t="shared" si="137"/>
        <v>5</v>
      </c>
      <c r="J789" s="122">
        <f t="shared" si="138"/>
        <v>2021</v>
      </c>
      <c r="K789" s="64">
        <f t="shared" si="139"/>
        <v>44392</v>
      </c>
      <c r="L789" s="6"/>
      <c r="M789" s="6"/>
      <c r="O789" s="208">
        <v>44434</v>
      </c>
      <c r="P789" s="209">
        <f t="shared" si="140"/>
        <v>0</v>
      </c>
      <c r="Q789" s="209">
        <f>+SUMIF('A DEPOSITAR'!$D$2:$D$998,(O789-2),'A DEPOSITAR'!$H$2:$H$998)</f>
        <v>27000</v>
      </c>
      <c r="R789" s="210">
        <f t="shared" si="141"/>
        <v>27000</v>
      </c>
      <c r="S789" s="210">
        <f t="shared" si="143"/>
        <v>4350687.1800000016</v>
      </c>
      <c r="T789" s="209">
        <f t="shared" si="142"/>
        <v>0</v>
      </c>
      <c r="U789" s="209">
        <f>+SUMIFS('A DEPOSITAR'!$H$2:$H$998,'A DEPOSITAR'!$D$2:$D$998,(O789-2),'A DEPOSITAR'!$I$2:$I$998,"A Depositar")</f>
        <v>0</v>
      </c>
      <c r="V789" s="6"/>
      <c r="W789" s="6"/>
      <c r="X789" s="6"/>
      <c r="Y789" s="6"/>
      <c r="Z789" s="6"/>
    </row>
    <row r="790" spans="1:26" ht="12.75" x14ac:dyDescent="0.2">
      <c r="A790" s="36">
        <v>44346</v>
      </c>
      <c r="B790" s="29" t="s">
        <v>139</v>
      </c>
      <c r="C790" s="29">
        <v>85510000</v>
      </c>
      <c r="D790" s="37">
        <v>17000</v>
      </c>
      <c r="E790" s="18" t="s">
        <v>22</v>
      </c>
      <c r="F790" s="7">
        <v>44315</v>
      </c>
      <c r="G790" s="18"/>
      <c r="H790" s="16">
        <f t="shared" si="136"/>
        <v>30</v>
      </c>
      <c r="I790" s="16">
        <f t="shared" si="137"/>
        <v>5</v>
      </c>
      <c r="J790" s="122">
        <f t="shared" si="138"/>
        <v>2021</v>
      </c>
      <c r="K790" s="64">
        <f t="shared" si="139"/>
        <v>44406</v>
      </c>
      <c r="L790" s="6"/>
      <c r="M790" s="6"/>
      <c r="O790" s="208">
        <v>44435</v>
      </c>
      <c r="P790" s="209">
        <f t="shared" si="140"/>
        <v>0</v>
      </c>
      <c r="Q790" s="209">
        <f>+SUMIF('A DEPOSITAR'!$D$2:$D$998,(O790-2),'A DEPOSITAR'!$H$2:$H$998)</f>
        <v>17500</v>
      </c>
      <c r="R790" s="210">
        <f t="shared" si="141"/>
        <v>17500</v>
      </c>
      <c r="S790" s="210">
        <f t="shared" si="143"/>
        <v>4368187.1800000016</v>
      </c>
      <c r="T790" s="209">
        <f t="shared" si="142"/>
        <v>0</v>
      </c>
      <c r="U790" s="209">
        <f>+SUMIFS('A DEPOSITAR'!$H$2:$H$998,'A DEPOSITAR'!$D$2:$D$998,(O790-2),'A DEPOSITAR'!$I$2:$I$998,"A Depositar")</f>
        <v>0</v>
      </c>
      <c r="V790" s="6"/>
      <c r="W790" s="6"/>
      <c r="X790" s="6"/>
      <c r="Y790" s="6"/>
      <c r="Z790" s="6"/>
    </row>
    <row r="791" spans="1:26" ht="12.75" x14ac:dyDescent="0.2">
      <c r="A791" s="36">
        <v>44385</v>
      </c>
      <c r="B791" s="29" t="s">
        <v>147</v>
      </c>
      <c r="C791" s="29">
        <v>85510001</v>
      </c>
      <c r="D791" s="37">
        <v>16500</v>
      </c>
      <c r="E791" s="18" t="s">
        <v>22</v>
      </c>
      <c r="F791" s="7">
        <v>44316</v>
      </c>
      <c r="G791" s="18"/>
      <c r="H791" s="16">
        <f t="shared" ref="H791:H854" si="144">DAY(A791)</f>
        <v>8</v>
      </c>
      <c r="I791" s="16">
        <f t="shared" ref="I791:I854" si="145">MONTH(A791)</f>
        <v>7</v>
      </c>
      <c r="J791" s="122">
        <f t="shared" ref="J791:J854" si="146">YEAR(A791)</f>
        <v>2021</v>
      </c>
      <c r="K791" s="64">
        <f t="shared" si="139"/>
        <v>44445</v>
      </c>
      <c r="L791" s="6"/>
      <c r="M791" s="6"/>
      <c r="O791" s="208">
        <v>44436</v>
      </c>
      <c r="P791" s="209">
        <f t="shared" si="140"/>
        <v>25479.45</v>
      </c>
      <c r="Q791" s="209">
        <f>+SUMIF('A DEPOSITAR'!$D$2:$D$998,(O791-2),'A DEPOSITAR'!$H$2:$H$998)</f>
        <v>7530</v>
      </c>
      <c r="R791" s="210">
        <f t="shared" si="141"/>
        <v>-17949.45</v>
      </c>
      <c r="S791" s="210">
        <f t="shared" si="143"/>
        <v>4350237.7300000014</v>
      </c>
      <c r="T791" s="209">
        <f t="shared" si="142"/>
        <v>0</v>
      </c>
      <c r="U791" s="209">
        <f>+SUMIFS('A DEPOSITAR'!$H$2:$H$998,'A DEPOSITAR'!$D$2:$D$998,(O791-2),'A DEPOSITAR'!$I$2:$I$998,"A Depositar")</f>
        <v>0</v>
      </c>
      <c r="V791" s="6"/>
      <c r="W791" s="6"/>
      <c r="X791" s="6"/>
      <c r="Y791" s="6"/>
      <c r="Z791" s="6"/>
    </row>
    <row r="792" spans="1:26" ht="12.75" x14ac:dyDescent="0.2">
      <c r="A792" s="36">
        <v>44393</v>
      </c>
      <c r="B792" s="29" t="s">
        <v>147</v>
      </c>
      <c r="C792" s="29">
        <v>85510002</v>
      </c>
      <c r="D792" s="37">
        <v>17000</v>
      </c>
      <c r="E792" s="18" t="s">
        <v>22</v>
      </c>
      <c r="F792" s="7">
        <v>44316</v>
      </c>
      <c r="G792" s="18"/>
      <c r="H792" s="16">
        <f t="shared" si="144"/>
        <v>16</v>
      </c>
      <c r="I792" s="16">
        <f t="shared" si="145"/>
        <v>7</v>
      </c>
      <c r="J792" s="122">
        <f t="shared" si="146"/>
        <v>2021</v>
      </c>
      <c r="K792" s="64">
        <f t="shared" si="139"/>
        <v>44453</v>
      </c>
      <c r="L792" s="6"/>
      <c r="M792" s="6"/>
      <c r="O792" s="208">
        <v>44437</v>
      </c>
      <c r="P792" s="209">
        <f t="shared" si="140"/>
        <v>0</v>
      </c>
      <c r="Q792" s="209">
        <f>+SUMIF('A DEPOSITAR'!$D$2:$D$998,(O792-2),'A DEPOSITAR'!$H$2:$H$998)</f>
        <v>12000</v>
      </c>
      <c r="R792" s="210">
        <f t="shared" si="141"/>
        <v>12000</v>
      </c>
      <c r="S792" s="210">
        <f t="shared" si="143"/>
        <v>4362237.7300000014</v>
      </c>
      <c r="T792" s="209">
        <f t="shared" si="142"/>
        <v>0</v>
      </c>
      <c r="U792" s="209">
        <f>+SUMIFS('A DEPOSITAR'!$H$2:$H$998,'A DEPOSITAR'!$D$2:$D$998,(O792-2),'A DEPOSITAR'!$I$2:$I$998,"A Depositar")</f>
        <v>0</v>
      </c>
      <c r="V792" s="6"/>
      <c r="W792" s="6"/>
      <c r="X792" s="6"/>
      <c r="Y792" s="6"/>
      <c r="Z792" s="6"/>
    </row>
    <row r="793" spans="1:26" ht="12.75" x14ac:dyDescent="0.2">
      <c r="A793" s="36">
        <v>44399</v>
      </c>
      <c r="B793" s="29" t="s">
        <v>147</v>
      </c>
      <c r="C793" s="29">
        <v>85510003</v>
      </c>
      <c r="D793" s="37">
        <v>17500</v>
      </c>
      <c r="E793" s="18" t="s">
        <v>22</v>
      </c>
      <c r="F793" s="7">
        <v>44316</v>
      </c>
      <c r="G793" s="18"/>
      <c r="H793" s="16">
        <f t="shared" si="144"/>
        <v>22</v>
      </c>
      <c r="I793" s="16">
        <f t="shared" si="145"/>
        <v>7</v>
      </c>
      <c r="J793" s="122">
        <f t="shared" si="146"/>
        <v>2021</v>
      </c>
      <c r="K793" s="64">
        <f t="shared" si="139"/>
        <v>44459</v>
      </c>
      <c r="L793" s="6"/>
      <c r="M793" s="6"/>
      <c r="O793" s="208">
        <v>44438</v>
      </c>
      <c r="P793" s="209">
        <f t="shared" si="140"/>
        <v>81175</v>
      </c>
      <c r="Q793" s="209">
        <f>+SUMIF('A DEPOSITAR'!$D$2:$D$998,(O793-2),'A DEPOSITAR'!$H$2:$H$998)</f>
        <v>0</v>
      </c>
      <c r="R793" s="210">
        <f t="shared" si="141"/>
        <v>-81175</v>
      </c>
      <c r="S793" s="210">
        <f t="shared" si="143"/>
        <v>4281062.7300000014</v>
      </c>
      <c r="T793" s="209">
        <f t="shared" si="142"/>
        <v>0</v>
      </c>
      <c r="U793" s="209">
        <f>+SUMIFS('A DEPOSITAR'!$H$2:$H$998,'A DEPOSITAR'!$D$2:$D$998,(O793-2),'A DEPOSITAR'!$I$2:$I$998,"A Depositar")</f>
        <v>0</v>
      </c>
      <c r="V793" s="6"/>
      <c r="W793" s="6"/>
      <c r="X793" s="6"/>
      <c r="Y793" s="6"/>
      <c r="Z793" s="6"/>
    </row>
    <row r="794" spans="1:26" ht="12.75" x14ac:dyDescent="0.2">
      <c r="A794" s="36">
        <v>44407</v>
      </c>
      <c r="B794" s="29" t="s">
        <v>147</v>
      </c>
      <c r="C794" s="29">
        <v>85510004</v>
      </c>
      <c r="D794" s="37">
        <v>18000</v>
      </c>
      <c r="E794" s="18" t="s">
        <v>22</v>
      </c>
      <c r="F794" s="7">
        <v>44316</v>
      </c>
      <c r="G794" s="18"/>
      <c r="H794" s="16">
        <f t="shared" si="144"/>
        <v>30</v>
      </c>
      <c r="I794" s="16">
        <f t="shared" si="145"/>
        <v>7</v>
      </c>
      <c r="J794" s="122">
        <f t="shared" si="146"/>
        <v>2021</v>
      </c>
      <c r="K794" s="64">
        <f t="shared" si="139"/>
        <v>44467</v>
      </c>
      <c r="L794" s="6"/>
      <c r="M794" s="6"/>
      <c r="O794" s="208">
        <v>44439</v>
      </c>
      <c r="P794" s="209">
        <f t="shared" si="140"/>
        <v>0</v>
      </c>
      <c r="Q794" s="209">
        <f>+SUMIF('A DEPOSITAR'!$D$2:$D$998,(O794-2),'A DEPOSITAR'!$H$2:$H$998)</f>
        <v>0</v>
      </c>
      <c r="R794" s="210">
        <f t="shared" si="141"/>
        <v>0</v>
      </c>
      <c r="S794" s="210">
        <f t="shared" si="143"/>
        <v>4281062.7300000014</v>
      </c>
      <c r="T794" s="209">
        <f t="shared" si="142"/>
        <v>0</v>
      </c>
      <c r="U794" s="209">
        <f>+SUMIFS('A DEPOSITAR'!$H$2:$H$998,'A DEPOSITAR'!$D$2:$D$998,(O794-2),'A DEPOSITAR'!$I$2:$I$998,"A Depositar")</f>
        <v>0</v>
      </c>
      <c r="V794" s="6"/>
      <c r="W794" s="6"/>
      <c r="X794" s="6"/>
      <c r="Y794" s="6"/>
      <c r="Z794" s="6"/>
    </row>
    <row r="795" spans="1:26" ht="12.75" x14ac:dyDescent="0.2">
      <c r="A795" s="36">
        <v>44416</v>
      </c>
      <c r="B795" s="29" t="s">
        <v>147</v>
      </c>
      <c r="C795" s="29">
        <v>85510005</v>
      </c>
      <c r="D795" s="37">
        <v>19025.66</v>
      </c>
      <c r="E795" s="18" t="s">
        <v>22</v>
      </c>
      <c r="F795" s="7">
        <v>44316</v>
      </c>
      <c r="G795" s="18"/>
      <c r="H795" s="16">
        <f t="shared" si="144"/>
        <v>8</v>
      </c>
      <c r="I795" s="16">
        <f t="shared" si="145"/>
        <v>8</v>
      </c>
      <c r="J795" s="122">
        <f t="shared" si="146"/>
        <v>2021</v>
      </c>
      <c r="K795" s="64">
        <f t="shared" si="139"/>
        <v>44476</v>
      </c>
      <c r="L795" s="6"/>
      <c r="M795" s="6"/>
      <c r="O795" s="208">
        <v>44440</v>
      </c>
      <c r="P795" s="209">
        <f t="shared" si="140"/>
        <v>0</v>
      </c>
      <c r="Q795" s="209">
        <f>+SUMIF('A DEPOSITAR'!$D$2:$D$998,(O795-2),'A DEPOSITAR'!$H$2:$H$998)</f>
        <v>71114</v>
      </c>
      <c r="R795" s="210">
        <f t="shared" si="141"/>
        <v>71114</v>
      </c>
      <c r="S795" s="210">
        <f t="shared" si="143"/>
        <v>4352176.7300000014</v>
      </c>
      <c r="T795" s="209">
        <f t="shared" si="142"/>
        <v>0</v>
      </c>
      <c r="U795" s="209">
        <f>+SUMIFS('A DEPOSITAR'!$H$2:$H$998,'A DEPOSITAR'!$D$2:$D$998,(O795-2),'A DEPOSITAR'!$I$2:$I$998,"A Depositar")</f>
        <v>0</v>
      </c>
      <c r="V795" s="6"/>
      <c r="W795" s="6"/>
      <c r="X795" s="6"/>
      <c r="Y795" s="6"/>
      <c r="Z795" s="6"/>
    </row>
    <row r="796" spans="1:26" ht="12.75" x14ac:dyDescent="0.2">
      <c r="A796" s="36">
        <v>44416</v>
      </c>
      <c r="B796" s="29" t="s">
        <v>212</v>
      </c>
      <c r="C796" s="29">
        <v>85510006</v>
      </c>
      <c r="D796" s="37">
        <v>2600</v>
      </c>
      <c r="E796" s="18" t="s">
        <v>327</v>
      </c>
      <c r="F796" s="7">
        <v>44316</v>
      </c>
      <c r="G796" s="18"/>
      <c r="H796" s="16">
        <f t="shared" si="144"/>
        <v>8</v>
      </c>
      <c r="I796" s="16">
        <f t="shared" si="145"/>
        <v>8</v>
      </c>
      <c r="J796" s="122">
        <f t="shared" si="146"/>
        <v>2021</v>
      </c>
      <c r="K796" s="64">
        <f t="shared" si="139"/>
        <v>44476</v>
      </c>
      <c r="L796" s="6"/>
      <c r="M796" s="6"/>
      <c r="O796" s="208">
        <v>44441</v>
      </c>
      <c r="P796" s="209">
        <f t="shared" si="140"/>
        <v>0</v>
      </c>
      <c r="Q796" s="209">
        <f>+SUMIF('A DEPOSITAR'!$D$2:$D$998,(O796-2),'A DEPOSITAR'!$H$2:$H$998)</f>
        <v>107300</v>
      </c>
      <c r="R796" s="210">
        <f t="shared" si="141"/>
        <v>107300</v>
      </c>
      <c r="S796" s="210">
        <f t="shared" si="143"/>
        <v>4459476.7300000014</v>
      </c>
      <c r="T796" s="209">
        <f t="shared" si="142"/>
        <v>0</v>
      </c>
      <c r="U796" s="209">
        <f>+SUMIFS('A DEPOSITAR'!$H$2:$H$998,'A DEPOSITAR'!$D$2:$D$998,(O796-2),'A DEPOSITAR'!$I$2:$I$998,"A Depositar")</f>
        <v>0</v>
      </c>
      <c r="V796" s="6"/>
      <c r="W796" s="6"/>
      <c r="X796" s="6"/>
      <c r="Y796" s="6"/>
      <c r="Z796" s="6"/>
    </row>
    <row r="797" spans="1:26" ht="12.75" x14ac:dyDescent="0.2">
      <c r="A797" s="36">
        <v>44337</v>
      </c>
      <c r="B797" s="29" t="s">
        <v>139</v>
      </c>
      <c r="C797" s="29">
        <v>85510007</v>
      </c>
      <c r="D797" s="37">
        <v>12010</v>
      </c>
      <c r="E797" s="18" t="s">
        <v>22</v>
      </c>
      <c r="F797" s="7">
        <v>44316</v>
      </c>
      <c r="G797" s="18" t="s">
        <v>1178</v>
      </c>
      <c r="H797" s="16">
        <f t="shared" si="144"/>
        <v>21</v>
      </c>
      <c r="I797" s="16">
        <f t="shared" si="145"/>
        <v>5</v>
      </c>
      <c r="J797" s="122">
        <f t="shared" si="146"/>
        <v>2021</v>
      </c>
      <c r="K797" s="64">
        <f t="shared" si="139"/>
        <v>44397</v>
      </c>
      <c r="L797" s="6"/>
      <c r="M797" s="6"/>
      <c r="O797" s="208">
        <v>44442</v>
      </c>
      <c r="P797" s="209">
        <f t="shared" si="140"/>
        <v>0</v>
      </c>
      <c r="Q797" s="209">
        <f>+SUMIF('A DEPOSITAR'!$D$2:$D$998,(O797-2),'A DEPOSITAR'!$H$2:$H$998)</f>
        <v>0</v>
      </c>
      <c r="R797" s="210">
        <f t="shared" si="141"/>
        <v>0</v>
      </c>
      <c r="S797" s="210">
        <f t="shared" si="143"/>
        <v>4459476.7300000014</v>
      </c>
      <c r="T797" s="209">
        <f t="shared" si="142"/>
        <v>0</v>
      </c>
      <c r="U797" s="209">
        <f>+SUMIFS('A DEPOSITAR'!$H$2:$H$998,'A DEPOSITAR'!$D$2:$D$998,(O797-2),'A DEPOSITAR'!$I$2:$I$998,"A Depositar")</f>
        <v>0</v>
      </c>
      <c r="V797" s="6"/>
      <c r="W797" s="6"/>
      <c r="X797" s="6"/>
      <c r="Y797" s="6"/>
      <c r="Z797" s="6"/>
    </row>
    <row r="798" spans="1:26" ht="12.75" x14ac:dyDescent="0.2">
      <c r="A798" s="36">
        <v>44337</v>
      </c>
      <c r="B798" s="29" t="s">
        <v>139</v>
      </c>
      <c r="C798" s="29">
        <v>85510008</v>
      </c>
      <c r="D798" s="37">
        <v>18200</v>
      </c>
      <c r="E798" s="18" t="s">
        <v>22</v>
      </c>
      <c r="F798" s="7">
        <v>44316</v>
      </c>
      <c r="G798" s="29" t="s">
        <v>1178</v>
      </c>
      <c r="H798" s="16">
        <f t="shared" si="144"/>
        <v>21</v>
      </c>
      <c r="I798" s="16">
        <f t="shared" si="145"/>
        <v>5</v>
      </c>
      <c r="J798" s="122">
        <f t="shared" si="146"/>
        <v>2021</v>
      </c>
      <c r="K798" s="64">
        <f t="shared" si="139"/>
        <v>44397</v>
      </c>
      <c r="L798" s="6"/>
      <c r="M798" s="6"/>
      <c r="O798" s="208">
        <v>44443</v>
      </c>
      <c r="P798" s="209">
        <f t="shared" si="140"/>
        <v>0</v>
      </c>
      <c r="Q798" s="209">
        <f>+SUMIF('A DEPOSITAR'!$D$2:$D$998,(O798-2),'A DEPOSITAR'!$H$2:$H$998)</f>
        <v>0</v>
      </c>
      <c r="R798" s="210">
        <f t="shared" si="141"/>
        <v>0</v>
      </c>
      <c r="S798" s="210">
        <f t="shared" si="143"/>
        <v>4459476.7300000014</v>
      </c>
      <c r="T798" s="209">
        <f t="shared" si="142"/>
        <v>0</v>
      </c>
      <c r="U798" s="209">
        <f>+SUMIFS('A DEPOSITAR'!$H$2:$H$998,'A DEPOSITAR'!$D$2:$D$998,(O798-2),'A DEPOSITAR'!$I$2:$I$998,"A Depositar")</f>
        <v>0</v>
      </c>
      <c r="V798" s="6"/>
      <c r="W798" s="6"/>
      <c r="X798" s="6"/>
      <c r="Y798" s="6"/>
      <c r="Z798" s="6"/>
    </row>
    <row r="799" spans="1:26" ht="12.75" x14ac:dyDescent="0.2">
      <c r="A799" s="36">
        <v>44337</v>
      </c>
      <c r="B799" s="29" t="s">
        <v>139</v>
      </c>
      <c r="C799" s="29">
        <v>85510009</v>
      </c>
      <c r="D799" s="37">
        <v>19200</v>
      </c>
      <c r="E799" s="18" t="s">
        <v>22</v>
      </c>
      <c r="F799" s="7">
        <v>44316</v>
      </c>
      <c r="G799" s="29" t="s">
        <v>1178</v>
      </c>
      <c r="H799" s="16">
        <f t="shared" si="144"/>
        <v>21</v>
      </c>
      <c r="I799" s="16">
        <f t="shared" si="145"/>
        <v>5</v>
      </c>
      <c r="J799" s="122">
        <f t="shared" si="146"/>
        <v>2021</v>
      </c>
      <c r="K799" s="64">
        <f t="shared" si="139"/>
        <v>44397</v>
      </c>
      <c r="L799" s="6"/>
      <c r="M799" s="6"/>
      <c r="O799" s="208">
        <v>44444</v>
      </c>
      <c r="P799" s="209">
        <f t="shared" si="140"/>
        <v>0</v>
      </c>
      <c r="Q799" s="209">
        <f>+SUMIF('A DEPOSITAR'!$D$2:$D$998,(O799-2),'A DEPOSITAR'!$H$2:$H$998)</f>
        <v>0</v>
      </c>
      <c r="R799" s="210">
        <f t="shared" si="141"/>
        <v>0</v>
      </c>
      <c r="S799" s="210">
        <f t="shared" si="143"/>
        <v>4459476.7300000014</v>
      </c>
      <c r="T799" s="209">
        <f t="shared" si="142"/>
        <v>0</v>
      </c>
      <c r="U799" s="209">
        <f>+SUMIFS('A DEPOSITAR'!$H$2:$H$998,'A DEPOSITAR'!$D$2:$D$998,(O799-2),'A DEPOSITAR'!$I$2:$I$998,"A Depositar")</f>
        <v>0</v>
      </c>
      <c r="V799" s="6"/>
      <c r="W799" s="6"/>
      <c r="X799" s="6"/>
      <c r="Y799" s="6"/>
      <c r="Z799" s="6"/>
    </row>
    <row r="800" spans="1:26" ht="12.75" x14ac:dyDescent="0.2">
      <c r="A800" s="36">
        <v>44337</v>
      </c>
      <c r="B800" s="29" t="s">
        <v>139</v>
      </c>
      <c r="C800" s="29">
        <v>85510010</v>
      </c>
      <c r="D800" s="37">
        <v>23700</v>
      </c>
      <c r="E800" s="18" t="s">
        <v>22</v>
      </c>
      <c r="F800" s="7">
        <v>44316</v>
      </c>
      <c r="G800" s="29" t="s">
        <v>1178</v>
      </c>
      <c r="H800" s="16">
        <f t="shared" si="144"/>
        <v>21</v>
      </c>
      <c r="I800" s="16">
        <f t="shared" si="145"/>
        <v>5</v>
      </c>
      <c r="J800" s="122">
        <f t="shared" si="146"/>
        <v>2021</v>
      </c>
      <c r="K800" s="64">
        <f t="shared" si="139"/>
        <v>44397</v>
      </c>
      <c r="L800" s="6"/>
      <c r="M800" s="6"/>
      <c r="O800" s="208">
        <v>44445</v>
      </c>
      <c r="P800" s="209">
        <f t="shared" si="140"/>
        <v>0</v>
      </c>
      <c r="Q800" s="209">
        <f>+SUMIF('A DEPOSITAR'!$D$2:$D$998,(O800-2),'A DEPOSITAR'!$H$2:$H$998)</f>
        <v>0</v>
      </c>
      <c r="R800" s="210">
        <f t="shared" si="141"/>
        <v>0</v>
      </c>
      <c r="S800" s="210">
        <f t="shared" si="143"/>
        <v>4459476.7300000014</v>
      </c>
      <c r="T800" s="209">
        <f t="shared" si="142"/>
        <v>0</v>
      </c>
      <c r="U800" s="209">
        <f>+SUMIFS('A DEPOSITAR'!$H$2:$H$998,'A DEPOSITAR'!$D$2:$D$998,(O800-2),'A DEPOSITAR'!$I$2:$I$998,"A Depositar")</f>
        <v>0</v>
      </c>
      <c r="V800" s="6"/>
      <c r="W800" s="6"/>
      <c r="X800" s="6"/>
      <c r="Y800" s="6"/>
      <c r="Z800" s="6"/>
    </row>
    <row r="801" spans="1:26" ht="12.75" x14ac:dyDescent="0.2">
      <c r="A801" s="36">
        <v>44377</v>
      </c>
      <c r="B801" s="29" t="s">
        <v>1173</v>
      </c>
      <c r="C801" s="29">
        <v>85510011</v>
      </c>
      <c r="D801" s="37">
        <v>4106</v>
      </c>
      <c r="E801" s="18" t="s">
        <v>22</v>
      </c>
      <c r="F801" s="7">
        <v>44326</v>
      </c>
      <c r="G801" s="18"/>
      <c r="H801" s="16">
        <f t="shared" si="144"/>
        <v>30</v>
      </c>
      <c r="I801" s="16">
        <f t="shared" si="145"/>
        <v>6</v>
      </c>
      <c r="J801" s="122">
        <f t="shared" si="146"/>
        <v>2021</v>
      </c>
      <c r="K801" s="64">
        <f t="shared" si="139"/>
        <v>44437</v>
      </c>
      <c r="L801" s="6"/>
      <c r="M801" s="6"/>
      <c r="O801" s="208">
        <v>44446</v>
      </c>
      <c r="P801" s="209">
        <f t="shared" si="140"/>
        <v>0</v>
      </c>
      <c r="Q801" s="209">
        <f>+SUMIF('A DEPOSITAR'!$D$2:$D$998,(O801-2),'A DEPOSITAR'!$H$2:$H$998)</f>
        <v>33433</v>
      </c>
      <c r="R801" s="210">
        <f t="shared" si="141"/>
        <v>33433</v>
      </c>
      <c r="S801" s="210">
        <f t="shared" si="143"/>
        <v>4492909.7300000014</v>
      </c>
      <c r="T801" s="209">
        <f t="shared" si="142"/>
        <v>0</v>
      </c>
      <c r="U801" s="209">
        <f>+SUMIFS('A DEPOSITAR'!$H$2:$H$998,'A DEPOSITAR'!$D$2:$D$998,(O801-2),'A DEPOSITAR'!$I$2:$I$998,"A Depositar")</f>
        <v>0</v>
      </c>
      <c r="V801" s="6"/>
      <c r="W801" s="6"/>
      <c r="X801" s="6"/>
      <c r="Y801" s="6"/>
      <c r="Z801" s="6"/>
    </row>
    <row r="802" spans="1:26" ht="12.75" x14ac:dyDescent="0.2">
      <c r="A802" s="36">
        <v>44393</v>
      </c>
      <c r="B802" s="29" t="s">
        <v>1173</v>
      </c>
      <c r="C802" s="29">
        <v>85510012</v>
      </c>
      <c r="D802" s="37">
        <v>4108</v>
      </c>
      <c r="E802" s="29" t="s">
        <v>22</v>
      </c>
      <c r="F802" s="34">
        <v>44326</v>
      </c>
      <c r="G802" s="18"/>
      <c r="H802" s="16">
        <f t="shared" si="144"/>
        <v>16</v>
      </c>
      <c r="I802" s="16">
        <f t="shared" si="145"/>
        <v>7</v>
      </c>
      <c r="J802" s="122">
        <f t="shared" si="146"/>
        <v>2021</v>
      </c>
      <c r="K802" s="64">
        <f t="shared" si="139"/>
        <v>44453</v>
      </c>
      <c r="L802" s="6"/>
      <c r="M802" s="6"/>
      <c r="O802" s="208">
        <v>44447</v>
      </c>
      <c r="P802" s="209">
        <f t="shared" si="140"/>
        <v>81749</v>
      </c>
      <c r="Q802" s="209">
        <f>+SUMIF('A DEPOSITAR'!$D$2:$D$998,(O802-2),'A DEPOSITAR'!$H$2:$H$998)</f>
        <v>0</v>
      </c>
      <c r="R802" s="210">
        <f t="shared" si="141"/>
        <v>-81749</v>
      </c>
      <c r="S802" s="210">
        <f t="shared" si="143"/>
        <v>4411160.7300000014</v>
      </c>
      <c r="T802" s="209">
        <f t="shared" si="142"/>
        <v>0</v>
      </c>
      <c r="U802" s="209">
        <f>+SUMIFS('A DEPOSITAR'!$H$2:$H$998,'A DEPOSITAR'!$D$2:$D$998,(O802-2),'A DEPOSITAR'!$I$2:$I$998,"A Depositar")</f>
        <v>0</v>
      </c>
      <c r="V802" s="6"/>
      <c r="W802" s="6"/>
      <c r="X802" s="6"/>
      <c r="Y802" s="6"/>
      <c r="Z802" s="6"/>
    </row>
    <row r="803" spans="1:26" ht="12.75" x14ac:dyDescent="0.2">
      <c r="A803" s="36">
        <v>44407</v>
      </c>
      <c r="B803" s="29" t="s">
        <v>1173</v>
      </c>
      <c r="C803" s="29">
        <v>85510013</v>
      </c>
      <c r="D803" s="37">
        <v>4200</v>
      </c>
      <c r="E803" s="29" t="s">
        <v>22</v>
      </c>
      <c r="F803" s="34">
        <v>44326</v>
      </c>
      <c r="G803" s="18"/>
      <c r="H803" s="16">
        <f t="shared" si="144"/>
        <v>30</v>
      </c>
      <c r="I803" s="16">
        <f t="shared" si="145"/>
        <v>7</v>
      </c>
      <c r="J803" s="122">
        <f t="shared" si="146"/>
        <v>2021</v>
      </c>
      <c r="K803" s="64">
        <f t="shared" si="139"/>
        <v>44467</v>
      </c>
      <c r="L803" s="6"/>
      <c r="M803" s="6"/>
      <c r="O803" s="208">
        <v>44448</v>
      </c>
      <c r="P803" s="209">
        <f t="shared" si="140"/>
        <v>0</v>
      </c>
      <c r="Q803" s="209">
        <f>+SUMIF('A DEPOSITAR'!$D$2:$D$998,(O803-2),'A DEPOSITAR'!$H$2:$H$998)</f>
        <v>0</v>
      </c>
      <c r="R803" s="210">
        <f t="shared" si="141"/>
        <v>0</v>
      </c>
      <c r="S803" s="210">
        <f t="shared" si="143"/>
        <v>4411160.7300000014</v>
      </c>
      <c r="T803" s="209">
        <f t="shared" si="142"/>
        <v>0</v>
      </c>
      <c r="U803" s="209">
        <f>+SUMIFS('A DEPOSITAR'!$H$2:$H$998,'A DEPOSITAR'!$D$2:$D$998,(O803-2),'A DEPOSITAR'!$I$2:$I$998,"A Depositar")</f>
        <v>0</v>
      </c>
      <c r="V803" s="6"/>
      <c r="W803" s="6"/>
      <c r="X803" s="6"/>
      <c r="Y803" s="6"/>
      <c r="Z803" s="6"/>
    </row>
    <row r="804" spans="1:26" ht="12.75" x14ac:dyDescent="0.2">
      <c r="A804" s="36">
        <v>44416</v>
      </c>
      <c r="B804" s="29" t="s">
        <v>1173</v>
      </c>
      <c r="C804" s="29">
        <v>85510014</v>
      </c>
      <c r="D804" s="37">
        <v>4100</v>
      </c>
      <c r="E804" s="29" t="s">
        <v>22</v>
      </c>
      <c r="F804" s="34">
        <v>44326</v>
      </c>
      <c r="G804" s="18"/>
      <c r="H804" s="16">
        <f t="shared" si="144"/>
        <v>8</v>
      </c>
      <c r="I804" s="16">
        <f t="shared" si="145"/>
        <v>8</v>
      </c>
      <c r="J804" s="122">
        <f t="shared" si="146"/>
        <v>2021</v>
      </c>
      <c r="K804" s="64">
        <f t="shared" si="139"/>
        <v>44476</v>
      </c>
      <c r="L804" s="6"/>
      <c r="M804" s="6"/>
      <c r="O804" s="208">
        <v>44449</v>
      </c>
      <c r="P804" s="209">
        <f t="shared" si="140"/>
        <v>0</v>
      </c>
      <c r="Q804" s="209">
        <f>+SUMIF('A DEPOSITAR'!$D$2:$D$998,(O804-2),'A DEPOSITAR'!$H$2:$H$998)</f>
        <v>0</v>
      </c>
      <c r="R804" s="210">
        <f t="shared" si="141"/>
        <v>0</v>
      </c>
      <c r="S804" s="210">
        <f t="shared" si="143"/>
        <v>4411160.7300000014</v>
      </c>
      <c r="T804" s="209">
        <f t="shared" si="142"/>
        <v>0</v>
      </c>
      <c r="U804" s="209">
        <f>+SUMIFS('A DEPOSITAR'!$H$2:$H$998,'A DEPOSITAR'!$D$2:$D$998,(O804-2),'A DEPOSITAR'!$I$2:$I$998,"A Depositar")</f>
        <v>0</v>
      </c>
      <c r="V804" s="6"/>
      <c r="W804" s="6"/>
      <c r="X804" s="6"/>
      <c r="Y804" s="6"/>
      <c r="Z804" s="6"/>
    </row>
    <row r="805" spans="1:26" ht="12.75" x14ac:dyDescent="0.2">
      <c r="A805" s="36">
        <v>44424</v>
      </c>
      <c r="B805" s="29" t="s">
        <v>1173</v>
      </c>
      <c r="C805" s="29">
        <v>85510015</v>
      </c>
      <c r="D805" s="37">
        <v>4200</v>
      </c>
      <c r="E805" s="29" t="s">
        <v>22</v>
      </c>
      <c r="F805" s="34">
        <v>44326</v>
      </c>
      <c r="G805" s="18"/>
      <c r="H805" s="16">
        <f t="shared" si="144"/>
        <v>16</v>
      </c>
      <c r="I805" s="16">
        <f t="shared" si="145"/>
        <v>8</v>
      </c>
      <c r="J805" s="122">
        <f t="shared" si="146"/>
        <v>2021</v>
      </c>
      <c r="K805" s="64">
        <f t="shared" si="139"/>
        <v>44484</v>
      </c>
      <c r="L805" s="6"/>
      <c r="M805" s="6"/>
      <c r="O805" s="208">
        <v>44450</v>
      </c>
      <c r="P805" s="209">
        <f t="shared" si="140"/>
        <v>0</v>
      </c>
      <c r="Q805" s="209">
        <f>+SUMIF('A DEPOSITAR'!$D$2:$D$998,(O805-2),'A DEPOSITAR'!$H$2:$H$998)</f>
        <v>0</v>
      </c>
      <c r="R805" s="210">
        <f t="shared" si="141"/>
        <v>0</v>
      </c>
      <c r="S805" s="210">
        <f t="shared" si="143"/>
        <v>4411160.7300000014</v>
      </c>
      <c r="T805" s="209">
        <f t="shared" si="142"/>
        <v>0</v>
      </c>
      <c r="U805" s="209">
        <f>+SUMIFS('A DEPOSITAR'!$H$2:$H$998,'A DEPOSITAR'!$D$2:$D$998,(O805-2),'A DEPOSITAR'!$I$2:$I$998,"A Depositar")</f>
        <v>0</v>
      </c>
      <c r="V805" s="6"/>
      <c r="W805" s="6"/>
      <c r="X805" s="6"/>
      <c r="Y805" s="6"/>
      <c r="Z805" s="6"/>
    </row>
    <row r="806" spans="1:26" ht="12.75" x14ac:dyDescent="0.2">
      <c r="A806" s="36">
        <v>44346</v>
      </c>
      <c r="B806" s="29" t="s">
        <v>283</v>
      </c>
      <c r="C806" s="29">
        <v>85510016</v>
      </c>
      <c r="D806" s="37">
        <v>8376</v>
      </c>
      <c r="E806" s="18" t="s">
        <v>22</v>
      </c>
      <c r="F806" s="7">
        <v>44326</v>
      </c>
      <c r="G806" s="18"/>
      <c r="H806" s="16">
        <f t="shared" si="144"/>
        <v>30</v>
      </c>
      <c r="I806" s="16">
        <f t="shared" si="145"/>
        <v>5</v>
      </c>
      <c r="J806" s="122">
        <f t="shared" si="146"/>
        <v>2021</v>
      </c>
      <c r="K806" s="64">
        <f t="shared" si="139"/>
        <v>44406</v>
      </c>
      <c r="L806" s="6"/>
      <c r="M806" s="6"/>
      <c r="O806" s="208">
        <v>44451</v>
      </c>
      <c r="P806" s="209">
        <f t="shared" si="140"/>
        <v>0</v>
      </c>
      <c r="Q806" s="209">
        <f>+SUMIF('A DEPOSITAR'!$D$2:$D$998,(O806-2),'A DEPOSITAR'!$H$2:$H$998)</f>
        <v>0</v>
      </c>
      <c r="R806" s="210">
        <f t="shared" si="141"/>
        <v>0</v>
      </c>
      <c r="S806" s="210">
        <f t="shared" si="143"/>
        <v>4411160.7300000014</v>
      </c>
      <c r="T806" s="209">
        <f t="shared" si="142"/>
        <v>0</v>
      </c>
      <c r="U806" s="209">
        <f>+SUMIFS('A DEPOSITAR'!$H$2:$H$998,'A DEPOSITAR'!$D$2:$D$998,(O806-2),'A DEPOSITAR'!$I$2:$I$998,"A Depositar")</f>
        <v>0</v>
      </c>
      <c r="V806" s="6"/>
      <c r="W806" s="6"/>
      <c r="X806" s="6"/>
      <c r="Y806" s="6"/>
      <c r="Z806" s="6"/>
    </row>
    <row r="807" spans="1:26" ht="12.75" x14ac:dyDescent="0.2">
      <c r="A807" s="36">
        <v>44407</v>
      </c>
      <c r="B807" s="29" t="s">
        <v>199</v>
      </c>
      <c r="C807" s="29">
        <v>85510017</v>
      </c>
      <c r="D807" s="37">
        <v>7432.1</v>
      </c>
      <c r="E807" s="18" t="s">
        <v>22</v>
      </c>
      <c r="F807" s="7">
        <v>44326</v>
      </c>
      <c r="G807" s="18"/>
      <c r="H807" s="16">
        <f t="shared" si="144"/>
        <v>30</v>
      </c>
      <c r="I807" s="16">
        <f t="shared" si="145"/>
        <v>7</v>
      </c>
      <c r="J807" s="122">
        <f t="shared" si="146"/>
        <v>2021</v>
      </c>
      <c r="K807" s="64">
        <f t="shared" si="139"/>
        <v>44467</v>
      </c>
      <c r="L807" s="6"/>
      <c r="M807" s="6"/>
      <c r="O807" s="208">
        <v>44452</v>
      </c>
      <c r="P807" s="209">
        <f t="shared" si="140"/>
        <v>0</v>
      </c>
      <c r="Q807" s="209">
        <f>+SUMIF('A DEPOSITAR'!$D$2:$D$998,(O807-2),'A DEPOSITAR'!$H$2:$H$998)</f>
        <v>20000</v>
      </c>
      <c r="R807" s="210">
        <f t="shared" si="141"/>
        <v>20000</v>
      </c>
      <c r="S807" s="210">
        <f t="shared" si="143"/>
        <v>4431160.7300000014</v>
      </c>
      <c r="T807" s="209">
        <f t="shared" si="142"/>
        <v>0</v>
      </c>
      <c r="U807" s="209">
        <f>+SUMIFS('A DEPOSITAR'!$H$2:$H$998,'A DEPOSITAR'!$D$2:$D$998,(O807-2),'A DEPOSITAR'!$I$2:$I$998,"A Depositar")</f>
        <v>0</v>
      </c>
      <c r="V807" s="6"/>
      <c r="W807" s="6"/>
      <c r="X807" s="6"/>
      <c r="Y807" s="6"/>
      <c r="Z807" s="6"/>
    </row>
    <row r="808" spans="1:26" ht="12.75" x14ac:dyDescent="0.2">
      <c r="A808" s="36">
        <v>44393</v>
      </c>
      <c r="B808" s="29" t="s">
        <v>1174</v>
      </c>
      <c r="C808" s="29">
        <v>85510018</v>
      </c>
      <c r="D808" s="37">
        <v>7250</v>
      </c>
      <c r="E808" s="29" t="s">
        <v>22</v>
      </c>
      <c r="F808" s="7">
        <v>44328</v>
      </c>
      <c r="G808" s="18"/>
      <c r="H808" s="16">
        <f t="shared" si="144"/>
        <v>16</v>
      </c>
      <c r="I808" s="16">
        <f t="shared" si="145"/>
        <v>7</v>
      </c>
      <c r="J808" s="122">
        <f t="shared" si="146"/>
        <v>2021</v>
      </c>
      <c r="K808" s="64">
        <f t="shared" si="139"/>
        <v>44453</v>
      </c>
      <c r="L808" s="6"/>
      <c r="M808" s="6"/>
      <c r="O808" s="208">
        <v>44453</v>
      </c>
      <c r="P808" s="209">
        <f t="shared" si="140"/>
        <v>0</v>
      </c>
      <c r="Q808" s="209">
        <f>+SUMIF('A DEPOSITAR'!$D$2:$D$998,(O808-2),'A DEPOSITAR'!$H$2:$H$998)</f>
        <v>0</v>
      </c>
      <c r="R808" s="210">
        <f t="shared" si="141"/>
        <v>0</v>
      </c>
      <c r="S808" s="210">
        <f t="shared" si="143"/>
        <v>4431160.7300000014</v>
      </c>
      <c r="T808" s="209">
        <f t="shared" si="142"/>
        <v>0</v>
      </c>
      <c r="U808" s="209">
        <f>+SUMIFS('A DEPOSITAR'!$H$2:$H$998,'A DEPOSITAR'!$D$2:$D$998,(O808-2),'A DEPOSITAR'!$I$2:$I$998,"A Depositar")</f>
        <v>0</v>
      </c>
      <c r="V808" s="6"/>
      <c r="W808" s="6"/>
      <c r="X808" s="6"/>
      <c r="Y808" s="6"/>
      <c r="Z808" s="6"/>
    </row>
    <row r="809" spans="1:26" ht="12.75" x14ac:dyDescent="0.2">
      <c r="A809" s="36">
        <v>44399</v>
      </c>
      <c r="B809" s="29" t="s">
        <v>1174</v>
      </c>
      <c r="C809" s="29">
        <v>85510019</v>
      </c>
      <c r="D809" s="37">
        <v>5000</v>
      </c>
      <c r="E809" s="18" t="s">
        <v>22</v>
      </c>
      <c r="F809" s="7">
        <v>44328</v>
      </c>
      <c r="G809" s="18"/>
      <c r="H809" s="16">
        <f t="shared" si="144"/>
        <v>22</v>
      </c>
      <c r="I809" s="16">
        <f t="shared" si="145"/>
        <v>7</v>
      </c>
      <c r="J809" s="122">
        <f t="shared" si="146"/>
        <v>2021</v>
      </c>
      <c r="K809" s="64">
        <f t="shared" si="139"/>
        <v>44459</v>
      </c>
      <c r="L809" s="6"/>
      <c r="M809" s="6"/>
      <c r="O809" s="208">
        <v>44454</v>
      </c>
      <c r="P809" s="209">
        <f t="shared" si="140"/>
        <v>8700</v>
      </c>
      <c r="Q809" s="209">
        <f>+SUMIF('A DEPOSITAR'!$D$2:$D$998,(O809-2),'A DEPOSITAR'!$H$2:$H$998)</f>
        <v>0</v>
      </c>
      <c r="R809" s="210">
        <f t="shared" si="141"/>
        <v>-8700</v>
      </c>
      <c r="S809" s="210">
        <f t="shared" si="143"/>
        <v>4422460.7300000014</v>
      </c>
      <c r="T809" s="209">
        <f t="shared" si="142"/>
        <v>0</v>
      </c>
      <c r="U809" s="209">
        <f>+SUMIFS('A DEPOSITAR'!$H$2:$H$998,'A DEPOSITAR'!$D$2:$D$998,(O809-2),'A DEPOSITAR'!$I$2:$I$998,"A Depositar")</f>
        <v>0</v>
      </c>
      <c r="V809" s="6"/>
      <c r="W809" s="6"/>
      <c r="X809" s="6"/>
      <c r="Y809" s="6"/>
      <c r="Z809" s="6"/>
    </row>
    <row r="810" spans="1:26" ht="12.75" x14ac:dyDescent="0.2">
      <c r="A810" s="36">
        <v>44399</v>
      </c>
      <c r="B810" s="29" t="s">
        <v>833</v>
      </c>
      <c r="C810" s="29">
        <v>85510020</v>
      </c>
      <c r="D810" s="37">
        <v>10000</v>
      </c>
      <c r="E810" s="18" t="s">
        <v>22</v>
      </c>
      <c r="F810" s="7">
        <v>44329</v>
      </c>
      <c r="G810" s="18"/>
      <c r="H810" s="16">
        <f t="shared" si="144"/>
        <v>22</v>
      </c>
      <c r="I810" s="16">
        <f t="shared" si="145"/>
        <v>7</v>
      </c>
      <c r="J810" s="122">
        <f t="shared" si="146"/>
        <v>2021</v>
      </c>
      <c r="K810" s="64">
        <f t="shared" si="139"/>
        <v>44459</v>
      </c>
      <c r="L810" s="6"/>
      <c r="M810" s="6"/>
      <c r="O810" s="208">
        <v>44455</v>
      </c>
      <c r="P810" s="209">
        <f t="shared" si="140"/>
        <v>88310.900000000009</v>
      </c>
      <c r="Q810" s="209">
        <f>+SUMIF('A DEPOSITAR'!$D$2:$D$998,(O810-2),'A DEPOSITAR'!$H$2:$H$998)</f>
        <v>21800</v>
      </c>
      <c r="R810" s="210">
        <f t="shared" si="141"/>
        <v>-66510.900000000009</v>
      </c>
      <c r="S810" s="210">
        <f t="shared" si="143"/>
        <v>4355949.830000001</v>
      </c>
      <c r="T810" s="209">
        <f t="shared" si="142"/>
        <v>0</v>
      </c>
      <c r="U810" s="209">
        <f>+SUMIFS('A DEPOSITAR'!$H$2:$H$998,'A DEPOSITAR'!$D$2:$D$998,(O810-2),'A DEPOSITAR'!$I$2:$I$998,"A Depositar")</f>
        <v>0</v>
      </c>
      <c r="V810" s="6"/>
      <c r="W810" s="6"/>
      <c r="X810" s="6"/>
      <c r="Y810" s="6"/>
      <c r="Z810" s="6"/>
    </row>
    <row r="811" spans="1:26" ht="12.75" x14ac:dyDescent="0.2">
      <c r="A811" s="36">
        <v>44407</v>
      </c>
      <c r="B811" s="29" t="s">
        <v>833</v>
      </c>
      <c r="C811" s="29">
        <v>85510021</v>
      </c>
      <c r="D811" s="37">
        <v>19548</v>
      </c>
      <c r="E811" s="18" t="s">
        <v>22</v>
      </c>
      <c r="F811" s="7">
        <v>44329</v>
      </c>
      <c r="G811" s="18"/>
      <c r="H811" s="16">
        <f t="shared" si="144"/>
        <v>30</v>
      </c>
      <c r="I811" s="16">
        <f t="shared" si="145"/>
        <v>7</v>
      </c>
      <c r="J811" s="122">
        <f t="shared" si="146"/>
        <v>2021</v>
      </c>
      <c r="K811" s="64">
        <f t="shared" si="139"/>
        <v>44467</v>
      </c>
      <c r="L811" s="6"/>
      <c r="M811" s="6"/>
      <c r="O811" s="208">
        <v>44456</v>
      </c>
      <c r="P811" s="209">
        <f t="shared" si="140"/>
        <v>63212.049999999996</v>
      </c>
      <c r="Q811" s="209">
        <f>+SUMIF('A DEPOSITAR'!$D$2:$D$998,(O811-2),'A DEPOSITAR'!$H$2:$H$998)</f>
        <v>32000</v>
      </c>
      <c r="R811" s="210">
        <f t="shared" si="141"/>
        <v>-31212.049999999996</v>
      </c>
      <c r="S811" s="210">
        <f t="shared" si="143"/>
        <v>4324737.7800000012</v>
      </c>
      <c r="T811" s="209">
        <f t="shared" si="142"/>
        <v>0</v>
      </c>
      <c r="U811" s="209">
        <f>+SUMIFS('A DEPOSITAR'!$H$2:$H$998,'A DEPOSITAR'!$D$2:$D$998,(O811-2),'A DEPOSITAR'!$I$2:$I$998,"A Depositar")</f>
        <v>0</v>
      </c>
      <c r="V811" s="6"/>
      <c r="W811" s="6"/>
      <c r="X811" s="6"/>
      <c r="Y811" s="6"/>
      <c r="Z811" s="6"/>
    </row>
    <row r="812" spans="1:26" ht="12.75" x14ac:dyDescent="0.2">
      <c r="A812" s="36">
        <v>44416</v>
      </c>
      <c r="B812" s="29" t="s">
        <v>833</v>
      </c>
      <c r="C812" s="29">
        <v>85510022</v>
      </c>
      <c r="D812" s="37">
        <v>12000</v>
      </c>
      <c r="E812" s="18" t="s">
        <v>22</v>
      </c>
      <c r="F812" s="7">
        <v>44329</v>
      </c>
      <c r="G812" s="18"/>
      <c r="H812" s="16">
        <f t="shared" si="144"/>
        <v>8</v>
      </c>
      <c r="I812" s="16">
        <f t="shared" si="145"/>
        <v>8</v>
      </c>
      <c r="J812" s="122">
        <f t="shared" si="146"/>
        <v>2021</v>
      </c>
      <c r="K812" s="64">
        <f t="shared" si="139"/>
        <v>44476</v>
      </c>
      <c r="L812" s="6"/>
      <c r="M812" s="6"/>
      <c r="O812" s="208">
        <v>44457</v>
      </c>
      <c r="P812" s="209">
        <f t="shared" si="140"/>
        <v>0</v>
      </c>
      <c r="Q812" s="209">
        <f>+SUMIF('A DEPOSITAR'!$D$2:$D$998,(O812-2),'A DEPOSITAR'!$H$2:$H$998)</f>
        <v>33947.589999999997</v>
      </c>
      <c r="R812" s="210">
        <f t="shared" si="141"/>
        <v>33947.589999999997</v>
      </c>
      <c r="S812" s="210">
        <f t="shared" si="143"/>
        <v>4358685.370000001</v>
      </c>
      <c r="T812" s="209">
        <f t="shared" si="142"/>
        <v>0</v>
      </c>
      <c r="U812" s="209">
        <f>+SUMIFS('A DEPOSITAR'!$H$2:$H$998,'A DEPOSITAR'!$D$2:$D$998,(O812-2),'A DEPOSITAR'!$I$2:$I$998,"A Depositar")</f>
        <v>0</v>
      </c>
      <c r="V812" s="6"/>
      <c r="W812" s="6"/>
      <c r="X812" s="6"/>
      <c r="Y812" s="6"/>
      <c r="Z812" s="6"/>
    </row>
    <row r="813" spans="1:26" ht="12.75" x14ac:dyDescent="0.2">
      <c r="A813" s="36">
        <v>44424</v>
      </c>
      <c r="B813" s="29" t="s">
        <v>833</v>
      </c>
      <c r="C813" s="29">
        <v>85510023</v>
      </c>
      <c r="D813" s="37">
        <v>16067.44</v>
      </c>
      <c r="E813" s="18" t="s">
        <v>22</v>
      </c>
      <c r="F813" s="7">
        <v>44329</v>
      </c>
      <c r="G813" s="18"/>
      <c r="H813" s="16">
        <f t="shared" si="144"/>
        <v>16</v>
      </c>
      <c r="I813" s="16">
        <f t="shared" si="145"/>
        <v>8</v>
      </c>
      <c r="J813" s="122">
        <f t="shared" si="146"/>
        <v>2021</v>
      </c>
      <c r="K813" s="64">
        <f t="shared" si="139"/>
        <v>44484</v>
      </c>
      <c r="L813" s="6"/>
      <c r="M813" s="6"/>
      <c r="O813" s="208">
        <v>44458</v>
      </c>
      <c r="P813" s="209">
        <f t="shared" si="140"/>
        <v>0</v>
      </c>
      <c r="Q813" s="209">
        <f>+SUMIF('A DEPOSITAR'!$D$2:$D$998,(O813-2),'A DEPOSITAR'!$H$2:$H$998)</f>
        <v>0</v>
      </c>
      <c r="R813" s="210">
        <f t="shared" si="141"/>
        <v>0</v>
      </c>
      <c r="S813" s="210">
        <f t="shared" si="143"/>
        <v>4358685.370000001</v>
      </c>
      <c r="T813" s="209">
        <f t="shared" si="142"/>
        <v>0</v>
      </c>
      <c r="U813" s="209">
        <f>+SUMIFS('A DEPOSITAR'!$H$2:$H$998,'A DEPOSITAR'!$D$2:$D$998,(O813-2),'A DEPOSITAR'!$I$2:$I$998,"A Depositar")</f>
        <v>0</v>
      </c>
      <c r="V813" s="6"/>
      <c r="W813" s="6"/>
      <c r="X813" s="6"/>
      <c r="Y813" s="6"/>
      <c r="Z813" s="6"/>
    </row>
    <row r="814" spans="1:26" ht="12.75" x14ac:dyDescent="0.2">
      <c r="A814" s="36">
        <v>44430</v>
      </c>
      <c r="B814" s="29" t="s">
        <v>833</v>
      </c>
      <c r="C814" s="29">
        <v>85510024</v>
      </c>
      <c r="D814" s="37">
        <v>17070</v>
      </c>
      <c r="E814" s="18" t="s">
        <v>22</v>
      </c>
      <c r="F814" s="7">
        <v>44329</v>
      </c>
      <c r="G814" s="18"/>
      <c r="H814" s="16">
        <f t="shared" si="144"/>
        <v>22</v>
      </c>
      <c r="I814" s="16">
        <f t="shared" si="145"/>
        <v>8</v>
      </c>
      <c r="J814" s="122">
        <f t="shared" si="146"/>
        <v>2021</v>
      </c>
      <c r="K814" s="64">
        <f t="shared" si="139"/>
        <v>44490</v>
      </c>
      <c r="L814" s="6"/>
      <c r="M814" s="6"/>
      <c r="O814" s="208">
        <v>44459</v>
      </c>
      <c r="P814" s="209">
        <f t="shared" si="140"/>
        <v>0</v>
      </c>
      <c r="Q814" s="209">
        <f>+SUMIF('A DEPOSITAR'!$D$2:$D$998,(O814-2),'A DEPOSITAR'!$H$2:$H$998)</f>
        <v>0</v>
      </c>
      <c r="R814" s="210">
        <f t="shared" si="141"/>
        <v>0</v>
      </c>
      <c r="S814" s="210">
        <f t="shared" si="143"/>
        <v>4358685.370000001</v>
      </c>
      <c r="T814" s="209">
        <f t="shared" si="142"/>
        <v>0</v>
      </c>
      <c r="U814" s="209">
        <f>+SUMIFS('A DEPOSITAR'!$H$2:$H$998,'A DEPOSITAR'!$D$2:$D$998,(O814-2),'A DEPOSITAR'!$I$2:$I$998,"A Depositar")</f>
        <v>0</v>
      </c>
      <c r="V814" s="6"/>
      <c r="W814" s="6"/>
      <c r="X814" s="6"/>
      <c r="Y814" s="6"/>
      <c r="Z814" s="6"/>
    </row>
    <row r="815" spans="1:26" ht="12.75" x14ac:dyDescent="0.2">
      <c r="A815" s="36">
        <v>44438</v>
      </c>
      <c r="B815" s="29" t="s">
        <v>833</v>
      </c>
      <c r="C815" s="29">
        <v>85510025</v>
      </c>
      <c r="D815" s="37">
        <v>18070</v>
      </c>
      <c r="E815" s="18" t="s">
        <v>22</v>
      </c>
      <c r="F815" s="7">
        <v>44329</v>
      </c>
      <c r="G815" s="18"/>
      <c r="H815" s="16">
        <f t="shared" si="144"/>
        <v>30</v>
      </c>
      <c r="I815" s="16">
        <f t="shared" si="145"/>
        <v>8</v>
      </c>
      <c r="J815" s="122">
        <f t="shared" si="146"/>
        <v>2021</v>
      </c>
      <c r="K815" s="64">
        <f t="shared" si="139"/>
        <v>44498</v>
      </c>
      <c r="L815" s="6"/>
      <c r="M815" s="6"/>
      <c r="O815" s="208">
        <v>44460</v>
      </c>
      <c r="P815" s="209">
        <f t="shared" si="140"/>
        <v>0</v>
      </c>
      <c r="Q815" s="209">
        <f>+SUMIF('A DEPOSITAR'!$D$2:$D$998,(O815-2),'A DEPOSITAR'!$H$2:$H$998)</f>
        <v>20000</v>
      </c>
      <c r="R815" s="210">
        <f t="shared" si="141"/>
        <v>20000</v>
      </c>
      <c r="S815" s="210">
        <f t="shared" si="143"/>
        <v>4378685.370000001</v>
      </c>
      <c r="T815" s="209">
        <f t="shared" si="142"/>
        <v>0</v>
      </c>
      <c r="U815" s="209">
        <f>+SUMIFS('A DEPOSITAR'!$H$2:$H$998,'A DEPOSITAR'!$D$2:$D$998,(O815-2),'A DEPOSITAR'!$I$2:$I$998,"A Depositar")</f>
        <v>0</v>
      </c>
      <c r="V815" s="6"/>
      <c r="W815" s="6"/>
      <c r="X815" s="6"/>
      <c r="Y815" s="6"/>
      <c r="Z815" s="6"/>
    </row>
    <row r="816" spans="1:26" ht="12.75" x14ac:dyDescent="0.2">
      <c r="A816" s="36">
        <v>44346</v>
      </c>
      <c r="B816" s="29" t="s">
        <v>1176</v>
      </c>
      <c r="C816" s="29">
        <v>86943601</v>
      </c>
      <c r="D816" s="37">
        <v>31548</v>
      </c>
      <c r="E816" s="18" t="s">
        <v>22</v>
      </c>
      <c r="F816" s="7">
        <v>44336</v>
      </c>
      <c r="G816" s="18" t="s">
        <v>1177</v>
      </c>
      <c r="H816" s="16">
        <f t="shared" si="144"/>
        <v>30</v>
      </c>
      <c r="I816" s="16">
        <f t="shared" si="145"/>
        <v>5</v>
      </c>
      <c r="J816" s="122">
        <f t="shared" si="146"/>
        <v>2021</v>
      </c>
      <c r="K816" s="64">
        <f t="shared" si="139"/>
        <v>44406</v>
      </c>
      <c r="L816" s="6"/>
      <c r="M816" s="6"/>
      <c r="O816" s="208">
        <v>44461</v>
      </c>
      <c r="P816" s="209">
        <f t="shared" si="140"/>
        <v>83402.16</v>
      </c>
      <c r="Q816" s="209">
        <f>+SUMIF('A DEPOSITAR'!$D$2:$D$998,(O816-2),'A DEPOSITAR'!$H$2:$H$998)</f>
        <v>0</v>
      </c>
      <c r="R816" s="210">
        <f t="shared" si="141"/>
        <v>-83402.16</v>
      </c>
      <c r="S816" s="210">
        <f t="shared" si="143"/>
        <v>4295283.2100000009</v>
      </c>
      <c r="T816" s="209">
        <f t="shared" si="142"/>
        <v>0</v>
      </c>
      <c r="U816" s="209">
        <f>+SUMIFS('A DEPOSITAR'!$H$2:$H$998,'A DEPOSITAR'!$D$2:$D$998,(O816-2),'A DEPOSITAR'!$I$2:$I$998,"A Depositar")</f>
        <v>0</v>
      </c>
      <c r="V816" s="6"/>
      <c r="W816" s="6"/>
      <c r="X816" s="6"/>
      <c r="Y816" s="6"/>
      <c r="Z816" s="6"/>
    </row>
    <row r="817" spans="1:26" ht="12.75" x14ac:dyDescent="0.2">
      <c r="A817" s="36">
        <v>44355</v>
      </c>
      <c r="B817" s="29" t="s">
        <v>139</v>
      </c>
      <c r="C817" s="29">
        <v>86943602</v>
      </c>
      <c r="D817" s="37">
        <v>32000</v>
      </c>
      <c r="E817" s="18" t="s">
        <v>22</v>
      </c>
      <c r="F817" s="7">
        <v>44336</v>
      </c>
      <c r="G817" s="18"/>
      <c r="H817" s="16">
        <f t="shared" si="144"/>
        <v>8</v>
      </c>
      <c r="I817" s="16">
        <f t="shared" si="145"/>
        <v>6</v>
      </c>
      <c r="J817" s="122">
        <f t="shared" si="146"/>
        <v>2021</v>
      </c>
      <c r="K817" s="64">
        <f t="shared" si="139"/>
        <v>44415</v>
      </c>
      <c r="L817" s="6"/>
      <c r="M817" s="6"/>
      <c r="O817" s="208">
        <v>44462</v>
      </c>
      <c r="P817" s="209">
        <f t="shared" si="140"/>
        <v>0</v>
      </c>
      <c r="Q817" s="209">
        <f>+SUMIF('A DEPOSITAR'!$D$2:$D$998,(O817-2),'A DEPOSITAR'!$H$2:$H$998)</f>
        <v>7000</v>
      </c>
      <c r="R817" s="210">
        <f t="shared" si="141"/>
        <v>7000</v>
      </c>
      <c r="S817" s="210">
        <f t="shared" si="143"/>
        <v>4302283.2100000009</v>
      </c>
      <c r="T817" s="209">
        <f t="shared" si="142"/>
        <v>0</v>
      </c>
      <c r="U817" s="209">
        <f>+SUMIFS('A DEPOSITAR'!$H$2:$H$998,'A DEPOSITAR'!$D$2:$D$998,(O817-2),'A DEPOSITAR'!$I$2:$I$998,"A Depositar")</f>
        <v>0</v>
      </c>
      <c r="V817" s="6"/>
      <c r="W817" s="6"/>
      <c r="X817" s="6"/>
      <c r="Y817" s="6"/>
      <c r="Z817" s="6"/>
    </row>
    <row r="818" spans="1:26" ht="12.75" x14ac:dyDescent="0.2">
      <c r="A818" s="36">
        <v>44363</v>
      </c>
      <c r="B818" s="29" t="s">
        <v>139</v>
      </c>
      <c r="C818" s="29">
        <v>86943603</v>
      </c>
      <c r="D818" s="37">
        <v>33704.28</v>
      </c>
      <c r="E818" s="18" t="s">
        <v>22</v>
      </c>
      <c r="F818" s="7">
        <v>44336</v>
      </c>
      <c r="G818" s="18"/>
      <c r="H818" s="16">
        <f t="shared" si="144"/>
        <v>16</v>
      </c>
      <c r="I818" s="16">
        <f t="shared" si="145"/>
        <v>6</v>
      </c>
      <c r="J818" s="122">
        <f t="shared" si="146"/>
        <v>2021</v>
      </c>
      <c r="K818" s="64">
        <f t="shared" si="139"/>
        <v>44423</v>
      </c>
      <c r="L818" s="6"/>
      <c r="M818" s="6"/>
      <c r="O818" s="208">
        <v>44463</v>
      </c>
      <c r="P818" s="209">
        <f t="shared" si="140"/>
        <v>0</v>
      </c>
      <c r="Q818" s="209">
        <f>+SUMIF('A DEPOSITAR'!$D$2:$D$998,(O818-2),'A DEPOSITAR'!$H$2:$H$998)</f>
        <v>0</v>
      </c>
      <c r="R818" s="210">
        <f t="shared" si="141"/>
        <v>0</v>
      </c>
      <c r="S818" s="210">
        <f t="shared" si="143"/>
        <v>4302283.2100000009</v>
      </c>
      <c r="T818" s="209">
        <f t="shared" si="142"/>
        <v>0</v>
      </c>
      <c r="U818" s="209">
        <f>+SUMIFS('A DEPOSITAR'!$H$2:$H$998,'A DEPOSITAR'!$D$2:$D$998,(O818-2),'A DEPOSITAR'!$I$2:$I$998,"A Depositar")</f>
        <v>0</v>
      </c>
      <c r="V818" s="6"/>
      <c r="W818" s="6"/>
      <c r="X818" s="6"/>
      <c r="Y818" s="6"/>
      <c r="Z818" s="6"/>
    </row>
    <row r="819" spans="1:26" ht="12.75" x14ac:dyDescent="0.2">
      <c r="A819" s="36">
        <v>44399</v>
      </c>
      <c r="B819" s="29" t="s">
        <v>222</v>
      </c>
      <c r="C819" s="29">
        <v>86943604</v>
      </c>
      <c r="D819" s="37">
        <v>13000</v>
      </c>
      <c r="E819" s="18" t="s">
        <v>22</v>
      </c>
      <c r="F819" s="34">
        <v>44336</v>
      </c>
      <c r="G819" s="18"/>
      <c r="H819" s="16">
        <f t="shared" si="144"/>
        <v>22</v>
      </c>
      <c r="I819" s="16">
        <f t="shared" si="145"/>
        <v>7</v>
      </c>
      <c r="J819" s="122">
        <f t="shared" si="146"/>
        <v>2021</v>
      </c>
      <c r="K819" s="64">
        <f t="shared" si="139"/>
        <v>44459</v>
      </c>
      <c r="L819" s="6"/>
      <c r="M819" s="6"/>
      <c r="O819" s="208">
        <v>44464</v>
      </c>
      <c r="P819" s="209">
        <f t="shared" si="140"/>
        <v>0</v>
      </c>
      <c r="Q819" s="209">
        <f>+SUMIF('A DEPOSITAR'!$D$2:$D$998,(O819-2),'A DEPOSITAR'!$H$2:$H$998)</f>
        <v>0</v>
      </c>
      <c r="R819" s="210">
        <f t="shared" si="141"/>
        <v>0</v>
      </c>
      <c r="S819" s="210">
        <f t="shared" si="143"/>
        <v>4302283.2100000009</v>
      </c>
      <c r="T819" s="209">
        <f t="shared" si="142"/>
        <v>0</v>
      </c>
      <c r="U819" s="209">
        <f>+SUMIFS('A DEPOSITAR'!$H$2:$H$998,'A DEPOSITAR'!$D$2:$D$998,(O819-2),'A DEPOSITAR'!$I$2:$I$998,"A Depositar")</f>
        <v>0</v>
      </c>
      <c r="V819" s="6"/>
      <c r="W819" s="6"/>
      <c r="X819" s="6"/>
      <c r="Y819" s="6"/>
      <c r="Z819" s="6"/>
    </row>
    <row r="820" spans="1:26" ht="12.75" x14ac:dyDescent="0.2">
      <c r="A820" s="36">
        <v>44407</v>
      </c>
      <c r="B820" s="29" t="s">
        <v>222</v>
      </c>
      <c r="C820" s="29">
        <v>86943605</v>
      </c>
      <c r="D820" s="37">
        <v>14460</v>
      </c>
      <c r="E820" s="18" t="s">
        <v>22</v>
      </c>
      <c r="F820" s="34">
        <v>44336</v>
      </c>
      <c r="G820" s="18"/>
      <c r="H820" s="16">
        <f t="shared" si="144"/>
        <v>30</v>
      </c>
      <c r="I820" s="16">
        <f t="shared" si="145"/>
        <v>7</v>
      </c>
      <c r="J820" s="122">
        <f t="shared" si="146"/>
        <v>2021</v>
      </c>
      <c r="K820" s="64">
        <f t="shared" si="139"/>
        <v>44467</v>
      </c>
      <c r="L820" s="6"/>
      <c r="M820" s="6"/>
      <c r="O820" s="208">
        <v>44465</v>
      </c>
      <c r="P820" s="209">
        <f t="shared" si="140"/>
        <v>0</v>
      </c>
      <c r="Q820" s="209">
        <f>+SUMIF('A DEPOSITAR'!$D$2:$D$998,(O820-2),'A DEPOSITAR'!$H$2:$H$998)</f>
        <v>37070</v>
      </c>
      <c r="R820" s="210">
        <f t="shared" si="141"/>
        <v>37070</v>
      </c>
      <c r="S820" s="210">
        <f t="shared" si="143"/>
        <v>4339353.2100000009</v>
      </c>
      <c r="T820" s="209">
        <f t="shared" si="142"/>
        <v>0</v>
      </c>
      <c r="U820" s="209">
        <f>+SUMIFS('A DEPOSITAR'!$H$2:$H$998,'A DEPOSITAR'!$D$2:$D$998,(O820-2),'A DEPOSITAR'!$I$2:$I$998,"A Depositar")</f>
        <v>0</v>
      </c>
      <c r="V820" s="6"/>
      <c r="W820" s="6"/>
      <c r="X820" s="6"/>
      <c r="Y820" s="6"/>
      <c r="Z820" s="6"/>
    </row>
    <row r="821" spans="1:26" ht="12.75" x14ac:dyDescent="0.2">
      <c r="A821" s="36">
        <v>44416</v>
      </c>
      <c r="B821" s="29" t="s">
        <v>222</v>
      </c>
      <c r="C821" s="29">
        <v>86943606</v>
      </c>
      <c r="D821" s="37">
        <v>15000</v>
      </c>
      <c r="E821" s="18" t="s">
        <v>22</v>
      </c>
      <c r="F821" s="34">
        <v>44336</v>
      </c>
      <c r="G821" s="18"/>
      <c r="H821" s="16">
        <f t="shared" si="144"/>
        <v>8</v>
      </c>
      <c r="I821" s="16">
        <f t="shared" si="145"/>
        <v>8</v>
      </c>
      <c r="J821" s="122">
        <f t="shared" si="146"/>
        <v>2021</v>
      </c>
      <c r="K821" s="64">
        <f t="shared" si="139"/>
        <v>44476</v>
      </c>
      <c r="L821" s="6"/>
      <c r="M821" s="6"/>
      <c r="O821" s="208">
        <v>44466</v>
      </c>
      <c r="P821" s="209">
        <f t="shared" si="140"/>
        <v>0</v>
      </c>
      <c r="Q821" s="209">
        <f>+SUMIF('A DEPOSITAR'!$D$2:$D$998,(O821-2),'A DEPOSITAR'!$H$2:$H$998)</f>
        <v>7000</v>
      </c>
      <c r="R821" s="210">
        <f t="shared" si="141"/>
        <v>7000</v>
      </c>
      <c r="S821" s="210">
        <f t="shared" si="143"/>
        <v>4346353.2100000009</v>
      </c>
      <c r="T821" s="209">
        <f t="shared" si="142"/>
        <v>0</v>
      </c>
      <c r="U821" s="209">
        <f>+SUMIFS('A DEPOSITAR'!$H$2:$H$998,'A DEPOSITAR'!$D$2:$D$998,(O821-2),'A DEPOSITAR'!$I$2:$I$998,"A Depositar")</f>
        <v>0</v>
      </c>
      <c r="V821" s="6"/>
      <c r="W821" s="6"/>
      <c r="X821" s="6"/>
      <c r="Y821" s="6"/>
      <c r="Z821" s="6"/>
    </row>
    <row r="822" spans="1:26" ht="12.75" x14ac:dyDescent="0.2">
      <c r="A822" s="36">
        <v>44407</v>
      </c>
      <c r="B822" s="29" t="s">
        <v>222</v>
      </c>
      <c r="C822" s="29">
        <v>86943607</v>
      </c>
      <c r="D822" s="37">
        <v>6073</v>
      </c>
      <c r="E822" s="18" t="s">
        <v>22</v>
      </c>
      <c r="F822" s="34">
        <v>44336</v>
      </c>
      <c r="G822" s="18"/>
      <c r="H822" s="16">
        <f t="shared" si="144"/>
        <v>30</v>
      </c>
      <c r="I822" s="16">
        <f t="shared" si="145"/>
        <v>7</v>
      </c>
      <c r="J822" s="122">
        <f t="shared" si="146"/>
        <v>2021</v>
      </c>
      <c r="K822" s="64">
        <f t="shared" si="139"/>
        <v>44467</v>
      </c>
      <c r="L822" s="6"/>
      <c r="M822" s="6"/>
      <c r="O822" s="208">
        <v>44467</v>
      </c>
      <c r="P822" s="209">
        <f t="shared" si="140"/>
        <v>25479.45</v>
      </c>
      <c r="Q822" s="209">
        <f>+SUMIF('A DEPOSITAR'!$D$2:$D$998,(O822-2),'A DEPOSITAR'!$H$2:$H$998)</f>
        <v>0</v>
      </c>
      <c r="R822" s="210">
        <f t="shared" si="141"/>
        <v>-25479.45</v>
      </c>
      <c r="S822" s="210">
        <f t="shared" si="143"/>
        <v>4320873.7600000007</v>
      </c>
      <c r="T822" s="209">
        <f t="shared" si="142"/>
        <v>0</v>
      </c>
      <c r="U822" s="209">
        <f>+SUMIFS('A DEPOSITAR'!$H$2:$H$998,'A DEPOSITAR'!$D$2:$D$998,(O822-2),'A DEPOSITAR'!$I$2:$I$998,"A Depositar")</f>
        <v>0</v>
      </c>
      <c r="V822" s="6"/>
      <c r="W822" s="6"/>
      <c r="X822" s="6"/>
      <c r="Y822" s="6"/>
      <c r="Z822" s="6"/>
    </row>
    <row r="823" spans="1:26" ht="12.75" x14ac:dyDescent="0.2">
      <c r="A823" s="36">
        <v>44416</v>
      </c>
      <c r="B823" s="29" t="s">
        <v>222</v>
      </c>
      <c r="C823" s="29">
        <v>86943608</v>
      </c>
      <c r="D823" s="37">
        <v>6100</v>
      </c>
      <c r="E823" s="18" t="s">
        <v>22</v>
      </c>
      <c r="F823" s="34">
        <v>44336</v>
      </c>
      <c r="G823" s="18"/>
      <c r="H823" s="16">
        <f t="shared" si="144"/>
        <v>8</v>
      </c>
      <c r="I823" s="16">
        <f t="shared" si="145"/>
        <v>8</v>
      </c>
      <c r="J823" s="122">
        <f t="shared" si="146"/>
        <v>2021</v>
      </c>
      <c r="K823" s="64">
        <f t="shared" si="139"/>
        <v>44476</v>
      </c>
      <c r="L823" s="6"/>
      <c r="M823" s="6"/>
      <c r="O823" s="208">
        <v>44468</v>
      </c>
      <c r="P823" s="209">
        <f t="shared" si="140"/>
        <v>0</v>
      </c>
      <c r="Q823" s="209">
        <f>+SUMIF('A DEPOSITAR'!$D$2:$D$998,(O823-2),'A DEPOSITAR'!$H$2:$H$998)</f>
        <v>0</v>
      </c>
      <c r="R823" s="210">
        <f t="shared" si="141"/>
        <v>0</v>
      </c>
      <c r="S823" s="210">
        <f t="shared" si="143"/>
        <v>4320873.7600000007</v>
      </c>
      <c r="T823" s="209">
        <f t="shared" si="142"/>
        <v>0</v>
      </c>
      <c r="U823" s="209">
        <f>+SUMIFS('A DEPOSITAR'!$H$2:$H$998,'A DEPOSITAR'!$D$2:$D$998,(O823-2),'A DEPOSITAR'!$I$2:$I$998,"A Depositar")</f>
        <v>0</v>
      </c>
      <c r="V823" s="6"/>
      <c r="W823" s="6"/>
      <c r="X823" s="6"/>
      <c r="Y823" s="6"/>
      <c r="Z823" s="6"/>
    </row>
    <row r="824" spans="1:26" ht="12.75" x14ac:dyDescent="0.2">
      <c r="A824" s="36">
        <v>44348</v>
      </c>
      <c r="B824" s="29" t="s">
        <v>1179</v>
      </c>
      <c r="C824" s="29" t="s">
        <v>1181</v>
      </c>
      <c r="D824" s="37">
        <v>43990.13</v>
      </c>
      <c r="E824" s="18" t="s">
        <v>22</v>
      </c>
      <c r="F824" s="7">
        <v>44342</v>
      </c>
      <c r="G824" s="18"/>
      <c r="H824" s="16">
        <f t="shared" si="144"/>
        <v>1</v>
      </c>
      <c r="I824" s="16">
        <f t="shared" si="145"/>
        <v>6</v>
      </c>
      <c r="J824" s="122">
        <f t="shared" si="146"/>
        <v>2021</v>
      </c>
      <c r="K824" s="64">
        <f t="shared" si="139"/>
        <v>44408</v>
      </c>
      <c r="L824" s="6"/>
      <c r="M824" s="6"/>
      <c r="O824" s="208">
        <v>44469</v>
      </c>
      <c r="P824" s="209">
        <f t="shared" si="140"/>
        <v>113058.62</v>
      </c>
      <c r="Q824" s="209">
        <f>+SUMIF('A DEPOSITAR'!$D$2:$D$998,(O824-2),'A DEPOSITAR'!$H$2:$H$998)</f>
        <v>65040.09</v>
      </c>
      <c r="R824" s="210">
        <f t="shared" si="141"/>
        <v>-48018.53</v>
      </c>
      <c r="S824" s="210">
        <f t="shared" si="143"/>
        <v>4272855.2300000004</v>
      </c>
      <c r="T824" s="209">
        <f t="shared" si="142"/>
        <v>13500</v>
      </c>
      <c r="U824" s="209">
        <f>+SUMIFS('A DEPOSITAR'!$H$2:$H$998,'A DEPOSITAR'!$D$2:$D$998,(O824-2),'A DEPOSITAR'!$I$2:$I$998,"A Depositar")</f>
        <v>0</v>
      </c>
      <c r="V824" s="6"/>
      <c r="W824" s="6"/>
      <c r="X824" s="6"/>
      <c r="Y824" s="6"/>
      <c r="Z824" s="6"/>
    </row>
    <row r="825" spans="1:26" ht="12.75" x14ac:dyDescent="0.2">
      <c r="A825" s="36">
        <v>44348</v>
      </c>
      <c r="B825" s="29" t="s">
        <v>1180</v>
      </c>
      <c r="C825" s="29" t="s">
        <v>1181</v>
      </c>
      <c r="D825" s="37">
        <v>17375.169999999998</v>
      </c>
      <c r="E825" s="18" t="s">
        <v>22</v>
      </c>
      <c r="F825" s="7">
        <v>44342</v>
      </c>
      <c r="G825" s="18"/>
      <c r="H825" s="16">
        <f t="shared" si="144"/>
        <v>1</v>
      </c>
      <c r="I825" s="16">
        <f t="shared" si="145"/>
        <v>6</v>
      </c>
      <c r="J825" s="122">
        <f t="shared" si="146"/>
        <v>2021</v>
      </c>
      <c r="K825" s="64">
        <f t="shared" si="139"/>
        <v>44408</v>
      </c>
      <c r="L825" s="6"/>
      <c r="M825" s="6"/>
      <c r="O825" s="208">
        <v>44470</v>
      </c>
      <c r="P825" s="209">
        <f t="shared" si="140"/>
        <v>0</v>
      </c>
      <c r="Q825" s="209">
        <f>+SUMIF('A DEPOSITAR'!$D$2:$D$998,(O825-2),'A DEPOSITAR'!$H$2:$H$998)</f>
        <v>8372.5</v>
      </c>
      <c r="R825" s="210">
        <f t="shared" si="141"/>
        <v>8372.5</v>
      </c>
      <c r="S825" s="210">
        <f t="shared" si="143"/>
        <v>4281227.7300000004</v>
      </c>
      <c r="T825" s="209">
        <f t="shared" si="142"/>
        <v>0</v>
      </c>
      <c r="U825" s="209">
        <f>+SUMIFS('A DEPOSITAR'!$H$2:$H$998,'A DEPOSITAR'!$D$2:$D$998,(O825-2),'A DEPOSITAR'!$I$2:$I$998,"A Depositar")</f>
        <v>0</v>
      </c>
      <c r="V825" s="6"/>
      <c r="W825" s="6"/>
      <c r="X825" s="6"/>
      <c r="Y825" s="6"/>
      <c r="Z825" s="6"/>
    </row>
    <row r="826" spans="1:26" ht="12.75" x14ac:dyDescent="0.2">
      <c r="A826" s="36">
        <v>44560</v>
      </c>
      <c r="B826" s="29" t="s">
        <v>212</v>
      </c>
      <c r="C826" s="29">
        <v>86943609</v>
      </c>
      <c r="D826" s="37">
        <v>2000</v>
      </c>
      <c r="E826" s="18" t="s">
        <v>136</v>
      </c>
      <c r="F826" s="7">
        <v>44474</v>
      </c>
      <c r="G826" s="18"/>
      <c r="H826" s="16">
        <f t="shared" si="144"/>
        <v>30</v>
      </c>
      <c r="I826" s="16">
        <f t="shared" si="145"/>
        <v>12</v>
      </c>
      <c r="J826" s="122">
        <f t="shared" si="146"/>
        <v>2021</v>
      </c>
      <c r="K826" s="64">
        <f t="shared" si="139"/>
        <v>44620</v>
      </c>
      <c r="L826" s="6"/>
      <c r="M826" s="6"/>
      <c r="O826" s="208">
        <v>44471</v>
      </c>
      <c r="P826" s="209">
        <f t="shared" si="140"/>
        <v>0</v>
      </c>
      <c r="Q826" s="209">
        <f>+SUMIF('A DEPOSITAR'!$D$2:$D$998,(O826-2),'A DEPOSITAR'!$H$2:$H$998)</f>
        <v>50000</v>
      </c>
      <c r="R826" s="210">
        <f t="shared" si="141"/>
        <v>50000</v>
      </c>
      <c r="S826" s="210">
        <f t="shared" si="143"/>
        <v>4331227.7300000004</v>
      </c>
      <c r="T826" s="209">
        <f t="shared" si="142"/>
        <v>0</v>
      </c>
      <c r="U826" s="209">
        <f>+SUMIFS('A DEPOSITAR'!$H$2:$H$998,'A DEPOSITAR'!$D$2:$D$998,(O826-2),'A DEPOSITAR'!$I$2:$I$998,"A Depositar")</f>
        <v>0</v>
      </c>
      <c r="V826" s="6"/>
      <c r="W826" s="6"/>
      <c r="X826" s="6"/>
      <c r="Y826" s="6"/>
      <c r="Z826" s="6"/>
    </row>
    <row r="827" spans="1:26" ht="12.75" x14ac:dyDescent="0.2">
      <c r="A827" s="36">
        <v>44355</v>
      </c>
      <c r="B827" s="29" t="s">
        <v>283</v>
      </c>
      <c r="C827" s="29">
        <v>86943610</v>
      </c>
      <c r="D827" s="37">
        <v>6023.06</v>
      </c>
      <c r="E827" s="18" t="s">
        <v>22</v>
      </c>
      <c r="F827" s="7">
        <v>44342</v>
      </c>
      <c r="G827" s="18"/>
      <c r="H827" s="16">
        <f t="shared" si="144"/>
        <v>8</v>
      </c>
      <c r="I827" s="16">
        <f t="shared" si="145"/>
        <v>6</v>
      </c>
      <c r="J827" s="122">
        <f t="shared" si="146"/>
        <v>2021</v>
      </c>
      <c r="K827" s="64">
        <f t="shared" si="139"/>
        <v>44415</v>
      </c>
      <c r="L827" s="6"/>
      <c r="M827" s="6"/>
      <c r="O827" s="208">
        <v>44472</v>
      </c>
      <c r="P827" s="209">
        <f t="shared" si="140"/>
        <v>0</v>
      </c>
      <c r="Q827" s="209">
        <f>+SUMIF('A DEPOSITAR'!$D$2:$D$998,(O827-2),'A DEPOSITAR'!$H$2:$H$998)</f>
        <v>0</v>
      </c>
      <c r="R827" s="210">
        <f t="shared" si="141"/>
        <v>0</v>
      </c>
      <c r="S827" s="210">
        <f t="shared" si="143"/>
        <v>4331227.7300000004</v>
      </c>
      <c r="T827" s="209">
        <f t="shared" si="142"/>
        <v>0</v>
      </c>
      <c r="U827" s="209">
        <f>+SUMIFS('A DEPOSITAR'!$H$2:$H$998,'A DEPOSITAR'!$D$2:$D$998,(O827-2),'A DEPOSITAR'!$I$2:$I$998,"A Depositar")</f>
        <v>0</v>
      </c>
      <c r="V827" s="6"/>
      <c r="W827" s="6"/>
      <c r="X827" s="6"/>
      <c r="Y827" s="6"/>
      <c r="Z827" s="6"/>
    </row>
    <row r="828" spans="1:26" ht="12.75" x14ac:dyDescent="0.2">
      <c r="A828" s="36">
        <v>44363</v>
      </c>
      <c r="B828" s="29" t="s">
        <v>1193</v>
      </c>
      <c r="C828" s="29">
        <v>86943611</v>
      </c>
      <c r="D828" s="37">
        <v>10900</v>
      </c>
      <c r="E828" s="18" t="s">
        <v>22</v>
      </c>
      <c r="F828" s="7">
        <v>44342</v>
      </c>
      <c r="G828" s="18"/>
      <c r="H828" s="16">
        <f t="shared" si="144"/>
        <v>16</v>
      </c>
      <c r="I828" s="16">
        <f t="shared" si="145"/>
        <v>6</v>
      </c>
      <c r="J828" s="122">
        <f t="shared" si="146"/>
        <v>2021</v>
      </c>
      <c r="K828" s="64">
        <f t="shared" si="139"/>
        <v>44423</v>
      </c>
      <c r="L828" s="6"/>
      <c r="M828" s="6"/>
      <c r="O828" s="208">
        <v>44473</v>
      </c>
      <c r="P828" s="209">
        <f t="shared" si="140"/>
        <v>0</v>
      </c>
      <c r="Q828" s="209">
        <f>+SUMIF('A DEPOSITAR'!$D$2:$D$998,(O828-2),'A DEPOSITAR'!$H$2:$H$998)</f>
        <v>0</v>
      </c>
      <c r="R828" s="210">
        <f t="shared" si="141"/>
        <v>0</v>
      </c>
      <c r="S828" s="210">
        <f t="shared" si="143"/>
        <v>4331227.7300000004</v>
      </c>
      <c r="T828" s="209">
        <f t="shared" si="142"/>
        <v>0</v>
      </c>
      <c r="U828" s="209">
        <f>+SUMIFS('A DEPOSITAR'!$H$2:$H$998,'A DEPOSITAR'!$D$2:$D$998,(O828-2),'A DEPOSITAR'!$I$2:$I$998,"A Depositar")</f>
        <v>0</v>
      </c>
      <c r="V828" s="6"/>
      <c r="W828" s="6"/>
      <c r="X828" s="6"/>
      <c r="Y828" s="6"/>
      <c r="Z828" s="6"/>
    </row>
    <row r="829" spans="1:26" ht="12.75" x14ac:dyDescent="0.2">
      <c r="A829" s="36">
        <v>44369</v>
      </c>
      <c r="B829" s="29" t="s">
        <v>1193</v>
      </c>
      <c r="C829" s="29">
        <v>86943612</v>
      </c>
      <c r="D829" s="37">
        <v>11000</v>
      </c>
      <c r="E829" s="18" t="s">
        <v>22</v>
      </c>
      <c r="F829" s="7">
        <v>44342</v>
      </c>
      <c r="G829" s="18"/>
      <c r="H829" s="16">
        <f t="shared" si="144"/>
        <v>22</v>
      </c>
      <c r="I829" s="16">
        <f t="shared" si="145"/>
        <v>6</v>
      </c>
      <c r="J829" s="122">
        <f t="shared" si="146"/>
        <v>2021</v>
      </c>
      <c r="K829" s="64">
        <f t="shared" si="139"/>
        <v>44429</v>
      </c>
      <c r="L829" s="6"/>
      <c r="M829" s="6"/>
      <c r="O829" s="208">
        <v>44474</v>
      </c>
      <c r="P829" s="209">
        <f t="shared" si="140"/>
        <v>0</v>
      </c>
      <c r="Q829" s="209">
        <f>+SUMIF('A DEPOSITAR'!$D$2:$D$998,(O829-2),'A DEPOSITAR'!$H$2:$H$998)</f>
        <v>0</v>
      </c>
      <c r="R829" s="210">
        <f t="shared" si="141"/>
        <v>0</v>
      </c>
      <c r="S829" s="210">
        <f t="shared" si="143"/>
        <v>4331227.7300000004</v>
      </c>
      <c r="T829" s="209">
        <f t="shared" si="142"/>
        <v>0</v>
      </c>
      <c r="U829" s="209">
        <f>+SUMIFS('A DEPOSITAR'!$H$2:$H$998,'A DEPOSITAR'!$D$2:$D$998,(O829-2),'A DEPOSITAR'!$I$2:$I$998,"A Depositar")</f>
        <v>0</v>
      </c>
      <c r="V829" s="6"/>
      <c r="W829" s="6"/>
      <c r="X829" s="6"/>
      <c r="Y829" s="6"/>
      <c r="Z829" s="6"/>
    </row>
    <row r="830" spans="1:26" ht="12.75" x14ac:dyDescent="0.2">
      <c r="A830" s="36">
        <v>44377</v>
      </c>
      <c r="B830" s="29" t="s">
        <v>1193</v>
      </c>
      <c r="C830" s="29">
        <v>86943613</v>
      </c>
      <c r="D830" s="37">
        <v>11000</v>
      </c>
      <c r="E830" s="18" t="s">
        <v>22</v>
      </c>
      <c r="F830" s="7">
        <v>44342</v>
      </c>
      <c r="G830" s="18"/>
      <c r="H830" s="16">
        <f t="shared" si="144"/>
        <v>30</v>
      </c>
      <c r="I830" s="16">
        <f t="shared" si="145"/>
        <v>6</v>
      </c>
      <c r="J830" s="122">
        <f t="shared" si="146"/>
        <v>2021</v>
      </c>
      <c r="K830" s="64">
        <f t="shared" si="139"/>
        <v>44437</v>
      </c>
      <c r="L830" s="6"/>
      <c r="M830" s="6"/>
      <c r="O830" s="208">
        <v>44475</v>
      </c>
      <c r="P830" s="209">
        <f t="shared" si="140"/>
        <v>0</v>
      </c>
      <c r="Q830" s="209">
        <f>+SUMIF('A DEPOSITAR'!$D$2:$D$998,(O830-2),'A DEPOSITAR'!$H$2:$H$998)</f>
        <v>0</v>
      </c>
      <c r="R830" s="210">
        <f t="shared" si="141"/>
        <v>0</v>
      </c>
      <c r="S830" s="210">
        <f t="shared" si="143"/>
        <v>4331227.7300000004</v>
      </c>
      <c r="T830" s="209">
        <f t="shared" si="142"/>
        <v>0</v>
      </c>
      <c r="U830" s="209">
        <f>+SUMIFS('A DEPOSITAR'!$H$2:$H$998,'A DEPOSITAR'!$D$2:$D$998,(O830-2),'A DEPOSITAR'!$I$2:$I$998,"A Depositar")</f>
        <v>0</v>
      </c>
      <c r="V830" s="6"/>
      <c r="W830" s="6"/>
      <c r="X830" s="6"/>
      <c r="Y830" s="6"/>
      <c r="Z830" s="6"/>
    </row>
    <row r="831" spans="1:26" ht="12.75" x14ac:dyDescent="0.2">
      <c r="A831" s="36">
        <v>44399</v>
      </c>
      <c r="B831" s="29" t="s">
        <v>199</v>
      </c>
      <c r="C831" s="29">
        <v>86943614</v>
      </c>
      <c r="D831" s="37">
        <v>5500</v>
      </c>
      <c r="E831" s="18" t="s">
        <v>22</v>
      </c>
      <c r="F831" s="7">
        <v>44346</v>
      </c>
      <c r="G831" s="18"/>
      <c r="H831" s="16">
        <f t="shared" si="144"/>
        <v>22</v>
      </c>
      <c r="I831" s="16">
        <f t="shared" si="145"/>
        <v>7</v>
      </c>
      <c r="J831" s="122">
        <f t="shared" si="146"/>
        <v>2021</v>
      </c>
      <c r="K831" s="64">
        <f t="shared" si="139"/>
        <v>44459</v>
      </c>
      <c r="L831" s="6"/>
      <c r="M831" s="6"/>
      <c r="O831" s="208">
        <v>44476</v>
      </c>
      <c r="P831" s="209">
        <f t="shared" si="140"/>
        <v>0</v>
      </c>
      <c r="Q831" s="209">
        <f>+SUMIF('A DEPOSITAR'!$D$2:$D$998,(O831-2),'A DEPOSITAR'!$H$2:$H$998)</f>
        <v>0</v>
      </c>
      <c r="R831" s="210">
        <f t="shared" si="141"/>
        <v>0</v>
      </c>
      <c r="S831" s="210">
        <f t="shared" si="143"/>
        <v>4331227.7300000004</v>
      </c>
      <c r="T831" s="209">
        <f t="shared" si="142"/>
        <v>0</v>
      </c>
      <c r="U831" s="209">
        <f>+SUMIFS('A DEPOSITAR'!$H$2:$H$998,'A DEPOSITAR'!$D$2:$D$998,(O831-2),'A DEPOSITAR'!$I$2:$I$998,"A Depositar")</f>
        <v>0</v>
      </c>
      <c r="V831" s="6"/>
      <c r="W831" s="6"/>
      <c r="X831" s="6"/>
      <c r="Y831" s="6"/>
      <c r="Z831" s="6"/>
    </row>
    <row r="832" spans="1:26" ht="12.75" x14ac:dyDescent="0.2">
      <c r="A832" s="36">
        <v>44407</v>
      </c>
      <c r="B832" s="29" t="s">
        <v>199</v>
      </c>
      <c r="C832" s="29">
        <v>86943615</v>
      </c>
      <c r="D832" s="37">
        <v>6000.61</v>
      </c>
      <c r="E832" s="18" t="s">
        <v>22</v>
      </c>
      <c r="F832" s="7">
        <v>44346</v>
      </c>
      <c r="G832" s="18"/>
      <c r="H832" s="16">
        <f t="shared" si="144"/>
        <v>30</v>
      </c>
      <c r="I832" s="16">
        <f t="shared" si="145"/>
        <v>7</v>
      </c>
      <c r="J832" s="122">
        <f t="shared" si="146"/>
        <v>2021</v>
      </c>
      <c r="K832" s="64">
        <f t="shared" si="139"/>
        <v>44467</v>
      </c>
      <c r="L832" s="6"/>
      <c r="M832" s="6"/>
      <c r="O832" s="208">
        <v>44477</v>
      </c>
      <c r="P832" s="209">
        <f t="shared" si="140"/>
        <v>53243.26</v>
      </c>
      <c r="Q832" s="209">
        <f>+SUMIF('A DEPOSITAR'!$D$2:$D$998,(O832-2),'A DEPOSITAR'!$H$2:$H$998)</f>
        <v>0</v>
      </c>
      <c r="R832" s="210">
        <f t="shared" si="141"/>
        <v>-53243.26</v>
      </c>
      <c r="S832" s="210">
        <f t="shared" si="143"/>
        <v>4277984.4700000007</v>
      </c>
      <c r="T832" s="209">
        <f t="shared" si="142"/>
        <v>18700</v>
      </c>
      <c r="U832" s="209">
        <f>+SUMIFS('A DEPOSITAR'!$H$2:$H$998,'A DEPOSITAR'!$D$2:$D$998,(O832-2),'A DEPOSITAR'!$I$2:$I$998,"A Depositar")</f>
        <v>0</v>
      </c>
      <c r="V832" s="6"/>
      <c r="W832" s="6"/>
      <c r="X832" s="6"/>
      <c r="Y832" s="6"/>
      <c r="Z832" s="6"/>
    </row>
    <row r="833" spans="1:26" ht="12.75" x14ac:dyDescent="0.2">
      <c r="A833" s="36">
        <v>44416</v>
      </c>
      <c r="B833" s="29" t="s">
        <v>199</v>
      </c>
      <c r="C833" s="29">
        <v>86943616</v>
      </c>
      <c r="D833" s="37">
        <v>6180</v>
      </c>
      <c r="E833" s="18" t="s">
        <v>22</v>
      </c>
      <c r="F833" s="7">
        <v>44346</v>
      </c>
      <c r="G833" s="18"/>
      <c r="H833" s="16">
        <f t="shared" si="144"/>
        <v>8</v>
      </c>
      <c r="I833" s="16">
        <f t="shared" si="145"/>
        <v>8</v>
      </c>
      <c r="J833" s="122">
        <f t="shared" si="146"/>
        <v>2021</v>
      </c>
      <c r="K833" s="64">
        <f t="shared" si="139"/>
        <v>44476</v>
      </c>
      <c r="L833" s="6"/>
      <c r="M833" s="6"/>
      <c r="O833" s="208">
        <v>44478</v>
      </c>
      <c r="P833" s="209">
        <f t="shared" si="140"/>
        <v>0</v>
      </c>
      <c r="Q833" s="209">
        <f>+SUMIF('A DEPOSITAR'!$D$2:$D$998,(O833-2),'A DEPOSITAR'!$H$2:$H$998)</f>
        <v>0</v>
      </c>
      <c r="R833" s="210">
        <f t="shared" si="141"/>
        <v>0</v>
      </c>
      <c r="S833" s="210">
        <f t="shared" si="143"/>
        <v>4277984.4700000007</v>
      </c>
      <c r="T833" s="209">
        <f t="shared" si="142"/>
        <v>0</v>
      </c>
      <c r="U833" s="209">
        <f>+SUMIFS('A DEPOSITAR'!$H$2:$H$998,'A DEPOSITAR'!$D$2:$D$998,(O833-2),'A DEPOSITAR'!$I$2:$I$998,"A Depositar")</f>
        <v>0</v>
      </c>
      <c r="V833" s="6"/>
      <c r="W833" s="6"/>
      <c r="X833" s="6"/>
      <c r="Y833" s="6"/>
      <c r="Z833" s="6"/>
    </row>
    <row r="834" spans="1:26" ht="12.75" x14ac:dyDescent="0.2">
      <c r="A834" s="36">
        <v>44377</v>
      </c>
      <c r="B834" s="29" t="s">
        <v>1232</v>
      </c>
      <c r="C834" s="29">
        <v>86943617</v>
      </c>
      <c r="D834" s="37">
        <v>3000</v>
      </c>
      <c r="E834" s="18" t="s">
        <v>22</v>
      </c>
      <c r="F834" s="7">
        <v>44342</v>
      </c>
      <c r="G834" s="18"/>
      <c r="H834" s="16">
        <f t="shared" si="144"/>
        <v>30</v>
      </c>
      <c r="I834" s="16">
        <f t="shared" si="145"/>
        <v>6</v>
      </c>
      <c r="J834" s="122">
        <f t="shared" si="146"/>
        <v>2021</v>
      </c>
      <c r="K834" s="64">
        <f t="shared" ref="K834:K897" si="147">A834+60</f>
        <v>44437</v>
      </c>
      <c r="L834" s="6"/>
      <c r="M834" s="6"/>
      <c r="O834" s="208">
        <v>44479</v>
      </c>
      <c r="P834" s="209">
        <f t="shared" si="140"/>
        <v>0</v>
      </c>
      <c r="Q834" s="209">
        <f>+SUMIF('A DEPOSITAR'!$D$2:$D$998,(O834-2),'A DEPOSITAR'!$H$2:$H$998)</f>
        <v>0</v>
      </c>
      <c r="R834" s="210">
        <f t="shared" si="141"/>
        <v>0</v>
      </c>
      <c r="S834" s="210">
        <f t="shared" si="143"/>
        <v>4277984.4700000007</v>
      </c>
      <c r="T834" s="209">
        <f t="shared" si="142"/>
        <v>0</v>
      </c>
      <c r="U834" s="209">
        <f>+SUMIFS('A DEPOSITAR'!$H$2:$H$998,'A DEPOSITAR'!$D$2:$D$998,(O834-2),'A DEPOSITAR'!$I$2:$I$998,"A Depositar")</f>
        <v>0</v>
      </c>
      <c r="V834" s="6"/>
      <c r="W834" s="6"/>
      <c r="X834" s="6"/>
      <c r="Y834" s="6"/>
      <c r="Z834" s="6"/>
    </row>
    <row r="835" spans="1:26" ht="12.75" x14ac:dyDescent="0.2">
      <c r="A835" s="36">
        <v>44408</v>
      </c>
      <c r="B835" s="29" t="s">
        <v>212</v>
      </c>
      <c r="C835" s="29">
        <v>86943618</v>
      </c>
      <c r="D835" s="37">
        <v>4000</v>
      </c>
      <c r="E835" s="18" t="s">
        <v>755</v>
      </c>
      <c r="F835" s="7">
        <v>44342</v>
      </c>
      <c r="G835" s="18"/>
      <c r="H835" s="16">
        <f t="shared" si="144"/>
        <v>31</v>
      </c>
      <c r="I835" s="16">
        <f t="shared" si="145"/>
        <v>7</v>
      </c>
      <c r="J835" s="122">
        <f t="shared" si="146"/>
        <v>2021</v>
      </c>
      <c r="K835" s="64">
        <f t="shared" si="147"/>
        <v>44468</v>
      </c>
      <c r="L835" s="6"/>
      <c r="M835" s="6"/>
      <c r="O835" s="208">
        <v>44480</v>
      </c>
      <c r="P835" s="209">
        <f t="shared" ref="P835:P898" si="148">+SUMIF($A$2:$A$998,O835,$D$2:$D$998)</f>
        <v>0</v>
      </c>
      <c r="Q835" s="209">
        <f>+SUMIF('A DEPOSITAR'!$D$2:$D$998,(O835-2),'A DEPOSITAR'!$H$2:$H$998)</f>
        <v>56595</v>
      </c>
      <c r="R835" s="210">
        <f t="shared" ref="R835:R898" si="149">+Q835-P835</f>
        <v>56595</v>
      </c>
      <c r="S835" s="210">
        <f t="shared" si="143"/>
        <v>4334579.4700000007</v>
      </c>
      <c r="T835" s="209">
        <f t="shared" ref="T835:T898" si="150">+SUMIFS($D$2:$D$998,$A$2:$A$998,O835,$E$2:$E$998,"A Pagar")</f>
        <v>0</v>
      </c>
      <c r="U835" s="209">
        <f>+SUMIFS('A DEPOSITAR'!$H$2:$H$998,'A DEPOSITAR'!$D$2:$D$998,(O835-2),'A DEPOSITAR'!$I$2:$I$998,"A Depositar")</f>
        <v>0</v>
      </c>
      <c r="V835" s="6"/>
      <c r="W835" s="6"/>
      <c r="X835" s="6"/>
      <c r="Y835" s="6"/>
      <c r="Z835" s="6"/>
    </row>
    <row r="836" spans="1:26" ht="12.75" x14ac:dyDescent="0.2">
      <c r="A836" s="36">
        <v>44500</v>
      </c>
      <c r="B836" s="29" t="s">
        <v>1290</v>
      </c>
      <c r="C836" s="29">
        <v>86943619</v>
      </c>
      <c r="D836" s="37">
        <v>4000</v>
      </c>
      <c r="E836" s="18" t="s">
        <v>136</v>
      </c>
      <c r="F836" s="7">
        <v>44467</v>
      </c>
      <c r="G836" s="18"/>
      <c r="H836" s="16">
        <f t="shared" si="144"/>
        <v>31</v>
      </c>
      <c r="I836" s="16">
        <f t="shared" si="145"/>
        <v>10</v>
      </c>
      <c r="J836" s="122">
        <f t="shared" si="146"/>
        <v>2021</v>
      </c>
      <c r="K836" s="64">
        <f t="shared" si="147"/>
        <v>44560</v>
      </c>
      <c r="L836" s="6"/>
      <c r="M836" s="6"/>
      <c r="O836" s="208">
        <v>44481</v>
      </c>
      <c r="P836" s="209">
        <f t="shared" si="148"/>
        <v>0</v>
      </c>
      <c r="Q836" s="209">
        <f>+SUMIF('A DEPOSITAR'!$D$2:$D$998,(O836-2),'A DEPOSITAR'!$H$2:$H$998)</f>
        <v>0</v>
      </c>
      <c r="R836" s="210">
        <f t="shared" si="149"/>
        <v>0</v>
      </c>
      <c r="S836" s="210">
        <f t="shared" ref="S836:S899" si="151">+S835+R836</f>
        <v>4334579.4700000007</v>
      </c>
      <c r="T836" s="209">
        <f t="shared" si="150"/>
        <v>0</v>
      </c>
      <c r="U836" s="209">
        <f>+SUMIFS('A DEPOSITAR'!$H$2:$H$998,'A DEPOSITAR'!$D$2:$D$998,(O836-2),'A DEPOSITAR'!$I$2:$I$998,"A Depositar")</f>
        <v>0</v>
      </c>
      <c r="V836" s="6"/>
      <c r="W836" s="6"/>
      <c r="X836" s="6"/>
      <c r="Y836" s="6"/>
      <c r="Z836" s="6"/>
    </row>
    <row r="837" spans="1:26" ht="12.75" x14ac:dyDescent="0.2">
      <c r="A837" s="36">
        <v>44407</v>
      </c>
      <c r="B837" s="29" t="s">
        <v>323</v>
      </c>
      <c r="C837" s="29">
        <v>86943620</v>
      </c>
      <c r="D837" s="37">
        <v>13000</v>
      </c>
      <c r="E837" s="18" t="s">
        <v>22</v>
      </c>
      <c r="F837" s="7">
        <v>44357</v>
      </c>
      <c r="G837" s="18"/>
      <c r="H837" s="16">
        <f t="shared" si="144"/>
        <v>30</v>
      </c>
      <c r="I837" s="16">
        <f t="shared" si="145"/>
        <v>7</v>
      </c>
      <c r="J837" s="122">
        <f t="shared" si="146"/>
        <v>2021</v>
      </c>
      <c r="K837" s="64">
        <f t="shared" si="147"/>
        <v>44467</v>
      </c>
      <c r="L837" s="6"/>
      <c r="M837" s="6"/>
      <c r="O837" s="208">
        <v>44482</v>
      </c>
      <c r="P837" s="209">
        <f t="shared" si="148"/>
        <v>0</v>
      </c>
      <c r="Q837" s="209">
        <f>+SUMIF('A DEPOSITAR'!$D$2:$D$998,(O837-2),'A DEPOSITAR'!$H$2:$H$998)</f>
        <v>0</v>
      </c>
      <c r="R837" s="210">
        <f t="shared" si="149"/>
        <v>0</v>
      </c>
      <c r="S837" s="210">
        <f t="shared" si="151"/>
        <v>4334579.4700000007</v>
      </c>
      <c r="T837" s="209">
        <f t="shared" si="150"/>
        <v>0</v>
      </c>
      <c r="U837" s="209">
        <f>+SUMIFS('A DEPOSITAR'!$H$2:$H$998,'A DEPOSITAR'!$D$2:$D$998,(O837-2),'A DEPOSITAR'!$I$2:$I$998,"A Depositar")</f>
        <v>0</v>
      </c>
      <c r="V837" s="6"/>
      <c r="W837" s="6"/>
      <c r="X837" s="6"/>
      <c r="Y837" s="6"/>
      <c r="Z837" s="6"/>
    </row>
    <row r="838" spans="1:26" ht="12.75" x14ac:dyDescent="0.2">
      <c r="A838" s="36">
        <v>44416</v>
      </c>
      <c r="B838" s="29" t="s">
        <v>323</v>
      </c>
      <c r="C838" s="29">
        <v>86943621</v>
      </c>
      <c r="D838" s="37">
        <v>14000</v>
      </c>
      <c r="E838" s="18" t="s">
        <v>22</v>
      </c>
      <c r="F838" s="34">
        <v>44357</v>
      </c>
      <c r="G838" s="18"/>
      <c r="H838" s="16">
        <f t="shared" si="144"/>
        <v>8</v>
      </c>
      <c r="I838" s="16">
        <f t="shared" si="145"/>
        <v>8</v>
      </c>
      <c r="J838" s="122">
        <f t="shared" si="146"/>
        <v>2021</v>
      </c>
      <c r="K838" s="64">
        <f t="shared" si="147"/>
        <v>44476</v>
      </c>
      <c r="L838" s="6"/>
      <c r="M838" s="6"/>
      <c r="O838" s="208">
        <v>44483</v>
      </c>
      <c r="P838" s="209">
        <f t="shared" si="148"/>
        <v>0</v>
      </c>
      <c r="Q838" s="209">
        <f>+SUMIF('A DEPOSITAR'!$D$2:$D$998,(O838-2),'A DEPOSITAR'!$H$2:$H$998)</f>
        <v>12000</v>
      </c>
      <c r="R838" s="210">
        <f t="shared" si="149"/>
        <v>12000</v>
      </c>
      <c r="S838" s="210">
        <f t="shared" si="151"/>
        <v>4346579.4700000007</v>
      </c>
      <c r="T838" s="209">
        <f t="shared" si="150"/>
        <v>0</v>
      </c>
      <c r="U838" s="209">
        <f>+SUMIFS('A DEPOSITAR'!$H$2:$H$998,'A DEPOSITAR'!$D$2:$D$998,(O838-2),'A DEPOSITAR'!$I$2:$I$998,"A Depositar")</f>
        <v>0</v>
      </c>
      <c r="V838" s="6"/>
      <c r="W838" s="6"/>
      <c r="X838" s="6"/>
      <c r="Y838" s="6"/>
      <c r="Z838" s="6"/>
    </row>
    <row r="839" spans="1:26" ht="12.75" x14ac:dyDescent="0.2">
      <c r="A839" s="36">
        <v>44424</v>
      </c>
      <c r="B839" s="29" t="s">
        <v>323</v>
      </c>
      <c r="C839" s="29">
        <v>86943622</v>
      </c>
      <c r="D839" s="37">
        <v>15000</v>
      </c>
      <c r="E839" s="18" t="s">
        <v>22</v>
      </c>
      <c r="F839" s="34">
        <v>44357</v>
      </c>
      <c r="G839" s="18"/>
      <c r="H839" s="16">
        <f t="shared" si="144"/>
        <v>16</v>
      </c>
      <c r="I839" s="16">
        <f t="shared" si="145"/>
        <v>8</v>
      </c>
      <c r="J839" s="122">
        <f t="shared" si="146"/>
        <v>2021</v>
      </c>
      <c r="K839" s="64">
        <f t="shared" si="147"/>
        <v>44484</v>
      </c>
      <c r="L839" s="6"/>
      <c r="M839" s="6"/>
      <c r="O839" s="208">
        <v>44484</v>
      </c>
      <c r="P839" s="209">
        <f t="shared" si="148"/>
        <v>0</v>
      </c>
      <c r="Q839" s="209">
        <f>+SUMIF('A DEPOSITAR'!$D$2:$D$998,(O839-2),'A DEPOSITAR'!$H$2:$H$998)</f>
        <v>0</v>
      </c>
      <c r="R839" s="210">
        <f t="shared" si="149"/>
        <v>0</v>
      </c>
      <c r="S839" s="210">
        <f t="shared" si="151"/>
        <v>4346579.4700000007</v>
      </c>
      <c r="T839" s="209">
        <f t="shared" si="150"/>
        <v>0</v>
      </c>
      <c r="U839" s="209">
        <f>+SUMIFS('A DEPOSITAR'!$H$2:$H$998,'A DEPOSITAR'!$D$2:$D$998,(O839-2),'A DEPOSITAR'!$I$2:$I$998,"A Depositar")</f>
        <v>0</v>
      </c>
      <c r="V839" s="6"/>
      <c r="W839" s="6"/>
      <c r="X839" s="6"/>
      <c r="Y839" s="6"/>
      <c r="Z839" s="6"/>
    </row>
    <row r="840" spans="1:26" ht="12.75" x14ac:dyDescent="0.2">
      <c r="A840" s="36">
        <v>44430</v>
      </c>
      <c r="B840" s="29" t="s">
        <v>323</v>
      </c>
      <c r="C840" s="29">
        <v>86943623</v>
      </c>
      <c r="D840" s="37">
        <v>15000</v>
      </c>
      <c r="E840" s="18" t="s">
        <v>22</v>
      </c>
      <c r="F840" s="34">
        <v>44357</v>
      </c>
      <c r="G840" s="18"/>
      <c r="H840" s="16">
        <f t="shared" si="144"/>
        <v>22</v>
      </c>
      <c r="I840" s="16">
        <f t="shared" si="145"/>
        <v>8</v>
      </c>
      <c r="J840" s="122">
        <f t="shared" si="146"/>
        <v>2021</v>
      </c>
      <c r="K840" s="64">
        <f t="shared" si="147"/>
        <v>44490</v>
      </c>
      <c r="L840" s="6"/>
      <c r="M840" s="6"/>
      <c r="O840" s="208">
        <v>44485</v>
      </c>
      <c r="P840" s="209">
        <f t="shared" si="148"/>
        <v>74865.7</v>
      </c>
      <c r="Q840" s="209">
        <f>+SUMIF('A DEPOSITAR'!$D$2:$D$998,(O840-2),'A DEPOSITAR'!$H$2:$H$998)</f>
        <v>13000</v>
      </c>
      <c r="R840" s="210">
        <f t="shared" si="149"/>
        <v>-61865.7</v>
      </c>
      <c r="S840" s="210">
        <f t="shared" si="151"/>
        <v>4284713.7700000005</v>
      </c>
      <c r="T840" s="209">
        <f t="shared" si="150"/>
        <v>28206.17</v>
      </c>
      <c r="U840" s="209">
        <f>+SUMIFS('A DEPOSITAR'!$H$2:$H$998,'A DEPOSITAR'!$D$2:$D$998,(O840-2),'A DEPOSITAR'!$I$2:$I$998,"A Depositar")</f>
        <v>0</v>
      </c>
      <c r="V840" s="6"/>
      <c r="W840" s="6"/>
      <c r="X840" s="6"/>
      <c r="Y840" s="6"/>
      <c r="Z840" s="6"/>
    </row>
    <row r="841" spans="1:26" ht="12.75" x14ac:dyDescent="0.2">
      <c r="A841" s="36">
        <v>44438</v>
      </c>
      <c r="B841" s="29" t="s">
        <v>323</v>
      </c>
      <c r="C841" s="29">
        <v>86943624</v>
      </c>
      <c r="D841" s="37">
        <v>16000</v>
      </c>
      <c r="E841" s="18" t="s">
        <v>22</v>
      </c>
      <c r="F841" s="34">
        <v>44357</v>
      </c>
      <c r="G841" s="18"/>
      <c r="H841" s="16">
        <f t="shared" si="144"/>
        <v>30</v>
      </c>
      <c r="I841" s="16">
        <f t="shared" si="145"/>
        <v>8</v>
      </c>
      <c r="J841" s="122">
        <f t="shared" si="146"/>
        <v>2021</v>
      </c>
      <c r="K841" s="64">
        <f t="shared" si="147"/>
        <v>44498</v>
      </c>
      <c r="L841" s="6"/>
      <c r="M841" s="6"/>
      <c r="O841" s="208">
        <v>44486</v>
      </c>
      <c r="P841" s="209">
        <f t="shared" si="148"/>
        <v>61417.35</v>
      </c>
      <c r="Q841" s="209">
        <f>+SUMIF('A DEPOSITAR'!$D$2:$D$998,(O841-2),'A DEPOSITAR'!$H$2:$H$998)</f>
        <v>0</v>
      </c>
      <c r="R841" s="210">
        <f t="shared" si="149"/>
        <v>-61417.35</v>
      </c>
      <c r="S841" s="210">
        <f t="shared" si="151"/>
        <v>4223296.4200000009</v>
      </c>
      <c r="T841" s="209">
        <f t="shared" si="150"/>
        <v>0</v>
      </c>
      <c r="U841" s="209">
        <f>+SUMIFS('A DEPOSITAR'!$H$2:$H$998,'A DEPOSITAR'!$D$2:$D$998,(O841-2),'A DEPOSITAR'!$I$2:$I$998,"A Depositar")</f>
        <v>0</v>
      </c>
      <c r="V841" s="6"/>
      <c r="W841" s="6"/>
      <c r="X841" s="6"/>
      <c r="Y841" s="6"/>
      <c r="Z841" s="6"/>
    </row>
    <row r="842" spans="1:26" ht="12.75" x14ac:dyDescent="0.2">
      <c r="A842" s="36">
        <v>44447</v>
      </c>
      <c r="B842" s="29" t="s">
        <v>323</v>
      </c>
      <c r="C842" s="29">
        <v>86943625</v>
      </c>
      <c r="D842" s="37">
        <v>17000</v>
      </c>
      <c r="E842" s="18" t="s">
        <v>22</v>
      </c>
      <c r="F842" s="34">
        <v>44357</v>
      </c>
      <c r="G842" s="18"/>
      <c r="H842" s="16">
        <f t="shared" si="144"/>
        <v>8</v>
      </c>
      <c r="I842" s="16">
        <f t="shared" si="145"/>
        <v>9</v>
      </c>
      <c r="J842" s="122">
        <f t="shared" si="146"/>
        <v>2021</v>
      </c>
      <c r="K842" s="64">
        <f t="shared" si="147"/>
        <v>44507</v>
      </c>
      <c r="L842" s="6"/>
      <c r="M842" s="6"/>
      <c r="O842" s="208">
        <v>44487</v>
      </c>
      <c r="P842" s="209">
        <f t="shared" si="148"/>
        <v>0</v>
      </c>
      <c r="Q842" s="209">
        <f>+SUMIF('A DEPOSITAR'!$D$2:$D$998,(O842-2),'A DEPOSITAR'!$H$2:$H$998)</f>
        <v>8372.5</v>
      </c>
      <c r="R842" s="210">
        <f t="shared" si="149"/>
        <v>8372.5</v>
      </c>
      <c r="S842" s="210">
        <f t="shared" si="151"/>
        <v>4231668.9200000009</v>
      </c>
      <c r="T842" s="209">
        <f t="shared" si="150"/>
        <v>0</v>
      </c>
      <c r="U842" s="209">
        <f>+SUMIFS('A DEPOSITAR'!$H$2:$H$998,'A DEPOSITAR'!$D$2:$D$998,(O842-2),'A DEPOSITAR'!$I$2:$I$998,"A Depositar")</f>
        <v>0</v>
      </c>
      <c r="V842" s="6"/>
      <c r="W842" s="6"/>
      <c r="X842" s="6"/>
      <c r="Y842" s="6"/>
      <c r="Z842" s="6"/>
    </row>
    <row r="843" spans="1:26" ht="12.75" x14ac:dyDescent="0.2">
      <c r="A843" s="36">
        <v>44424</v>
      </c>
      <c r="B843" s="29" t="s">
        <v>833</v>
      </c>
      <c r="C843" s="29">
        <v>86943626</v>
      </c>
      <c r="D843" s="37">
        <v>11300</v>
      </c>
      <c r="E843" s="18" t="s">
        <v>22</v>
      </c>
      <c r="F843" s="7">
        <v>44362</v>
      </c>
      <c r="G843" s="18"/>
      <c r="H843" s="16">
        <f t="shared" si="144"/>
        <v>16</v>
      </c>
      <c r="I843" s="16">
        <f t="shared" si="145"/>
        <v>8</v>
      </c>
      <c r="J843" s="122">
        <f t="shared" si="146"/>
        <v>2021</v>
      </c>
      <c r="K843" s="64">
        <f t="shared" si="147"/>
        <v>44484</v>
      </c>
      <c r="L843" s="6"/>
      <c r="M843" s="6"/>
      <c r="O843" s="208">
        <v>44488</v>
      </c>
      <c r="P843" s="209">
        <f t="shared" si="148"/>
        <v>0</v>
      </c>
      <c r="Q843" s="209">
        <f>+SUMIF('A DEPOSITAR'!$D$2:$D$998,(O843-2),'A DEPOSITAR'!$H$2:$H$998)</f>
        <v>0</v>
      </c>
      <c r="R843" s="210">
        <f t="shared" si="149"/>
        <v>0</v>
      </c>
      <c r="S843" s="210">
        <f t="shared" si="151"/>
        <v>4231668.9200000009</v>
      </c>
      <c r="T843" s="209">
        <f t="shared" si="150"/>
        <v>0</v>
      </c>
      <c r="U843" s="209">
        <f>+SUMIFS('A DEPOSITAR'!$H$2:$H$998,'A DEPOSITAR'!$D$2:$D$998,(O843-2),'A DEPOSITAR'!$I$2:$I$998,"A Depositar")</f>
        <v>0</v>
      </c>
      <c r="V843" s="6"/>
      <c r="W843" s="6"/>
      <c r="X843" s="6"/>
      <c r="Y843" s="6"/>
      <c r="Z843" s="6"/>
    </row>
    <row r="844" spans="1:26" ht="12.75" x14ac:dyDescent="0.2">
      <c r="A844" s="36">
        <v>44430</v>
      </c>
      <c r="B844" s="29" t="s">
        <v>833</v>
      </c>
      <c r="C844" s="29">
        <v>86943627</v>
      </c>
      <c r="D844" s="37">
        <v>12330</v>
      </c>
      <c r="E844" s="18" t="s">
        <v>22</v>
      </c>
      <c r="F844" s="7">
        <v>44362</v>
      </c>
      <c r="G844" s="18"/>
      <c r="H844" s="16">
        <f t="shared" si="144"/>
        <v>22</v>
      </c>
      <c r="I844" s="16">
        <f t="shared" si="145"/>
        <v>8</v>
      </c>
      <c r="J844" s="122">
        <f t="shared" si="146"/>
        <v>2021</v>
      </c>
      <c r="K844" s="64">
        <f t="shared" si="147"/>
        <v>44490</v>
      </c>
      <c r="L844" s="6"/>
      <c r="M844" s="6"/>
      <c r="O844" s="208">
        <v>44489</v>
      </c>
      <c r="P844" s="209">
        <f t="shared" si="148"/>
        <v>0</v>
      </c>
      <c r="Q844" s="209">
        <f>+SUMIF('A DEPOSITAR'!$D$2:$D$998,(O844-2),'A DEPOSITAR'!$H$2:$H$998)</f>
        <v>0</v>
      </c>
      <c r="R844" s="210">
        <f t="shared" si="149"/>
        <v>0</v>
      </c>
      <c r="S844" s="210">
        <f t="shared" si="151"/>
        <v>4231668.9200000009</v>
      </c>
      <c r="T844" s="209">
        <f t="shared" si="150"/>
        <v>0</v>
      </c>
      <c r="U844" s="209">
        <f>+SUMIFS('A DEPOSITAR'!$H$2:$H$998,'A DEPOSITAR'!$D$2:$D$998,(O844-2),'A DEPOSITAR'!$I$2:$I$998,"A Depositar")</f>
        <v>0</v>
      </c>
      <c r="V844" s="6"/>
      <c r="W844" s="6"/>
      <c r="X844" s="6"/>
      <c r="Y844" s="6"/>
      <c r="Z844" s="6"/>
    </row>
    <row r="845" spans="1:26" ht="12.75" x14ac:dyDescent="0.2">
      <c r="A845" s="36">
        <v>44438</v>
      </c>
      <c r="B845" s="29" t="s">
        <v>833</v>
      </c>
      <c r="C845" s="29">
        <v>86943628</v>
      </c>
      <c r="D845" s="37">
        <v>12405</v>
      </c>
      <c r="E845" s="18" t="s">
        <v>22</v>
      </c>
      <c r="F845" s="7">
        <v>44362</v>
      </c>
      <c r="G845" s="18"/>
      <c r="H845" s="16">
        <f t="shared" si="144"/>
        <v>30</v>
      </c>
      <c r="I845" s="16">
        <f t="shared" si="145"/>
        <v>8</v>
      </c>
      <c r="J845" s="122">
        <f t="shared" si="146"/>
        <v>2021</v>
      </c>
      <c r="K845" s="64">
        <f t="shared" si="147"/>
        <v>44498</v>
      </c>
      <c r="L845" s="6"/>
      <c r="M845" s="6"/>
      <c r="O845" s="208">
        <v>44490</v>
      </c>
      <c r="P845" s="209">
        <f t="shared" si="148"/>
        <v>0</v>
      </c>
      <c r="Q845" s="209">
        <f>+SUMIF('A DEPOSITAR'!$D$2:$D$998,(O845-2),'A DEPOSITAR'!$H$2:$H$998)</f>
        <v>0</v>
      </c>
      <c r="R845" s="210">
        <f t="shared" si="149"/>
        <v>0</v>
      </c>
      <c r="S845" s="210">
        <f t="shared" si="151"/>
        <v>4231668.9200000009</v>
      </c>
      <c r="T845" s="209">
        <f t="shared" si="150"/>
        <v>0</v>
      </c>
      <c r="U845" s="209">
        <f>+SUMIFS('A DEPOSITAR'!$H$2:$H$998,'A DEPOSITAR'!$D$2:$D$998,(O845-2),'A DEPOSITAR'!$I$2:$I$998,"A Depositar")</f>
        <v>0</v>
      </c>
      <c r="V845" s="6"/>
      <c r="W845" s="6"/>
      <c r="X845" s="6"/>
      <c r="Y845" s="6"/>
      <c r="Z845" s="6"/>
    </row>
    <row r="846" spans="1:26" ht="12.75" x14ac:dyDescent="0.2">
      <c r="A846" s="36">
        <v>44447</v>
      </c>
      <c r="B846" s="29" t="s">
        <v>833</v>
      </c>
      <c r="C846" s="29">
        <v>86943629</v>
      </c>
      <c r="D846" s="37">
        <v>13400</v>
      </c>
      <c r="E846" s="18" t="s">
        <v>22</v>
      </c>
      <c r="F846" s="7">
        <v>44362</v>
      </c>
      <c r="G846" s="18"/>
      <c r="H846" s="16">
        <f t="shared" si="144"/>
        <v>8</v>
      </c>
      <c r="I846" s="16">
        <f t="shared" si="145"/>
        <v>9</v>
      </c>
      <c r="J846" s="122">
        <f t="shared" si="146"/>
        <v>2021</v>
      </c>
      <c r="K846" s="64">
        <f t="shared" si="147"/>
        <v>44507</v>
      </c>
      <c r="L846" s="6"/>
      <c r="M846" s="6"/>
      <c r="O846" s="208">
        <v>44491</v>
      </c>
      <c r="P846" s="209">
        <f t="shared" si="148"/>
        <v>29809.99</v>
      </c>
      <c r="Q846" s="209">
        <f>+SUMIF('A DEPOSITAR'!$D$2:$D$998,(O846-2),'A DEPOSITAR'!$H$2:$H$998)</f>
        <v>48000</v>
      </c>
      <c r="R846" s="210">
        <f t="shared" si="149"/>
        <v>18190.009999999998</v>
      </c>
      <c r="S846" s="210">
        <f t="shared" si="151"/>
        <v>4249858.9300000006</v>
      </c>
      <c r="T846" s="209">
        <f t="shared" si="150"/>
        <v>29809.99</v>
      </c>
      <c r="U846" s="209">
        <f>+SUMIFS('A DEPOSITAR'!$H$2:$H$998,'A DEPOSITAR'!$D$2:$D$998,(O846-2),'A DEPOSITAR'!$I$2:$I$998,"A Depositar")</f>
        <v>0</v>
      </c>
      <c r="V846" s="6"/>
      <c r="W846" s="6"/>
      <c r="X846" s="6"/>
      <c r="Y846" s="6"/>
      <c r="Z846" s="6"/>
    </row>
    <row r="847" spans="1:26" ht="12.75" x14ac:dyDescent="0.2">
      <c r="A847" s="36">
        <v>44455</v>
      </c>
      <c r="B847" s="29" t="s">
        <v>833</v>
      </c>
      <c r="C847" s="29">
        <v>86943630</v>
      </c>
      <c r="D847" s="37">
        <v>0</v>
      </c>
      <c r="E847" s="18" t="s">
        <v>327</v>
      </c>
      <c r="F847" s="7">
        <v>44362</v>
      </c>
      <c r="G847" s="18"/>
      <c r="H847" s="16">
        <f t="shared" si="144"/>
        <v>16</v>
      </c>
      <c r="I847" s="16">
        <f t="shared" si="145"/>
        <v>9</v>
      </c>
      <c r="J847" s="122">
        <f t="shared" si="146"/>
        <v>2021</v>
      </c>
      <c r="K847" s="64">
        <f t="shared" si="147"/>
        <v>44515</v>
      </c>
      <c r="L847" s="6"/>
      <c r="M847" s="6"/>
      <c r="O847" s="208">
        <v>44492</v>
      </c>
      <c r="P847" s="209">
        <f t="shared" si="148"/>
        <v>0</v>
      </c>
      <c r="Q847" s="209">
        <f>+SUMIF('A DEPOSITAR'!$D$2:$D$998,(O847-2),'A DEPOSITAR'!$H$2:$H$998)</f>
        <v>0</v>
      </c>
      <c r="R847" s="210">
        <f t="shared" si="149"/>
        <v>0</v>
      </c>
      <c r="S847" s="210">
        <f t="shared" si="151"/>
        <v>4249858.9300000006</v>
      </c>
      <c r="T847" s="209">
        <f t="shared" si="150"/>
        <v>0</v>
      </c>
      <c r="U847" s="209">
        <f>+SUMIFS('A DEPOSITAR'!$H$2:$H$998,'A DEPOSITAR'!$D$2:$D$998,(O847-2),'A DEPOSITAR'!$I$2:$I$998,"A Depositar")</f>
        <v>0</v>
      </c>
      <c r="V847" s="6"/>
      <c r="W847" s="6"/>
      <c r="X847" s="6"/>
      <c r="Y847" s="6"/>
      <c r="Z847" s="6"/>
    </row>
    <row r="848" spans="1:26" ht="12.75" x14ac:dyDescent="0.2">
      <c r="A848" s="36">
        <v>44455</v>
      </c>
      <c r="B848" s="29" t="s">
        <v>833</v>
      </c>
      <c r="C848" s="29">
        <v>86943631</v>
      </c>
      <c r="D848" s="37">
        <v>14300.18</v>
      </c>
      <c r="E848" s="18" t="s">
        <v>22</v>
      </c>
      <c r="F848" s="34">
        <v>44362</v>
      </c>
      <c r="G848" s="18"/>
      <c r="H848" s="16">
        <f t="shared" si="144"/>
        <v>16</v>
      </c>
      <c r="I848" s="16">
        <f t="shared" si="145"/>
        <v>9</v>
      </c>
      <c r="J848" s="122">
        <f t="shared" si="146"/>
        <v>2021</v>
      </c>
      <c r="K848" s="64">
        <f t="shared" si="147"/>
        <v>44515</v>
      </c>
      <c r="L848" s="6"/>
      <c r="M848" s="6"/>
      <c r="O848" s="208">
        <v>44493</v>
      </c>
      <c r="P848" s="209">
        <f t="shared" si="148"/>
        <v>0</v>
      </c>
      <c r="Q848" s="209">
        <f>+SUMIF('A DEPOSITAR'!$D$2:$D$998,(O848-2),'A DEPOSITAR'!$H$2:$H$998)</f>
        <v>0</v>
      </c>
      <c r="R848" s="210">
        <f t="shared" si="149"/>
        <v>0</v>
      </c>
      <c r="S848" s="210">
        <f t="shared" si="151"/>
        <v>4249858.9300000006</v>
      </c>
      <c r="T848" s="209">
        <f t="shared" si="150"/>
        <v>0</v>
      </c>
      <c r="U848" s="209">
        <f>+SUMIFS('A DEPOSITAR'!$H$2:$H$998,'A DEPOSITAR'!$D$2:$D$998,(O848-2),'A DEPOSITAR'!$I$2:$I$998,"A Depositar")</f>
        <v>0</v>
      </c>
      <c r="V848" s="6"/>
      <c r="W848" s="6"/>
      <c r="X848" s="6"/>
      <c r="Y848" s="6"/>
      <c r="Z848" s="6"/>
    </row>
    <row r="849" spans="1:26" ht="12.75" x14ac:dyDescent="0.2">
      <c r="A849" s="36">
        <v>44461</v>
      </c>
      <c r="B849" s="29" t="s">
        <v>833</v>
      </c>
      <c r="C849" s="29">
        <v>86943632</v>
      </c>
      <c r="D849" s="37">
        <v>14400</v>
      </c>
      <c r="E849" s="18" t="s">
        <v>22</v>
      </c>
      <c r="F849" s="34">
        <v>44362</v>
      </c>
      <c r="G849" s="18"/>
      <c r="H849" s="16">
        <f t="shared" si="144"/>
        <v>22</v>
      </c>
      <c r="I849" s="16">
        <f t="shared" si="145"/>
        <v>9</v>
      </c>
      <c r="J849" s="122">
        <f t="shared" si="146"/>
        <v>2021</v>
      </c>
      <c r="K849" s="64">
        <f t="shared" si="147"/>
        <v>44521</v>
      </c>
      <c r="L849" s="6"/>
      <c r="M849" s="6"/>
      <c r="O849" s="208">
        <v>44494</v>
      </c>
      <c r="P849" s="209">
        <f t="shared" si="148"/>
        <v>0</v>
      </c>
      <c r="Q849" s="209">
        <f>+SUMIF('A DEPOSITAR'!$D$2:$D$998,(O849-2),'A DEPOSITAR'!$H$2:$H$998)</f>
        <v>110000</v>
      </c>
      <c r="R849" s="210">
        <f t="shared" si="149"/>
        <v>110000</v>
      </c>
      <c r="S849" s="210">
        <f t="shared" si="151"/>
        <v>4359858.9300000006</v>
      </c>
      <c r="T849" s="209">
        <f t="shared" si="150"/>
        <v>0</v>
      </c>
      <c r="U849" s="209">
        <f>+SUMIFS('A DEPOSITAR'!$H$2:$H$998,'A DEPOSITAR'!$D$2:$D$998,(O849-2),'A DEPOSITAR'!$I$2:$I$998,"A Depositar")</f>
        <v>110000</v>
      </c>
      <c r="V849" s="6"/>
      <c r="W849" s="6"/>
      <c r="X849" s="6"/>
      <c r="Y849" s="6"/>
      <c r="Z849" s="6"/>
    </row>
    <row r="850" spans="1:26" ht="12.75" x14ac:dyDescent="0.2">
      <c r="A850" s="36">
        <v>44469</v>
      </c>
      <c r="B850" s="29" t="s">
        <v>833</v>
      </c>
      <c r="C850" s="29">
        <v>86943633</v>
      </c>
      <c r="D850" s="37">
        <v>15300</v>
      </c>
      <c r="E850" s="18" t="s">
        <v>22</v>
      </c>
      <c r="F850" s="34">
        <v>44362</v>
      </c>
      <c r="G850" s="18"/>
      <c r="H850" s="16">
        <f t="shared" si="144"/>
        <v>30</v>
      </c>
      <c r="I850" s="16">
        <f t="shared" si="145"/>
        <v>9</v>
      </c>
      <c r="J850" s="122">
        <f t="shared" si="146"/>
        <v>2021</v>
      </c>
      <c r="K850" s="64">
        <f t="shared" si="147"/>
        <v>44529</v>
      </c>
      <c r="L850" s="6"/>
      <c r="M850" s="6"/>
      <c r="O850" s="208">
        <v>44495</v>
      </c>
      <c r="P850" s="209">
        <f t="shared" si="148"/>
        <v>0</v>
      </c>
      <c r="Q850" s="209">
        <f>+SUMIF('A DEPOSITAR'!$D$2:$D$998,(O850-2),'A DEPOSITAR'!$H$2:$H$998)</f>
        <v>0</v>
      </c>
      <c r="R850" s="210">
        <f t="shared" si="149"/>
        <v>0</v>
      </c>
      <c r="S850" s="210">
        <f t="shared" si="151"/>
        <v>4359858.9300000006</v>
      </c>
      <c r="T850" s="209">
        <f t="shared" si="150"/>
        <v>0</v>
      </c>
      <c r="U850" s="209">
        <f>+SUMIFS('A DEPOSITAR'!$H$2:$H$998,'A DEPOSITAR'!$D$2:$D$998,(O850-2),'A DEPOSITAR'!$I$2:$I$998,"A Depositar")</f>
        <v>0</v>
      </c>
      <c r="V850" s="6"/>
      <c r="W850" s="6"/>
      <c r="X850" s="6"/>
      <c r="Y850" s="6"/>
      <c r="Z850" s="6"/>
    </row>
    <row r="851" spans="1:26" ht="12.75" x14ac:dyDescent="0.2">
      <c r="A851" s="36">
        <v>44377</v>
      </c>
      <c r="B851" s="29" t="s">
        <v>1193</v>
      </c>
      <c r="C851" s="29">
        <v>86943634</v>
      </c>
      <c r="D851" s="37">
        <v>13000</v>
      </c>
      <c r="E851" s="18" t="s">
        <v>22</v>
      </c>
      <c r="F851" s="34">
        <v>44362</v>
      </c>
      <c r="G851" s="18"/>
      <c r="H851" s="16">
        <f t="shared" si="144"/>
        <v>30</v>
      </c>
      <c r="I851" s="16">
        <f t="shared" si="145"/>
        <v>6</v>
      </c>
      <c r="J851" s="122">
        <f t="shared" si="146"/>
        <v>2021</v>
      </c>
      <c r="K851" s="64">
        <f t="shared" si="147"/>
        <v>44437</v>
      </c>
      <c r="L851" s="6"/>
      <c r="M851" s="6"/>
      <c r="O851" s="208">
        <v>44496</v>
      </c>
      <c r="P851" s="209">
        <f t="shared" si="148"/>
        <v>0</v>
      </c>
      <c r="Q851" s="209">
        <f>+SUMIF('A DEPOSITAR'!$D$2:$D$998,(O851-2),'A DEPOSITAR'!$H$2:$H$998)</f>
        <v>0</v>
      </c>
      <c r="R851" s="210">
        <f t="shared" si="149"/>
        <v>0</v>
      </c>
      <c r="S851" s="210">
        <f t="shared" si="151"/>
        <v>4359858.9300000006</v>
      </c>
      <c r="T851" s="209">
        <f t="shared" si="150"/>
        <v>0</v>
      </c>
      <c r="U851" s="209">
        <f>+SUMIFS('A DEPOSITAR'!$H$2:$H$998,'A DEPOSITAR'!$D$2:$D$998,(O851-2),'A DEPOSITAR'!$I$2:$I$998,"A Depositar")</f>
        <v>0</v>
      </c>
      <c r="V851" s="6"/>
      <c r="W851" s="6"/>
      <c r="X851" s="6"/>
      <c r="Y851" s="6"/>
      <c r="Z851" s="6"/>
    </row>
    <row r="852" spans="1:26" ht="12.75" x14ac:dyDescent="0.2">
      <c r="A852" s="36">
        <v>44399</v>
      </c>
      <c r="B852" s="29" t="s">
        <v>1193</v>
      </c>
      <c r="C852" s="29">
        <v>86943635</v>
      </c>
      <c r="D852" s="37">
        <v>14000</v>
      </c>
      <c r="E852" s="18" t="s">
        <v>22</v>
      </c>
      <c r="F852" s="34">
        <v>44362</v>
      </c>
      <c r="G852" s="18"/>
      <c r="H852" s="16">
        <f t="shared" si="144"/>
        <v>22</v>
      </c>
      <c r="I852" s="16">
        <f t="shared" si="145"/>
        <v>7</v>
      </c>
      <c r="J852" s="122">
        <f t="shared" si="146"/>
        <v>2021</v>
      </c>
      <c r="K852" s="64">
        <f t="shared" si="147"/>
        <v>44459</v>
      </c>
      <c r="L852" s="6"/>
      <c r="M852" s="6"/>
      <c r="O852" s="208">
        <v>44497</v>
      </c>
      <c r="P852" s="209">
        <f t="shared" si="148"/>
        <v>24657.53</v>
      </c>
      <c r="Q852" s="209">
        <f>+SUMIF('A DEPOSITAR'!$D$2:$D$998,(O852-2),'A DEPOSITAR'!$H$2:$H$998)</f>
        <v>0</v>
      </c>
      <c r="R852" s="210">
        <f t="shared" si="149"/>
        <v>-24657.53</v>
      </c>
      <c r="S852" s="210">
        <f t="shared" si="151"/>
        <v>4335201.4000000004</v>
      </c>
      <c r="T852" s="209">
        <f t="shared" si="150"/>
        <v>24657.53</v>
      </c>
      <c r="U852" s="209">
        <f>+SUMIFS('A DEPOSITAR'!$H$2:$H$998,'A DEPOSITAR'!$D$2:$D$998,(O852-2),'A DEPOSITAR'!$I$2:$I$998,"A Depositar")</f>
        <v>0</v>
      </c>
      <c r="V852" s="6"/>
      <c r="W852" s="6"/>
      <c r="X852" s="6"/>
      <c r="Y852" s="6"/>
      <c r="Z852" s="6"/>
    </row>
    <row r="853" spans="1:26" ht="12.75" x14ac:dyDescent="0.2">
      <c r="A853" s="36">
        <v>44385</v>
      </c>
      <c r="B853" s="29" t="s">
        <v>1193</v>
      </c>
      <c r="C853" s="29">
        <v>86943636</v>
      </c>
      <c r="D853" s="37">
        <v>16000</v>
      </c>
      <c r="E853" s="18" t="s">
        <v>22</v>
      </c>
      <c r="F853" s="34">
        <v>44362</v>
      </c>
      <c r="G853" s="18"/>
      <c r="H853" s="16">
        <f t="shared" si="144"/>
        <v>8</v>
      </c>
      <c r="I853" s="16">
        <f t="shared" si="145"/>
        <v>7</v>
      </c>
      <c r="J853" s="122">
        <f t="shared" si="146"/>
        <v>2021</v>
      </c>
      <c r="K853" s="64">
        <f t="shared" si="147"/>
        <v>44445</v>
      </c>
      <c r="L853" s="6"/>
      <c r="M853" s="6"/>
      <c r="O853" s="208">
        <v>44498</v>
      </c>
      <c r="P853" s="209">
        <f t="shared" si="148"/>
        <v>0</v>
      </c>
      <c r="Q853" s="209">
        <f>+SUMIF('A DEPOSITAR'!$D$2:$D$998,(O853-2),'A DEPOSITAR'!$H$2:$H$998)</f>
        <v>0</v>
      </c>
      <c r="R853" s="210">
        <f t="shared" si="149"/>
        <v>0</v>
      </c>
      <c r="S853" s="210">
        <f t="shared" si="151"/>
        <v>4335201.4000000004</v>
      </c>
      <c r="T853" s="209">
        <f t="shared" si="150"/>
        <v>0</v>
      </c>
      <c r="U853" s="209">
        <f>+SUMIFS('A DEPOSITAR'!$H$2:$H$998,'A DEPOSITAR'!$D$2:$D$998,(O853-2),'A DEPOSITAR'!$I$2:$I$998,"A Depositar")</f>
        <v>0</v>
      </c>
      <c r="V853" s="6"/>
      <c r="W853" s="6"/>
      <c r="X853" s="6"/>
      <c r="Y853" s="6"/>
      <c r="Z853" s="6"/>
    </row>
    <row r="854" spans="1:26" ht="12.75" x14ac:dyDescent="0.2">
      <c r="A854" s="36">
        <v>44393</v>
      </c>
      <c r="B854" s="29" t="s">
        <v>1193</v>
      </c>
      <c r="C854" s="29">
        <v>86943637</v>
      </c>
      <c r="D854" s="37">
        <v>15000</v>
      </c>
      <c r="E854" s="18" t="s">
        <v>22</v>
      </c>
      <c r="F854" s="34">
        <v>44362</v>
      </c>
      <c r="G854" s="18"/>
      <c r="H854" s="16">
        <f t="shared" si="144"/>
        <v>16</v>
      </c>
      <c r="I854" s="16">
        <f t="shared" si="145"/>
        <v>7</v>
      </c>
      <c r="J854" s="122">
        <f t="shared" si="146"/>
        <v>2021</v>
      </c>
      <c r="K854" s="64">
        <f t="shared" si="147"/>
        <v>44453</v>
      </c>
      <c r="L854" s="6"/>
      <c r="M854" s="6"/>
      <c r="O854" s="208">
        <v>44499</v>
      </c>
      <c r="P854" s="209">
        <f t="shared" si="148"/>
        <v>69530.31</v>
      </c>
      <c r="Q854" s="209">
        <f>+SUMIF('A DEPOSITAR'!$D$2:$D$998,(O854-2),'A DEPOSITAR'!$H$2:$H$998)</f>
        <v>0</v>
      </c>
      <c r="R854" s="210">
        <f t="shared" si="149"/>
        <v>-69530.31</v>
      </c>
      <c r="S854" s="210">
        <f t="shared" si="151"/>
        <v>4265671.0900000008</v>
      </c>
      <c r="T854" s="209">
        <f t="shared" si="150"/>
        <v>69530.31</v>
      </c>
      <c r="U854" s="209">
        <f>+SUMIFS('A DEPOSITAR'!$H$2:$H$998,'A DEPOSITAR'!$D$2:$D$998,(O854-2),'A DEPOSITAR'!$I$2:$I$998,"A Depositar")</f>
        <v>0</v>
      </c>
      <c r="V854" s="6"/>
      <c r="W854" s="6"/>
      <c r="X854" s="6"/>
      <c r="Y854" s="6"/>
      <c r="Z854" s="6"/>
    </row>
    <row r="855" spans="1:26" ht="12.75" x14ac:dyDescent="0.2">
      <c r="A855" s="36">
        <v>44375</v>
      </c>
      <c r="B855" s="29" t="s">
        <v>222</v>
      </c>
      <c r="C855" s="29">
        <v>86943638</v>
      </c>
      <c r="D855" s="37">
        <v>62000</v>
      </c>
      <c r="E855" s="29" t="s">
        <v>892</v>
      </c>
      <c r="F855" s="7">
        <v>44364</v>
      </c>
      <c r="G855" s="18" t="s">
        <v>1275</v>
      </c>
      <c r="H855" s="16">
        <f t="shared" ref="H855:H918" si="152">DAY(A855)</f>
        <v>28</v>
      </c>
      <c r="I855" s="16">
        <f t="shared" ref="I855:I918" si="153">MONTH(A855)</f>
        <v>6</v>
      </c>
      <c r="J855" s="122">
        <f t="shared" ref="J855:J918" si="154">YEAR(A855)</f>
        <v>2021</v>
      </c>
      <c r="K855" s="64">
        <f t="shared" si="147"/>
        <v>44435</v>
      </c>
      <c r="L855" s="6"/>
      <c r="M855" s="6"/>
      <c r="O855" s="208">
        <v>44500</v>
      </c>
      <c r="P855" s="209">
        <f t="shared" si="148"/>
        <v>4000</v>
      </c>
      <c r="Q855" s="209">
        <f>+SUMIF('A DEPOSITAR'!$D$2:$D$998,(O855-2),'A DEPOSITAR'!$H$2:$H$998)</f>
        <v>0</v>
      </c>
      <c r="R855" s="210">
        <f t="shared" si="149"/>
        <v>-4000</v>
      </c>
      <c r="S855" s="210">
        <f t="shared" si="151"/>
        <v>4261671.0900000008</v>
      </c>
      <c r="T855" s="209">
        <f t="shared" si="150"/>
        <v>4000</v>
      </c>
      <c r="U855" s="209">
        <f>+SUMIFS('A DEPOSITAR'!$H$2:$H$998,'A DEPOSITAR'!$D$2:$D$998,(O855-2),'A DEPOSITAR'!$I$2:$I$998,"A Depositar")</f>
        <v>0</v>
      </c>
      <c r="V855" s="6"/>
      <c r="W855" s="6"/>
      <c r="X855" s="6"/>
      <c r="Y855" s="6"/>
      <c r="Z855" s="6"/>
    </row>
    <row r="856" spans="1:26" ht="12.75" x14ac:dyDescent="0.2">
      <c r="A856" s="36">
        <v>44376</v>
      </c>
      <c r="B856" s="29" t="s">
        <v>222</v>
      </c>
      <c r="C856" s="29">
        <v>86943639</v>
      </c>
      <c r="D856" s="37">
        <v>63000</v>
      </c>
      <c r="E856" s="29" t="s">
        <v>22</v>
      </c>
      <c r="F856" s="7">
        <v>44364</v>
      </c>
      <c r="G856" s="29" t="s">
        <v>1207</v>
      </c>
      <c r="H856" s="16">
        <f t="shared" si="152"/>
        <v>29</v>
      </c>
      <c r="I856" s="16">
        <f t="shared" si="153"/>
        <v>6</v>
      </c>
      <c r="J856" s="122">
        <f t="shared" si="154"/>
        <v>2021</v>
      </c>
      <c r="K856" s="64">
        <f t="shared" si="147"/>
        <v>44436</v>
      </c>
      <c r="L856" s="6"/>
      <c r="M856" s="6"/>
      <c r="O856" s="208">
        <v>44501</v>
      </c>
      <c r="P856" s="209">
        <f t="shared" si="148"/>
        <v>0</v>
      </c>
      <c r="Q856" s="209">
        <f>+SUMIF('A DEPOSITAR'!$D$2:$D$998,(O856-2),'A DEPOSITAR'!$H$2:$H$998)</f>
        <v>0</v>
      </c>
      <c r="R856" s="210">
        <f t="shared" si="149"/>
        <v>0</v>
      </c>
      <c r="S856" s="210">
        <f t="shared" si="151"/>
        <v>4261671.0900000008</v>
      </c>
      <c r="T856" s="209">
        <f t="shared" si="150"/>
        <v>0</v>
      </c>
      <c r="U856" s="209">
        <f>+SUMIFS('A DEPOSITAR'!$H$2:$H$998,'A DEPOSITAR'!$D$2:$D$998,(O856-2),'A DEPOSITAR'!$I$2:$I$998,"A Depositar")</f>
        <v>0</v>
      </c>
      <c r="V856" s="6"/>
      <c r="W856" s="6"/>
      <c r="X856" s="6"/>
      <c r="Y856" s="6"/>
      <c r="Z856" s="6"/>
    </row>
    <row r="857" spans="1:26" ht="12.75" x14ac:dyDescent="0.2">
      <c r="A857" s="36">
        <v>44377</v>
      </c>
      <c r="B857" s="29" t="s">
        <v>222</v>
      </c>
      <c r="C857" s="29">
        <v>86943640</v>
      </c>
      <c r="D857" s="37">
        <v>65000</v>
      </c>
      <c r="E857" s="29" t="s">
        <v>22</v>
      </c>
      <c r="F857" s="7">
        <v>44364</v>
      </c>
      <c r="G857" s="29" t="s">
        <v>1207</v>
      </c>
      <c r="H857" s="16">
        <f t="shared" si="152"/>
        <v>30</v>
      </c>
      <c r="I857" s="16">
        <f t="shared" si="153"/>
        <v>6</v>
      </c>
      <c r="J857" s="122">
        <f t="shared" si="154"/>
        <v>2021</v>
      </c>
      <c r="K857" s="64">
        <f t="shared" si="147"/>
        <v>44437</v>
      </c>
      <c r="L857" s="6"/>
      <c r="M857" s="6"/>
      <c r="O857" s="208">
        <v>44502</v>
      </c>
      <c r="P857" s="209">
        <f t="shared" si="148"/>
        <v>0</v>
      </c>
      <c r="Q857" s="209">
        <f>+SUMIF('A DEPOSITAR'!$D$2:$D$998,(O857-2),'A DEPOSITAR'!$H$2:$H$998)</f>
        <v>90000</v>
      </c>
      <c r="R857" s="210">
        <f t="shared" si="149"/>
        <v>90000</v>
      </c>
      <c r="S857" s="210">
        <f t="shared" si="151"/>
        <v>4351671.0900000008</v>
      </c>
      <c r="T857" s="209">
        <f t="shared" si="150"/>
        <v>0</v>
      </c>
      <c r="U857" s="209">
        <f>+SUMIFS('A DEPOSITAR'!$H$2:$H$998,'A DEPOSITAR'!$D$2:$D$998,(O857-2),'A DEPOSITAR'!$I$2:$I$998,"A Depositar")</f>
        <v>80000</v>
      </c>
      <c r="V857" s="6"/>
      <c r="W857" s="6"/>
      <c r="X857" s="6"/>
      <c r="Y857" s="6"/>
      <c r="Z857" s="6"/>
    </row>
    <row r="858" spans="1:26" ht="12.75" x14ac:dyDescent="0.2">
      <c r="A858" s="36">
        <v>44407</v>
      </c>
      <c r="B858" s="29" t="s">
        <v>212</v>
      </c>
      <c r="C858" s="29">
        <v>86943641</v>
      </c>
      <c r="D858" s="37">
        <v>8413.84</v>
      </c>
      <c r="E858" s="29" t="s">
        <v>327</v>
      </c>
      <c r="F858" s="7">
        <v>44375</v>
      </c>
      <c r="G858" s="18"/>
      <c r="H858" s="16">
        <f t="shared" si="152"/>
        <v>30</v>
      </c>
      <c r="I858" s="16">
        <f t="shared" si="153"/>
        <v>7</v>
      </c>
      <c r="J858" s="122">
        <f t="shared" si="154"/>
        <v>2021</v>
      </c>
      <c r="K858" s="64">
        <f t="shared" si="147"/>
        <v>44467</v>
      </c>
      <c r="L858" s="6"/>
      <c r="M858" s="6"/>
      <c r="O858" s="208">
        <v>44503</v>
      </c>
      <c r="P858" s="209">
        <f t="shared" si="148"/>
        <v>0</v>
      </c>
      <c r="Q858" s="209">
        <f>+SUMIF('A DEPOSITAR'!$D$2:$D$998,(O858-2),'A DEPOSITAR'!$H$2:$H$998)</f>
        <v>0</v>
      </c>
      <c r="R858" s="210">
        <f t="shared" si="149"/>
        <v>0</v>
      </c>
      <c r="S858" s="210">
        <f t="shared" si="151"/>
        <v>4351671.0900000008</v>
      </c>
      <c r="T858" s="209">
        <f t="shared" si="150"/>
        <v>0</v>
      </c>
      <c r="U858" s="209">
        <f>+SUMIFS('A DEPOSITAR'!$H$2:$H$998,'A DEPOSITAR'!$D$2:$D$998,(O858-2),'A DEPOSITAR'!$I$2:$I$998,"A Depositar")</f>
        <v>0</v>
      </c>
      <c r="V858" s="6"/>
      <c r="W858" s="6"/>
      <c r="X858" s="6"/>
      <c r="Y858" s="6"/>
      <c r="Z858" s="6"/>
    </row>
    <row r="859" spans="1:26" ht="12.75" x14ac:dyDescent="0.2">
      <c r="A859" s="36">
        <v>44530</v>
      </c>
      <c r="B859" s="29" t="s">
        <v>1290</v>
      </c>
      <c r="C859" s="29">
        <v>86943642</v>
      </c>
      <c r="D859" s="37">
        <v>8000</v>
      </c>
      <c r="E859" s="29" t="s">
        <v>136</v>
      </c>
      <c r="F859" s="7">
        <v>44467</v>
      </c>
      <c r="G859" s="18"/>
      <c r="H859" s="16">
        <f t="shared" si="152"/>
        <v>30</v>
      </c>
      <c r="I859" s="16">
        <f t="shared" si="153"/>
        <v>11</v>
      </c>
      <c r="J859" s="122">
        <f t="shared" si="154"/>
        <v>2021</v>
      </c>
      <c r="K859" s="64">
        <f t="shared" si="147"/>
        <v>44590</v>
      </c>
      <c r="L859" s="6"/>
      <c r="M859" s="6"/>
      <c r="O859" s="208">
        <v>44504</v>
      </c>
      <c r="P859" s="209">
        <f t="shared" si="148"/>
        <v>0</v>
      </c>
      <c r="Q859" s="209">
        <f>+SUMIF('A DEPOSITAR'!$D$2:$D$998,(O859-2),'A DEPOSITAR'!$H$2:$H$998)</f>
        <v>0</v>
      </c>
      <c r="R859" s="210">
        <f t="shared" si="149"/>
        <v>0</v>
      </c>
      <c r="S859" s="210">
        <f t="shared" si="151"/>
        <v>4351671.0900000008</v>
      </c>
      <c r="T859" s="209">
        <f t="shared" si="150"/>
        <v>0</v>
      </c>
      <c r="U859" s="209">
        <f>+SUMIFS('A DEPOSITAR'!$H$2:$H$998,'A DEPOSITAR'!$D$2:$D$998,(O859-2),'A DEPOSITAR'!$I$2:$I$998,"A Depositar")</f>
        <v>0</v>
      </c>
      <c r="V859" s="6"/>
      <c r="W859" s="6"/>
      <c r="X859" s="6"/>
      <c r="Y859" s="6"/>
      <c r="Z859" s="6"/>
    </row>
    <row r="860" spans="1:26" ht="12.75" x14ac:dyDescent="0.2">
      <c r="A860" s="36">
        <v>44469</v>
      </c>
      <c r="B860" s="29" t="s">
        <v>212</v>
      </c>
      <c r="C860" s="29">
        <v>86943643</v>
      </c>
      <c r="D860" s="37">
        <v>6000</v>
      </c>
      <c r="E860" s="29" t="s">
        <v>327</v>
      </c>
      <c r="F860" s="7">
        <v>44375</v>
      </c>
      <c r="G860" s="18"/>
      <c r="H860" s="16">
        <f t="shared" si="152"/>
        <v>30</v>
      </c>
      <c r="I860" s="16">
        <f t="shared" si="153"/>
        <v>9</v>
      </c>
      <c r="J860" s="122">
        <f t="shared" si="154"/>
        <v>2021</v>
      </c>
      <c r="K860" s="64">
        <f t="shared" si="147"/>
        <v>44529</v>
      </c>
      <c r="L860" s="6"/>
      <c r="M860" s="6"/>
      <c r="O860" s="208">
        <v>44505</v>
      </c>
      <c r="P860" s="209">
        <f t="shared" si="148"/>
        <v>0</v>
      </c>
      <c r="Q860" s="209">
        <f>+SUMIF('A DEPOSITAR'!$D$2:$D$998,(O860-2),'A DEPOSITAR'!$H$2:$H$998)</f>
        <v>0</v>
      </c>
      <c r="R860" s="210">
        <f t="shared" si="149"/>
        <v>0</v>
      </c>
      <c r="S860" s="210">
        <f t="shared" si="151"/>
        <v>4351671.0900000008</v>
      </c>
      <c r="T860" s="209">
        <f t="shared" si="150"/>
        <v>0</v>
      </c>
      <c r="U860" s="209">
        <f>+SUMIFS('A DEPOSITAR'!$H$2:$H$998,'A DEPOSITAR'!$D$2:$D$998,(O860-2),'A DEPOSITAR'!$I$2:$I$998,"A Depositar")</f>
        <v>0</v>
      </c>
      <c r="V860" s="6"/>
      <c r="W860" s="6"/>
      <c r="X860" s="6"/>
      <c r="Y860" s="6"/>
      <c r="Z860" s="6"/>
    </row>
    <row r="861" spans="1:26" ht="12.75" x14ac:dyDescent="0.2">
      <c r="A861" s="36">
        <v>44430</v>
      </c>
      <c r="B861" s="29" t="s">
        <v>833</v>
      </c>
      <c r="C861" s="29">
        <v>86943644</v>
      </c>
      <c r="D861" s="37">
        <v>11000</v>
      </c>
      <c r="E861" s="29" t="s">
        <v>22</v>
      </c>
      <c r="F861" s="7">
        <v>44376</v>
      </c>
      <c r="G861" s="18"/>
      <c r="H861" s="16">
        <f t="shared" si="152"/>
        <v>22</v>
      </c>
      <c r="I861" s="16">
        <f t="shared" si="153"/>
        <v>8</v>
      </c>
      <c r="J861" s="122">
        <f t="shared" si="154"/>
        <v>2021</v>
      </c>
      <c r="K861" s="64">
        <f t="shared" si="147"/>
        <v>44490</v>
      </c>
      <c r="L861" s="6"/>
      <c r="M861" s="6"/>
      <c r="O861" s="208">
        <v>44506</v>
      </c>
      <c r="P861" s="209">
        <f t="shared" si="148"/>
        <v>0</v>
      </c>
      <c r="Q861" s="209">
        <f>+SUMIF('A DEPOSITAR'!$D$2:$D$998,(O861-2),'A DEPOSITAR'!$H$2:$H$998)</f>
        <v>0</v>
      </c>
      <c r="R861" s="210">
        <f t="shared" si="149"/>
        <v>0</v>
      </c>
      <c r="S861" s="210">
        <f t="shared" si="151"/>
        <v>4351671.0900000008</v>
      </c>
      <c r="T861" s="209">
        <f t="shared" si="150"/>
        <v>0</v>
      </c>
      <c r="U861" s="209">
        <f>+SUMIFS('A DEPOSITAR'!$H$2:$H$998,'A DEPOSITAR'!$D$2:$D$998,(O861-2),'A DEPOSITAR'!$I$2:$I$998,"A Depositar")</f>
        <v>0</v>
      </c>
      <c r="V861" s="6"/>
      <c r="W861" s="6"/>
      <c r="X861" s="6"/>
      <c r="Y861" s="6"/>
      <c r="Z861" s="6"/>
    </row>
    <row r="862" spans="1:26" ht="12.75" x14ac:dyDescent="0.2">
      <c r="A862" s="36">
        <v>44438</v>
      </c>
      <c r="B862" s="29" t="s">
        <v>833</v>
      </c>
      <c r="C862" s="29">
        <v>86943645</v>
      </c>
      <c r="D862" s="37">
        <v>12000</v>
      </c>
      <c r="E862" s="29" t="s">
        <v>22</v>
      </c>
      <c r="F862" s="34">
        <v>44376</v>
      </c>
      <c r="G862" s="18"/>
      <c r="H862" s="16">
        <f t="shared" si="152"/>
        <v>30</v>
      </c>
      <c r="I862" s="16">
        <f t="shared" si="153"/>
        <v>8</v>
      </c>
      <c r="J862" s="122">
        <f t="shared" si="154"/>
        <v>2021</v>
      </c>
      <c r="K862" s="64">
        <f t="shared" si="147"/>
        <v>44498</v>
      </c>
      <c r="L862" s="6"/>
      <c r="M862" s="6"/>
      <c r="O862" s="208">
        <v>44507</v>
      </c>
      <c r="P862" s="209">
        <f t="shared" si="148"/>
        <v>0</v>
      </c>
      <c r="Q862" s="209">
        <f>+SUMIF('A DEPOSITAR'!$D$2:$D$998,(O862-2),'A DEPOSITAR'!$H$2:$H$998)</f>
        <v>26700</v>
      </c>
      <c r="R862" s="210">
        <f t="shared" si="149"/>
        <v>26700</v>
      </c>
      <c r="S862" s="210">
        <f t="shared" si="151"/>
        <v>4378371.0900000008</v>
      </c>
      <c r="T862" s="209">
        <f t="shared" si="150"/>
        <v>0</v>
      </c>
      <c r="U862" s="209">
        <f>+SUMIFS('A DEPOSITAR'!$H$2:$H$998,'A DEPOSITAR'!$D$2:$D$998,(O862-2),'A DEPOSITAR'!$I$2:$I$998,"A Depositar")</f>
        <v>26700</v>
      </c>
      <c r="V862" s="6"/>
      <c r="W862" s="6"/>
      <c r="X862" s="6"/>
      <c r="Y862" s="6"/>
      <c r="Z862" s="6"/>
    </row>
    <row r="863" spans="1:26" ht="12.75" x14ac:dyDescent="0.2">
      <c r="A863" s="36">
        <v>44461</v>
      </c>
      <c r="B863" s="29" t="s">
        <v>833</v>
      </c>
      <c r="C863" s="29">
        <v>86943646</v>
      </c>
      <c r="D863" s="37">
        <v>13400.89</v>
      </c>
      <c r="E863" s="29" t="s">
        <v>22</v>
      </c>
      <c r="F863" s="34">
        <v>44376</v>
      </c>
      <c r="G863" s="18"/>
      <c r="H863" s="16">
        <f t="shared" si="152"/>
        <v>22</v>
      </c>
      <c r="I863" s="16">
        <f t="shared" si="153"/>
        <v>9</v>
      </c>
      <c r="J863" s="122">
        <f t="shared" si="154"/>
        <v>2021</v>
      </c>
      <c r="K863" s="64">
        <f t="shared" si="147"/>
        <v>44521</v>
      </c>
      <c r="L863" s="6"/>
      <c r="M863" s="6"/>
      <c r="O863" s="208">
        <v>44508</v>
      </c>
      <c r="P863" s="209">
        <f t="shared" si="148"/>
        <v>56000</v>
      </c>
      <c r="Q863" s="209">
        <f>+SUMIF('A DEPOSITAR'!$D$2:$D$998,(O863-2),'A DEPOSITAR'!$H$2:$H$998)</f>
        <v>9800</v>
      </c>
      <c r="R863" s="210">
        <f t="shared" si="149"/>
        <v>-46200</v>
      </c>
      <c r="S863" s="210">
        <f t="shared" si="151"/>
        <v>4332171.0900000008</v>
      </c>
      <c r="T863" s="209">
        <f t="shared" si="150"/>
        <v>56000</v>
      </c>
      <c r="U863" s="209">
        <f>+SUMIFS('A DEPOSITAR'!$H$2:$H$998,'A DEPOSITAR'!$D$2:$D$998,(O863-2),'A DEPOSITAR'!$I$2:$I$998,"A Depositar")</f>
        <v>9800</v>
      </c>
      <c r="V863" s="6"/>
      <c r="W863" s="6"/>
      <c r="X863" s="6"/>
      <c r="Y863" s="6"/>
      <c r="Z863" s="6"/>
    </row>
    <row r="864" spans="1:26" ht="12.75" x14ac:dyDescent="0.2">
      <c r="A864" s="36">
        <v>44447</v>
      </c>
      <c r="B864" s="29" t="s">
        <v>833</v>
      </c>
      <c r="C864" s="29">
        <v>86943647</v>
      </c>
      <c r="D864" s="37">
        <v>13799</v>
      </c>
      <c r="E864" s="29" t="s">
        <v>22</v>
      </c>
      <c r="F864" s="34">
        <v>44376</v>
      </c>
      <c r="G864" s="18"/>
      <c r="H864" s="16">
        <f t="shared" si="152"/>
        <v>8</v>
      </c>
      <c r="I864" s="16">
        <f t="shared" si="153"/>
        <v>9</v>
      </c>
      <c r="J864" s="122">
        <f t="shared" si="154"/>
        <v>2021</v>
      </c>
      <c r="K864" s="64">
        <f t="shared" si="147"/>
        <v>44507</v>
      </c>
      <c r="L864" s="6"/>
      <c r="M864" s="6"/>
      <c r="O864" s="208">
        <v>44509</v>
      </c>
      <c r="P864" s="209">
        <f t="shared" si="148"/>
        <v>0</v>
      </c>
      <c r="Q864" s="209">
        <f>+SUMIF('A DEPOSITAR'!$D$2:$D$998,(O864-2),'A DEPOSITAR'!$H$2:$H$998)</f>
        <v>0</v>
      </c>
      <c r="R864" s="210">
        <f t="shared" si="149"/>
        <v>0</v>
      </c>
      <c r="S864" s="210">
        <f t="shared" si="151"/>
        <v>4332171.0900000008</v>
      </c>
      <c r="T864" s="209">
        <f t="shared" si="150"/>
        <v>0</v>
      </c>
      <c r="U864" s="209">
        <f>+SUMIFS('A DEPOSITAR'!$H$2:$H$998,'A DEPOSITAR'!$D$2:$D$998,(O864-2),'A DEPOSITAR'!$I$2:$I$998,"A Depositar")</f>
        <v>0</v>
      </c>
      <c r="V864" s="6"/>
      <c r="W864" s="6"/>
      <c r="X864" s="6"/>
      <c r="Y864" s="6"/>
      <c r="Z864" s="6"/>
    </row>
    <row r="865" spans="1:26" ht="12.75" x14ac:dyDescent="0.2">
      <c r="A865" s="36">
        <v>44455</v>
      </c>
      <c r="B865" s="29" t="s">
        <v>833</v>
      </c>
      <c r="C865" s="29">
        <v>86943648</v>
      </c>
      <c r="D865" s="37">
        <v>14000</v>
      </c>
      <c r="E865" s="29" t="s">
        <v>22</v>
      </c>
      <c r="F865" s="34">
        <v>44376</v>
      </c>
      <c r="G865" s="18"/>
      <c r="H865" s="16">
        <f t="shared" si="152"/>
        <v>16</v>
      </c>
      <c r="I865" s="16">
        <f t="shared" si="153"/>
        <v>9</v>
      </c>
      <c r="J865" s="122">
        <f t="shared" si="154"/>
        <v>2021</v>
      </c>
      <c r="K865" s="64">
        <f t="shared" si="147"/>
        <v>44515</v>
      </c>
      <c r="L865" s="6"/>
      <c r="M865" s="6"/>
      <c r="O865" s="208">
        <v>44510</v>
      </c>
      <c r="P865" s="209">
        <f t="shared" si="148"/>
        <v>0</v>
      </c>
      <c r="Q865" s="209">
        <f>+SUMIF('A DEPOSITAR'!$D$2:$D$998,(O865-2),'A DEPOSITAR'!$H$2:$H$998)</f>
        <v>0</v>
      </c>
      <c r="R865" s="210">
        <f t="shared" si="149"/>
        <v>0</v>
      </c>
      <c r="S865" s="210">
        <f t="shared" si="151"/>
        <v>4332171.0900000008</v>
      </c>
      <c r="T865" s="209">
        <f t="shared" si="150"/>
        <v>0</v>
      </c>
      <c r="U865" s="209">
        <f>+SUMIFS('A DEPOSITAR'!$H$2:$H$998,'A DEPOSITAR'!$D$2:$D$998,(O865-2),'A DEPOSITAR'!$I$2:$I$998,"A Depositar")</f>
        <v>0</v>
      </c>
      <c r="V865" s="6"/>
      <c r="W865" s="6"/>
      <c r="X865" s="6"/>
      <c r="Y865" s="6"/>
      <c r="Z865" s="6"/>
    </row>
    <row r="866" spans="1:26" ht="12.75" x14ac:dyDescent="0.2">
      <c r="A866" s="36">
        <v>44469</v>
      </c>
      <c r="B866" s="29" t="s">
        <v>833</v>
      </c>
      <c r="C866" s="29">
        <v>86943649</v>
      </c>
      <c r="D866" s="37">
        <v>16000</v>
      </c>
      <c r="E866" s="29" t="s">
        <v>22</v>
      </c>
      <c r="F866" s="34">
        <v>44376</v>
      </c>
      <c r="G866" s="18"/>
      <c r="H866" s="16">
        <f t="shared" si="152"/>
        <v>30</v>
      </c>
      <c r="I866" s="16">
        <f t="shared" si="153"/>
        <v>9</v>
      </c>
      <c r="J866" s="122">
        <f t="shared" si="154"/>
        <v>2021</v>
      </c>
      <c r="K866" s="64">
        <f t="shared" si="147"/>
        <v>44529</v>
      </c>
      <c r="L866" s="6"/>
      <c r="M866" s="6"/>
      <c r="O866" s="208">
        <v>44511</v>
      </c>
      <c r="P866" s="209">
        <f t="shared" si="148"/>
        <v>0</v>
      </c>
      <c r="Q866" s="209">
        <f>+SUMIF('A DEPOSITAR'!$D$2:$D$998,(O866-2),'A DEPOSITAR'!$H$2:$H$998)</f>
        <v>0</v>
      </c>
      <c r="R866" s="210">
        <f t="shared" si="149"/>
        <v>0</v>
      </c>
      <c r="S866" s="210">
        <f t="shared" si="151"/>
        <v>4332171.0900000008</v>
      </c>
      <c r="T866" s="209">
        <f t="shared" si="150"/>
        <v>0</v>
      </c>
      <c r="U866" s="209">
        <f>+SUMIFS('A DEPOSITAR'!$H$2:$H$998,'A DEPOSITAR'!$D$2:$D$998,(O866-2),'A DEPOSITAR'!$I$2:$I$998,"A Depositar")</f>
        <v>0</v>
      </c>
      <c r="V866" s="6"/>
      <c r="W866" s="6"/>
      <c r="X866" s="6"/>
      <c r="Y866" s="6"/>
      <c r="Z866" s="6"/>
    </row>
    <row r="867" spans="1:26" ht="12.75" x14ac:dyDescent="0.2">
      <c r="A867" s="36">
        <v>44477</v>
      </c>
      <c r="B867" s="29" t="s">
        <v>833</v>
      </c>
      <c r="C867" s="29">
        <v>86943650</v>
      </c>
      <c r="D867" s="37">
        <v>17000</v>
      </c>
      <c r="E867" s="29" t="s">
        <v>22</v>
      </c>
      <c r="F867" s="34">
        <v>44376</v>
      </c>
      <c r="G867" s="18"/>
      <c r="H867" s="16">
        <f t="shared" si="152"/>
        <v>8</v>
      </c>
      <c r="I867" s="16">
        <f t="shared" si="153"/>
        <v>10</v>
      </c>
      <c r="J867" s="122">
        <f t="shared" si="154"/>
        <v>2021</v>
      </c>
      <c r="K867" s="64">
        <f t="shared" si="147"/>
        <v>44537</v>
      </c>
      <c r="L867" s="6"/>
      <c r="M867" s="6"/>
      <c r="O867" s="208">
        <v>44512</v>
      </c>
      <c r="P867" s="209">
        <f t="shared" si="148"/>
        <v>0</v>
      </c>
      <c r="Q867" s="209">
        <f>+SUMIF('A DEPOSITAR'!$D$2:$D$998,(O867-2),'A DEPOSITAR'!$H$2:$H$998)</f>
        <v>0</v>
      </c>
      <c r="R867" s="210">
        <f t="shared" si="149"/>
        <v>0</v>
      </c>
      <c r="S867" s="210">
        <f t="shared" si="151"/>
        <v>4332171.0900000008</v>
      </c>
      <c r="T867" s="209">
        <f t="shared" si="150"/>
        <v>0</v>
      </c>
      <c r="U867" s="209">
        <f>+SUMIFS('A DEPOSITAR'!$H$2:$H$998,'A DEPOSITAR'!$D$2:$D$998,(O867-2),'A DEPOSITAR'!$I$2:$I$998,"A Depositar")</f>
        <v>0</v>
      </c>
      <c r="V867" s="6"/>
      <c r="W867" s="6"/>
      <c r="X867" s="6"/>
      <c r="Y867" s="6"/>
      <c r="Z867" s="6"/>
    </row>
    <row r="868" spans="1:26" ht="12.75" x14ac:dyDescent="0.2">
      <c r="A868" s="36">
        <v>44405</v>
      </c>
      <c r="B868" s="29" t="s">
        <v>201</v>
      </c>
      <c r="C868" s="29" t="s">
        <v>230</v>
      </c>
      <c r="D868" s="37">
        <v>24657.53</v>
      </c>
      <c r="E868" s="29" t="s">
        <v>22</v>
      </c>
      <c r="F868" s="7">
        <v>44376</v>
      </c>
      <c r="G868" s="18"/>
      <c r="H868" s="16">
        <f t="shared" si="152"/>
        <v>28</v>
      </c>
      <c r="I868" s="16">
        <f t="shared" si="153"/>
        <v>7</v>
      </c>
      <c r="J868" s="122">
        <f t="shared" si="154"/>
        <v>2021</v>
      </c>
      <c r="K868" s="64">
        <f t="shared" si="147"/>
        <v>44465</v>
      </c>
      <c r="L868" s="6"/>
      <c r="M868" s="6"/>
      <c r="O868" s="208">
        <v>44513</v>
      </c>
      <c r="P868" s="209">
        <f t="shared" si="148"/>
        <v>0</v>
      </c>
      <c r="Q868" s="209">
        <f>+SUMIF('A DEPOSITAR'!$D$2:$D$998,(O868-2),'A DEPOSITAR'!$H$2:$H$998)</f>
        <v>0</v>
      </c>
      <c r="R868" s="210">
        <f t="shared" si="149"/>
        <v>0</v>
      </c>
      <c r="S868" s="210">
        <f t="shared" si="151"/>
        <v>4332171.0900000008</v>
      </c>
      <c r="T868" s="209">
        <f t="shared" si="150"/>
        <v>0</v>
      </c>
      <c r="U868" s="209">
        <f>+SUMIFS('A DEPOSITAR'!$H$2:$H$998,'A DEPOSITAR'!$D$2:$D$998,(O868-2),'A DEPOSITAR'!$I$2:$I$998,"A Depositar")</f>
        <v>0</v>
      </c>
      <c r="V868" s="6"/>
      <c r="W868" s="6"/>
      <c r="X868" s="6"/>
      <c r="Y868" s="6"/>
      <c r="Z868" s="6"/>
    </row>
    <row r="869" spans="1:26" ht="12.75" x14ac:dyDescent="0.2">
      <c r="A869" s="36">
        <v>44436</v>
      </c>
      <c r="B869" s="29" t="s">
        <v>201</v>
      </c>
      <c r="C869" s="29" t="s">
        <v>231</v>
      </c>
      <c r="D869" s="37">
        <v>25479.45</v>
      </c>
      <c r="E869" s="29" t="s">
        <v>22</v>
      </c>
      <c r="F869" s="34">
        <v>44376</v>
      </c>
      <c r="G869" s="18"/>
      <c r="H869" s="16">
        <f t="shared" si="152"/>
        <v>28</v>
      </c>
      <c r="I869" s="16">
        <f t="shared" si="153"/>
        <v>8</v>
      </c>
      <c r="J869" s="122">
        <f t="shared" si="154"/>
        <v>2021</v>
      </c>
      <c r="K869" s="64">
        <f t="shared" si="147"/>
        <v>44496</v>
      </c>
      <c r="L869" s="6"/>
      <c r="M869" s="6"/>
      <c r="O869" s="208">
        <v>44514</v>
      </c>
      <c r="P869" s="209">
        <f t="shared" si="148"/>
        <v>0</v>
      </c>
      <c r="Q869" s="209">
        <f>+SUMIF('A DEPOSITAR'!$D$2:$D$998,(O869-2),'A DEPOSITAR'!$H$2:$H$998)</f>
        <v>0</v>
      </c>
      <c r="R869" s="210">
        <f t="shared" si="149"/>
        <v>0</v>
      </c>
      <c r="S869" s="210">
        <f t="shared" si="151"/>
        <v>4332171.0900000008</v>
      </c>
      <c r="T869" s="209">
        <f t="shared" si="150"/>
        <v>0</v>
      </c>
      <c r="U869" s="209">
        <f>+SUMIFS('A DEPOSITAR'!$H$2:$H$998,'A DEPOSITAR'!$D$2:$D$998,(O869-2),'A DEPOSITAR'!$I$2:$I$998,"A Depositar")</f>
        <v>0</v>
      </c>
      <c r="V869" s="6"/>
      <c r="W869" s="6"/>
      <c r="X869" s="6"/>
      <c r="Y869" s="6"/>
      <c r="Z869" s="6"/>
    </row>
    <row r="870" spans="1:26" ht="12.75" x14ac:dyDescent="0.2">
      <c r="A870" s="36">
        <v>44467</v>
      </c>
      <c r="B870" s="29" t="s">
        <v>201</v>
      </c>
      <c r="C870" s="29" t="s">
        <v>232</v>
      </c>
      <c r="D870" s="37">
        <v>25479.45</v>
      </c>
      <c r="E870" s="29" t="s">
        <v>22</v>
      </c>
      <c r="F870" s="34">
        <v>44376</v>
      </c>
      <c r="G870" s="18"/>
      <c r="H870" s="16">
        <f t="shared" si="152"/>
        <v>28</v>
      </c>
      <c r="I870" s="16">
        <f t="shared" si="153"/>
        <v>9</v>
      </c>
      <c r="J870" s="122">
        <f t="shared" si="154"/>
        <v>2021</v>
      </c>
      <c r="K870" s="64">
        <f t="shared" si="147"/>
        <v>44527</v>
      </c>
      <c r="L870" s="6"/>
      <c r="M870" s="6"/>
      <c r="O870" s="208">
        <v>44515</v>
      </c>
      <c r="P870" s="209">
        <f t="shared" si="148"/>
        <v>0</v>
      </c>
      <c r="Q870" s="209">
        <f>+SUMIF('A DEPOSITAR'!$D$2:$D$998,(O870-2),'A DEPOSITAR'!$H$2:$H$998)</f>
        <v>0</v>
      </c>
      <c r="R870" s="210">
        <f t="shared" si="149"/>
        <v>0</v>
      </c>
      <c r="S870" s="210">
        <f t="shared" si="151"/>
        <v>4332171.0900000008</v>
      </c>
      <c r="T870" s="209">
        <f t="shared" si="150"/>
        <v>0</v>
      </c>
      <c r="U870" s="209">
        <f>+SUMIFS('A DEPOSITAR'!$H$2:$H$998,'A DEPOSITAR'!$D$2:$D$998,(O870-2),'A DEPOSITAR'!$I$2:$I$998,"A Depositar")</f>
        <v>0</v>
      </c>
      <c r="V870" s="6"/>
      <c r="W870" s="6"/>
      <c r="X870" s="6"/>
      <c r="Y870" s="6"/>
      <c r="Z870" s="6"/>
    </row>
    <row r="871" spans="1:26" ht="12.75" x14ac:dyDescent="0.2">
      <c r="A871" s="36">
        <v>44497</v>
      </c>
      <c r="B871" s="29" t="s">
        <v>201</v>
      </c>
      <c r="C871" s="29" t="s">
        <v>233</v>
      </c>
      <c r="D871" s="37">
        <v>24657.53</v>
      </c>
      <c r="E871" s="29" t="s">
        <v>136</v>
      </c>
      <c r="F871" s="34">
        <v>44376</v>
      </c>
      <c r="G871" s="18"/>
      <c r="H871" s="16">
        <f t="shared" si="152"/>
        <v>28</v>
      </c>
      <c r="I871" s="16">
        <f t="shared" si="153"/>
        <v>10</v>
      </c>
      <c r="J871" s="122">
        <f t="shared" si="154"/>
        <v>2021</v>
      </c>
      <c r="K871" s="64">
        <f t="shared" si="147"/>
        <v>44557</v>
      </c>
      <c r="L871" s="6"/>
      <c r="M871" s="6"/>
      <c r="O871" s="208">
        <v>44516</v>
      </c>
      <c r="P871" s="209">
        <f t="shared" si="148"/>
        <v>94704.29</v>
      </c>
      <c r="Q871" s="209">
        <f>+SUMIF('A DEPOSITAR'!$D$2:$D$998,(O871-2),'A DEPOSITAR'!$H$2:$H$998)</f>
        <v>0</v>
      </c>
      <c r="R871" s="210">
        <f t="shared" si="149"/>
        <v>-94704.29</v>
      </c>
      <c r="S871" s="210">
        <f t="shared" si="151"/>
        <v>4237466.8000000007</v>
      </c>
      <c r="T871" s="209">
        <f t="shared" si="150"/>
        <v>89551.97</v>
      </c>
      <c r="U871" s="209">
        <f>+SUMIFS('A DEPOSITAR'!$H$2:$H$998,'A DEPOSITAR'!$D$2:$D$998,(O871-2),'A DEPOSITAR'!$I$2:$I$998,"A Depositar")</f>
        <v>0</v>
      </c>
      <c r="V871" s="6"/>
      <c r="W871" s="6"/>
      <c r="X871" s="6"/>
      <c r="Y871" s="6"/>
      <c r="Z871" s="6"/>
    </row>
    <row r="872" spans="1:26" ht="12.75" x14ac:dyDescent="0.2">
      <c r="A872" s="36">
        <v>44528</v>
      </c>
      <c r="B872" s="29" t="s">
        <v>201</v>
      </c>
      <c r="C872" s="29" t="s">
        <v>234</v>
      </c>
      <c r="D872" s="37">
        <v>25479.45</v>
      </c>
      <c r="E872" s="29" t="s">
        <v>136</v>
      </c>
      <c r="F872" s="34">
        <v>44376</v>
      </c>
      <c r="G872" s="18"/>
      <c r="H872" s="16">
        <f t="shared" si="152"/>
        <v>28</v>
      </c>
      <c r="I872" s="16">
        <f t="shared" si="153"/>
        <v>11</v>
      </c>
      <c r="J872" s="122">
        <f t="shared" si="154"/>
        <v>2021</v>
      </c>
      <c r="K872" s="64">
        <f t="shared" si="147"/>
        <v>44588</v>
      </c>
      <c r="L872" s="6"/>
      <c r="M872" s="6"/>
      <c r="O872" s="208">
        <v>44517</v>
      </c>
      <c r="P872" s="209">
        <f t="shared" si="148"/>
        <v>59939.360000000001</v>
      </c>
      <c r="Q872" s="209">
        <f>+SUMIF('A DEPOSITAR'!$D$2:$D$998,(O872-2),'A DEPOSITAR'!$H$2:$H$998)</f>
        <v>0</v>
      </c>
      <c r="R872" s="210">
        <f t="shared" si="149"/>
        <v>-59939.360000000001</v>
      </c>
      <c r="S872" s="210">
        <f t="shared" si="151"/>
        <v>4177527.4400000009</v>
      </c>
      <c r="T872" s="209">
        <f t="shared" si="150"/>
        <v>59939.360000000001</v>
      </c>
      <c r="U872" s="209">
        <f>+SUMIFS('A DEPOSITAR'!$H$2:$H$998,'A DEPOSITAR'!$D$2:$D$998,(O872-2),'A DEPOSITAR'!$I$2:$I$998,"A Depositar")</f>
        <v>0</v>
      </c>
      <c r="V872" s="6"/>
      <c r="W872" s="6"/>
      <c r="X872" s="6"/>
      <c r="Y872" s="6"/>
      <c r="Z872" s="6"/>
    </row>
    <row r="873" spans="1:26" ht="12.75" x14ac:dyDescent="0.2">
      <c r="A873" s="36">
        <v>44558</v>
      </c>
      <c r="B873" s="29" t="s">
        <v>201</v>
      </c>
      <c r="C873" s="29" t="s">
        <v>268</v>
      </c>
      <c r="D873" s="37">
        <v>24657.53</v>
      </c>
      <c r="E873" s="29" t="s">
        <v>136</v>
      </c>
      <c r="F873" s="34">
        <v>44376</v>
      </c>
      <c r="G873" s="18"/>
      <c r="H873" s="16">
        <f t="shared" si="152"/>
        <v>28</v>
      </c>
      <c r="I873" s="16">
        <f t="shared" si="153"/>
        <v>12</v>
      </c>
      <c r="J873" s="122">
        <f t="shared" si="154"/>
        <v>2021</v>
      </c>
      <c r="K873" s="64">
        <f t="shared" si="147"/>
        <v>44618</v>
      </c>
      <c r="L873" s="6"/>
      <c r="M873" s="6"/>
      <c r="O873" s="208">
        <v>44518</v>
      </c>
      <c r="P873" s="209">
        <f t="shared" si="148"/>
        <v>0</v>
      </c>
      <c r="Q873" s="209">
        <f>+SUMIF('A DEPOSITAR'!$D$2:$D$998,(O873-2),'A DEPOSITAR'!$H$2:$H$998)</f>
        <v>0</v>
      </c>
      <c r="R873" s="210">
        <f t="shared" si="149"/>
        <v>0</v>
      </c>
      <c r="S873" s="210">
        <f t="shared" si="151"/>
        <v>4177527.4400000009</v>
      </c>
      <c r="T873" s="209">
        <f t="shared" si="150"/>
        <v>0</v>
      </c>
      <c r="U873" s="209">
        <f>+SUMIFS('A DEPOSITAR'!$H$2:$H$998,'A DEPOSITAR'!$D$2:$D$998,(O873-2),'A DEPOSITAR'!$I$2:$I$998,"A Depositar")</f>
        <v>0</v>
      </c>
      <c r="V873" s="6"/>
      <c r="W873" s="6"/>
      <c r="X873" s="6"/>
      <c r="Y873" s="6"/>
      <c r="Z873" s="6"/>
    </row>
    <row r="874" spans="1:26" ht="12.75" x14ac:dyDescent="0.2">
      <c r="A874" s="36">
        <v>44589</v>
      </c>
      <c r="B874" s="29" t="s">
        <v>201</v>
      </c>
      <c r="C874" s="29" t="s">
        <v>269</v>
      </c>
      <c r="D874" s="37">
        <v>47701.67</v>
      </c>
      <c r="E874" s="29" t="s">
        <v>136</v>
      </c>
      <c r="F874" s="34">
        <v>44376</v>
      </c>
      <c r="G874" s="18"/>
      <c r="H874" s="16">
        <f t="shared" si="152"/>
        <v>28</v>
      </c>
      <c r="I874" s="16">
        <f t="shared" si="153"/>
        <v>1</v>
      </c>
      <c r="J874" s="122">
        <f t="shared" si="154"/>
        <v>2022</v>
      </c>
      <c r="K874" s="64">
        <f t="shared" si="147"/>
        <v>44649</v>
      </c>
      <c r="L874" s="6"/>
      <c r="M874" s="6"/>
      <c r="O874" s="208">
        <v>44519</v>
      </c>
      <c r="P874" s="209">
        <f t="shared" si="148"/>
        <v>0</v>
      </c>
      <c r="Q874" s="209">
        <f>+SUMIF('A DEPOSITAR'!$D$2:$D$998,(O874-2),'A DEPOSITAR'!$H$2:$H$998)</f>
        <v>0</v>
      </c>
      <c r="R874" s="210">
        <f t="shared" si="149"/>
        <v>0</v>
      </c>
      <c r="S874" s="210">
        <f t="shared" si="151"/>
        <v>4177527.4400000009</v>
      </c>
      <c r="T874" s="209">
        <f t="shared" si="150"/>
        <v>0</v>
      </c>
      <c r="U874" s="209">
        <f>+SUMIFS('A DEPOSITAR'!$H$2:$H$998,'A DEPOSITAR'!$D$2:$D$998,(O874-2),'A DEPOSITAR'!$I$2:$I$998,"A Depositar")</f>
        <v>0</v>
      </c>
      <c r="V874" s="6"/>
      <c r="W874" s="6"/>
      <c r="X874" s="6"/>
      <c r="Y874" s="6"/>
      <c r="Z874" s="6"/>
    </row>
    <row r="875" spans="1:26" ht="12.75" x14ac:dyDescent="0.2">
      <c r="A875" s="36">
        <v>44620</v>
      </c>
      <c r="B875" s="29" t="s">
        <v>201</v>
      </c>
      <c r="C875" s="29" t="s">
        <v>263</v>
      </c>
      <c r="D875" s="37">
        <v>47229.83</v>
      </c>
      <c r="E875" s="29" t="s">
        <v>136</v>
      </c>
      <c r="F875" s="34">
        <v>44376</v>
      </c>
      <c r="G875" s="18"/>
      <c r="H875" s="16">
        <f t="shared" si="152"/>
        <v>28</v>
      </c>
      <c r="I875" s="16">
        <f t="shared" si="153"/>
        <v>2</v>
      </c>
      <c r="J875" s="122">
        <f t="shared" si="154"/>
        <v>2022</v>
      </c>
      <c r="K875" s="64">
        <f t="shared" si="147"/>
        <v>44680</v>
      </c>
      <c r="L875" s="6"/>
      <c r="M875" s="6"/>
      <c r="O875" s="208">
        <v>44520</v>
      </c>
      <c r="P875" s="209">
        <f t="shared" si="148"/>
        <v>0</v>
      </c>
      <c r="Q875" s="209">
        <f>+SUMIF('A DEPOSITAR'!$D$2:$D$998,(O875-2),'A DEPOSITAR'!$H$2:$H$998)</f>
        <v>0</v>
      </c>
      <c r="R875" s="210">
        <f t="shared" si="149"/>
        <v>0</v>
      </c>
      <c r="S875" s="210">
        <f t="shared" si="151"/>
        <v>4177527.4400000009</v>
      </c>
      <c r="T875" s="209">
        <f t="shared" si="150"/>
        <v>0</v>
      </c>
      <c r="U875" s="209">
        <f>+SUMIFS('A DEPOSITAR'!$H$2:$H$998,'A DEPOSITAR'!$D$2:$D$998,(O875-2),'A DEPOSITAR'!$I$2:$I$998,"A Depositar")</f>
        <v>0</v>
      </c>
      <c r="V875" s="6"/>
      <c r="W875" s="6"/>
      <c r="X875" s="6"/>
      <c r="Y875" s="6"/>
      <c r="Z875" s="6"/>
    </row>
    <row r="876" spans="1:26" ht="12.75" x14ac:dyDescent="0.2">
      <c r="A876" s="36">
        <v>44648</v>
      </c>
      <c r="B876" s="29" t="s">
        <v>201</v>
      </c>
      <c r="C876" s="29" t="s">
        <v>424</v>
      </c>
      <c r="D876" s="37">
        <v>44383.56</v>
      </c>
      <c r="E876" s="29" t="s">
        <v>136</v>
      </c>
      <c r="F876" s="34">
        <v>44376</v>
      </c>
      <c r="G876" s="18"/>
      <c r="H876" s="16">
        <f t="shared" si="152"/>
        <v>28</v>
      </c>
      <c r="I876" s="16">
        <f t="shared" si="153"/>
        <v>3</v>
      </c>
      <c r="J876" s="122">
        <f t="shared" si="154"/>
        <v>2022</v>
      </c>
      <c r="K876" s="64">
        <f t="shared" si="147"/>
        <v>44708</v>
      </c>
      <c r="L876" s="6"/>
      <c r="M876" s="6"/>
      <c r="O876" s="208">
        <v>44521</v>
      </c>
      <c r="P876" s="209">
        <f t="shared" si="148"/>
        <v>0</v>
      </c>
      <c r="Q876" s="209">
        <f>+SUMIF('A DEPOSITAR'!$D$2:$D$998,(O876-2),'A DEPOSITAR'!$H$2:$H$998)</f>
        <v>0</v>
      </c>
      <c r="R876" s="210">
        <f t="shared" si="149"/>
        <v>0</v>
      </c>
      <c r="S876" s="210">
        <f t="shared" si="151"/>
        <v>4177527.4400000009</v>
      </c>
      <c r="T876" s="209">
        <f t="shared" si="150"/>
        <v>0</v>
      </c>
      <c r="U876" s="209">
        <f>+SUMIFS('A DEPOSITAR'!$H$2:$H$998,'A DEPOSITAR'!$D$2:$D$998,(O876-2),'A DEPOSITAR'!$I$2:$I$998,"A Depositar")</f>
        <v>0</v>
      </c>
      <c r="V876" s="6"/>
      <c r="W876" s="6"/>
      <c r="X876" s="6"/>
      <c r="Y876" s="6"/>
      <c r="Z876" s="6"/>
    </row>
    <row r="877" spans="1:26" ht="12.75" x14ac:dyDescent="0.2">
      <c r="A877" s="36">
        <v>44679</v>
      </c>
      <c r="B877" s="29" t="s">
        <v>201</v>
      </c>
      <c r="C877" s="29" t="s">
        <v>425</v>
      </c>
      <c r="D877" s="37">
        <v>46286.15</v>
      </c>
      <c r="E877" s="29" t="s">
        <v>136</v>
      </c>
      <c r="F877" s="34">
        <v>44376</v>
      </c>
      <c r="G877" s="18"/>
      <c r="H877" s="16">
        <f t="shared" si="152"/>
        <v>28</v>
      </c>
      <c r="I877" s="16">
        <f t="shared" si="153"/>
        <v>4</v>
      </c>
      <c r="J877" s="122">
        <f t="shared" si="154"/>
        <v>2022</v>
      </c>
      <c r="K877" s="64">
        <f t="shared" si="147"/>
        <v>44739</v>
      </c>
      <c r="L877" s="6"/>
      <c r="M877" s="6"/>
      <c r="O877" s="208">
        <v>44522</v>
      </c>
      <c r="P877" s="209">
        <f t="shared" si="148"/>
        <v>63000</v>
      </c>
      <c r="Q877" s="209">
        <f>+SUMIF('A DEPOSITAR'!$D$2:$D$998,(O877-2),'A DEPOSITAR'!$H$2:$H$998)</f>
        <v>23576</v>
      </c>
      <c r="R877" s="210">
        <f t="shared" si="149"/>
        <v>-39424</v>
      </c>
      <c r="S877" s="210">
        <f t="shared" si="151"/>
        <v>4138103.4400000009</v>
      </c>
      <c r="T877" s="209">
        <f t="shared" si="150"/>
        <v>63000</v>
      </c>
      <c r="U877" s="209">
        <f>+SUMIFS('A DEPOSITAR'!$H$2:$H$998,'A DEPOSITAR'!$D$2:$D$998,(O877-2),'A DEPOSITAR'!$I$2:$I$998,"A Depositar")</f>
        <v>23576</v>
      </c>
      <c r="V877" s="6"/>
      <c r="W877" s="6"/>
      <c r="X877" s="6"/>
      <c r="Y877" s="6"/>
      <c r="Z877" s="6"/>
    </row>
    <row r="878" spans="1:26" ht="12.75" x14ac:dyDescent="0.2">
      <c r="A878" s="36">
        <v>44709</v>
      </c>
      <c r="B878" s="29" t="s">
        <v>201</v>
      </c>
      <c r="C878" s="29" t="s">
        <v>427</v>
      </c>
      <c r="D878" s="37">
        <v>45053.27</v>
      </c>
      <c r="E878" s="29" t="s">
        <v>136</v>
      </c>
      <c r="F878" s="34">
        <v>44376</v>
      </c>
      <c r="G878" s="18"/>
      <c r="H878" s="16">
        <f t="shared" si="152"/>
        <v>28</v>
      </c>
      <c r="I878" s="16">
        <f t="shared" si="153"/>
        <v>5</v>
      </c>
      <c r="J878" s="122">
        <f t="shared" si="154"/>
        <v>2022</v>
      </c>
      <c r="K878" s="64">
        <f t="shared" si="147"/>
        <v>44769</v>
      </c>
      <c r="L878" s="6"/>
      <c r="M878" s="6"/>
      <c r="O878" s="208">
        <v>44523</v>
      </c>
      <c r="P878" s="209">
        <f t="shared" si="148"/>
        <v>0</v>
      </c>
      <c r="Q878" s="209">
        <f>+SUMIF('A DEPOSITAR'!$D$2:$D$998,(O878-2),'A DEPOSITAR'!$H$2:$H$998)</f>
        <v>0</v>
      </c>
      <c r="R878" s="210">
        <f t="shared" si="149"/>
        <v>0</v>
      </c>
      <c r="S878" s="210">
        <f t="shared" si="151"/>
        <v>4138103.4400000009</v>
      </c>
      <c r="T878" s="209">
        <f t="shared" si="150"/>
        <v>0</v>
      </c>
      <c r="U878" s="209">
        <f>+SUMIFS('A DEPOSITAR'!$H$2:$H$998,'A DEPOSITAR'!$D$2:$D$998,(O878-2),'A DEPOSITAR'!$I$2:$I$998,"A Depositar")</f>
        <v>0</v>
      </c>
      <c r="V878" s="6"/>
      <c r="W878" s="6"/>
      <c r="X878" s="6"/>
      <c r="Y878" s="6"/>
      <c r="Z878" s="6"/>
    </row>
    <row r="879" spans="1:26" ht="12.75" x14ac:dyDescent="0.2">
      <c r="A879" s="36">
        <v>44740</v>
      </c>
      <c r="B879" s="29" t="s">
        <v>201</v>
      </c>
      <c r="C879" s="29" t="s">
        <v>428</v>
      </c>
      <c r="D879" s="37">
        <v>45342.47</v>
      </c>
      <c r="E879" s="29" t="s">
        <v>136</v>
      </c>
      <c r="F879" s="34">
        <v>44376</v>
      </c>
      <c r="G879" s="18"/>
      <c r="H879" s="16">
        <f t="shared" si="152"/>
        <v>28</v>
      </c>
      <c r="I879" s="16">
        <f t="shared" si="153"/>
        <v>6</v>
      </c>
      <c r="J879" s="122">
        <f t="shared" si="154"/>
        <v>2022</v>
      </c>
      <c r="K879" s="64">
        <f t="shared" si="147"/>
        <v>44800</v>
      </c>
      <c r="L879" s="6"/>
      <c r="M879" s="6"/>
      <c r="O879" s="208">
        <v>44524</v>
      </c>
      <c r="P879" s="209">
        <f t="shared" si="148"/>
        <v>0</v>
      </c>
      <c r="Q879" s="209">
        <f>+SUMIF('A DEPOSITAR'!$D$2:$D$998,(O879-2),'A DEPOSITAR'!$H$2:$H$998)</f>
        <v>0</v>
      </c>
      <c r="R879" s="210">
        <f t="shared" si="149"/>
        <v>0</v>
      </c>
      <c r="S879" s="210">
        <f t="shared" si="151"/>
        <v>4138103.4400000009</v>
      </c>
      <c r="T879" s="209">
        <f t="shared" si="150"/>
        <v>0</v>
      </c>
      <c r="U879" s="209">
        <f>+SUMIFS('A DEPOSITAR'!$H$2:$H$998,'A DEPOSITAR'!$D$2:$D$998,(O879-2),'A DEPOSITAR'!$I$2:$I$998,"A Depositar")</f>
        <v>0</v>
      </c>
      <c r="V879" s="6"/>
      <c r="W879" s="6"/>
      <c r="X879" s="6"/>
      <c r="Y879" s="6"/>
      <c r="Z879" s="6"/>
    </row>
    <row r="880" spans="1:26" ht="12.75" x14ac:dyDescent="0.2">
      <c r="A880" s="36">
        <v>44770</v>
      </c>
      <c r="B880" s="29" t="s">
        <v>201</v>
      </c>
      <c r="C880" s="29" t="s">
        <v>429</v>
      </c>
      <c r="D880" s="37">
        <v>44140.03</v>
      </c>
      <c r="E880" s="29" t="s">
        <v>136</v>
      </c>
      <c r="F880" s="34">
        <v>44376</v>
      </c>
      <c r="G880" s="18"/>
      <c r="H880" s="16">
        <f t="shared" si="152"/>
        <v>28</v>
      </c>
      <c r="I880" s="16">
        <f t="shared" si="153"/>
        <v>7</v>
      </c>
      <c r="J880" s="122">
        <f t="shared" si="154"/>
        <v>2022</v>
      </c>
      <c r="K880" s="64">
        <f t="shared" si="147"/>
        <v>44830</v>
      </c>
      <c r="L880" s="6"/>
      <c r="M880" s="6"/>
      <c r="O880" s="208">
        <v>44525</v>
      </c>
      <c r="P880" s="209">
        <f t="shared" si="148"/>
        <v>0</v>
      </c>
      <c r="Q880" s="209">
        <f>+SUMIF('A DEPOSITAR'!$D$2:$D$998,(O880-2),'A DEPOSITAR'!$H$2:$H$998)</f>
        <v>0</v>
      </c>
      <c r="R880" s="210">
        <f t="shared" si="149"/>
        <v>0</v>
      </c>
      <c r="S880" s="210">
        <f t="shared" si="151"/>
        <v>4138103.4400000009</v>
      </c>
      <c r="T880" s="209">
        <f t="shared" si="150"/>
        <v>0</v>
      </c>
      <c r="U880" s="209">
        <f>+SUMIFS('A DEPOSITAR'!$H$2:$H$998,'A DEPOSITAR'!$D$2:$D$998,(O880-2),'A DEPOSITAR'!$I$2:$I$998,"A Depositar")</f>
        <v>0</v>
      </c>
      <c r="V880" s="6"/>
      <c r="W880" s="6"/>
      <c r="X880" s="6"/>
      <c r="Y880" s="6"/>
      <c r="Z880" s="6"/>
    </row>
    <row r="881" spans="1:26" ht="12.75" x14ac:dyDescent="0.2">
      <c r="A881" s="36">
        <v>44801</v>
      </c>
      <c r="B881" s="29" t="s">
        <v>201</v>
      </c>
      <c r="C881" s="29" t="s">
        <v>430</v>
      </c>
      <c r="D881" s="37">
        <v>44398.78</v>
      </c>
      <c r="E881" s="29" t="s">
        <v>136</v>
      </c>
      <c r="F881" s="34">
        <v>44376</v>
      </c>
      <c r="G881" s="18"/>
      <c r="H881" s="16">
        <f t="shared" si="152"/>
        <v>28</v>
      </c>
      <c r="I881" s="16">
        <f t="shared" si="153"/>
        <v>8</v>
      </c>
      <c r="J881" s="122">
        <f t="shared" si="154"/>
        <v>2022</v>
      </c>
      <c r="K881" s="64">
        <f t="shared" si="147"/>
        <v>44861</v>
      </c>
      <c r="L881" s="6"/>
      <c r="M881" s="6"/>
      <c r="O881" s="208">
        <v>44526</v>
      </c>
      <c r="P881" s="209">
        <f t="shared" si="148"/>
        <v>0</v>
      </c>
      <c r="Q881" s="209">
        <f>+SUMIF('A DEPOSITAR'!$D$2:$D$998,(O881-2),'A DEPOSITAR'!$H$2:$H$998)</f>
        <v>0</v>
      </c>
      <c r="R881" s="210">
        <f t="shared" si="149"/>
        <v>0</v>
      </c>
      <c r="S881" s="210">
        <f t="shared" si="151"/>
        <v>4138103.4400000009</v>
      </c>
      <c r="T881" s="209">
        <f t="shared" si="150"/>
        <v>0</v>
      </c>
      <c r="U881" s="209">
        <f>+SUMIFS('A DEPOSITAR'!$H$2:$H$998,'A DEPOSITAR'!$D$2:$D$998,(O881-2),'A DEPOSITAR'!$I$2:$I$998,"A Depositar")</f>
        <v>0</v>
      </c>
      <c r="V881" s="6"/>
      <c r="W881" s="6"/>
      <c r="X881" s="6"/>
      <c r="Y881" s="6"/>
      <c r="Z881" s="6"/>
    </row>
    <row r="882" spans="1:26" ht="12.75" x14ac:dyDescent="0.2">
      <c r="A882" s="36">
        <v>44832</v>
      </c>
      <c r="B882" s="29" t="s">
        <v>201</v>
      </c>
      <c r="C882" s="29" t="s">
        <v>431</v>
      </c>
      <c r="D882" s="37">
        <v>43926.94</v>
      </c>
      <c r="E882" s="29" t="s">
        <v>136</v>
      </c>
      <c r="F882" s="34">
        <v>44376</v>
      </c>
      <c r="G882" s="18"/>
      <c r="H882" s="16">
        <f t="shared" si="152"/>
        <v>28</v>
      </c>
      <c r="I882" s="16">
        <f t="shared" si="153"/>
        <v>9</v>
      </c>
      <c r="J882" s="122">
        <f t="shared" si="154"/>
        <v>2022</v>
      </c>
      <c r="K882" s="64">
        <f t="shared" si="147"/>
        <v>44892</v>
      </c>
      <c r="L882" s="6"/>
      <c r="M882" s="6"/>
      <c r="O882" s="208">
        <v>44527</v>
      </c>
      <c r="P882" s="209">
        <f t="shared" si="148"/>
        <v>0</v>
      </c>
      <c r="Q882" s="209">
        <f>+SUMIF('A DEPOSITAR'!$D$2:$D$998,(O882-2),'A DEPOSITAR'!$H$2:$H$998)</f>
        <v>0</v>
      </c>
      <c r="R882" s="210">
        <f t="shared" si="149"/>
        <v>0</v>
      </c>
      <c r="S882" s="210">
        <f t="shared" si="151"/>
        <v>4138103.4400000009</v>
      </c>
      <c r="T882" s="209">
        <f t="shared" si="150"/>
        <v>0</v>
      </c>
      <c r="U882" s="209">
        <f>+SUMIFS('A DEPOSITAR'!$H$2:$H$998,'A DEPOSITAR'!$D$2:$D$998,(O882-2),'A DEPOSITAR'!$I$2:$I$998,"A Depositar")</f>
        <v>0</v>
      </c>
      <c r="V882" s="6"/>
      <c r="W882" s="6"/>
      <c r="X882" s="6"/>
      <c r="Y882" s="6"/>
      <c r="Z882" s="6"/>
    </row>
    <row r="883" spans="1:26" ht="12.75" x14ac:dyDescent="0.2">
      <c r="A883" s="36">
        <v>44862</v>
      </c>
      <c r="B883" s="29" t="s">
        <v>201</v>
      </c>
      <c r="C883" s="29" t="s">
        <v>432</v>
      </c>
      <c r="D883" s="37">
        <v>42770.17</v>
      </c>
      <c r="E883" s="29" t="s">
        <v>136</v>
      </c>
      <c r="F883" s="34">
        <v>44376</v>
      </c>
      <c r="G883" s="18"/>
      <c r="H883" s="16">
        <f t="shared" si="152"/>
        <v>28</v>
      </c>
      <c r="I883" s="16">
        <f t="shared" si="153"/>
        <v>10</v>
      </c>
      <c r="J883" s="122">
        <f t="shared" si="154"/>
        <v>2022</v>
      </c>
      <c r="K883" s="64">
        <f t="shared" si="147"/>
        <v>44922</v>
      </c>
      <c r="L883" s="6"/>
      <c r="M883" s="6"/>
      <c r="O883" s="208">
        <v>44528</v>
      </c>
      <c r="P883" s="209">
        <f t="shared" si="148"/>
        <v>25479.45</v>
      </c>
      <c r="Q883" s="209">
        <f>+SUMIF('A DEPOSITAR'!$D$2:$D$998,(O883-2),'A DEPOSITAR'!$H$2:$H$998)</f>
        <v>0</v>
      </c>
      <c r="R883" s="210">
        <f t="shared" si="149"/>
        <v>-25479.45</v>
      </c>
      <c r="S883" s="210">
        <f t="shared" si="151"/>
        <v>4112623.9900000007</v>
      </c>
      <c r="T883" s="209">
        <f t="shared" si="150"/>
        <v>25479.45</v>
      </c>
      <c r="U883" s="209">
        <f>+SUMIFS('A DEPOSITAR'!$H$2:$H$998,'A DEPOSITAR'!$D$2:$D$998,(O883-2),'A DEPOSITAR'!$I$2:$I$998,"A Depositar")</f>
        <v>0</v>
      </c>
      <c r="V883" s="6"/>
      <c r="W883" s="6"/>
      <c r="X883" s="6"/>
      <c r="Y883" s="6"/>
      <c r="Z883" s="6"/>
    </row>
    <row r="884" spans="1:26" ht="12.75" x14ac:dyDescent="0.2">
      <c r="A884" s="36">
        <v>44893</v>
      </c>
      <c r="B884" s="29" t="s">
        <v>201</v>
      </c>
      <c r="C884" s="29" t="s">
        <v>433</v>
      </c>
      <c r="D884" s="37">
        <f>22222.22+20761.04</f>
        <v>42983.26</v>
      </c>
      <c r="E884" s="29" t="s">
        <v>136</v>
      </c>
      <c r="F884" s="34">
        <v>44376</v>
      </c>
      <c r="G884" s="18"/>
      <c r="H884" s="16">
        <f t="shared" si="152"/>
        <v>28</v>
      </c>
      <c r="I884" s="16">
        <f t="shared" si="153"/>
        <v>11</v>
      </c>
      <c r="J884" s="122">
        <f t="shared" si="154"/>
        <v>2022</v>
      </c>
      <c r="K884" s="64">
        <f t="shared" si="147"/>
        <v>44953</v>
      </c>
      <c r="L884" s="6"/>
      <c r="M884" s="6"/>
      <c r="O884" s="208">
        <v>44529</v>
      </c>
      <c r="P884" s="209">
        <f t="shared" si="148"/>
        <v>0</v>
      </c>
      <c r="Q884" s="209">
        <f>+SUMIF('A DEPOSITAR'!$D$2:$D$998,(O884-2),'A DEPOSITAR'!$H$2:$H$998)</f>
        <v>0</v>
      </c>
      <c r="R884" s="210">
        <f t="shared" si="149"/>
        <v>0</v>
      </c>
      <c r="S884" s="210">
        <f t="shared" si="151"/>
        <v>4112623.9900000007</v>
      </c>
      <c r="T884" s="209">
        <f t="shared" si="150"/>
        <v>0</v>
      </c>
      <c r="U884" s="209">
        <f>+SUMIFS('A DEPOSITAR'!$H$2:$H$998,'A DEPOSITAR'!$D$2:$D$998,(O884-2),'A DEPOSITAR'!$I$2:$I$998,"A Depositar")</f>
        <v>0</v>
      </c>
      <c r="V884" s="6"/>
      <c r="W884" s="6"/>
      <c r="X884" s="6"/>
      <c r="Y884" s="6"/>
      <c r="Z884" s="6"/>
    </row>
    <row r="885" spans="1:26" ht="12.75" x14ac:dyDescent="0.2">
      <c r="A885" s="36">
        <v>44923</v>
      </c>
      <c r="B885" s="29" t="s">
        <v>201</v>
      </c>
      <c r="C885" s="29" t="s">
        <v>434</v>
      </c>
      <c r="D885" s="37">
        <v>41856.93</v>
      </c>
      <c r="E885" s="29" t="s">
        <v>136</v>
      </c>
      <c r="F885" s="34">
        <v>44376</v>
      </c>
      <c r="G885" s="18"/>
      <c r="H885" s="16">
        <f t="shared" si="152"/>
        <v>28</v>
      </c>
      <c r="I885" s="16">
        <f t="shared" si="153"/>
        <v>12</v>
      </c>
      <c r="J885" s="122">
        <f t="shared" si="154"/>
        <v>2022</v>
      </c>
      <c r="K885" s="64">
        <f t="shared" si="147"/>
        <v>44983</v>
      </c>
      <c r="L885" s="6"/>
      <c r="M885" s="6"/>
      <c r="O885" s="208">
        <v>44530</v>
      </c>
      <c r="P885" s="209">
        <f t="shared" si="148"/>
        <v>97025.35</v>
      </c>
      <c r="Q885" s="209">
        <f>+SUMIF('A DEPOSITAR'!$D$2:$D$998,(O885-2),'A DEPOSITAR'!$H$2:$H$998)</f>
        <v>0</v>
      </c>
      <c r="R885" s="210">
        <f t="shared" si="149"/>
        <v>-97025.35</v>
      </c>
      <c r="S885" s="210">
        <f t="shared" si="151"/>
        <v>4015598.6400000006</v>
      </c>
      <c r="T885" s="209">
        <f t="shared" si="150"/>
        <v>97025.35</v>
      </c>
      <c r="U885" s="209">
        <f>+SUMIFS('A DEPOSITAR'!$H$2:$H$998,'A DEPOSITAR'!$D$2:$D$998,(O885-2),'A DEPOSITAR'!$I$2:$I$998,"A Depositar")</f>
        <v>0</v>
      </c>
      <c r="V885" s="6"/>
      <c r="W885" s="6"/>
      <c r="X885" s="6"/>
      <c r="Y885" s="6"/>
      <c r="Z885" s="6"/>
    </row>
    <row r="886" spans="1:26" ht="12.75" x14ac:dyDescent="0.2">
      <c r="A886" s="36">
        <v>44954</v>
      </c>
      <c r="B886" s="29" t="s">
        <v>201</v>
      </c>
      <c r="C886" s="29" t="s">
        <v>940</v>
      </c>
      <c r="D886" s="37">
        <v>42039.57</v>
      </c>
      <c r="E886" s="29" t="s">
        <v>136</v>
      </c>
      <c r="F886" s="34">
        <v>44376</v>
      </c>
      <c r="G886" s="18"/>
      <c r="H886" s="16">
        <f t="shared" si="152"/>
        <v>28</v>
      </c>
      <c r="I886" s="16">
        <f t="shared" si="153"/>
        <v>1</v>
      </c>
      <c r="J886" s="122">
        <f t="shared" si="154"/>
        <v>2023</v>
      </c>
      <c r="K886" s="64">
        <f t="shared" si="147"/>
        <v>45014</v>
      </c>
      <c r="L886" s="6"/>
      <c r="M886" s="6"/>
      <c r="O886" s="208">
        <v>44531</v>
      </c>
      <c r="P886" s="209">
        <f t="shared" si="148"/>
        <v>0</v>
      </c>
      <c r="Q886" s="209">
        <f>+SUMIF('A DEPOSITAR'!$D$2:$D$998,(O886-2),'A DEPOSITAR'!$H$2:$H$998)</f>
        <v>0</v>
      </c>
      <c r="R886" s="210">
        <f t="shared" si="149"/>
        <v>0</v>
      </c>
      <c r="S886" s="210">
        <f t="shared" si="151"/>
        <v>4015598.6400000006</v>
      </c>
      <c r="T886" s="209">
        <f t="shared" si="150"/>
        <v>0</v>
      </c>
      <c r="U886" s="209">
        <f>+SUMIFS('A DEPOSITAR'!$H$2:$H$998,'A DEPOSITAR'!$D$2:$D$998,(O886-2),'A DEPOSITAR'!$I$2:$I$998,"A Depositar")</f>
        <v>0</v>
      </c>
      <c r="V886" s="6"/>
      <c r="W886" s="6"/>
      <c r="X886" s="6"/>
      <c r="Y886" s="6"/>
      <c r="Z886" s="6"/>
    </row>
    <row r="887" spans="1:26" ht="12.75" x14ac:dyDescent="0.2">
      <c r="A887" s="36">
        <v>44985</v>
      </c>
      <c r="B887" s="29" t="s">
        <v>201</v>
      </c>
      <c r="C887" s="29" t="s">
        <v>941</v>
      </c>
      <c r="D887" s="37">
        <v>41567.730000000003</v>
      </c>
      <c r="E887" s="29" t="s">
        <v>136</v>
      </c>
      <c r="F887" s="34">
        <v>44376</v>
      </c>
      <c r="G887" s="18"/>
      <c r="H887" s="16">
        <f t="shared" si="152"/>
        <v>28</v>
      </c>
      <c r="I887" s="16">
        <f t="shared" si="153"/>
        <v>2</v>
      </c>
      <c r="J887" s="122">
        <f t="shared" si="154"/>
        <v>2023</v>
      </c>
      <c r="K887" s="64">
        <f t="shared" si="147"/>
        <v>45045</v>
      </c>
      <c r="L887" s="6"/>
      <c r="M887" s="6"/>
      <c r="O887" s="208">
        <v>44532</v>
      </c>
      <c r="P887" s="209">
        <f t="shared" si="148"/>
        <v>0</v>
      </c>
      <c r="Q887" s="209">
        <f>+SUMIF('A DEPOSITAR'!$D$2:$D$998,(O887-2),'A DEPOSITAR'!$H$2:$H$998)</f>
        <v>20000</v>
      </c>
      <c r="R887" s="210">
        <f t="shared" si="149"/>
        <v>20000</v>
      </c>
      <c r="S887" s="210">
        <f t="shared" si="151"/>
        <v>4035598.6400000006</v>
      </c>
      <c r="T887" s="209">
        <f t="shared" si="150"/>
        <v>0</v>
      </c>
      <c r="U887" s="209">
        <f>+SUMIFS('A DEPOSITAR'!$H$2:$H$998,'A DEPOSITAR'!$D$2:$D$998,(O887-2),'A DEPOSITAR'!$I$2:$I$998,"A Depositar")</f>
        <v>20000</v>
      </c>
      <c r="V887" s="6"/>
      <c r="W887" s="6"/>
      <c r="X887" s="6"/>
      <c r="Y887" s="6"/>
      <c r="Z887" s="6"/>
    </row>
    <row r="888" spans="1:26" ht="12.75" x14ac:dyDescent="0.2">
      <c r="A888" s="36">
        <v>45013</v>
      </c>
      <c r="B888" s="29" t="s">
        <v>201</v>
      </c>
      <c r="C888" s="29" t="s">
        <v>942</v>
      </c>
      <c r="D888" s="37">
        <v>39269.410000000003</v>
      </c>
      <c r="E888" s="29" t="s">
        <v>136</v>
      </c>
      <c r="F888" s="34">
        <v>44376</v>
      </c>
      <c r="G888" s="18"/>
      <c r="H888" s="16">
        <f t="shared" si="152"/>
        <v>28</v>
      </c>
      <c r="I888" s="16">
        <f t="shared" si="153"/>
        <v>3</v>
      </c>
      <c r="J888" s="122">
        <f t="shared" si="154"/>
        <v>2023</v>
      </c>
      <c r="K888" s="64">
        <f t="shared" si="147"/>
        <v>45073</v>
      </c>
      <c r="L888" s="6"/>
      <c r="M888" s="6"/>
      <c r="O888" s="208">
        <v>44533</v>
      </c>
      <c r="P888" s="209">
        <f t="shared" si="148"/>
        <v>0</v>
      </c>
      <c r="Q888" s="209">
        <f>+SUMIF('A DEPOSITAR'!$D$2:$D$998,(O888-2),'A DEPOSITAR'!$H$2:$H$998)</f>
        <v>0</v>
      </c>
      <c r="R888" s="210">
        <f t="shared" si="149"/>
        <v>0</v>
      </c>
      <c r="S888" s="210">
        <f t="shared" si="151"/>
        <v>4035598.6400000006</v>
      </c>
      <c r="T888" s="209">
        <f t="shared" si="150"/>
        <v>0</v>
      </c>
      <c r="U888" s="209">
        <f>+SUMIFS('A DEPOSITAR'!$H$2:$H$998,'A DEPOSITAR'!$D$2:$D$998,(O888-2),'A DEPOSITAR'!$I$2:$I$998,"A Depositar")</f>
        <v>0</v>
      </c>
      <c r="V888" s="6"/>
      <c r="W888" s="6"/>
      <c r="X888" s="6"/>
      <c r="Y888" s="6"/>
      <c r="Z888" s="6"/>
    </row>
    <row r="889" spans="1:26" ht="12.75" x14ac:dyDescent="0.2">
      <c r="A889" s="36">
        <v>45044</v>
      </c>
      <c r="B889" s="29" t="s">
        <v>201</v>
      </c>
      <c r="C889" s="29" t="s">
        <v>943</v>
      </c>
      <c r="D889" s="37">
        <v>40624.050000000003</v>
      </c>
      <c r="E889" s="29" t="s">
        <v>136</v>
      </c>
      <c r="F889" s="34">
        <v>44376</v>
      </c>
      <c r="G889" s="18"/>
      <c r="H889" s="16">
        <f t="shared" si="152"/>
        <v>28</v>
      </c>
      <c r="I889" s="16">
        <f t="shared" si="153"/>
        <v>4</v>
      </c>
      <c r="J889" s="122">
        <f t="shared" si="154"/>
        <v>2023</v>
      </c>
      <c r="K889" s="64">
        <f t="shared" si="147"/>
        <v>45104</v>
      </c>
      <c r="L889" s="6"/>
      <c r="M889" s="6"/>
      <c r="O889" s="208">
        <v>44534</v>
      </c>
      <c r="P889" s="209">
        <f t="shared" si="148"/>
        <v>0</v>
      </c>
      <c r="Q889" s="209">
        <f>+SUMIF('A DEPOSITAR'!$D$2:$D$998,(O889-2),'A DEPOSITAR'!$H$2:$H$998)</f>
        <v>0</v>
      </c>
      <c r="R889" s="210">
        <f t="shared" si="149"/>
        <v>0</v>
      </c>
      <c r="S889" s="210">
        <f t="shared" si="151"/>
        <v>4035598.6400000006</v>
      </c>
      <c r="T889" s="209">
        <f t="shared" si="150"/>
        <v>0</v>
      </c>
      <c r="U889" s="209">
        <f>+SUMIFS('A DEPOSITAR'!$H$2:$H$998,'A DEPOSITAR'!$D$2:$D$998,(O889-2),'A DEPOSITAR'!$I$2:$I$998,"A Depositar")</f>
        <v>0</v>
      </c>
      <c r="V889" s="6"/>
      <c r="W889" s="6"/>
      <c r="X889" s="6"/>
      <c r="Y889" s="6"/>
      <c r="Z889" s="6"/>
    </row>
    <row r="890" spans="1:26" ht="12.75" x14ac:dyDescent="0.2">
      <c r="A890" s="36">
        <v>45074</v>
      </c>
      <c r="B890" s="29" t="s">
        <v>201</v>
      </c>
      <c r="C890" s="29" t="s">
        <v>944</v>
      </c>
      <c r="D890" s="37">
        <v>39573.82</v>
      </c>
      <c r="E890" s="29" t="s">
        <v>136</v>
      </c>
      <c r="F890" s="34">
        <v>44376</v>
      </c>
      <c r="G890" s="18"/>
      <c r="H890" s="16">
        <f t="shared" si="152"/>
        <v>28</v>
      </c>
      <c r="I890" s="16">
        <f t="shared" si="153"/>
        <v>5</v>
      </c>
      <c r="J890" s="122">
        <f t="shared" si="154"/>
        <v>2023</v>
      </c>
      <c r="K890" s="64">
        <f t="shared" si="147"/>
        <v>45134</v>
      </c>
      <c r="L890" s="6"/>
      <c r="M890" s="6"/>
      <c r="O890" s="208">
        <v>44535</v>
      </c>
      <c r="P890" s="209">
        <f t="shared" si="148"/>
        <v>0</v>
      </c>
      <c r="Q890" s="209">
        <f>+SUMIF('A DEPOSITAR'!$D$2:$D$998,(O890-2),'A DEPOSITAR'!$H$2:$H$998)</f>
        <v>0</v>
      </c>
      <c r="R890" s="210">
        <f t="shared" si="149"/>
        <v>0</v>
      </c>
      <c r="S890" s="210">
        <f t="shared" si="151"/>
        <v>4035598.6400000006</v>
      </c>
      <c r="T890" s="209">
        <f t="shared" si="150"/>
        <v>0</v>
      </c>
      <c r="U890" s="209">
        <f>+SUMIFS('A DEPOSITAR'!$H$2:$H$998,'A DEPOSITAR'!$D$2:$D$998,(O890-2),'A DEPOSITAR'!$I$2:$I$998,"A Depositar")</f>
        <v>0</v>
      </c>
      <c r="V890" s="6"/>
      <c r="W890" s="6"/>
      <c r="X890" s="6"/>
      <c r="Y890" s="6"/>
      <c r="Z890" s="6"/>
    </row>
    <row r="891" spans="1:26" ht="12.75" x14ac:dyDescent="0.2">
      <c r="A891" s="36">
        <v>45105</v>
      </c>
      <c r="B891" s="29" t="s">
        <v>201</v>
      </c>
      <c r="C891" s="29" t="s">
        <v>945</v>
      </c>
      <c r="D891" s="37">
        <v>39680.370000000003</v>
      </c>
      <c r="E891" s="29" t="s">
        <v>136</v>
      </c>
      <c r="F891" s="34">
        <v>44376</v>
      </c>
      <c r="G891" s="18"/>
      <c r="H891" s="16">
        <f t="shared" si="152"/>
        <v>28</v>
      </c>
      <c r="I891" s="16">
        <f t="shared" si="153"/>
        <v>6</v>
      </c>
      <c r="J891" s="122">
        <f t="shared" si="154"/>
        <v>2023</v>
      </c>
      <c r="K891" s="64">
        <f t="shared" si="147"/>
        <v>45165</v>
      </c>
      <c r="L891" s="6"/>
      <c r="M891" s="6"/>
      <c r="O891" s="208">
        <v>44536</v>
      </c>
      <c r="P891" s="209">
        <f t="shared" si="148"/>
        <v>0</v>
      </c>
      <c r="Q891" s="209">
        <f>+SUMIF('A DEPOSITAR'!$D$2:$D$998,(O891-2),'A DEPOSITAR'!$H$2:$H$998)</f>
        <v>0</v>
      </c>
      <c r="R891" s="210">
        <f t="shared" si="149"/>
        <v>0</v>
      </c>
      <c r="S891" s="210">
        <f t="shared" si="151"/>
        <v>4035598.6400000006</v>
      </c>
      <c r="T891" s="209">
        <f t="shared" si="150"/>
        <v>0</v>
      </c>
      <c r="U891" s="209">
        <f>+SUMIFS('A DEPOSITAR'!$H$2:$H$998,'A DEPOSITAR'!$D$2:$D$998,(O891-2),'A DEPOSITAR'!$I$2:$I$998,"A Depositar")</f>
        <v>0</v>
      </c>
      <c r="V891" s="6"/>
      <c r="W891" s="6"/>
      <c r="X891" s="6"/>
      <c r="Y891" s="6"/>
      <c r="Z891" s="6"/>
    </row>
    <row r="892" spans="1:26" ht="12.75" x14ac:dyDescent="0.2">
      <c r="A892" s="36">
        <v>45135</v>
      </c>
      <c r="B892" s="29" t="s">
        <v>201</v>
      </c>
      <c r="C892" s="29" t="s">
        <v>946</v>
      </c>
      <c r="D892" s="37">
        <v>41948.25</v>
      </c>
      <c r="E892" s="29" t="s">
        <v>136</v>
      </c>
      <c r="F892" s="34">
        <v>44376</v>
      </c>
      <c r="G892" s="18"/>
      <c r="H892" s="16">
        <f t="shared" si="152"/>
        <v>28</v>
      </c>
      <c r="I892" s="16">
        <f t="shared" si="153"/>
        <v>7</v>
      </c>
      <c r="J892" s="122">
        <f t="shared" si="154"/>
        <v>2023</v>
      </c>
      <c r="K892" s="64">
        <f t="shared" si="147"/>
        <v>45195</v>
      </c>
      <c r="L892" s="6"/>
      <c r="M892" s="6"/>
      <c r="O892" s="208">
        <v>44537</v>
      </c>
      <c r="P892" s="209">
        <f t="shared" si="148"/>
        <v>0</v>
      </c>
      <c r="Q892" s="209">
        <f>+SUMIF('A DEPOSITAR'!$D$2:$D$998,(O892-2),'A DEPOSITAR'!$H$2:$H$998)</f>
        <v>0</v>
      </c>
      <c r="R892" s="210">
        <f t="shared" si="149"/>
        <v>0</v>
      </c>
      <c r="S892" s="210">
        <f t="shared" si="151"/>
        <v>4035598.6400000006</v>
      </c>
      <c r="T892" s="209">
        <f t="shared" si="150"/>
        <v>0</v>
      </c>
      <c r="U892" s="209">
        <f>+SUMIFS('A DEPOSITAR'!$H$2:$H$998,'A DEPOSITAR'!$D$2:$D$998,(O892-2),'A DEPOSITAR'!$I$2:$I$998,"A Depositar")</f>
        <v>0</v>
      </c>
      <c r="V892" s="6"/>
      <c r="W892" s="6"/>
      <c r="X892" s="6"/>
      <c r="Y892" s="6"/>
      <c r="Z892" s="6"/>
    </row>
    <row r="893" spans="1:26" ht="12.75" x14ac:dyDescent="0.2">
      <c r="A893" s="36">
        <v>45166</v>
      </c>
      <c r="B893" s="29" t="s">
        <v>201</v>
      </c>
      <c r="C893" s="29" t="s">
        <v>947</v>
      </c>
      <c r="D893" s="37">
        <v>42039.57</v>
      </c>
      <c r="E893" s="29" t="s">
        <v>136</v>
      </c>
      <c r="F893" s="34">
        <v>44376</v>
      </c>
      <c r="G893" s="18"/>
      <c r="H893" s="16">
        <f t="shared" si="152"/>
        <v>28</v>
      </c>
      <c r="I893" s="16">
        <f t="shared" si="153"/>
        <v>8</v>
      </c>
      <c r="J893" s="122">
        <f t="shared" si="154"/>
        <v>2023</v>
      </c>
      <c r="K893" s="64">
        <f t="shared" si="147"/>
        <v>45226</v>
      </c>
      <c r="L893" s="6"/>
      <c r="M893" s="6"/>
      <c r="O893" s="208">
        <v>44538</v>
      </c>
      <c r="P893" s="209">
        <f t="shared" si="148"/>
        <v>73100</v>
      </c>
      <c r="Q893" s="209">
        <f>+SUMIF('A DEPOSITAR'!$D$2:$D$998,(O893-2),'A DEPOSITAR'!$H$2:$H$998)</f>
        <v>0</v>
      </c>
      <c r="R893" s="210">
        <f t="shared" si="149"/>
        <v>-73100</v>
      </c>
      <c r="S893" s="210">
        <f t="shared" si="151"/>
        <v>3962498.6400000006</v>
      </c>
      <c r="T893" s="209">
        <f t="shared" si="150"/>
        <v>73100</v>
      </c>
      <c r="U893" s="209">
        <f>+SUMIFS('A DEPOSITAR'!$H$2:$H$998,'A DEPOSITAR'!$D$2:$D$998,(O893-2),'A DEPOSITAR'!$I$2:$I$998,"A Depositar")</f>
        <v>0</v>
      </c>
      <c r="V893" s="6"/>
      <c r="W893" s="6"/>
      <c r="X893" s="6"/>
      <c r="Y893" s="6"/>
      <c r="Z893" s="6"/>
    </row>
    <row r="894" spans="1:26" ht="12.75" x14ac:dyDescent="0.2">
      <c r="A894" s="36">
        <v>45197</v>
      </c>
      <c r="B894" s="29" t="s">
        <v>201</v>
      </c>
      <c r="C894" s="29" t="s">
        <v>948</v>
      </c>
      <c r="D894" s="37">
        <v>41473.360000000001</v>
      </c>
      <c r="E894" s="29" t="s">
        <v>136</v>
      </c>
      <c r="F894" s="34">
        <v>44376</v>
      </c>
      <c r="G894" s="18"/>
      <c r="H894" s="16">
        <f t="shared" si="152"/>
        <v>28</v>
      </c>
      <c r="I894" s="16">
        <f t="shared" si="153"/>
        <v>9</v>
      </c>
      <c r="J894" s="122">
        <f t="shared" si="154"/>
        <v>2023</v>
      </c>
      <c r="K894" s="64">
        <f t="shared" si="147"/>
        <v>45257</v>
      </c>
      <c r="L894" s="6"/>
      <c r="M894" s="6"/>
      <c r="O894" s="208">
        <v>44539</v>
      </c>
      <c r="P894" s="209">
        <f t="shared" si="148"/>
        <v>0</v>
      </c>
      <c r="Q894" s="209">
        <f>+SUMIF('A DEPOSITAR'!$D$2:$D$998,(O894-2),'A DEPOSITAR'!$H$2:$H$998)</f>
        <v>0</v>
      </c>
      <c r="R894" s="210">
        <f t="shared" si="149"/>
        <v>0</v>
      </c>
      <c r="S894" s="210">
        <f t="shared" si="151"/>
        <v>3962498.6400000006</v>
      </c>
      <c r="T894" s="209">
        <f t="shared" si="150"/>
        <v>0</v>
      </c>
      <c r="U894" s="209">
        <f>+SUMIFS('A DEPOSITAR'!$H$2:$H$998,'A DEPOSITAR'!$D$2:$D$998,(O894-2),'A DEPOSITAR'!$I$2:$I$998,"A Depositar")</f>
        <v>0</v>
      </c>
      <c r="V894" s="6"/>
      <c r="W894" s="6"/>
      <c r="X894" s="6"/>
      <c r="Y894" s="6"/>
      <c r="Z894" s="6"/>
    </row>
    <row r="895" spans="1:26" ht="12.75" x14ac:dyDescent="0.2">
      <c r="A895" s="36">
        <v>45227</v>
      </c>
      <c r="B895" s="29" t="s">
        <v>201</v>
      </c>
      <c r="C895" s="29" t="s">
        <v>949</v>
      </c>
      <c r="D895" s="37">
        <v>40304.410000000003</v>
      </c>
      <c r="E895" s="29" t="s">
        <v>136</v>
      </c>
      <c r="F895" s="34">
        <v>44376</v>
      </c>
      <c r="G895" s="18"/>
      <c r="H895" s="16">
        <f t="shared" si="152"/>
        <v>28</v>
      </c>
      <c r="I895" s="16">
        <f t="shared" si="153"/>
        <v>10</v>
      </c>
      <c r="J895" s="122">
        <f t="shared" si="154"/>
        <v>2023</v>
      </c>
      <c r="K895" s="64">
        <f t="shared" si="147"/>
        <v>45287</v>
      </c>
      <c r="L895" s="6"/>
      <c r="M895" s="6"/>
      <c r="O895" s="208">
        <v>44540</v>
      </c>
      <c r="P895" s="209">
        <f t="shared" si="148"/>
        <v>0</v>
      </c>
      <c r="Q895" s="209">
        <f>+SUMIF('A DEPOSITAR'!$D$2:$D$998,(O895-2),'A DEPOSITAR'!$H$2:$H$998)</f>
        <v>0</v>
      </c>
      <c r="R895" s="210">
        <f t="shared" si="149"/>
        <v>0</v>
      </c>
      <c r="S895" s="210">
        <f t="shared" si="151"/>
        <v>3962498.6400000006</v>
      </c>
      <c r="T895" s="209">
        <f t="shared" si="150"/>
        <v>0</v>
      </c>
      <c r="U895" s="209">
        <f>+SUMIFS('A DEPOSITAR'!$H$2:$H$998,'A DEPOSITAR'!$D$2:$D$998,(O895-2),'A DEPOSITAR'!$I$2:$I$998,"A Depositar")</f>
        <v>0</v>
      </c>
      <c r="V895" s="6"/>
      <c r="W895" s="6"/>
      <c r="X895" s="6"/>
      <c r="Y895" s="6"/>
      <c r="Z895" s="6"/>
    </row>
    <row r="896" spans="1:26" ht="12.75" x14ac:dyDescent="0.2">
      <c r="A896" s="36">
        <v>45258</v>
      </c>
      <c r="B896" s="29" t="s">
        <v>201</v>
      </c>
      <c r="C896" s="29" t="s">
        <v>950</v>
      </c>
      <c r="D896" s="37">
        <v>40340.94</v>
      </c>
      <c r="E896" s="29" t="s">
        <v>136</v>
      </c>
      <c r="F896" s="34">
        <v>44376</v>
      </c>
      <c r="G896" s="18"/>
      <c r="H896" s="16">
        <f t="shared" si="152"/>
        <v>28</v>
      </c>
      <c r="I896" s="16">
        <f t="shared" si="153"/>
        <v>11</v>
      </c>
      <c r="J896" s="122">
        <f t="shared" si="154"/>
        <v>2023</v>
      </c>
      <c r="K896" s="64">
        <f t="shared" si="147"/>
        <v>45318</v>
      </c>
      <c r="L896" s="6"/>
      <c r="M896" s="6"/>
      <c r="O896" s="208">
        <v>44541</v>
      </c>
      <c r="P896" s="209">
        <f t="shared" si="148"/>
        <v>0</v>
      </c>
      <c r="Q896" s="209">
        <f>+SUMIF('A DEPOSITAR'!$D$2:$D$998,(O896-2),'A DEPOSITAR'!$H$2:$H$998)</f>
        <v>0</v>
      </c>
      <c r="R896" s="210">
        <f t="shared" si="149"/>
        <v>0</v>
      </c>
      <c r="S896" s="210">
        <f t="shared" si="151"/>
        <v>3962498.6400000006</v>
      </c>
      <c r="T896" s="209">
        <f t="shared" si="150"/>
        <v>0</v>
      </c>
      <c r="U896" s="209">
        <f>+SUMIFS('A DEPOSITAR'!$H$2:$H$998,'A DEPOSITAR'!$D$2:$D$998,(O896-2),'A DEPOSITAR'!$I$2:$I$998,"A Depositar")</f>
        <v>0</v>
      </c>
      <c r="V896" s="6"/>
      <c r="W896" s="6"/>
      <c r="X896" s="6"/>
      <c r="Y896" s="6"/>
      <c r="Z896" s="6"/>
    </row>
    <row r="897" spans="1:26" ht="12.75" x14ac:dyDescent="0.2">
      <c r="A897" s="36">
        <v>45288</v>
      </c>
      <c r="B897" s="29" t="s">
        <v>201</v>
      </c>
      <c r="C897" s="29" t="s">
        <v>951</v>
      </c>
      <c r="D897" s="37">
        <v>39208.519999999997</v>
      </c>
      <c r="E897" s="29" t="s">
        <v>136</v>
      </c>
      <c r="F897" s="34">
        <v>44376</v>
      </c>
      <c r="G897" s="18"/>
      <c r="H897" s="16">
        <f t="shared" si="152"/>
        <v>28</v>
      </c>
      <c r="I897" s="16">
        <f t="shared" si="153"/>
        <v>12</v>
      </c>
      <c r="J897" s="122">
        <f t="shared" si="154"/>
        <v>2023</v>
      </c>
      <c r="K897" s="64">
        <f t="shared" si="147"/>
        <v>45348</v>
      </c>
      <c r="L897" s="6"/>
      <c r="M897" s="6"/>
      <c r="O897" s="208">
        <v>44542</v>
      </c>
      <c r="P897" s="209">
        <f t="shared" si="148"/>
        <v>0</v>
      </c>
      <c r="Q897" s="209">
        <f>+SUMIF('A DEPOSITAR'!$D$2:$D$998,(O897-2),'A DEPOSITAR'!$H$2:$H$998)</f>
        <v>20000</v>
      </c>
      <c r="R897" s="210">
        <f t="shared" si="149"/>
        <v>20000</v>
      </c>
      <c r="S897" s="210">
        <f t="shared" si="151"/>
        <v>3982498.6400000006</v>
      </c>
      <c r="T897" s="209">
        <f t="shared" si="150"/>
        <v>0</v>
      </c>
      <c r="U897" s="209">
        <f>+SUMIFS('A DEPOSITAR'!$H$2:$H$998,'A DEPOSITAR'!$D$2:$D$998,(O897-2),'A DEPOSITAR'!$I$2:$I$998,"A Depositar")</f>
        <v>20000</v>
      </c>
      <c r="V897" s="6"/>
      <c r="W897" s="6"/>
      <c r="X897" s="6"/>
      <c r="Y897" s="6"/>
      <c r="Z897" s="6"/>
    </row>
    <row r="898" spans="1:26" ht="12.75" x14ac:dyDescent="0.2">
      <c r="A898" s="36">
        <v>45319</v>
      </c>
      <c r="B898" s="29" t="s">
        <v>201</v>
      </c>
      <c r="C898" s="29" t="s">
        <v>952</v>
      </c>
      <c r="D898" s="37">
        <v>39208.519999999997</v>
      </c>
      <c r="E898" s="29" t="s">
        <v>136</v>
      </c>
      <c r="F898" s="34">
        <v>44376</v>
      </c>
      <c r="G898" s="18"/>
      <c r="H898" s="16">
        <f t="shared" si="152"/>
        <v>28</v>
      </c>
      <c r="I898" s="16">
        <f t="shared" si="153"/>
        <v>1</v>
      </c>
      <c r="J898" s="122">
        <f t="shared" si="154"/>
        <v>2024</v>
      </c>
      <c r="K898" s="64">
        <f t="shared" ref="K898:K961" si="155">A898+60</f>
        <v>45379</v>
      </c>
      <c r="L898" s="6"/>
      <c r="M898" s="6"/>
      <c r="O898" s="208">
        <v>44543</v>
      </c>
      <c r="P898" s="209">
        <f t="shared" si="148"/>
        <v>0</v>
      </c>
      <c r="Q898" s="209">
        <f>+SUMIF('A DEPOSITAR'!$D$2:$D$998,(O898-2),'A DEPOSITAR'!$H$2:$H$998)</f>
        <v>0</v>
      </c>
      <c r="R898" s="210">
        <f t="shared" si="149"/>
        <v>0</v>
      </c>
      <c r="S898" s="210">
        <f t="shared" si="151"/>
        <v>3982498.6400000006</v>
      </c>
      <c r="T898" s="209">
        <f t="shared" si="150"/>
        <v>0</v>
      </c>
      <c r="U898" s="209">
        <f>+SUMIFS('A DEPOSITAR'!$H$2:$H$998,'A DEPOSITAR'!$D$2:$D$998,(O898-2),'A DEPOSITAR'!$I$2:$I$998,"A Depositar")</f>
        <v>0</v>
      </c>
      <c r="V898" s="6"/>
      <c r="W898" s="6"/>
      <c r="X898" s="6"/>
      <c r="Y898" s="6"/>
      <c r="Z898" s="6"/>
    </row>
    <row r="899" spans="1:26" ht="12.75" x14ac:dyDescent="0.2">
      <c r="A899" s="36">
        <v>45350</v>
      </c>
      <c r="B899" s="29" t="s">
        <v>201</v>
      </c>
      <c r="C899" s="29" t="s">
        <v>953</v>
      </c>
      <c r="D899" s="37">
        <v>38642.31</v>
      </c>
      <c r="E899" s="29" t="s">
        <v>136</v>
      </c>
      <c r="F899" s="34">
        <v>44376</v>
      </c>
      <c r="G899" s="18"/>
      <c r="H899" s="16">
        <f t="shared" si="152"/>
        <v>28</v>
      </c>
      <c r="I899" s="16">
        <f t="shared" si="153"/>
        <v>2</v>
      </c>
      <c r="J899" s="122">
        <f t="shared" si="154"/>
        <v>2024</v>
      </c>
      <c r="K899" s="64">
        <f t="shared" si="155"/>
        <v>45410</v>
      </c>
      <c r="L899" s="6"/>
      <c r="M899" s="6"/>
      <c r="O899" s="208">
        <v>44544</v>
      </c>
      <c r="P899" s="209">
        <f t="shared" ref="P899:P962" si="156">+SUMIF($A$2:$A$998,O899,$D$2:$D$998)</f>
        <v>0</v>
      </c>
      <c r="Q899" s="209">
        <f>+SUMIF('A DEPOSITAR'!$D$2:$D$998,(O899-2),'A DEPOSITAR'!$H$2:$H$998)</f>
        <v>0</v>
      </c>
      <c r="R899" s="210">
        <f t="shared" ref="R899:R962" si="157">+Q899-P899</f>
        <v>0</v>
      </c>
      <c r="S899" s="210">
        <f t="shared" si="151"/>
        <v>3982498.6400000006</v>
      </c>
      <c r="T899" s="209">
        <f t="shared" ref="T899:T962" si="158">+SUMIFS($D$2:$D$998,$A$2:$A$998,O899,$E$2:$E$998,"A Pagar")</f>
        <v>0</v>
      </c>
      <c r="U899" s="209">
        <f>+SUMIFS('A DEPOSITAR'!$H$2:$H$998,'A DEPOSITAR'!$D$2:$D$998,(O899-2),'A DEPOSITAR'!$I$2:$I$998,"A Depositar")</f>
        <v>0</v>
      </c>
      <c r="V899" s="6"/>
      <c r="W899" s="6"/>
      <c r="X899" s="6"/>
      <c r="Y899" s="6"/>
      <c r="Z899" s="6"/>
    </row>
    <row r="900" spans="1:26" ht="12.75" x14ac:dyDescent="0.2">
      <c r="A900" s="36">
        <v>45379</v>
      </c>
      <c r="B900" s="29" t="s">
        <v>201</v>
      </c>
      <c r="C900" s="29" t="s">
        <v>954</v>
      </c>
      <c r="D900" s="37">
        <v>37053.269999999997</v>
      </c>
      <c r="E900" s="29" t="s">
        <v>136</v>
      </c>
      <c r="F900" s="34">
        <v>44376</v>
      </c>
      <c r="G900" s="18"/>
      <c r="H900" s="16">
        <f t="shared" si="152"/>
        <v>28</v>
      </c>
      <c r="I900" s="16">
        <f t="shared" si="153"/>
        <v>3</v>
      </c>
      <c r="J900" s="122">
        <f t="shared" si="154"/>
        <v>2024</v>
      </c>
      <c r="K900" s="64">
        <f t="shared" si="155"/>
        <v>45439</v>
      </c>
      <c r="L900" s="6"/>
      <c r="M900" s="6"/>
      <c r="O900" s="208">
        <v>44545</v>
      </c>
      <c r="P900" s="209">
        <f t="shared" si="156"/>
        <v>4000</v>
      </c>
      <c r="Q900" s="209">
        <f>+SUMIF('A DEPOSITAR'!$D$2:$D$998,(O900-2),'A DEPOSITAR'!$H$2:$H$998)</f>
        <v>0</v>
      </c>
      <c r="R900" s="210">
        <f t="shared" si="157"/>
        <v>-4000</v>
      </c>
      <c r="S900" s="210">
        <f t="shared" ref="S900:S963" si="159">+S899+R900</f>
        <v>3978498.6400000006</v>
      </c>
      <c r="T900" s="209">
        <f t="shared" si="158"/>
        <v>4000</v>
      </c>
      <c r="U900" s="209">
        <f>+SUMIFS('A DEPOSITAR'!$H$2:$H$998,'A DEPOSITAR'!$D$2:$D$998,(O900-2),'A DEPOSITAR'!$I$2:$I$998,"A Depositar")</f>
        <v>0</v>
      </c>
      <c r="V900" s="6"/>
      <c r="W900" s="6"/>
      <c r="X900" s="6"/>
      <c r="Y900" s="6"/>
      <c r="Z900" s="6"/>
    </row>
    <row r="901" spans="1:26" ht="12.75" x14ac:dyDescent="0.2">
      <c r="A901" s="36">
        <v>45410</v>
      </c>
      <c r="B901" s="29" t="s">
        <v>201</v>
      </c>
      <c r="C901" s="29" t="s">
        <v>955</v>
      </c>
      <c r="D901" s="37">
        <v>37509.89</v>
      </c>
      <c r="E901" s="29" t="s">
        <v>136</v>
      </c>
      <c r="F901" s="34">
        <v>44376</v>
      </c>
      <c r="G901" s="18"/>
      <c r="H901" s="16">
        <f t="shared" si="152"/>
        <v>28</v>
      </c>
      <c r="I901" s="16">
        <f t="shared" si="153"/>
        <v>4</v>
      </c>
      <c r="J901" s="122">
        <f t="shared" si="154"/>
        <v>2024</v>
      </c>
      <c r="K901" s="64">
        <f t="shared" si="155"/>
        <v>45470</v>
      </c>
      <c r="L901" s="6"/>
      <c r="M901" s="6"/>
      <c r="O901" s="208">
        <v>44546</v>
      </c>
      <c r="P901" s="209">
        <f t="shared" si="156"/>
        <v>113463.5</v>
      </c>
      <c r="Q901" s="209">
        <f>+SUMIF('A DEPOSITAR'!$D$2:$D$998,(O901-2),'A DEPOSITAR'!$H$2:$H$998)</f>
        <v>0</v>
      </c>
      <c r="R901" s="210">
        <f t="shared" si="157"/>
        <v>-113463.5</v>
      </c>
      <c r="S901" s="210">
        <f t="shared" si="159"/>
        <v>3865035.1400000006</v>
      </c>
      <c r="T901" s="209">
        <f t="shared" si="158"/>
        <v>108218.9</v>
      </c>
      <c r="U901" s="209">
        <f>+SUMIFS('A DEPOSITAR'!$H$2:$H$998,'A DEPOSITAR'!$D$2:$D$998,(O901-2),'A DEPOSITAR'!$I$2:$I$998,"A Depositar")</f>
        <v>0</v>
      </c>
      <c r="V901" s="6"/>
      <c r="W901" s="6"/>
      <c r="X901" s="6"/>
      <c r="Y901" s="6"/>
      <c r="Z901" s="6"/>
    </row>
    <row r="902" spans="1:26" ht="12.75" x14ac:dyDescent="0.2">
      <c r="A902" s="36">
        <v>45440</v>
      </c>
      <c r="B902" s="29" t="s">
        <v>201</v>
      </c>
      <c r="C902" s="29" t="s">
        <v>956</v>
      </c>
      <c r="D902" s="37">
        <v>36468.800000000003</v>
      </c>
      <c r="E902" s="29" t="s">
        <v>136</v>
      </c>
      <c r="F902" s="34">
        <v>44376</v>
      </c>
      <c r="G902" s="18"/>
      <c r="H902" s="16">
        <f t="shared" si="152"/>
        <v>28</v>
      </c>
      <c r="I902" s="16">
        <f t="shared" si="153"/>
        <v>5</v>
      </c>
      <c r="J902" s="122">
        <f t="shared" si="154"/>
        <v>2024</v>
      </c>
      <c r="K902" s="64">
        <f t="shared" si="155"/>
        <v>45500</v>
      </c>
      <c r="L902" s="6"/>
      <c r="M902" s="6"/>
      <c r="O902" s="208">
        <v>44547</v>
      </c>
      <c r="P902" s="209">
        <f t="shared" si="156"/>
        <v>58250.189999999995</v>
      </c>
      <c r="Q902" s="209">
        <f>+SUMIF('A DEPOSITAR'!$D$2:$D$998,(O902-2),'A DEPOSITAR'!$H$2:$H$998)</f>
        <v>0</v>
      </c>
      <c r="R902" s="210">
        <f t="shared" si="157"/>
        <v>-58250.189999999995</v>
      </c>
      <c r="S902" s="210">
        <f t="shared" si="159"/>
        <v>3806784.9500000007</v>
      </c>
      <c r="T902" s="209">
        <f t="shared" si="158"/>
        <v>58250.189999999995</v>
      </c>
      <c r="U902" s="209">
        <f>+SUMIFS('A DEPOSITAR'!$H$2:$H$998,'A DEPOSITAR'!$D$2:$D$998,(O902-2),'A DEPOSITAR'!$I$2:$I$998,"A Depositar")</f>
        <v>0</v>
      </c>
      <c r="V902" s="6"/>
      <c r="W902" s="6"/>
      <c r="X902" s="6"/>
      <c r="Y902" s="6"/>
      <c r="Z902" s="6"/>
    </row>
    <row r="903" spans="1:26" ht="12.75" x14ac:dyDescent="0.2">
      <c r="A903" s="36">
        <v>45471</v>
      </c>
      <c r="B903" s="29" t="s">
        <v>201</v>
      </c>
      <c r="C903" s="29" t="s">
        <v>957</v>
      </c>
      <c r="D903" s="37">
        <v>36377.47</v>
      </c>
      <c r="E903" s="29" t="s">
        <v>136</v>
      </c>
      <c r="F903" s="34">
        <v>44376</v>
      </c>
      <c r="G903" s="18"/>
      <c r="H903" s="16">
        <f t="shared" si="152"/>
        <v>28</v>
      </c>
      <c r="I903" s="16">
        <f t="shared" si="153"/>
        <v>6</v>
      </c>
      <c r="J903" s="122">
        <f t="shared" si="154"/>
        <v>2024</v>
      </c>
      <c r="K903" s="64">
        <f t="shared" si="155"/>
        <v>45531</v>
      </c>
      <c r="L903" s="6"/>
      <c r="M903" s="6"/>
      <c r="O903" s="208">
        <v>44548</v>
      </c>
      <c r="P903" s="209">
        <f t="shared" si="156"/>
        <v>0</v>
      </c>
      <c r="Q903" s="209">
        <f>+SUMIF('A DEPOSITAR'!$D$2:$D$998,(O903-2),'A DEPOSITAR'!$H$2:$H$998)</f>
        <v>0</v>
      </c>
      <c r="R903" s="210">
        <f t="shared" si="157"/>
        <v>0</v>
      </c>
      <c r="S903" s="210">
        <f t="shared" si="159"/>
        <v>3806784.9500000007</v>
      </c>
      <c r="T903" s="209">
        <f t="shared" si="158"/>
        <v>0</v>
      </c>
      <c r="U903" s="209">
        <f>+SUMIFS('A DEPOSITAR'!$H$2:$H$998,'A DEPOSITAR'!$D$2:$D$998,(O903-2),'A DEPOSITAR'!$I$2:$I$998,"A Depositar")</f>
        <v>0</v>
      </c>
      <c r="V903" s="6"/>
      <c r="W903" s="6"/>
      <c r="X903" s="6"/>
      <c r="Y903" s="6"/>
      <c r="Z903" s="6"/>
    </row>
    <row r="904" spans="1:26" ht="12.75" x14ac:dyDescent="0.2">
      <c r="A904" s="36">
        <v>45501</v>
      </c>
      <c r="B904" s="29" t="s">
        <v>201</v>
      </c>
      <c r="C904" s="29" t="s">
        <v>958</v>
      </c>
      <c r="D904" s="37">
        <v>35372.910000000003</v>
      </c>
      <c r="E904" s="29" t="s">
        <v>136</v>
      </c>
      <c r="F904" s="34">
        <v>44376</v>
      </c>
      <c r="G904" s="18"/>
      <c r="H904" s="16">
        <f t="shared" si="152"/>
        <v>28</v>
      </c>
      <c r="I904" s="16">
        <f t="shared" si="153"/>
        <v>7</v>
      </c>
      <c r="J904" s="122">
        <f t="shared" si="154"/>
        <v>2024</v>
      </c>
      <c r="K904" s="64">
        <f t="shared" si="155"/>
        <v>45561</v>
      </c>
      <c r="L904" s="6"/>
      <c r="M904" s="6"/>
      <c r="O904" s="208">
        <v>44549</v>
      </c>
      <c r="P904" s="209">
        <f t="shared" si="156"/>
        <v>0</v>
      </c>
      <c r="Q904" s="209">
        <f>+SUMIF('A DEPOSITAR'!$D$2:$D$998,(O904-2),'A DEPOSITAR'!$H$2:$H$998)</f>
        <v>0</v>
      </c>
      <c r="R904" s="210">
        <f t="shared" si="157"/>
        <v>0</v>
      </c>
      <c r="S904" s="210">
        <f t="shared" si="159"/>
        <v>3806784.9500000007</v>
      </c>
      <c r="T904" s="209">
        <f t="shared" si="158"/>
        <v>0</v>
      </c>
      <c r="U904" s="209">
        <f>+SUMIFS('A DEPOSITAR'!$H$2:$H$998,'A DEPOSITAR'!$D$2:$D$998,(O904-2),'A DEPOSITAR'!$I$2:$I$998,"A Depositar")</f>
        <v>0</v>
      </c>
      <c r="V904" s="6"/>
      <c r="W904" s="6"/>
      <c r="X904" s="6"/>
      <c r="Y904" s="6"/>
      <c r="Z904" s="6"/>
    </row>
    <row r="905" spans="1:26" ht="12.75" x14ac:dyDescent="0.2">
      <c r="A905" s="36">
        <v>45532</v>
      </c>
      <c r="B905" s="29" t="s">
        <v>201</v>
      </c>
      <c r="C905" s="29" t="s">
        <v>959</v>
      </c>
      <c r="D905" s="37">
        <v>35245.050000000003</v>
      </c>
      <c r="E905" s="29" t="s">
        <v>136</v>
      </c>
      <c r="F905" s="34">
        <v>44376</v>
      </c>
      <c r="G905" s="18"/>
      <c r="H905" s="16">
        <f t="shared" si="152"/>
        <v>28</v>
      </c>
      <c r="I905" s="16">
        <f t="shared" si="153"/>
        <v>8</v>
      </c>
      <c r="J905" s="122">
        <f t="shared" si="154"/>
        <v>2024</v>
      </c>
      <c r="K905" s="64">
        <f t="shared" si="155"/>
        <v>45592</v>
      </c>
      <c r="L905" s="6"/>
      <c r="M905" s="6"/>
      <c r="O905" s="208">
        <v>44550</v>
      </c>
      <c r="P905" s="209">
        <f t="shared" si="156"/>
        <v>0</v>
      </c>
      <c r="Q905" s="209">
        <f>+SUMIF('A DEPOSITAR'!$D$2:$D$998,(O905-2),'A DEPOSITAR'!$H$2:$H$998)</f>
        <v>0</v>
      </c>
      <c r="R905" s="210">
        <f t="shared" si="157"/>
        <v>0</v>
      </c>
      <c r="S905" s="210">
        <f t="shared" si="159"/>
        <v>3806784.9500000007</v>
      </c>
      <c r="T905" s="209">
        <f t="shared" si="158"/>
        <v>0</v>
      </c>
      <c r="U905" s="209">
        <f>+SUMIFS('A DEPOSITAR'!$H$2:$H$998,'A DEPOSITAR'!$D$2:$D$998,(O905-2),'A DEPOSITAR'!$I$2:$I$998,"A Depositar")</f>
        <v>0</v>
      </c>
      <c r="V905" s="6"/>
      <c r="W905" s="6"/>
      <c r="X905" s="6"/>
      <c r="Y905" s="6"/>
      <c r="Z905" s="6"/>
    </row>
    <row r="906" spans="1:26" ht="12.75" x14ac:dyDescent="0.2">
      <c r="A906" s="36">
        <v>45563</v>
      </c>
      <c r="B906" s="29" t="s">
        <v>201</v>
      </c>
      <c r="C906" s="29" t="s">
        <v>960</v>
      </c>
      <c r="D906" s="37">
        <v>34678.839999999997</v>
      </c>
      <c r="E906" s="29" t="s">
        <v>136</v>
      </c>
      <c r="F906" s="34">
        <v>44376</v>
      </c>
      <c r="G906" s="18"/>
      <c r="H906" s="16">
        <f t="shared" si="152"/>
        <v>28</v>
      </c>
      <c r="I906" s="16">
        <f t="shared" si="153"/>
        <v>9</v>
      </c>
      <c r="J906" s="122">
        <f t="shared" si="154"/>
        <v>2024</v>
      </c>
      <c r="K906" s="64">
        <f t="shared" si="155"/>
        <v>45623</v>
      </c>
      <c r="L906" s="6"/>
      <c r="M906" s="6"/>
      <c r="O906" s="208">
        <v>44551</v>
      </c>
      <c r="P906" s="209">
        <f t="shared" si="156"/>
        <v>0</v>
      </c>
      <c r="Q906" s="209">
        <f>+SUMIF('A DEPOSITAR'!$D$2:$D$998,(O906-2),'A DEPOSITAR'!$H$2:$H$998)</f>
        <v>0</v>
      </c>
      <c r="R906" s="210">
        <f t="shared" si="157"/>
        <v>0</v>
      </c>
      <c r="S906" s="210">
        <f t="shared" si="159"/>
        <v>3806784.9500000007</v>
      </c>
      <c r="T906" s="209">
        <f t="shared" si="158"/>
        <v>0</v>
      </c>
      <c r="U906" s="209">
        <f>+SUMIFS('A DEPOSITAR'!$H$2:$H$998,'A DEPOSITAR'!$D$2:$D$998,(O906-2),'A DEPOSITAR'!$I$2:$I$998,"A Depositar")</f>
        <v>0</v>
      </c>
      <c r="V906" s="6"/>
      <c r="W906" s="6"/>
      <c r="X906" s="6"/>
      <c r="Y906" s="6"/>
      <c r="Z906" s="6"/>
    </row>
    <row r="907" spans="1:26" ht="12.75" x14ac:dyDescent="0.2">
      <c r="A907" s="36">
        <v>45593</v>
      </c>
      <c r="B907" s="29" t="s">
        <v>201</v>
      </c>
      <c r="C907" s="29" t="s">
        <v>961</v>
      </c>
      <c r="D907" s="37">
        <v>33729.07</v>
      </c>
      <c r="E907" s="29" t="s">
        <v>136</v>
      </c>
      <c r="F907" s="34">
        <v>44376</v>
      </c>
      <c r="G907" s="18"/>
      <c r="H907" s="16">
        <f t="shared" si="152"/>
        <v>28</v>
      </c>
      <c r="I907" s="16">
        <f t="shared" si="153"/>
        <v>10</v>
      </c>
      <c r="J907" s="122">
        <f t="shared" si="154"/>
        <v>2024</v>
      </c>
      <c r="K907" s="64">
        <f t="shared" si="155"/>
        <v>45653</v>
      </c>
      <c r="L907" s="6"/>
      <c r="M907" s="6"/>
      <c r="O907" s="208">
        <v>44552</v>
      </c>
      <c r="P907" s="209">
        <f t="shared" si="156"/>
        <v>60000</v>
      </c>
      <c r="Q907" s="209">
        <f>+SUMIF('A DEPOSITAR'!$D$2:$D$998,(O907-2),'A DEPOSITAR'!$H$2:$H$998)</f>
        <v>20000</v>
      </c>
      <c r="R907" s="210">
        <f t="shared" si="157"/>
        <v>-40000</v>
      </c>
      <c r="S907" s="210">
        <f t="shared" si="159"/>
        <v>3766784.9500000007</v>
      </c>
      <c r="T907" s="209">
        <f t="shared" si="158"/>
        <v>60000</v>
      </c>
      <c r="U907" s="209">
        <f>+SUMIFS('A DEPOSITAR'!$H$2:$H$998,'A DEPOSITAR'!$D$2:$D$998,(O907-2),'A DEPOSITAR'!$I$2:$I$998,"A Depositar")</f>
        <v>20000</v>
      </c>
      <c r="V907" s="6"/>
      <c r="W907" s="6"/>
      <c r="X907" s="6"/>
      <c r="Y907" s="6"/>
      <c r="Z907" s="6"/>
    </row>
    <row r="908" spans="1:26" ht="12.75" x14ac:dyDescent="0.2">
      <c r="A908" s="36">
        <v>45624</v>
      </c>
      <c r="B908" s="29" t="s">
        <v>201</v>
      </c>
      <c r="C908" s="29" t="s">
        <v>962</v>
      </c>
      <c r="D908" s="37">
        <v>33546.42</v>
      </c>
      <c r="E908" s="29" t="s">
        <v>136</v>
      </c>
      <c r="F908" s="34">
        <v>44376</v>
      </c>
      <c r="G908" s="18"/>
      <c r="H908" s="16">
        <f t="shared" si="152"/>
        <v>28</v>
      </c>
      <c r="I908" s="16">
        <f t="shared" si="153"/>
        <v>11</v>
      </c>
      <c r="J908" s="122">
        <f t="shared" si="154"/>
        <v>2024</v>
      </c>
      <c r="K908" s="64">
        <f t="shared" si="155"/>
        <v>45684</v>
      </c>
      <c r="L908" s="6"/>
      <c r="M908" s="6"/>
      <c r="O908" s="208">
        <v>44553</v>
      </c>
      <c r="P908" s="209">
        <f t="shared" si="156"/>
        <v>0</v>
      </c>
      <c r="Q908" s="209">
        <f>+SUMIF('A DEPOSITAR'!$D$2:$D$998,(O908-2),'A DEPOSITAR'!$H$2:$H$998)</f>
        <v>0</v>
      </c>
      <c r="R908" s="210">
        <f t="shared" si="157"/>
        <v>0</v>
      </c>
      <c r="S908" s="210">
        <f t="shared" si="159"/>
        <v>3766784.9500000007</v>
      </c>
      <c r="T908" s="209">
        <f t="shared" si="158"/>
        <v>0</v>
      </c>
      <c r="U908" s="209">
        <f>+SUMIFS('A DEPOSITAR'!$H$2:$H$998,'A DEPOSITAR'!$D$2:$D$998,(O908-2),'A DEPOSITAR'!$I$2:$I$998,"A Depositar")</f>
        <v>0</v>
      </c>
      <c r="V908" s="6"/>
      <c r="W908" s="6"/>
      <c r="X908" s="6"/>
      <c r="Y908" s="6"/>
      <c r="Z908" s="6"/>
    </row>
    <row r="909" spans="1:26" ht="12.75" x14ac:dyDescent="0.2">
      <c r="A909" s="36">
        <v>45654</v>
      </c>
      <c r="B909" s="29" t="s">
        <v>201</v>
      </c>
      <c r="C909" s="29" t="s">
        <v>963</v>
      </c>
      <c r="D909" s="37">
        <v>32633.18</v>
      </c>
      <c r="E909" s="29" t="s">
        <v>136</v>
      </c>
      <c r="F909" s="34">
        <v>44376</v>
      </c>
      <c r="G909" s="18"/>
      <c r="H909" s="16">
        <f t="shared" si="152"/>
        <v>28</v>
      </c>
      <c r="I909" s="16">
        <f t="shared" si="153"/>
        <v>12</v>
      </c>
      <c r="J909" s="122">
        <f t="shared" si="154"/>
        <v>2024</v>
      </c>
      <c r="K909" s="64">
        <f t="shared" si="155"/>
        <v>45714</v>
      </c>
      <c r="L909" s="6"/>
      <c r="M909" s="6"/>
      <c r="O909" s="208">
        <v>44554</v>
      </c>
      <c r="P909" s="209">
        <f t="shared" si="156"/>
        <v>0</v>
      </c>
      <c r="Q909" s="209">
        <f>+SUMIF('A DEPOSITAR'!$D$2:$D$998,(O909-2),'A DEPOSITAR'!$H$2:$H$998)</f>
        <v>0</v>
      </c>
      <c r="R909" s="210">
        <f t="shared" si="157"/>
        <v>0</v>
      </c>
      <c r="S909" s="210">
        <f t="shared" si="159"/>
        <v>3766784.9500000007</v>
      </c>
      <c r="T909" s="209">
        <f t="shared" si="158"/>
        <v>0</v>
      </c>
      <c r="U909" s="209">
        <f>+SUMIFS('A DEPOSITAR'!$H$2:$H$998,'A DEPOSITAR'!$D$2:$D$998,(O909-2),'A DEPOSITAR'!$I$2:$I$998,"A Depositar")</f>
        <v>0</v>
      </c>
      <c r="V909" s="6"/>
      <c r="W909" s="6"/>
      <c r="X909" s="6"/>
      <c r="Y909" s="6"/>
      <c r="Z909" s="6"/>
    </row>
    <row r="910" spans="1:26" ht="12.75" x14ac:dyDescent="0.2">
      <c r="A910" s="36">
        <v>45685</v>
      </c>
      <c r="B910" s="29" t="s">
        <v>201</v>
      </c>
      <c r="C910" s="29" t="s">
        <v>964</v>
      </c>
      <c r="D910" s="37">
        <v>32414</v>
      </c>
      <c r="E910" s="29" t="s">
        <v>136</v>
      </c>
      <c r="F910" s="34">
        <v>44376</v>
      </c>
      <c r="G910" s="18"/>
      <c r="H910" s="16">
        <f t="shared" si="152"/>
        <v>28</v>
      </c>
      <c r="I910" s="16">
        <f t="shared" si="153"/>
        <v>1</v>
      </c>
      <c r="J910" s="122">
        <f t="shared" si="154"/>
        <v>2025</v>
      </c>
      <c r="K910" s="64">
        <f t="shared" si="155"/>
        <v>45745</v>
      </c>
      <c r="L910" s="6"/>
      <c r="M910" s="6"/>
      <c r="O910" s="208">
        <v>44555</v>
      </c>
      <c r="P910" s="209">
        <f t="shared" si="156"/>
        <v>0</v>
      </c>
      <c r="Q910" s="209">
        <f>+SUMIF('A DEPOSITAR'!$D$2:$D$998,(O910-2),'A DEPOSITAR'!$H$2:$H$998)</f>
        <v>0</v>
      </c>
      <c r="R910" s="210">
        <f t="shared" si="157"/>
        <v>0</v>
      </c>
      <c r="S910" s="210">
        <f t="shared" si="159"/>
        <v>3766784.9500000007</v>
      </c>
      <c r="T910" s="209">
        <f t="shared" si="158"/>
        <v>0</v>
      </c>
      <c r="U910" s="209">
        <f>+SUMIFS('A DEPOSITAR'!$H$2:$H$998,'A DEPOSITAR'!$D$2:$D$998,(O910-2),'A DEPOSITAR'!$I$2:$I$998,"A Depositar")</f>
        <v>0</v>
      </c>
      <c r="V910" s="6"/>
      <c r="W910" s="6"/>
      <c r="X910" s="6"/>
      <c r="Y910" s="6"/>
      <c r="Z910" s="6"/>
    </row>
    <row r="911" spans="1:26" ht="12.75" x14ac:dyDescent="0.2">
      <c r="A911" s="36">
        <v>45716</v>
      </c>
      <c r="B911" s="29" t="s">
        <v>201</v>
      </c>
      <c r="C911" s="29" t="s">
        <v>965</v>
      </c>
      <c r="D911" s="37">
        <v>31847.79</v>
      </c>
      <c r="E911" s="29" t="s">
        <v>136</v>
      </c>
      <c r="F911" s="34">
        <v>44376</v>
      </c>
      <c r="G911" s="18"/>
      <c r="H911" s="16">
        <f t="shared" si="152"/>
        <v>28</v>
      </c>
      <c r="I911" s="16">
        <f t="shared" si="153"/>
        <v>2</v>
      </c>
      <c r="J911" s="122">
        <f t="shared" si="154"/>
        <v>2025</v>
      </c>
      <c r="K911" s="64">
        <f t="shared" si="155"/>
        <v>45776</v>
      </c>
      <c r="L911" s="6"/>
      <c r="M911" s="6"/>
      <c r="O911" s="208">
        <v>44556</v>
      </c>
      <c r="P911" s="209">
        <f t="shared" si="156"/>
        <v>0</v>
      </c>
      <c r="Q911" s="209">
        <f>+SUMIF('A DEPOSITAR'!$D$2:$D$998,(O911-2),'A DEPOSITAR'!$H$2:$H$998)</f>
        <v>0</v>
      </c>
      <c r="R911" s="210">
        <f t="shared" si="157"/>
        <v>0</v>
      </c>
      <c r="S911" s="210">
        <f t="shared" si="159"/>
        <v>3766784.9500000007</v>
      </c>
      <c r="T911" s="209">
        <f t="shared" si="158"/>
        <v>0</v>
      </c>
      <c r="U911" s="209">
        <f>+SUMIFS('A DEPOSITAR'!$H$2:$H$998,'A DEPOSITAR'!$D$2:$D$998,(O911-2),'A DEPOSITAR'!$I$2:$I$998,"A Depositar")</f>
        <v>0</v>
      </c>
      <c r="V911" s="6"/>
      <c r="W911" s="6"/>
      <c r="X911" s="6"/>
      <c r="Y911" s="6"/>
      <c r="Z911" s="6"/>
    </row>
    <row r="912" spans="1:26" ht="12.75" x14ac:dyDescent="0.2">
      <c r="A912" s="36">
        <v>45744</v>
      </c>
      <c r="B912" s="29" t="s">
        <v>201</v>
      </c>
      <c r="C912" s="29" t="s">
        <v>966</v>
      </c>
      <c r="D912" s="37">
        <v>30404.87</v>
      </c>
      <c r="E912" s="29" t="s">
        <v>136</v>
      </c>
      <c r="F912" s="34">
        <v>44376</v>
      </c>
      <c r="G912" s="18"/>
      <c r="H912" s="16">
        <f t="shared" si="152"/>
        <v>28</v>
      </c>
      <c r="I912" s="16">
        <f t="shared" si="153"/>
        <v>3</v>
      </c>
      <c r="J912" s="122">
        <f t="shared" si="154"/>
        <v>2025</v>
      </c>
      <c r="K912" s="64">
        <f t="shared" si="155"/>
        <v>45804</v>
      </c>
      <c r="L912" s="6"/>
      <c r="M912" s="6"/>
      <c r="O912" s="208">
        <v>44557</v>
      </c>
      <c r="P912" s="209">
        <f t="shared" si="156"/>
        <v>0</v>
      </c>
      <c r="Q912" s="209">
        <f>+SUMIF('A DEPOSITAR'!$D$2:$D$998,(O912-2),'A DEPOSITAR'!$H$2:$H$998)</f>
        <v>0</v>
      </c>
      <c r="R912" s="210">
        <f t="shared" si="157"/>
        <v>0</v>
      </c>
      <c r="S912" s="210">
        <f t="shared" si="159"/>
        <v>3766784.9500000007</v>
      </c>
      <c r="T912" s="209">
        <f t="shared" si="158"/>
        <v>0</v>
      </c>
      <c r="U912" s="209">
        <f>+SUMIFS('A DEPOSITAR'!$H$2:$H$998,'A DEPOSITAR'!$D$2:$D$998,(O912-2),'A DEPOSITAR'!$I$2:$I$998,"A Depositar")</f>
        <v>0</v>
      </c>
      <c r="V912" s="6"/>
      <c r="W912" s="6"/>
      <c r="X912" s="6"/>
      <c r="Y912" s="6"/>
      <c r="Z912" s="6"/>
    </row>
    <row r="913" spans="1:26" ht="12.75" x14ac:dyDescent="0.2">
      <c r="A913" s="36">
        <v>45775</v>
      </c>
      <c r="B913" s="29" t="s">
        <v>201</v>
      </c>
      <c r="C913" s="29" t="s">
        <v>967</v>
      </c>
      <c r="D913" s="37">
        <v>30715.37</v>
      </c>
      <c r="E913" s="29" t="s">
        <v>136</v>
      </c>
      <c r="F913" s="34">
        <v>44376</v>
      </c>
      <c r="G913" s="18"/>
      <c r="H913" s="16">
        <f t="shared" si="152"/>
        <v>28</v>
      </c>
      <c r="I913" s="16">
        <f t="shared" si="153"/>
        <v>4</v>
      </c>
      <c r="J913" s="122">
        <f t="shared" si="154"/>
        <v>2025</v>
      </c>
      <c r="K913" s="64">
        <f t="shared" si="155"/>
        <v>45835</v>
      </c>
      <c r="L913" s="6"/>
      <c r="M913" s="6"/>
      <c r="O913" s="208">
        <v>44558</v>
      </c>
      <c r="P913" s="209">
        <f t="shared" si="156"/>
        <v>24657.53</v>
      </c>
      <c r="Q913" s="209">
        <f>+SUMIF('A DEPOSITAR'!$D$2:$D$998,(O913-2),'A DEPOSITAR'!$H$2:$H$998)</f>
        <v>0</v>
      </c>
      <c r="R913" s="210">
        <f t="shared" si="157"/>
        <v>-24657.53</v>
      </c>
      <c r="S913" s="210">
        <f t="shared" si="159"/>
        <v>3742127.4200000009</v>
      </c>
      <c r="T913" s="209">
        <f t="shared" si="158"/>
        <v>24657.53</v>
      </c>
      <c r="U913" s="209">
        <f>+SUMIFS('A DEPOSITAR'!$H$2:$H$998,'A DEPOSITAR'!$D$2:$D$998,(O913-2),'A DEPOSITAR'!$I$2:$I$998,"A Depositar")</f>
        <v>0</v>
      </c>
      <c r="V913" s="6"/>
      <c r="W913" s="6"/>
      <c r="X913" s="6"/>
      <c r="Y913" s="6"/>
      <c r="Z913" s="6"/>
    </row>
    <row r="914" spans="1:26" ht="12.75" x14ac:dyDescent="0.2">
      <c r="A914" s="36">
        <v>45805</v>
      </c>
      <c r="B914" s="29" t="s">
        <v>201</v>
      </c>
      <c r="C914" s="29" t="s">
        <v>968</v>
      </c>
      <c r="D914" s="37">
        <v>29893.46</v>
      </c>
      <c r="E914" s="29" t="s">
        <v>136</v>
      </c>
      <c r="F914" s="34">
        <v>44376</v>
      </c>
      <c r="G914" s="18"/>
      <c r="H914" s="16">
        <f t="shared" si="152"/>
        <v>28</v>
      </c>
      <c r="I914" s="16">
        <f t="shared" si="153"/>
        <v>5</v>
      </c>
      <c r="J914" s="122">
        <f t="shared" si="154"/>
        <v>2025</v>
      </c>
      <c r="K914" s="64">
        <f t="shared" si="155"/>
        <v>45865</v>
      </c>
      <c r="L914" s="6"/>
      <c r="M914" s="6"/>
      <c r="O914" s="208">
        <v>44559</v>
      </c>
      <c r="P914" s="209">
        <f t="shared" si="156"/>
        <v>0</v>
      </c>
      <c r="Q914" s="209">
        <f>+SUMIF('A DEPOSITAR'!$D$2:$D$998,(O914-2),'A DEPOSITAR'!$H$2:$H$998)</f>
        <v>0</v>
      </c>
      <c r="R914" s="210">
        <f t="shared" si="157"/>
        <v>0</v>
      </c>
      <c r="S914" s="210">
        <f t="shared" si="159"/>
        <v>3742127.4200000009</v>
      </c>
      <c r="T914" s="209">
        <f t="shared" si="158"/>
        <v>0</v>
      </c>
      <c r="U914" s="209">
        <f>+SUMIFS('A DEPOSITAR'!$H$2:$H$998,'A DEPOSITAR'!$D$2:$D$998,(O914-2),'A DEPOSITAR'!$I$2:$I$998,"A Depositar")</f>
        <v>0</v>
      </c>
      <c r="V914" s="6"/>
      <c r="W914" s="6"/>
      <c r="X914" s="6"/>
      <c r="Y914" s="6"/>
      <c r="Z914" s="6"/>
    </row>
    <row r="915" spans="1:26" ht="12.75" x14ac:dyDescent="0.2">
      <c r="A915" s="36">
        <v>45836</v>
      </c>
      <c r="B915" s="29" t="s">
        <v>201</v>
      </c>
      <c r="C915" s="29" t="s">
        <v>969</v>
      </c>
      <c r="D915" s="37">
        <v>29582.95</v>
      </c>
      <c r="E915" s="29" t="s">
        <v>136</v>
      </c>
      <c r="F915" s="34">
        <v>44376</v>
      </c>
      <c r="G915" s="18"/>
      <c r="H915" s="16">
        <f t="shared" si="152"/>
        <v>28</v>
      </c>
      <c r="I915" s="16">
        <f t="shared" si="153"/>
        <v>6</v>
      </c>
      <c r="J915" s="122">
        <f t="shared" si="154"/>
        <v>2025</v>
      </c>
      <c r="K915" s="64">
        <f t="shared" si="155"/>
        <v>45896</v>
      </c>
      <c r="L915" s="6"/>
      <c r="M915" s="6"/>
      <c r="O915" s="208">
        <v>44560</v>
      </c>
      <c r="P915" s="209">
        <f t="shared" si="156"/>
        <v>13400</v>
      </c>
      <c r="Q915" s="209">
        <f>+SUMIF('A DEPOSITAR'!$D$2:$D$998,(O915-2),'A DEPOSITAR'!$H$2:$H$998)</f>
        <v>0</v>
      </c>
      <c r="R915" s="210">
        <f t="shared" si="157"/>
        <v>-13400</v>
      </c>
      <c r="S915" s="210">
        <f t="shared" si="159"/>
        <v>3728727.4200000009</v>
      </c>
      <c r="T915" s="209">
        <f t="shared" si="158"/>
        <v>13400</v>
      </c>
      <c r="U915" s="209">
        <f>+SUMIFS('A DEPOSITAR'!$H$2:$H$998,'A DEPOSITAR'!$D$2:$D$998,(O915-2),'A DEPOSITAR'!$I$2:$I$998,"A Depositar")</f>
        <v>0</v>
      </c>
      <c r="V915" s="6"/>
      <c r="W915" s="6"/>
      <c r="X915" s="6"/>
      <c r="Y915" s="6"/>
      <c r="Z915" s="6"/>
    </row>
    <row r="916" spans="1:26" ht="12.75" x14ac:dyDescent="0.2">
      <c r="A916" s="36">
        <v>45866</v>
      </c>
      <c r="B916" s="29" t="s">
        <v>201</v>
      </c>
      <c r="C916" s="29" t="s">
        <v>970</v>
      </c>
      <c r="D916" s="37">
        <v>28797.56</v>
      </c>
      <c r="E916" s="29" t="s">
        <v>136</v>
      </c>
      <c r="F916" s="34">
        <v>44376</v>
      </c>
      <c r="G916" s="18"/>
      <c r="H916" s="16">
        <f t="shared" si="152"/>
        <v>28</v>
      </c>
      <c r="I916" s="16">
        <f t="shared" si="153"/>
        <v>7</v>
      </c>
      <c r="J916" s="122">
        <f t="shared" si="154"/>
        <v>2025</v>
      </c>
      <c r="K916" s="64">
        <f t="shared" si="155"/>
        <v>45926</v>
      </c>
      <c r="L916" s="6"/>
      <c r="M916" s="6"/>
      <c r="O916" s="208">
        <v>44561</v>
      </c>
      <c r="P916" s="209">
        <f t="shared" si="156"/>
        <v>0</v>
      </c>
      <c r="Q916" s="209">
        <f>+SUMIF('A DEPOSITAR'!$D$2:$D$998,(O916-2),'A DEPOSITAR'!$H$2:$H$998)</f>
        <v>0</v>
      </c>
      <c r="R916" s="210">
        <f t="shared" si="157"/>
        <v>0</v>
      </c>
      <c r="S916" s="210">
        <f t="shared" si="159"/>
        <v>3728727.4200000009</v>
      </c>
      <c r="T916" s="209">
        <f t="shared" si="158"/>
        <v>0</v>
      </c>
      <c r="U916" s="209">
        <f>+SUMIFS('A DEPOSITAR'!$H$2:$H$998,'A DEPOSITAR'!$D$2:$D$998,(O916-2),'A DEPOSITAR'!$I$2:$I$998,"A Depositar")</f>
        <v>0</v>
      </c>
      <c r="V916" s="6"/>
      <c r="W916" s="6"/>
      <c r="X916" s="6"/>
      <c r="Y916" s="6"/>
      <c r="Z916" s="6"/>
    </row>
    <row r="917" spans="1:26" ht="12.75" x14ac:dyDescent="0.2">
      <c r="A917" s="36">
        <v>45897</v>
      </c>
      <c r="B917" s="29" t="s">
        <v>201</v>
      </c>
      <c r="C917" s="29" t="s">
        <v>971</v>
      </c>
      <c r="D917" s="37">
        <v>28450.53</v>
      </c>
      <c r="E917" s="29" t="s">
        <v>136</v>
      </c>
      <c r="F917" s="34">
        <v>44376</v>
      </c>
      <c r="G917" s="18"/>
      <c r="H917" s="16">
        <f t="shared" si="152"/>
        <v>28</v>
      </c>
      <c r="I917" s="16">
        <f t="shared" si="153"/>
        <v>8</v>
      </c>
      <c r="J917" s="122">
        <f t="shared" si="154"/>
        <v>2025</v>
      </c>
      <c r="K917" s="64">
        <f t="shared" si="155"/>
        <v>45957</v>
      </c>
      <c r="L917" s="6"/>
      <c r="M917" s="6"/>
      <c r="O917" s="208">
        <v>44562</v>
      </c>
      <c r="P917" s="209">
        <f t="shared" si="156"/>
        <v>0</v>
      </c>
      <c r="Q917" s="209">
        <f>+SUMIF('A DEPOSITAR'!$D$2:$D$998,(O917-2),'A DEPOSITAR'!$H$2:$H$998)</f>
        <v>0</v>
      </c>
      <c r="R917" s="210">
        <f t="shared" si="157"/>
        <v>0</v>
      </c>
      <c r="S917" s="210">
        <f t="shared" si="159"/>
        <v>3728727.4200000009</v>
      </c>
      <c r="T917" s="209">
        <f t="shared" si="158"/>
        <v>0</v>
      </c>
      <c r="U917" s="209">
        <f>+SUMIFS('A DEPOSITAR'!$H$2:$H$998,'A DEPOSITAR'!$D$2:$D$998,(O917-2),'A DEPOSITAR'!$I$2:$I$998,"A Depositar")</f>
        <v>0</v>
      </c>
      <c r="V917" s="6"/>
      <c r="W917" s="6"/>
      <c r="X917" s="6"/>
      <c r="Y917" s="6"/>
      <c r="Z917" s="6"/>
    </row>
    <row r="918" spans="1:26" ht="12.75" x14ac:dyDescent="0.2">
      <c r="A918" s="36">
        <v>45928</v>
      </c>
      <c r="B918" s="29" t="s">
        <v>201</v>
      </c>
      <c r="C918" s="29" t="s">
        <v>972</v>
      </c>
      <c r="D918" s="37">
        <v>27884.32</v>
      </c>
      <c r="E918" s="29" t="s">
        <v>136</v>
      </c>
      <c r="F918" s="34">
        <v>44376</v>
      </c>
      <c r="G918" s="18"/>
      <c r="H918" s="16">
        <f t="shared" si="152"/>
        <v>28</v>
      </c>
      <c r="I918" s="16">
        <f t="shared" si="153"/>
        <v>9</v>
      </c>
      <c r="J918" s="122">
        <f t="shared" si="154"/>
        <v>2025</v>
      </c>
      <c r="K918" s="64">
        <f t="shared" si="155"/>
        <v>45988</v>
      </c>
      <c r="L918" s="6"/>
      <c r="M918" s="6"/>
      <c r="O918" s="208">
        <v>44563</v>
      </c>
      <c r="P918" s="209">
        <f t="shared" si="156"/>
        <v>0</v>
      </c>
      <c r="Q918" s="209">
        <f>+SUMIF('A DEPOSITAR'!$D$2:$D$998,(O918-2),'A DEPOSITAR'!$H$2:$H$998)</f>
        <v>33259</v>
      </c>
      <c r="R918" s="210">
        <f t="shared" si="157"/>
        <v>33259</v>
      </c>
      <c r="S918" s="210">
        <f t="shared" si="159"/>
        <v>3761986.4200000009</v>
      </c>
      <c r="T918" s="209">
        <f t="shared" si="158"/>
        <v>0</v>
      </c>
      <c r="U918" s="209">
        <f>+SUMIFS('A DEPOSITAR'!$H$2:$H$998,'A DEPOSITAR'!$D$2:$D$998,(O918-2),'A DEPOSITAR'!$I$2:$I$998,"A Depositar")</f>
        <v>33259</v>
      </c>
      <c r="V918" s="6"/>
      <c r="W918" s="6"/>
      <c r="X918" s="6"/>
      <c r="Y918" s="6"/>
      <c r="Z918" s="6"/>
    </row>
    <row r="919" spans="1:26" ht="12.75" x14ac:dyDescent="0.2">
      <c r="A919" s="36">
        <v>45958</v>
      </c>
      <c r="B919" s="29" t="s">
        <v>201</v>
      </c>
      <c r="C919" s="29" t="s">
        <v>973</v>
      </c>
      <c r="D919" s="37">
        <v>27153.73</v>
      </c>
      <c r="E919" s="29" t="s">
        <v>136</v>
      </c>
      <c r="F919" s="34">
        <v>44376</v>
      </c>
      <c r="G919" s="18"/>
      <c r="H919" s="16">
        <f t="shared" ref="H919:H982" si="160">DAY(A919)</f>
        <v>28</v>
      </c>
      <c r="I919" s="16">
        <f t="shared" ref="I919:I982" si="161">MONTH(A919)</f>
        <v>10</v>
      </c>
      <c r="J919" s="122">
        <f t="shared" ref="J919:J982" si="162">YEAR(A919)</f>
        <v>2025</v>
      </c>
      <c r="K919" s="64">
        <f t="shared" si="155"/>
        <v>46018</v>
      </c>
      <c r="L919" s="6"/>
      <c r="M919" s="6"/>
      <c r="O919" s="208">
        <v>44564</v>
      </c>
      <c r="P919" s="209">
        <f t="shared" si="156"/>
        <v>0</v>
      </c>
      <c r="Q919" s="209">
        <f>+SUMIF('A DEPOSITAR'!$D$2:$D$998,(O919-2),'A DEPOSITAR'!$H$2:$H$998)</f>
        <v>0</v>
      </c>
      <c r="R919" s="210">
        <f t="shared" si="157"/>
        <v>0</v>
      </c>
      <c r="S919" s="210">
        <f t="shared" si="159"/>
        <v>3761986.4200000009</v>
      </c>
      <c r="T919" s="209">
        <f t="shared" si="158"/>
        <v>0</v>
      </c>
      <c r="U919" s="209">
        <f>+SUMIFS('A DEPOSITAR'!$H$2:$H$998,'A DEPOSITAR'!$D$2:$D$998,(O919-2),'A DEPOSITAR'!$I$2:$I$998,"A Depositar")</f>
        <v>0</v>
      </c>
      <c r="V919" s="6"/>
      <c r="W919" s="6"/>
      <c r="X919" s="6"/>
      <c r="Y919" s="6"/>
      <c r="Z919" s="6"/>
    </row>
    <row r="920" spans="1:26" ht="12.75" x14ac:dyDescent="0.2">
      <c r="A920" s="36">
        <v>45989</v>
      </c>
      <c r="B920" s="29" t="s">
        <v>201</v>
      </c>
      <c r="C920" s="29" t="s">
        <v>974</v>
      </c>
      <c r="D920" s="37">
        <v>26751.9</v>
      </c>
      <c r="E920" s="29" t="s">
        <v>136</v>
      </c>
      <c r="F920" s="34">
        <v>44376</v>
      </c>
      <c r="G920" s="18"/>
      <c r="H920" s="16">
        <f t="shared" si="160"/>
        <v>28</v>
      </c>
      <c r="I920" s="16">
        <f t="shared" si="161"/>
        <v>11</v>
      </c>
      <c r="J920" s="122">
        <f t="shared" si="162"/>
        <v>2025</v>
      </c>
      <c r="K920" s="64">
        <f t="shared" si="155"/>
        <v>46049</v>
      </c>
      <c r="L920" s="6"/>
      <c r="M920" s="6"/>
      <c r="O920" s="208">
        <v>44565</v>
      </c>
      <c r="P920" s="209">
        <f t="shared" si="156"/>
        <v>0</v>
      </c>
      <c r="Q920" s="209">
        <f>+SUMIF('A DEPOSITAR'!$D$2:$D$998,(O920-2),'A DEPOSITAR'!$H$2:$H$998)</f>
        <v>0</v>
      </c>
      <c r="R920" s="210">
        <f t="shared" si="157"/>
        <v>0</v>
      </c>
      <c r="S920" s="210">
        <f t="shared" si="159"/>
        <v>3761986.4200000009</v>
      </c>
      <c r="T920" s="209">
        <f t="shared" si="158"/>
        <v>0</v>
      </c>
      <c r="U920" s="209">
        <f>+SUMIFS('A DEPOSITAR'!$H$2:$H$998,'A DEPOSITAR'!$D$2:$D$998,(O920-2),'A DEPOSITAR'!$I$2:$I$998,"A Depositar")</f>
        <v>0</v>
      </c>
      <c r="V920" s="6"/>
      <c r="W920" s="6"/>
      <c r="X920" s="6"/>
      <c r="Y920" s="6"/>
      <c r="Z920" s="6"/>
    </row>
    <row r="921" spans="1:26" ht="12.75" x14ac:dyDescent="0.2">
      <c r="A921" s="36">
        <v>46019</v>
      </c>
      <c r="B921" s="29" t="s">
        <v>201</v>
      </c>
      <c r="C921" s="29" t="s">
        <v>975</v>
      </c>
      <c r="D921" s="37">
        <v>26057.84</v>
      </c>
      <c r="E921" s="29" t="s">
        <v>136</v>
      </c>
      <c r="F921" s="34">
        <v>44376</v>
      </c>
      <c r="G921" s="18"/>
      <c r="H921" s="16">
        <f t="shared" si="160"/>
        <v>28</v>
      </c>
      <c r="I921" s="16">
        <f t="shared" si="161"/>
        <v>12</v>
      </c>
      <c r="J921" s="122">
        <f t="shared" si="162"/>
        <v>2025</v>
      </c>
      <c r="K921" s="64">
        <f t="shared" si="155"/>
        <v>46079</v>
      </c>
      <c r="L921" s="6"/>
      <c r="M921" s="6"/>
      <c r="O921" s="208">
        <v>44566</v>
      </c>
      <c r="P921" s="209">
        <f t="shared" si="156"/>
        <v>0</v>
      </c>
      <c r="Q921" s="209">
        <f>+SUMIF('A DEPOSITAR'!$D$2:$D$998,(O921-2),'A DEPOSITAR'!$H$2:$H$998)</f>
        <v>0</v>
      </c>
      <c r="R921" s="210">
        <f t="shared" si="157"/>
        <v>0</v>
      </c>
      <c r="S921" s="210">
        <f t="shared" si="159"/>
        <v>3761986.4200000009</v>
      </c>
      <c r="T921" s="209">
        <f t="shared" si="158"/>
        <v>0</v>
      </c>
      <c r="U921" s="209">
        <f>+SUMIFS('A DEPOSITAR'!$H$2:$H$998,'A DEPOSITAR'!$D$2:$D$998,(O921-2),'A DEPOSITAR'!$I$2:$I$998,"A Depositar")</f>
        <v>0</v>
      </c>
      <c r="V921" s="6"/>
      <c r="W921" s="6"/>
      <c r="X921" s="6"/>
      <c r="Y921" s="6"/>
      <c r="Z921" s="6"/>
    </row>
    <row r="922" spans="1:26" ht="12.75" x14ac:dyDescent="0.2">
      <c r="A922" s="36">
        <v>46050</v>
      </c>
      <c r="B922" s="29" t="s">
        <v>201</v>
      </c>
      <c r="C922" s="29" t="s">
        <v>976</v>
      </c>
      <c r="D922" s="37">
        <v>25619.48</v>
      </c>
      <c r="E922" s="29" t="s">
        <v>136</v>
      </c>
      <c r="F922" s="34">
        <v>44376</v>
      </c>
      <c r="G922" s="18"/>
      <c r="H922" s="16">
        <f t="shared" si="160"/>
        <v>28</v>
      </c>
      <c r="I922" s="16">
        <f t="shared" si="161"/>
        <v>1</v>
      </c>
      <c r="J922" s="122">
        <f t="shared" si="162"/>
        <v>2026</v>
      </c>
      <c r="K922" s="64">
        <f t="shared" si="155"/>
        <v>46110</v>
      </c>
      <c r="L922" s="6"/>
      <c r="M922" s="6"/>
      <c r="O922" s="208">
        <v>44567</v>
      </c>
      <c r="P922" s="209">
        <f t="shared" si="156"/>
        <v>0</v>
      </c>
      <c r="Q922" s="209">
        <f>+SUMIF('A DEPOSITAR'!$D$2:$D$998,(O922-2),'A DEPOSITAR'!$H$2:$H$998)</f>
        <v>0</v>
      </c>
      <c r="R922" s="210">
        <f t="shared" si="157"/>
        <v>0</v>
      </c>
      <c r="S922" s="210">
        <f t="shared" si="159"/>
        <v>3761986.4200000009</v>
      </c>
      <c r="T922" s="209">
        <f t="shared" si="158"/>
        <v>0</v>
      </c>
      <c r="U922" s="209">
        <f>+SUMIFS('A DEPOSITAR'!$H$2:$H$998,'A DEPOSITAR'!$D$2:$D$998,(O922-2),'A DEPOSITAR'!$I$2:$I$998,"A Depositar")</f>
        <v>0</v>
      </c>
      <c r="V922" s="6"/>
      <c r="W922" s="6"/>
      <c r="X922" s="6"/>
      <c r="Y922" s="6"/>
      <c r="Z922" s="6"/>
    </row>
    <row r="923" spans="1:26" ht="12.75" x14ac:dyDescent="0.2">
      <c r="A923" s="36">
        <v>46081</v>
      </c>
      <c r="B923" s="29" t="s">
        <v>201</v>
      </c>
      <c r="C923" s="29" t="s">
        <v>977</v>
      </c>
      <c r="D923" s="37">
        <v>25053.27</v>
      </c>
      <c r="E923" s="29" t="s">
        <v>136</v>
      </c>
      <c r="F923" s="34">
        <v>44376</v>
      </c>
      <c r="G923" s="18"/>
      <c r="H923" s="16">
        <f t="shared" si="160"/>
        <v>28</v>
      </c>
      <c r="I923" s="16">
        <f t="shared" si="161"/>
        <v>2</v>
      </c>
      <c r="J923" s="122">
        <f t="shared" si="162"/>
        <v>2026</v>
      </c>
      <c r="K923" s="64">
        <f t="shared" si="155"/>
        <v>46141</v>
      </c>
      <c r="L923" s="6"/>
      <c r="M923" s="6"/>
      <c r="O923" s="208">
        <v>44568</v>
      </c>
      <c r="P923" s="209">
        <f t="shared" si="156"/>
        <v>0</v>
      </c>
      <c r="Q923" s="209">
        <f>+SUMIF('A DEPOSITAR'!$D$2:$D$998,(O923-2),'A DEPOSITAR'!$H$2:$H$998)</f>
        <v>0</v>
      </c>
      <c r="R923" s="210">
        <f t="shared" si="157"/>
        <v>0</v>
      </c>
      <c r="S923" s="210">
        <f t="shared" si="159"/>
        <v>3761986.4200000009</v>
      </c>
      <c r="T923" s="209">
        <f t="shared" si="158"/>
        <v>0</v>
      </c>
      <c r="U923" s="209">
        <f>+SUMIFS('A DEPOSITAR'!$H$2:$H$998,'A DEPOSITAR'!$D$2:$D$998,(O923-2),'A DEPOSITAR'!$I$2:$I$998,"A Depositar")</f>
        <v>0</v>
      </c>
      <c r="V923" s="6"/>
      <c r="W923" s="6"/>
      <c r="X923" s="6"/>
      <c r="Y923" s="6"/>
      <c r="Z923" s="6"/>
    </row>
    <row r="924" spans="1:26" ht="12.75" x14ac:dyDescent="0.2">
      <c r="A924" s="36">
        <v>46109</v>
      </c>
      <c r="B924" s="29" t="s">
        <v>201</v>
      </c>
      <c r="C924" s="29" t="s">
        <v>978</v>
      </c>
      <c r="D924" s="37">
        <v>24267.88</v>
      </c>
      <c r="E924" s="29" t="s">
        <v>136</v>
      </c>
      <c r="F924" s="34">
        <v>44376</v>
      </c>
      <c r="G924" s="18"/>
      <c r="H924" s="16">
        <f t="shared" si="160"/>
        <v>28</v>
      </c>
      <c r="I924" s="16">
        <f t="shared" si="161"/>
        <v>3</v>
      </c>
      <c r="J924" s="122">
        <f t="shared" si="162"/>
        <v>2026</v>
      </c>
      <c r="K924" s="64">
        <f t="shared" si="155"/>
        <v>46169</v>
      </c>
      <c r="L924" s="6"/>
      <c r="M924" s="6"/>
      <c r="O924" s="208">
        <v>44569</v>
      </c>
      <c r="P924" s="209">
        <f t="shared" si="156"/>
        <v>0</v>
      </c>
      <c r="Q924" s="209">
        <f>+SUMIF('A DEPOSITAR'!$D$2:$D$998,(O924-2),'A DEPOSITAR'!$H$2:$H$998)</f>
        <v>0</v>
      </c>
      <c r="R924" s="210">
        <f t="shared" si="157"/>
        <v>0</v>
      </c>
      <c r="S924" s="210">
        <f t="shared" si="159"/>
        <v>3761986.4200000009</v>
      </c>
      <c r="T924" s="209">
        <f t="shared" si="158"/>
        <v>0</v>
      </c>
      <c r="U924" s="209">
        <f>+SUMIFS('A DEPOSITAR'!$H$2:$H$998,'A DEPOSITAR'!$D$2:$D$998,(O924-2),'A DEPOSITAR'!$I$2:$I$998,"A Depositar")</f>
        <v>0</v>
      </c>
      <c r="V924" s="6"/>
      <c r="W924" s="6"/>
      <c r="X924" s="6"/>
      <c r="Y924" s="6"/>
      <c r="Z924" s="6"/>
    </row>
    <row r="925" spans="1:26" ht="12.75" x14ac:dyDescent="0.2">
      <c r="A925" s="36">
        <v>46140</v>
      </c>
      <c r="B925" s="29" t="s">
        <v>201</v>
      </c>
      <c r="C925" s="29" t="s">
        <v>979</v>
      </c>
      <c r="D925" s="37">
        <v>23920.85</v>
      </c>
      <c r="E925" s="29" t="s">
        <v>136</v>
      </c>
      <c r="F925" s="34">
        <v>44376</v>
      </c>
      <c r="G925" s="18"/>
      <c r="H925" s="16">
        <f t="shared" si="160"/>
        <v>28</v>
      </c>
      <c r="I925" s="16">
        <f t="shared" si="161"/>
        <v>4</v>
      </c>
      <c r="J925" s="122">
        <f t="shared" si="162"/>
        <v>2026</v>
      </c>
      <c r="K925" s="64">
        <f t="shared" si="155"/>
        <v>46200</v>
      </c>
      <c r="L925" s="6"/>
      <c r="M925" s="6"/>
      <c r="O925" s="208">
        <v>44570</v>
      </c>
      <c r="P925" s="209">
        <f t="shared" si="156"/>
        <v>0</v>
      </c>
      <c r="Q925" s="209">
        <f>+SUMIF('A DEPOSITAR'!$D$2:$D$998,(O925-2),'A DEPOSITAR'!$H$2:$H$998)</f>
        <v>0</v>
      </c>
      <c r="R925" s="210">
        <f t="shared" si="157"/>
        <v>0</v>
      </c>
      <c r="S925" s="210">
        <f t="shared" si="159"/>
        <v>3761986.4200000009</v>
      </c>
      <c r="T925" s="209">
        <f t="shared" si="158"/>
        <v>0</v>
      </c>
      <c r="U925" s="209">
        <f>+SUMIFS('A DEPOSITAR'!$H$2:$H$998,'A DEPOSITAR'!$D$2:$D$998,(O925-2),'A DEPOSITAR'!$I$2:$I$998,"A Depositar")</f>
        <v>0</v>
      </c>
      <c r="V925" s="6"/>
      <c r="W925" s="6"/>
      <c r="X925" s="6"/>
      <c r="Y925" s="6"/>
      <c r="Z925" s="6"/>
    </row>
    <row r="926" spans="1:26" ht="12.75" x14ac:dyDescent="0.2">
      <c r="A926" s="36">
        <v>46170</v>
      </c>
      <c r="B926" s="29" t="s">
        <v>201</v>
      </c>
      <c r="C926" s="29" t="s">
        <v>980</v>
      </c>
      <c r="D926" s="37">
        <v>23318.11</v>
      </c>
      <c r="E926" s="29" t="s">
        <v>136</v>
      </c>
      <c r="F926" s="34">
        <v>44376</v>
      </c>
      <c r="G926" s="18"/>
      <c r="H926" s="16">
        <f t="shared" si="160"/>
        <v>28</v>
      </c>
      <c r="I926" s="16">
        <f t="shared" si="161"/>
        <v>5</v>
      </c>
      <c r="J926" s="122">
        <f t="shared" si="162"/>
        <v>2026</v>
      </c>
      <c r="K926" s="64">
        <f t="shared" si="155"/>
        <v>46230</v>
      </c>
      <c r="L926" s="6"/>
      <c r="M926" s="6"/>
      <c r="O926" s="208">
        <v>44571</v>
      </c>
      <c r="P926" s="209">
        <f t="shared" si="156"/>
        <v>0</v>
      </c>
      <c r="Q926" s="209">
        <f>+SUMIF('A DEPOSITAR'!$D$2:$D$998,(O926-2),'A DEPOSITAR'!$H$2:$H$998)</f>
        <v>0</v>
      </c>
      <c r="R926" s="210">
        <f t="shared" si="157"/>
        <v>0</v>
      </c>
      <c r="S926" s="210">
        <f t="shared" si="159"/>
        <v>3761986.4200000009</v>
      </c>
      <c r="T926" s="209">
        <f t="shared" si="158"/>
        <v>0</v>
      </c>
      <c r="U926" s="209">
        <f>+SUMIFS('A DEPOSITAR'!$H$2:$H$998,'A DEPOSITAR'!$D$2:$D$998,(O926-2),'A DEPOSITAR'!$I$2:$I$998,"A Depositar")</f>
        <v>0</v>
      </c>
      <c r="V926" s="6"/>
      <c r="W926" s="6"/>
      <c r="X926" s="6"/>
      <c r="Y926" s="6"/>
      <c r="Z926" s="6"/>
    </row>
    <row r="927" spans="1:26" ht="12.75" x14ac:dyDescent="0.2">
      <c r="A927" s="36">
        <v>46201</v>
      </c>
      <c r="B927" s="29" t="s">
        <v>201</v>
      </c>
      <c r="C927" s="29" t="s">
        <v>981</v>
      </c>
      <c r="D927" s="37">
        <v>22788.43</v>
      </c>
      <c r="E927" s="29" t="s">
        <v>136</v>
      </c>
      <c r="F927" s="34">
        <v>44376</v>
      </c>
      <c r="G927" s="18"/>
      <c r="H927" s="16">
        <f t="shared" si="160"/>
        <v>28</v>
      </c>
      <c r="I927" s="16">
        <f t="shared" si="161"/>
        <v>6</v>
      </c>
      <c r="J927" s="122">
        <f t="shared" si="162"/>
        <v>2026</v>
      </c>
      <c r="K927" s="64">
        <f t="shared" si="155"/>
        <v>46261</v>
      </c>
      <c r="L927" s="6"/>
      <c r="M927" s="6"/>
      <c r="O927" s="208">
        <v>44572</v>
      </c>
      <c r="P927" s="209">
        <f t="shared" si="156"/>
        <v>0</v>
      </c>
      <c r="Q927" s="209">
        <f>+SUMIF('A DEPOSITAR'!$D$2:$D$998,(O927-2),'A DEPOSITAR'!$H$2:$H$998)</f>
        <v>0</v>
      </c>
      <c r="R927" s="210">
        <f t="shared" si="157"/>
        <v>0</v>
      </c>
      <c r="S927" s="210">
        <f t="shared" si="159"/>
        <v>3761986.4200000009</v>
      </c>
      <c r="T927" s="209">
        <f t="shared" si="158"/>
        <v>0</v>
      </c>
      <c r="U927" s="209">
        <f>+SUMIFS('A DEPOSITAR'!$H$2:$H$998,'A DEPOSITAR'!$D$2:$D$998,(O927-2),'A DEPOSITAR'!$I$2:$I$998,"A Depositar")</f>
        <v>0</v>
      </c>
      <c r="V927" s="6"/>
      <c r="W927" s="6"/>
      <c r="X927" s="6"/>
      <c r="Y927" s="6"/>
      <c r="Z927" s="6"/>
    </row>
    <row r="928" spans="1:26" ht="12.75" x14ac:dyDescent="0.2">
      <c r="A928" s="36">
        <v>44416</v>
      </c>
      <c r="B928" s="29" t="s">
        <v>1232</v>
      </c>
      <c r="C928" s="29">
        <v>87608926</v>
      </c>
      <c r="D928" s="37">
        <v>6023</v>
      </c>
      <c r="E928" s="18" t="s">
        <v>22</v>
      </c>
      <c r="F928" s="7">
        <v>44389</v>
      </c>
      <c r="G928" s="18"/>
      <c r="H928" s="16">
        <f t="shared" si="160"/>
        <v>8</v>
      </c>
      <c r="I928" s="16">
        <f t="shared" si="161"/>
        <v>8</v>
      </c>
      <c r="J928" s="122">
        <f t="shared" si="162"/>
        <v>2021</v>
      </c>
      <c r="K928" s="64">
        <f t="shared" si="155"/>
        <v>44476</v>
      </c>
      <c r="L928" s="6"/>
      <c r="M928" s="6"/>
      <c r="O928" s="208">
        <v>44573</v>
      </c>
      <c r="P928" s="209">
        <f t="shared" si="156"/>
        <v>0</v>
      </c>
      <c r="Q928" s="209">
        <f>+SUMIF('A DEPOSITAR'!$D$2:$D$998,(O928-2),'A DEPOSITAR'!$H$2:$H$998)</f>
        <v>0</v>
      </c>
      <c r="R928" s="210">
        <f t="shared" si="157"/>
        <v>0</v>
      </c>
      <c r="S928" s="210">
        <f t="shared" si="159"/>
        <v>3761986.4200000009</v>
      </c>
      <c r="T928" s="209">
        <f t="shared" si="158"/>
        <v>0</v>
      </c>
      <c r="U928" s="209">
        <f>+SUMIFS('A DEPOSITAR'!$H$2:$H$998,'A DEPOSITAR'!$D$2:$D$998,(O928-2),'A DEPOSITAR'!$I$2:$I$998,"A Depositar")</f>
        <v>0</v>
      </c>
      <c r="V928" s="6"/>
      <c r="W928" s="6"/>
      <c r="X928" s="6"/>
      <c r="Y928" s="6"/>
      <c r="Z928" s="6"/>
    </row>
    <row r="929" spans="1:26" ht="12.75" x14ac:dyDescent="0.2">
      <c r="A929" s="36">
        <v>44447</v>
      </c>
      <c r="B929" s="29" t="s">
        <v>1232</v>
      </c>
      <c r="C929" s="29">
        <v>87608927</v>
      </c>
      <c r="D929" s="37">
        <v>6400</v>
      </c>
      <c r="E929" s="29" t="s">
        <v>22</v>
      </c>
      <c r="F929" s="7">
        <v>44389</v>
      </c>
      <c r="G929" s="18"/>
      <c r="H929" s="16">
        <f t="shared" si="160"/>
        <v>8</v>
      </c>
      <c r="I929" s="16">
        <f t="shared" si="161"/>
        <v>9</v>
      </c>
      <c r="J929" s="122">
        <f t="shared" si="162"/>
        <v>2021</v>
      </c>
      <c r="K929" s="64">
        <f t="shared" si="155"/>
        <v>44507</v>
      </c>
      <c r="L929" s="6"/>
      <c r="M929" s="6"/>
      <c r="O929" s="208">
        <v>44574</v>
      </c>
      <c r="P929" s="209">
        <f t="shared" si="156"/>
        <v>0</v>
      </c>
      <c r="Q929" s="209">
        <f>+SUMIF('A DEPOSITAR'!$D$2:$D$998,(O929-2),'A DEPOSITAR'!$H$2:$H$998)</f>
        <v>0</v>
      </c>
      <c r="R929" s="210">
        <f t="shared" si="157"/>
        <v>0</v>
      </c>
      <c r="S929" s="210">
        <f t="shared" si="159"/>
        <v>3761986.4200000009</v>
      </c>
      <c r="T929" s="209">
        <f t="shared" si="158"/>
        <v>0</v>
      </c>
      <c r="U929" s="209">
        <f>+SUMIFS('A DEPOSITAR'!$H$2:$H$998,'A DEPOSITAR'!$D$2:$D$998,(O929-2),'A DEPOSITAR'!$I$2:$I$998,"A Depositar")</f>
        <v>0</v>
      </c>
      <c r="V929" s="6"/>
      <c r="W929" s="6"/>
      <c r="X929" s="6"/>
      <c r="Y929" s="6"/>
      <c r="Z929" s="6"/>
    </row>
    <row r="930" spans="1:26" ht="12.75" x14ac:dyDescent="0.2">
      <c r="A930" s="36">
        <v>44455</v>
      </c>
      <c r="B930" s="29" t="s">
        <v>323</v>
      </c>
      <c r="C930" s="29">
        <v>87608928</v>
      </c>
      <c r="D930" s="37">
        <v>20000</v>
      </c>
      <c r="E930" s="29" t="s">
        <v>22</v>
      </c>
      <c r="F930" s="7">
        <v>44392</v>
      </c>
      <c r="G930" s="18"/>
      <c r="H930" s="16">
        <f t="shared" si="160"/>
        <v>16</v>
      </c>
      <c r="I930" s="16">
        <f t="shared" si="161"/>
        <v>9</v>
      </c>
      <c r="J930" s="122">
        <f t="shared" si="162"/>
        <v>2021</v>
      </c>
      <c r="K930" s="64">
        <f t="shared" si="155"/>
        <v>44515</v>
      </c>
      <c r="L930" s="6"/>
      <c r="M930" s="6"/>
      <c r="O930" s="208">
        <v>44575</v>
      </c>
      <c r="P930" s="209">
        <f t="shared" si="156"/>
        <v>0</v>
      </c>
      <c r="Q930" s="209">
        <f>+SUMIF('A DEPOSITAR'!$D$2:$D$998,(O930-2),'A DEPOSITAR'!$H$2:$H$998)</f>
        <v>0</v>
      </c>
      <c r="R930" s="210">
        <f t="shared" si="157"/>
        <v>0</v>
      </c>
      <c r="S930" s="210">
        <f t="shared" si="159"/>
        <v>3761986.4200000009</v>
      </c>
      <c r="T930" s="209">
        <f t="shared" si="158"/>
        <v>0</v>
      </c>
      <c r="U930" s="209">
        <f>+SUMIFS('A DEPOSITAR'!$H$2:$H$998,'A DEPOSITAR'!$D$2:$D$998,(O930-2),'A DEPOSITAR'!$I$2:$I$998,"A Depositar")</f>
        <v>0</v>
      </c>
      <c r="V930" s="6"/>
      <c r="W930" s="6"/>
      <c r="X930" s="6"/>
      <c r="Y930" s="6"/>
      <c r="Z930" s="6"/>
    </row>
    <row r="931" spans="1:26" ht="12.75" x14ac:dyDescent="0.2">
      <c r="A931" s="36">
        <v>44485</v>
      </c>
      <c r="B931" s="29" t="s">
        <v>323</v>
      </c>
      <c r="C931" s="29">
        <v>87608929</v>
      </c>
      <c r="D931" s="37">
        <v>20000</v>
      </c>
      <c r="E931" s="29" t="s">
        <v>22</v>
      </c>
      <c r="F931" s="7">
        <v>44392</v>
      </c>
      <c r="G931" s="18"/>
      <c r="H931" s="16">
        <f t="shared" si="160"/>
        <v>16</v>
      </c>
      <c r="I931" s="16">
        <f t="shared" si="161"/>
        <v>10</v>
      </c>
      <c r="J931" s="122">
        <f t="shared" si="162"/>
        <v>2021</v>
      </c>
      <c r="K931" s="64">
        <f t="shared" si="155"/>
        <v>44545</v>
      </c>
      <c r="L931" s="6"/>
      <c r="M931" s="6"/>
      <c r="O931" s="208">
        <v>44576</v>
      </c>
      <c r="P931" s="209">
        <f t="shared" si="156"/>
        <v>0</v>
      </c>
      <c r="Q931" s="209">
        <f>+SUMIF('A DEPOSITAR'!$D$2:$D$998,(O931-2),'A DEPOSITAR'!$H$2:$H$998)</f>
        <v>0</v>
      </c>
      <c r="R931" s="210">
        <f t="shared" si="157"/>
        <v>0</v>
      </c>
      <c r="S931" s="210">
        <f t="shared" si="159"/>
        <v>3761986.4200000009</v>
      </c>
      <c r="T931" s="209">
        <f t="shared" si="158"/>
        <v>0</v>
      </c>
      <c r="U931" s="209">
        <f>+SUMIFS('A DEPOSITAR'!$H$2:$H$998,'A DEPOSITAR'!$D$2:$D$998,(O931-2),'A DEPOSITAR'!$I$2:$I$998,"A Depositar")</f>
        <v>0</v>
      </c>
      <c r="V931" s="6"/>
      <c r="W931" s="6"/>
      <c r="X931" s="6"/>
      <c r="Y931" s="6"/>
      <c r="Z931" s="6"/>
    </row>
    <row r="932" spans="1:26" ht="12.75" x14ac:dyDescent="0.2">
      <c r="A932" s="36">
        <v>44516</v>
      </c>
      <c r="B932" s="29" t="s">
        <v>323</v>
      </c>
      <c r="C932" s="29">
        <v>87608930</v>
      </c>
      <c r="D932" s="37">
        <v>20000</v>
      </c>
      <c r="E932" s="29" t="s">
        <v>136</v>
      </c>
      <c r="F932" s="7">
        <v>44392</v>
      </c>
      <c r="G932" s="18"/>
      <c r="H932" s="16">
        <f t="shared" si="160"/>
        <v>16</v>
      </c>
      <c r="I932" s="16">
        <f t="shared" si="161"/>
        <v>11</v>
      </c>
      <c r="J932" s="122">
        <f t="shared" si="162"/>
        <v>2021</v>
      </c>
      <c r="K932" s="64">
        <f t="shared" si="155"/>
        <v>44576</v>
      </c>
      <c r="L932" s="6"/>
      <c r="M932" s="6"/>
      <c r="O932" s="208">
        <v>44577</v>
      </c>
      <c r="P932" s="209">
        <f t="shared" si="156"/>
        <v>3986.8999999999996</v>
      </c>
      <c r="Q932" s="209">
        <f>+SUMIF('A DEPOSITAR'!$D$2:$D$998,(O932-2),'A DEPOSITAR'!$H$2:$H$998)</f>
        <v>0</v>
      </c>
      <c r="R932" s="210">
        <f t="shared" si="157"/>
        <v>-3986.8999999999996</v>
      </c>
      <c r="S932" s="210">
        <f t="shared" si="159"/>
        <v>3757999.5200000009</v>
      </c>
      <c r="T932" s="209">
        <f t="shared" si="158"/>
        <v>3986.8999999999996</v>
      </c>
      <c r="U932" s="209">
        <f>+SUMIFS('A DEPOSITAR'!$H$2:$H$998,'A DEPOSITAR'!$D$2:$D$998,(O932-2),'A DEPOSITAR'!$I$2:$I$998,"A Depositar")</f>
        <v>0</v>
      </c>
      <c r="V932" s="6"/>
      <c r="W932" s="6"/>
      <c r="X932" s="6"/>
      <c r="Y932" s="6"/>
      <c r="Z932" s="6"/>
    </row>
    <row r="933" spans="1:26" ht="12.75" x14ac:dyDescent="0.2">
      <c r="A933" s="36">
        <v>44424</v>
      </c>
      <c r="B933" s="29" t="s">
        <v>1174</v>
      </c>
      <c r="C933" s="29">
        <v>87608931</v>
      </c>
      <c r="D933" s="37">
        <v>3900</v>
      </c>
      <c r="E933" s="29" t="s">
        <v>22</v>
      </c>
      <c r="F933" s="34">
        <v>44392</v>
      </c>
      <c r="G933" s="18"/>
      <c r="H933" s="16">
        <f t="shared" si="160"/>
        <v>16</v>
      </c>
      <c r="I933" s="16">
        <f t="shared" si="161"/>
        <v>8</v>
      </c>
      <c r="J933" s="122">
        <f t="shared" si="162"/>
        <v>2021</v>
      </c>
      <c r="K933" s="64">
        <f t="shared" si="155"/>
        <v>44484</v>
      </c>
      <c r="L933" s="6"/>
      <c r="M933" s="6"/>
      <c r="O933" s="208">
        <v>44578</v>
      </c>
      <c r="P933" s="209">
        <f t="shared" si="156"/>
        <v>0</v>
      </c>
      <c r="Q933" s="209">
        <f>+SUMIF('A DEPOSITAR'!$D$2:$D$998,(O933-2),'A DEPOSITAR'!$H$2:$H$998)</f>
        <v>0</v>
      </c>
      <c r="R933" s="210">
        <f t="shared" si="157"/>
        <v>0</v>
      </c>
      <c r="S933" s="210">
        <f t="shared" si="159"/>
        <v>3757999.5200000009</v>
      </c>
      <c r="T933" s="209">
        <f t="shared" si="158"/>
        <v>0</v>
      </c>
      <c r="U933" s="209">
        <f>+SUMIFS('A DEPOSITAR'!$H$2:$H$998,'A DEPOSITAR'!$D$2:$D$998,(O933-2),'A DEPOSITAR'!$I$2:$I$998,"A Depositar")</f>
        <v>0</v>
      </c>
      <c r="V933" s="6"/>
      <c r="W933" s="6"/>
      <c r="X933" s="6"/>
      <c r="Y933" s="6"/>
      <c r="Z933" s="6"/>
    </row>
    <row r="934" spans="1:26" ht="12.75" x14ac:dyDescent="0.2">
      <c r="A934" s="36">
        <v>44454</v>
      </c>
      <c r="B934" s="29" t="s">
        <v>212</v>
      </c>
      <c r="C934" s="29">
        <v>87608932</v>
      </c>
      <c r="D934" s="37">
        <v>2700</v>
      </c>
      <c r="E934" s="29" t="s">
        <v>327</v>
      </c>
      <c r="F934" s="34">
        <v>44392</v>
      </c>
      <c r="G934" s="18"/>
      <c r="H934" s="16">
        <f t="shared" si="160"/>
        <v>15</v>
      </c>
      <c r="I934" s="16">
        <f t="shared" si="161"/>
        <v>9</v>
      </c>
      <c r="J934" s="122">
        <f t="shared" si="162"/>
        <v>2021</v>
      </c>
      <c r="K934" s="64">
        <f t="shared" si="155"/>
        <v>44514</v>
      </c>
      <c r="L934" s="6"/>
      <c r="M934" s="6"/>
      <c r="O934" s="208">
        <v>44579</v>
      </c>
      <c r="P934" s="209">
        <f t="shared" si="156"/>
        <v>0</v>
      </c>
      <c r="Q934" s="209">
        <f>+SUMIF('A DEPOSITAR'!$D$2:$D$998,(O934-2),'A DEPOSITAR'!$H$2:$H$998)</f>
        <v>0</v>
      </c>
      <c r="R934" s="210">
        <f t="shared" si="157"/>
        <v>0</v>
      </c>
      <c r="S934" s="210">
        <f t="shared" si="159"/>
        <v>3757999.5200000009</v>
      </c>
      <c r="T934" s="209">
        <f t="shared" si="158"/>
        <v>0</v>
      </c>
      <c r="U934" s="209">
        <f>+SUMIFS('A DEPOSITAR'!$H$2:$H$998,'A DEPOSITAR'!$D$2:$D$998,(O934-2),'A DEPOSITAR'!$I$2:$I$998,"A Depositar")</f>
        <v>0</v>
      </c>
      <c r="V934" s="6"/>
      <c r="W934" s="6"/>
      <c r="X934" s="6"/>
      <c r="Y934" s="6"/>
      <c r="Z934" s="6"/>
    </row>
    <row r="935" spans="1:26" ht="12.75" x14ac:dyDescent="0.2">
      <c r="A935" s="36">
        <v>44430</v>
      </c>
      <c r="B935" s="29" t="s">
        <v>1174</v>
      </c>
      <c r="C935" s="29">
        <v>87608933</v>
      </c>
      <c r="D935" s="37">
        <v>6701</v>
      </c>
      <c r="E935" s="29" t="s">
        <v>22</v>
      </c>
      <c r="F935" s="34">
        <v>44392</v>
      </c>
      <c r="G935" s="18"/>
      <c r="H935" s="16">
        <f t="shared" si="160"/>
        <v>22</v>
      </c>
      <c r="I935" s="16">
        <f t="shared" si="161"/>
        <v>8</v>
      </c>
      <c r="J935" s="122">
        <f t="shared" si="162"/>
        <v>2021</v>
      </c>
      <c r="K935" s="64">
        <f t="shared" si="155"/>
        <v>44490</v>
      </c>
      <c r="L935" s="6"/>
      <c r="M935" s="6"/>
      <c r="O935" s="208">
        <v>44580</v>
      </c>
      <c r="P935" s="209">
        <f t="shared" si="156"/>
        <v>0</v>
      </c>
      <c r="Q935" s="209">
        <f>+SUMIF('A DEPOSITAR'!$D$2:$D$998,(O935-2),'A DEPOSITAR'!$H$2:$H$998)</f>
        <v>0</v>
      </c>
      <c r="R935" s="210">
        <f t="shared" si="157"/>
        <v>0</v>
      </c>
      <c r="S935" s="210">
        <f t="shared" si="159"/>
        <v>3757999.5200000009</v>
      </c>
      <c r="T935" s="209">
        <f t="shared" si="158"/>
        <v>0</v>
      </c>
      <c r="U935" s="209">
        <f>+SUMIFS('A DEPOSITAR'!$H$2:$H$998,'A DEPOSITAR'!$D$2:$D$998,(O935-2),'A DEPOSITAR'!$I$2:$I$998,"A Depositar")</f>
        <v>0</v>
      </c>
      <c r="V935" s="6"/>
      <c r="W935" s="6"/>
      <c r="X935" s="6"/>
      <c r="Y935" s="6"/>
      <c r="Z935" s="6"/>
    </row>
    <row r="936" spans="1:26" ht="12.75" x14ac:dyDescent="0.2">
      <c r="A936" s="36">
        <v>44447</v>
      </c>
      <c r="B936" s="29" t="s">
        <v>1174</v>
      </c>
      <c r="C936" s="29">
        <v>87608934</v>
      </c>
      <c r="D936" s="37">
        <v>7250</v>
      </c>
      <c r="E936" s="29" t="s">
        <v>22</v>
      </c>
      <c r="F936" s="34">
        <v>44392</v>
      </c>
      <c r="G936" s="18" t="s">
        <v>1233</v>
      </c>
      <c r="H936" s="16">
        <f t="shared" si="160"/>
        <v>8</v>
      </c>
      <c r="I936" s="16">
        <f t="shared" si="161"/>
        <v>9</v>
      </c>
      <c r="J936" s="122">
        <f t="shared" si="162"/>
        <v>2021</v>
      </c>
      <c r="K936" s="64">
        <f t="shared" si="155"/>
        <v>44507</v>
      </c>
      <c r="L936" s="6"/>
      <c r="M936" s="6"/>
      <c r="O936" s="208">
        <v>44581</v>
      </c>
      <c r="P936" s="209">
        <f t="shared" si="156"/>
        <v>0</v>
      </c>
      <c r="Q936" s="209">
        <f>+SUMIF('A DEPOSITAR'!$D$2:$D$998,(O936-2),'A DEPOSITAR'!$H$2:$H$998)</f>
        <v>0</v>
      </c>
      <c r="R936" s="210">
        <f t="shared" si="157"/>
        <v>0</v>
      </c>
      <c r="S936" s="210">
        <f t="shared" si="159"/>
        <v>3757999.5200000009</v>
      </c>
      <c r="T936" s="209">
        <f t="shared" si="158"/>
        <v>0</v>
      </c>
      <c r="U936" s="209">
        <f>+SUMIFS('A DEPOSITAR'!$H$2:$H$998,'A DEPOSITAR'!$D$2:$D$998,(O936-2),'A DEPOSITAR'!$I$2:$I$998,"A Depositar")</f>
        <v>0</v>
      </c>
      <c r="V936" s="6"/>
      <c r="W936" s="6"/>
      <c r="X936" s="6"/>
      <c r="Y936" s="6"/>
      <c r="Z936" s="6"/>
    </row>
    <row r="937" spans="1:26" ht="12.75" x14ac:dyDescent="0.2">
      <c r="A937" s="36">
        <v>44438</v>
      </c>
      <c r="B937" s="29" t="s">
        <v>139</v>
      </c>
      <c r="C937" s="29">
        <v>87608935</v>
      </c>
      <c r="D937" s="37">
        <v>22700</v>
      </c>
      <c r="E937" s="18" t="s">
        <v>22</v>
      </c>
      <c r="F937" s="7">
        <v>44405</v>
      </c>
      <c r="G937" s="18"/>
      <c r="H937" s="16">
        <f t="shared" si="160"/>
        <v>30</v>
      </c>
      <c r="I937" s="16">
        <f t="shared" si="161"/>
        <v>8</v>
      </c>
      <c r="J937" s="122">
        <f t="shared" si="162"/>
        <v>2021</v>
      </c>
      <c r="K937" s="64">
        <f t="shared" si="155"/>
        <v>44498</v>
      </c>
      <c r="L937" s="6"/>
      <c r="M937" s="6"/>
      <c r="O937" s="208">
        <v>44582</v>
      </c>
      <c r="P937" s="209">
        <f t="shared" si="156"/>
        <v>0</v>
      </c>
      <c r="Q937" s="209">
        <f>+SUMIF('A DEPOSITAR'!$D$2:$D$998,(O937-2),'A DEPOSITAR'!$H$2:$H$998)</f>
        <v>0</v>
      </c>
      <c r="R937" s="210">
        <f t="shared" si="157"/>
        <v>0</v>
      </c>
      <c r="S937" s="210">
        <f t="shared" si="159"/>
        <v>3757999.5200000009</v>
      </c>
      <c r="T937" s="209">
        <f t="shared" si="158"/>
        <v>0</v>
      </c>
      <c r="U937" s="209">
        <f>+SUMIFS('A DEPOSITAR'!$H$2:$H$998,'A DEPOSITAR'!$D$2:$D$998,(O937-2),'A DEPOSITAR'!$I$2:$I$998,"A Depositar")</f>
        <v>0</v>
      </c>
      <c r="V937" s="6"/>
      <c r="W937" s="6"/>
      <c r="X937" s="6"/>
      <c r="Y937" s="6"/>
      <c r="Z937" s="6"/>
    </row>
    <row r="938" spans="1:26" ht="12.75" x14ac:dyDescent="0.2">
      <c r="A938" s="36">
        <v>44447</v>
      </c>
      <c r="B938" s="29" t="s">
        <v>139</v>
      </c>
      <c r="C938" s="29">
        <v>87608936</v>
      </c>
      <c r="D938" s="37">
        <v>23900</v>
      </c>
      <c r="E938" s="18" t="s">
        <v>22</v>
      </c>
      <c r="F938" s="7">
        <v>44405</v>
      </c>
      <c r="G938" s="18"/>
      <c r="H938" s="16">
        <f t="shared" si="160"/>
        <v>8</v>
      </c>
      <c r="I938" s="16">
        <f t="shared" si="161"/>
        <v>9</v>
      </c>
      <c r="J938" s="122">
        <f t="shared" si="162"/>
        <v>2021</v>
      </c>
      <c r="K938" s="64">
        <f t="shared" si="155"/>
        <v>44507</v>
      </c>
      <c r="L938" s="6"/>
      <c r="M938" s="6"/>
      <c r="O938" s="208">
        <v>44583</v>
      </c>
      <c r="P938" s="209">
        <f t="shared" si="156"/>
        <v>0</v>
      </c>
      <c r="Q938" s="209">
        <f>+SUMIF('A DEPOSITAR'!$D$2:$D$998,(O938-2),'A DEPOSITAR'!$H$2:$H$998)</f>
        <v>0</v>
      </c>
      <c r="R938" s="210">
        <f t="shared" si="157"/>
        <v>0</v>
      </c>
      <c r="S938" s="210">
        <f t="shared" si="159"/>
        <v>3757999.5200000009</v>
      </c>
      <c r="T938" s="209">
        <f t="shared" si="158"/>
        <v>0</v>
      </c>
      <c r="U938" s="209">
        <f>+SUMIFS('A DEPOSITAR'!$H$2:$H$998,'A DEPOSITAR'!$D$2:$D$998,(O938-2),'A DEPOSITAR'!$I$2:$I$998,"A Depositar")</f>
        <v>0</v>
      </c>
      <c r="V938" s="6"/>
      <c r="W938" s="6"/>
      <c r="X938" s="6"/>
      <c r="Y938" s="6"/>
      <c r="Z938" s="6"/>
    </row>
    <row r="939" spans="1:26" ht="12.75" x14ac:dyDescent="0.2">
      <c r="A939" s="36">
        <v>44455</v>
      </c>
      <c r="B939" s="29" t="s">
        <v>139</v>
      </c>
      <c r="C939" s="29">
        <v>87608937</v>
      </c>
      <c r="D939" s="37">
        <v>24627.81</v>
      </c>
      <c r="E939" s="18" t="s">
        <v>22</v>
      </c>
      <c r="F939" s="7">
        <v>44405</v>
      </c>
      <c r="G939" s="18"/>
      <c r="H939" s="16">
        <f t="shared" si="160"/>
        <v>16</v>
      </c>
      <c r="I939" s="16">
        <f t="shared" si="161"/>
        <v>9</v>
      </c>
      <c r="J939" s="122">
        <f t="shared" si="162"/>
        <v>2021</v>
      </c>
      <c r="K939" s="64">
        <f t="shared" si="155"/>
        <v>44515</v>
      </c>
      <c r="L939" s="6"/>
      <c r="M939" s="6"/>
      <c r="O939" s="208">
        <v>44584</v>
      </c>
      <c r="P939" s="209">
        <f t="shared" si="156"/>
        <v>0</v>
      </c>
      <c r="Q939" s="209">
        <f>+SUMIF('A DEPOSITAR'!$D$2:$D$998,(O939-2),'A DEPOSITAR'!$H$2:$H$998)</f>
        <v>0</v>
      </c>
      <c r="R939" s="210">
        <f t="shared" si="157"/>
        <v>0</v>
      </c>
      <c r="S939" s="210">
        <f t="shared" si="159"/>
        <v>3757999.5200000009</v>
      </c>
      <c r="T939" s="209">
        <f t="shared" si="158"/>
        <v>0</v>
      </c>
      <c r="U939" s="209">
        <f>+SUMIFS('A DEPOSITAR'!$H$2:$H$998,'A DEPOSITAR'!$D$2:$D$998,(O939-2),'A DEPOSITAR'!$I$2:$I$998,"A Depositar")</f>
        <v>0</v>
      </c>
      <c r="V939" s="6"/>
      <c r="W939" s="6"/>
      <c r="X939" s="6"/>
      <c r="Y939" s="6"/>
      <c r="Z939" s="6"/>
    </row>
    <row r="940" spans="1:26" ht="12.75" x14ac:dyDescent="0.2">
      <c r="A940" s="36">
        <v>44461</v>
      </c>
      <c r="B940" s="29" t="s">
        <v>139</v>
      </c>
      <c r="C940" s="29">
        <v>87608938</v>
      </c>
      <c r="D940" s="37">
        <v>25800</v>
      </c>
      <c r="E940" s="18" t="s">
        <v>22</v>
      </c>
      <c r="F940" s="34">
        <v>44405</v>
      </c>
      <c r="G940" s="18"/>
      <c r="H940" s="16">
        <f t="shared" si="160"/>
        <v>22</v>
      </c>
      <c r="I940" s="16">
        <f t="shared" si="161"/>
        <v>9</v>
      </c>
      <c r="J940" s="122">
        <f t="shared" si="162"/>
        <v>2021</v>
      </c>
      <c r="K940" s="64">
        <f t="shared" si="155"/>
        <v>44521</v>
      </c>
      <c r="L940" s="6"/>
      <c r="M940" s="6"/>
      <c r="O940" s="208">
        <v>44585</v>
      </c>
      <c r="P940" s="209">
        <f t="shared" si="156"/>
        <v>0</v>
      </c>
      <c r="Q940" s="209">
        <f>+SUMIF('A DEPOSITAR'!$D$2:$D$998,(O940-2),'A DEPOSITAR'!$H$2:$H$998)</f>
        <v>0</v>
      </c>
      <c r="R940" s="210">
        <f t="shared" si="157"/>
        <v>0</v>
      </c>
      <c r="S940" s="210">
        <f t="shared" si="159"/>
        <v>3757999.5200000009</v>
      </c>
      <c r="T940" s="209">
        <f t="shared" si="158"/>
        <v>0</v>
      </c>
      <c r="U940" s="209">
        <f>+SUMIFS('A DEPOSITAR'!$H$2:$H$998,'A DEPOSITAR'!$D$2:$D$998,(O940-2),'A DEPOSITAR'!$I$2:$I$998,"A Depositar")</f>
        <v>0</v>
      </c>
      <c r="V940" s="6"/>
      <c r="W940" s="6"/>
      <c r="X940" s="6"/>
      <c r="Y940" s="6"/>
      <c r="Z940" s="6"/>
    </row>
    <row r="941" spans="1:26" ht="12.75" x14ac:dyDescent="0.2">
      <c r="A941" s="36">
        <v>44469</v>
      </c>
      <c r="B941" s="29" t="s">
        <v>139</v>
      </c>
      <c r="C941" s="29">
        <v>87608939</v>
      </c>
      <c r="D941" s="37">
        <v>26900</v>
      </c>
      <c r="E941" s="18" t="s">
        <v>22</v>
      </c>
      <c r="F941" s="34">
        <v>44405</v>
      </c>
      <c r="G941" s="18"/>
      <c r="H941" s="16">
        <f t="shared" si="160"/>
        <v>30</v>
      </c>
      <c r="I941" s="16">
        <f t="shared" si="161"/>
        <v>9</v>
      </c>
      <c r="J941" s="122">
        <f t="shared" si="162"/>
        <v>2021</v>
      </c>
      <c r="K941" s="64">
        <f t="shared" si="155"/>
        <v>44529</v>
      </c>
      <c r="L941" s="6"/>
      <c r="M941" s="6"/>
      <c r="O941" s="208">
        <v>44586</v>
      </c>
      <c r="P941" s="209">
        <f t="shared" si="156"/>
        <v>0</v>
      </c>
      <c r="Q941" s="209">
        <f>+SUMIF('A DEPOSITAR'!$D$2:$D$998,(O941-2),'A DEPOSITAR'!$H$2:$H$998)</f>
        <v>0</v>
      </c>
      <c r="R941" s="210">
        <f t="shared" si="157"/>
        <v>0</v>
      </c>
      <c r="S941" s="210">
        <f t="shared" si="159"/>
        <v>3757999.5200000009</v>
      </c>
      <c r="T941" s="209">
        <f t="shared" si="158"/>
        <v>0</v>
      </c>
      <c r="U941" s="209">
        <f>+SUMIFS('A DEPOSITAR'!$H$2:$H$998,'A DEPOSITAR'!$D$2:$D$998,(O941-2),'A DEPOSITAR'!$I$2:$I$998,"A Depositar")</f>
        <v>0</v>
      </c>
      <c r="V941" s="6"/>
      <c r="W941" s="6"/>
      <c r="X941" s="6"/>
      <c r="Y941" s="6"/>
      <c r="Z941" s="6"/>
    </row>
    <row r="942" spans="1:26" ht="12.75" x14ac:dyDescent="0.2">
      <c r="A942" s="36">
        <v>44477</v>
      </c>
      <c r="B942" s="29" t="s">
        <v>833</v>
      </c>
      <c r="C942" s="29">
        <v>87608940</v>
      </c>
      <c r="D942" s="37">
        <v>18700</v>
      </c>
      <c r="E942" s="29" t="s">
        <v>136</v>
      </c>
      <c r="F942" s="7">
        <v>44410</v>
      </c>
      <c r="G942" s="18"/>
      <c r="H942" s="16">
        <f t="shared" si="160"/>
        <v>8</v>
      </c>
      <c r="I942" s="16">
        <f t="shared" si="161"/>
        <v>10</v>
      </c>
      <c r="J942" s="122">
        <f t="shared" si="162"/>
        <v>2021</v>
      </c>
      <c r="K942" s="64">
        <f t="shared" si="155"/>
        <v>44537</v>
      </c>
      <c r="L942" s="6"/>
      <c r="M942" s="6"/>
      <c r="O942" s="208">
        <v>44587</v>
      </c>
      <c r="P942" s="209">
        <f t="shared" si="156"/>
        <v>0</v>
      </c>
      <c r="Q942" s="209">
        <f>+SUMIF('A DEPOSITAR'!$D$2:$D$998,(O942-2),'A DEPOSITAR'!$H$2:$H$998)</f>
        <v>0</v>
      </c>
      <c r="R942" s="210">
        <f t="shared" si="157"/>
        <v>0</v>
      </c>
      <c r="S942" s="210">
        <f t="shared" si="159"/>
        <v>3757999.5200000009</v>
      </c>
      <c r="T942" s="209">
        <f t="shared" si="158"/>
        <v>0</v>
      </c>
      <c r="U942" s="209">
        <f>+SUMIFS('A DEPOSITAR'!$H$2:$H$998,'A DEPOSITAR'!$D$2:$D$998,(O942-2),'A DEPOSITAR'!$I$2:$I$998,"A Depositar")</f>
        <v>0</v>
      </c>
      <c r="V942" s="6"/>
      <c r="W942" s="6"/>
      <c r="X942" s="6"/>
      <c r="Y942" s="6"/>
      <c r="Z942" s="6"/>
    </row>
    <row r="943" spans="1:26" ht="12.75" x14ac:dyDescent="0.2">
      <c r="A943" s="36">
        <v>44485</v>
      </c>
      <c r="B943" s="29" t="s">
        <v>833</v>
      </c>
      <c r="C943" s="29">
        <v>87608941</v>
      </c>
      <c r="D943" s="37">
        <v>20091</v>
      </c>
      <c r="E943" s="29" t="s">
        <v>136</v>
      </c>
      <c r="F943" s="7">
        <v>44410</v>
      </c>
      <c r="G943" s="18"/>
      <c r="H943" s="16">
        <f t="shared" si="160"/>
        <v>16</v>
      </c>
      <c r="I943" s="16">
        <f t="shared" si="161"/>
        <v>10</v>
      </c>
      <c r="J943" s="122">
        <f t="shared" si="162"/>
        <v>2021</v>
      </c>
      <c r="K943" s="64">
        <f t="shared" si="155"/>
        <v>44545</v>
      </c>
      <c r="L943" s="6"/>
      <c r="M943" s="6"/>
      <c r="O943" s="208">
        <v>44588</v>
      </c>
      <c r="P943" s="209">
        <f t="shared" si="156"/>
        <v>0</v>
      </c>
      <c r="Q943" s="209">
        <f>+SUMIF('A DEPOSITAR'!$D$2:$D$998,(O943-2),'A DEPOSITAR'!$H$2:$H$998)</f>
        <v>0</v>
      </c>
      <c r="R943" s="210">
        <f t="shared" si="157"/>
        <v>0</v>
      </c>
      <c r="S943" s="210">
        <f t="shared" si="159"/>
        <v>3757999.5200000009</v>
      </c>
      <c r="T943" s="209">
        <f t="shared" si="158"/>
        <v>0</v>
      </c>
      <c r="U943" s="209">
        <f>+SUMIFS('A DEPOSITAR'!$H$2:$H$998,'A DEPOSITAR'!$D$2:$D$998,(O943-2),'A DEPOSITAR'!$I$2:$I$998,"A Depositar")</f>
        <v>0</v>
      </c>
      <c r="V943" s="6"/>
      <c r="W943" s="6"/>
      <c r="X943" s="6"/>
      <c r="Y943" s="6"/>
      <c r="Z943" s="6"/>
    </row>
    <row r="944" spans="1:26" ht="12.75" x14ac:dyDescent="0.2">
      <c r="A944" s="36">
        <v>44491</v>
      </c>
      <c r="B944" s="29" t="s">
        <v>833</v>
      </c>
      <c r="C944" s="29">
        <v>87608942</v>
      </c>
      <c r="D944" s="37">
        <v>20300.990000000002</v>
      </c>
      <c r="E944" s="29" t="s">
        <v>136</v>
      </c>
      <c r="F944" s="7">
        <v>44410</v>
      </c>
      <c r="G944" s="18"/>
      <c r="H944" s="16">
        <f t="shared" si="160"/>
        <v>22</v>
      </c>
      <c r="I944" s="16">
        <f t="shared" si="161"/>
        <v>10</v>
      </c>
      <c r="J944" s="122">
        <f t="shared" si="162"/>
        <v>2021</v>
      </c>
      <c r="K944" s="64">
        <f t="shared" si="155"/>
        <v>44551</v>
      </c>
      <c r="L944" s="6"/>
      <c r="M944" s="6"/>
      <c r="O944" s="208">
        <v>44589</v>
      </c>
      <c r="P944" s="209">
        <f t="shared" si="156"/>
        <v>47701.67</v>
      </c>
      <c r="Q944" s="209">
        <f>+SUMIF('A DEPOSITAR'!$D$2:$D$998,(O944-2),'A DEPOSITAR'!$H$2:$H$998)</f>
        <v>0</v>
      </c>
      <c r="R944" s="210">
        <f t="shared" si="157"/>
        <v>-47701.67</v>
      </c>
      <c r="S944" s="210">
        <f t="shared" si="159"/>
        <v>3710297.850000001</v>
      </c>
      <c r="T944" s="209">
        <f t="shared" si="158"/>
        <v>47701.67</v>
      </c>
      <c r="U944" s="209">
        <f>+SUMIFS('A DEPOSITAR'!$H$2:$H$998,'A DEPOSITAR'!$D$2:$D$998,(O944-2),'A DEPOSITAR'!$I$2:$I$998,"A Depositar")</f>
        <v>0</v>
      </c>
      <c r="V944" s="6"/>
      <c r="W944" s="6"/>
      <c r="X944" s="6"/>
      <c r="Y944" s="6"/>
      <c r="Z944" s="6"/>
    </row>
    <row r="945" spans="1:26" ht="12.75" x14ac:dyDescent="0.2">
      <c r="A945" s="36">
        <v>44499</v>
      </c>
      <c r="B945" s="29" t="s">
        <v>833</v>
      </c>
      <c r="C945" s="29">
        <v>87608943</v>
      </c>
      <c r="D945" s="37">
        <v>21000</v>
      </c>
      <c r="E945" s="29" t="s">
        <v>136</v>
      </c>
      <c r="F945" s="7">
        <v>44410</v>
      </c>
      <c r="G945" s="18"/>
      <c r="H945" s="16">
        <f t="shared" si="160"/>
        <v>30</v>
      </c>
      <c r="I945" s="16">
        <f t="shared" si="161"/>
        <v>10</v>
      </c>
      <c r="J945" s="122">
        <f t="shared" si="162"/>
        <v>2021</v>
      </c>
      <c r="K945" s="64">
        <f t="shared" si="155"/>
        <v>44559</v>
      </c>
      <c r="L945" s="6"/>
      <c r="M945" s="6"/>
      <c r="O945" s="208">
        <v>44590</v>
      </c>
      <c r="P945" s="209">
        <f t="shared" si="156"/>
        <v>0</v>
      </c>
      <c r="Q945" s="209">
        <f>+SUMIF('A DEPOSITAR'!$D$2:$D$998,(O945-2),'A DEPOSITAR'!$H$2:$H$998)</f>
        <v>0</v>
      </c>
      <c r="R945" s="210">
        <f t="shared" si="157"/>
        <v>0</v>
      </c>
      <c r="S945" s="210">
        <f t="shared" si="159"/>
        <v>3710297.850000001</v>
      </c>
      <c r="T945" s="209">
        <f t="shared" si="158"/>
        <v>0</v>
      </c>
      <c r="U945" s="209">
        <f>+SUMIFS('A DEPOSITAR'!$H$2:$H$998,'A DEPOSITAR'!$D$2:$D$998,(O945-2),'A DEPOSITAR'!$I$2:$I$998,"A Depositar")</f>
        <v>0</v>
      </c>
      <c r="V945" s="6"/>
      <c r="W945" s="6"/>
      <c r="X945" s="6"/>
      <c r="Y945" s="6"/>
      <c r="Z945" s="6"/>
    </row>
    <row r="946" spans="1:26" ht="12.75" x14ac:dyDescent="0.2">
      <c r="A946" s="36">
        <v>44454</v>
      </c>
      <c r="B946" s="29" t="s">
        <v>212</v>
      </c>
      <c r="C946" s="29">
        <v>87608944</v>
      </c>
      <c r="D946" s="37">
        <v>6000</v>
      </c>
      <c r="E946" s="29" t="s">
        <v>327</v>
      </c>
      <c r="F946" s="7">
        <v>44412</v>
      </c>
      <c r="G946" s="18"/>
      <c r="H946" s="16">
        <f t="shared" si="160"/>
        <v>15</v>
      </c>
      <c r="I946" s="16">
        <f t="shared" si="161"/>
        <v>9</v>
      </c>
      <c r="J946" s="122">
        <f t="shared" si="162"/>
        <v>2021</v>
      </c>
      <c r="K946" s="64">
        <f t="shared" si="155"/>
        <v>44514</v>
      </c>
      <c r="L946" s="6"/>
      <c r="M946" s="6"/>
      <c r="O946" s="208">
        <v>44591</v>
      </c>
      <c r="P946" s="209">
        <f t="shared" si="156"/>
        <v>0</v>
      </c>
      <c r="Q946" s="209">
        <f>+SUMIF('A DEPOSITAR'!$D$2:$D$998,(O946-2),'A DEPOSITAR'!$H$2:$H$998)</f>
        <v>0</v>
      </c>
      <c r="R946" s="210">
        <f t="shared" si="157"/>
        <v>0</v>
      </c>
      <c r="S946" s="210">
        <f t="shared" si="159"/>
        <v>3710297.850000001</v>
      </c>
      <c r="T946" s="209">
        <f t="shared" si="158"/>
        <v>0</v>
      </c>
      <c r="U946" s="209">
        <f>+SUMIFS('A DEPOSITAR'!$H$2:$H$998,'A DEPOSITAR'!$D$2:$D$998,(O946-2),'A DEPOSITAR'!$I$2:$I$998,"A Depositar")</f>
        <v>0</v>
      </c>
      <c r="V946" s="6"/>
      <c r="W946" s="6"/>
      <c r="X946" s="6"/>
      <c r="Y946" s="6"/>
      <c r="Z946" s="6"/>
    </row>
    <row r="947" spans="1:26" ht="12.75" x14ac:dyDescent="0.2">
      <c r="A947" s="36">
        <v>44477</v>
      </c>
      <c r="B947" s="29"/>
      <c r="C947" s="29">
        <v>87608945</v>
      </c>
      <c r="D947" s="37">
        <v>5543.26</v>
      </c>
      <c r="E947" s="29" t="s">
        <v>755</v>
      </c>
      <c r="F947" s="7">
        <v>44412</v>
      </c>
      <c r="G947" s="18"/>
      <c r="H947" s="16">
        <f t="shared" si="160"/>
        <v>8</v>
      </c>
      <c r="I947" s="16">
        <f t="shared" si="161"/>
        <v>10</v>
      </c>
      <c r="J947" s="122">
        <f t="shared" si="162"/>
        <v>2021</v>
      </c>
      <c r="K947" s="64">
        <f t="shared" si="155"/>
        <v>44537</v>
      </c>
      <c r="L947" s="6"/>
      <c r="M947" s="6"/>
      <c r="O947" s="208">
        <v>44592</v>
      </c>
      <c r="P947" s="209">
        <f t="shared" si="156"/>
        <v>0</v>
      </c>
      <c r="Q947" s="209">
        <f>+SUMIF('A DEPOSITAR'!$D$2:$D$998,(O947-2),'A DEPOSITAR'!$H$2:$H$998)</f>
        <v>0</v>
      </c>
      <c r="R947" s="210">
        <f t="shared" si="157"/>
        <v>0</v>
      </c>
      <c r="S947" s="210">
        <f t="shared" si="159"/>
        <v>3710297.850000001</v>
      </c>
      <c r="T947" s="209">
        <f t="shared" si="158"/>
        <v>0</v>
      </c>
      <c r="U947" s="209">
        <f>+SUMIFS('A DEPOSITAR'!$H$2:$H$998,'A DEPOSITAR'!$D$2:$D$998,(O947-2),'A DEPOSITAR'!$I$2:$I$998,"A Depositar")</f>
        <v>0</v>
      </c>
      <c r="V947" s="6"/>
      <c r="W947" s="6"/>
      <c r="X947" s="6"/>
      <c r="Y947" s="6"/>
      <c r="Z947" s="6"/>
    </row>
    <row r="948" spans="1:26" ht="12.75" x14ac:dyDescent="0.2">
      <c r="A948" s="36">
        <v>44469</v>
      </c>
      <c r="B948" s="29" t="s">
        <v>199</v>
      </c>
      <c r="C948" s="29">
        <v>87608946</v>
      </c>
      <c r="D948" s="50">
        <v>5543.2</v>
      </c>
      <c r="E948" s="29" t="s">
        <v>22</v>
      </c>
      <c r="F948" s="34">
        <v>44412</v>
      </c>
      <c r="G948" s="18"/>
      <c r="H948" s="16">
        <f t="shared" si="160"/>
        <v>30</v>
      </c>
      <c r="I948" s="16">
        <f t="shared" si="161"/>
        <v>9</v>
      </c>
      <c r="J948" s="122">
        <f t="shared" si="162"/>
        <v>2021</v>
      </c>
      <c r="K948" s="64">
        <f t="shared" si="155"/>
        <v>44529</v>
      </c>
      <c r="L948" s="6"/>
      <c r="M948" s="6"/>
      <c r="O948" s="208">
        <v>44593</v>
      </c>
      <c r="P948" s="209">
        <f t="shared" si="156"/>
        <v>0</v>
      </c>
      <c r="Q948" s="209">
        <f>+SUMIF('A DEPOSITAR'!$D$2:$D$998,(O948-2),'A DEPOSITAR'!$H$2:$H$998)</f>
        <v>0</v>
      </c>
      <c r="R948" s="210">
        <f t="shared" si="157"/>
        <v>0</v>
      </c>
      <c r="S948" s="210">
        <f t="shared" si="159"/>
        <v>3710297.850000001</v>
      </c>
      <c r="T948" s="209">
        <f t="shared" si="158"/>
        <v>0</v>
      </c>
      <c r="U948" s="209">
        <f>+SUMIFS('A DEPOSITAR'!$H$2:$H$998,'A DEPOSITAR'!$D$2:$D$998,(O948-2),'A DEPOSITAR'!$I$2:$I$998,"A Depositar")</f>
        <v>0</v>
      </c>
      <c r="V948" s="6"/>
      <c r="W948" s="6"/>
      <c r="X948" s="6"/>
      <c r="Y948" s="6"/>
      <c r="Z948" s="6"/>
    </row>
    <row r="949" spans="1:26" ht="12.75" x14ac:dyDescent="0.2">
      <c r="A949" s="36">
        <v>44499</v>
      </c>
      <c r="B949" s="29" t="s">
        <v>323</v>
      </c>
      <c r="C949" s="29">
        <v>87608947</v>
      </c>
      <c r="D949" s="50">
        <v>10000</v>
      </c>
      <c r="E949" s="29" t="s">
        <v>136</v>
      </c>
      <c r="F949" s="34">
        <v>44426</v>
      </c>
      <c r="G949" s="18"/>
      <c r="H949" s="16">
        <f t="shared" si="160"/>
        <v>30</v>
      </c>
      <c r="I949" s="16">
        <f t="shared" si="161"/>
        <v>10</v>
      </c>
      <c r="J949" s="122">
        <f t="shared" si="162"/>
        <v>2021</v>
      </c>
      <c r="K949" s="64">
        <f t="shared" si="155"/>
        <v>44559</v>
      </c>
      <c r="L949" s="6"/>
      <c r="M949" s="6"/>
      <c r="O949" s="208">
        <v>44594</v>
      </c>
      <c r="P949" s="209">
        <f t="shared" si="156"/>
        <v>0</v>
      </c>
      <c r="Q949" s="209">
        <f>+SUMIF('A DEPOSITAR'!$D$2:$D$998,(O949-2),'A DEPOSITAR'!$H$2:$H$998)</f>
        <v>0</v>
      </c>
      <c r="R949" s="210">
        <f t="shared" si="157"/>
        <v>0</v>
      </c>
      <c r="S949" s="210">
        <f t="shared" si="159"/>
        <v>3710297.850000001</v>
      </c>
      <c r="T949" s="209">
        <f t="shared" si="158"/>
        <v>0</v>
      </c>
      <c r="U949" s="209">
        <f>+SUMIFS('A DEPOSITAR'!$H$2:$H$998,'A DEPOSITAR'!$D$2:$D$998,(O949-2),'A DEPOSITAR'!$I$2:$I$998,"A Depositar")</f>
        <v>0</v>
      </c>
      <c r="V949" s="6"/>
      <c r="W949" s="6"/>
      <c r="X949" s="6"/>
      <c r="Y949" s="6"/>
      <c r="Z949" s="6"/>
    </row>
    <row r="950" spans="1:26" ht="12.75" x14ac:dyDescent="0.2">
      <c r="A950" s="36">
        <v>44508</v>
      </c>
      <c r="B950" s="29" t="s">
        <v>323</v>
      </c>
      <c r="C950" s="29">
        <v>87608948</v>
      </c>
      <c r="D950" s="50">
        <v>8000</v>
      </c>
      <c r="E950" s="18" t="s">
        <v>136</v>
      </c>
      <c r="F950" s="34">
        <v>44426</v>
      </c>
      <c r="G950" s="18"/>
      <c r="H950" s="16">
        <f t="shared" si="160"/>
        <v>8</v>
      </c>
      <c r="I950" s="16">
        <f t="shared" si="161"/>
        <v>11</v>
      </c>
      <c r="J950" s="122">
        <f t="shared" si="162"/>
        <v>2021</v>
      </c>
      <c r="K950" s="64">
        <f t="shared" si="155"/>
        <v>44568</v>
      </c>
      <c r="L950" s="6"/>
      <c r="M950" s="6"/>
      <c r="O950" s="208">
        <v>44595</v>
      </c>
      <c r="P950" s="209">
        <f t="shared" si="156"/>
        <v>0</v>
      </c>
      <c r="Q950" s="209">
        <f>+SUMIF('A DEPOSITAR'!$D$2:$D$998,(O950-2),'A DEPOSITAR'!$H$2:$H$998)</f>
        <v>0</v>
      </c>
      <c r="R950" s="210">
        <f t="shared" si="157"/>
        <v>0</v>
      </c>
      <c r="S950" s="210">
        <f t="shared" si="159"/>
        <v>3710297.850000001</v>
      </c>
      <c r="T950" s="209">
        <f t="shared" si="158"/>
        <v>0</v>
      </c>
      <c r="U950" s="209">
        <f>+SUMIFS('A DEPOSITAR'!$H$2:$H$998,'A DEPOSITAR'!$D$2:$D$998,(O950-2),'A DEPOSITAR'!$I$2:$I$998,"A Depositar")</f>
        <v>0</v>
      </c>
      <c r="V950" s="6"/>
      <c r="W950" s="6"/>
      <c r="X950" s="6"/>
      <c r="Y950" s="6"/>
      <c r="Z950" s="6"/>
    </row>
    <row r="951" spans="1:26" ht="12.75" x14ac:dyDescent="0.2">
      <c r="A951" s="36">
        <v>44516</v>
      </c>
      <c r="B951" s="29" t="s">
        <v>323</v>
      </c>
      <c r="C951" s="29">
        <v>87608949</v>
      </c>
      <c r="D951" s="37">
        <v>9000</v>
      </c>
      <c r="E951" s="18" t="s">
        <v>136</v>
      </c>
      <c r="F951" s="34">
        <v>44426</v>
      </c>
      <c r="G951" s="18"/>
      <c r="H951" s="16">
        <f t="shared" si="160"/>
        <v>16</v>
      </c>
      <c r="I951" s="16">
        <f t="shared" si="161"/>
        <v>11</v>
      </c>
      <c r="J951" s="122">
        <f t="shared" si="162"/>
        <v>2021</v>
      </c>
      <c r="K951" s="64">
        <f t="shared" si="155"/>
        <v>44576</v>
      </c>
      <c r="L951" s="6"/>
      <c r="M951" s="6"/>
      <c r="O951" s="208">
        <v>44596</v>
      </c>
      <c r="P951" s="209">
        <f t="shared" si="156"/>
        <v>0</v>
      </c>
      <c r="Q951" s="209">
        <f>+SUMIF('A DEPOSITAR'!$D$2:$D$998,(O951-2),'A DEPOSITAR'!$H$2:$H$998)</f>
        <v>0</v>
      </c>
      <c r="R951" s="210">
        <f t="shared" si="157"/>
        <v>0</v>
      </c>
      <c r="S951" s="210">
        <f t="shared" si="159"/>
        <v>3710297.850000001</v>
      </c>
      <c r="T951" s="209">
        <f t="shared" si="158"/>
        <v>0</v>
      </c>
      <c r="U951" s="209">
        <f>+SUMIFS('A DEPOSITAR'!$H$2:$H$998,'A DEPOSITAR'!$D$2:$D$998,(O951-2),'A DEPOSITAR'!$I$2:$I$998,"A Depositar")</f>
        <v>0</v>
      </c>
      <c r="V951" s="6"/>
      <c r="W951" s="6"/>
      <c r="X951" s="6"/>
      <c r="Y951" s="6"/>
      <c r="Z951" s="6"/>
    </row>
    <row r="952" spans="1:26" ht="12.75" x14ac:dyDescent="0.2">
      <c r="A952" s="36">
        <v>44522</v>
      </c>
      <c r="B952" s="29" t="s">
        <v>323</v>
      </c>
      <c r="C952" s="29">
        <v>87608950</v>
      </c>
      <c r="D952" s="37">
        <v>10000</v>
      </c>
      <c r="E952" s="18" t="s">
        <v>136</v>
      </c>
      <c r="F952" s="34">
        <v>44426</v>
      </c>
      <c r="G952" s="18"/>
      <c r="H952" s="16">
        <f t="shared" si="160"/>
        <v>22</v>
      </c>
      <c r="I952" s="16">
        <f t="shared" si="161"/>
        <v>11</v>
      </c>
      <c r="J952" s="122">
        <f t="shared" si="162"/>
        <v>2021</v>
      </c>
      <c r="K952" s="64">
        <f t="shared" si="155"/>
        <v>44582</v>
      </c>
      <c r="L952" s="6"/>
      <c r="M952" s="6"/>
      <c r="O952" s="208">
        <v>44597</v>
      </c>
      <c r="P952" s="209">
        <f t="shared" si="156"/>
        <v>0</v>
      </c>
      <c r="Q952" s="209">
        <f>+SUMIF('A DEPOSITAR'!$D$2:$D$998,(O952-2),'A DEPOSITAR'!$H$2:$H$998)</f>
        <v>0</v>
      </c>
      <c r="R952" s="210">
        <f t="shared" si="157"/>
        <v>0</v>
      </c>
      <c r="S952" s="210">
        <f t="shared" si="159"/>
        <v>3710297.850000001</v>
      </c>
      <c r="T952" s="209">
        <f t="shared" si="158"/>
        <v>0</v>
      </c>
      <c r="U952" s="209">
        <f>+SUMIFS('A DEPOSITAR'!$H$2:$H$998,'A DEPOSITAR'!$D$2:$D$998,(O952-2),'A DEPOSITAR'!$I$2:$I$998,"A Depositar")</f>
        <v>0</v>
      </c>
      <c r="V952" s="6"/>
      <c r="W952" s="6"/>
      <c r="X952" s="6"/>
      <c r="Y952" s="6"/>
      <c r="Z952" s="6"/>
    </row>
    <row r="953" spans="1:26" ht="12.75" x14ac:dyDescent="0.2">
      <c r="A953" s="36">
        <v>44530</v>
      </c>
      <c r="B953" s="29" t="s">
        <v>323</v>
      </c>
      <c r="C953" s="29">
        <v>87608951</v>
      </c>
      <c r="D953" s="37">
        <v>9000</v>
      </c>
      <c r="E953" s="18" t="s">
        <v>136</v>
      </c>
      <c r="F953" s="34">
        <v>44426</v>
      </c>
      <c r="G953" s="18"/>
      <c r="H953" s="16">
        <f t="shared" si="160"/>
        <v>30</v>
      </c>
      <c r="I953" s="16">
        <f t="shared" si="161"/>
        <v>11</v>
      </c>
      <c r="J953" s="122">
        <f t="shared" si="162"/>
        <v>2021</v>
      </c>
      <c r="K953" s="64">
        <f t="shared" si="155"/>
        <v>44590</v>
      </c>
      <c r="L953" s="6"/>
      <c r="M953" s="6"/>
      <c r="O953" s="208">
        <v>44598</v>
      </c>
      <c r="P953" s="209">
        <f t="shared" si="156"/>
        <v>0</v>
      </c>
      <c r="Q953" s="209">
        <f>+SUMIF('A DEPOSITAR'!$D$2:$D$998,(O953-2),'A DEPOSITAR'!$H$2:$H$998)</f>
        <v>0</v>
      </c>
      <c r="R953" s="210">
        <f t="shared" si="157"/>
        <v>0</v>
      </c>
      <c r="S953" s="210">
        <f t="shared" si="159"/>
        <v>3710297.850000001</v>
      </c>
      <c r="T953" s="209">
        <f t="shared" si="158"/>
        <v>0</v>
      </c>
      <c r="U953" s="209">
        <f>+SUMIFS('A DEPOSITAR'!$H$2:$H$998,'A DEPOSITAR'!$D$2:$D$998,(O953-2),'A DEPOSITAR'!$I$2:$I$998,"A Depositar")</f>
        <v>0</v>
      </c>
      <c r="V953" s="6"/>
      <c r="W953" s="6"/>
      <c r="X953" s="6"/>
      <c r="Y953" s="6"/>
      <c r="Z953" s="6"/>
    </row>
    <row r="954" spans="1:26" ht="12.75" x14ac:dyDescent="0.2">
      <c r="A954" s="36">
        <v>44538</v>
      </c>
      <c r="B954" s="29" t="s">
        <v>323</v>
      </c>
      <c r="C954" s="29">
        <v>87608952</v>
      </c>
      <c r="D954" s="37">
        <v>8000</v>
      </c>
      <c r="E954" s="18" t="s">
        <v>136</v>
      </c>
      <c r="F954" s="34">
        <v>44426</v>
      </c>
      <c r="G954" s="18"/>
      <c r="H954" s="16">
        <f t="shared" si="160"/>
        <v>8</v>
      </c>
      <c r="I954" s="16">
        <f t="shared" si="161"/>
        <v>12</v>
      </c>
      <c r="J954" s="122">
        <f t="shared" si="162"/>
        <v>2021</v>
      </c>
      <c r="K954" s="64">
        <f t="shared" si="155"/>
        <v>44598</v>
      </c>
      <c r="L954" s="6"/>
      <c r="M954" s="6"/>
      <c r="O954" s="208">
        <v>44599</v>
      </c>
      <c r="P954" s="209">
        <f t="shared" si="156"/>
        <v>0</v>
      </c>
      <c r="Q954" s="209">
        <f>+SUMIF('A DEPOSITAR'!$D$2:$D$998,(O954-2),'A DEPOSITAR'!$H$2:$H$998)</f>
        <v>0</v>
      </c>
      <c r="R954" s="210">
        <f t="shared" si="157"/>
        <v>0</v>
      </c>
      <c r="S954" s="210">
        <f t="shared" si="159"/>
        <v>3710297.850000001</v>
      </c>
      <c r="T954" s="209">
        <f t="shared" si="158"/>
        <v>0</v>
      </c>
      <c r="U954" s="209">
        <f>+SUMIFS('A DEPOSITAR'!$H$2:$H$998,'A DEPOSITAR'!$D$2:$D$998,(O954-2),'A DEPOSITAR'!$I$2:$I$998,"A Depositar")</f>
        <v>0</v>
      </c>
      <c r="V954" s="6"/>
      <c r="W954" s="6"/>
      <c r="X954" s="6"/>
      <c r="Y954" s="6"/>
      <c r="Z954" s="6"/>
    </row>
    <row r="955" spans="1:26" ht="12.75" x14ac:dyDescent="0.2">
      <c r="A955" s="36">
        <v>44546</v>
      </c>
      <c r="B955" s="29" t="s">
        <v>323</v>
      </c>
      <c r="C955" s="29">
        <v>87608953</v>
      </c>
      <c r="D955" s="37">
        <v>10000</v>
      </c>
      <c r="E955" s="18" t="s">
        <v>136</v>
      </c>
      <c r="F955" s="34">
        <v>44426</v>
      </c>
      <c r="G955" s="18"/>
      <c r="H955" s="16">
        <f t="shared" si="160"/>
        <v>16</v>
      </c>
      <c r="I955" s="16">
        <f t="shared" si="161"/>
        <v>12</v>
      </c>
      <c r="J955" s="122">
        <f t="shared" si="162"/>
        <v>2021</v>
      </c>
      <c r="K955" s="64">
        <f t="shared" si="155"/>
        <v>44606</v>
      </c>
      <c r="L955" s="6"/>
      <c r="M955" s="6"/>
      <c r="O955" s="208">
        <v>44600</v>
      </c>
      <c r="P955" s="209">
        <f t="shared" si="156"/>
        <v>0</v>
      </c>
      <c r="Q955" s="209">
        <f>+SUMIF('A DEPOSITAR'!$D$2:$D$998,(O955-2),'A DEPOSITAR'!$H$2:$H$998)</f>
        <v>0</v>
      </c>
      <c r="R955" s="210">
        <f t="shared" si="157"/>
        <v>0</v>
      </c>
      <c r="S955" s="210">
        <f t="shared" si="159"/>
        <v>3710297.850000001</v>
      </c>
      <c r="T955" s="209">
        <f t="shared" si="158"/>
        <v>0</v>
      </c>
      <c r="U955" s="209">
        <f>+SUMIFS('A DEPOSITAR'!$H$2:$H$998,'A DEPOSITAR'!$D$2:$D$998,(O955-2),'A DEPOSITAR'!$I$2:$I$998,"A Depositar")</f>
        <v>0</v>
      </c>
      <c r="V955" s="6"/>
      <c r="W955" s="6"/>
      <c r="X955" s="6"/>
      <c r="Y955" s="6"/>
      <c r="Z955" s="6"/>
    </row>
    <row r="956" spans="1:26" ht="12.75" x14ac:dyDescent="0.2">
      <c r="A956" s="36">
        <v>44461</v>
      </c>
      <c r="B956" s="29" t="s">
        <v>283</v>
      </c>
      <c r="C956" s="29">
        <v>87608954</v>
      </c>
      <c r="D956" s="37">
        <v>12121.27</v>
      </c>
      <c r="E956" s="18" t="s">
        <v>22</v>
      </c>
      <c r="F956" s="34">
        <v>44426</v>
      </c>
      <c r="G956" s="18"/>
      <c r="H956" s="16">
        <f t="shared" si="160"/>
        <v>22</v>
      </c>
      <c r="I956" s="16">
        <f t="shared" si="161"/>
        <v>9</v>
      </c>
      <c r="J956" s="122">
        <f t="shared" si="162"/>
        <v>2021</v>
      </c>
      <c r="K956" s="64">
        <f t="shared" si="155"/>
        <v>44521</v>
      </c>
      <c r="L956" s="6"/>
      <c r="M956" s="6"/>
      <c r="O956" s="208">
        <v>44601</v>
      </c>
      <c r="P956" s="209">
        <f t="shared" si="156"/>
        <v>0</v>
      </c>
      <c r="Q956" s="209">
        <f>+SUMIF('A DEPOSITAR'!$D$2:$D$998,(O956-2),'A DEPOSITAR'!$H$2:$H$998)</f>
        <v>0</v>
      </c>
      <c r="R956" s="210">
        <f t="shared" si="157"/>
        <v>0</v>
      </c>
      <c r="S956" s="210">
        <f t="shared" si="159"/>
        <v>3710297.850000001</v>
      </c>
      <c r="T956" s="209">
        <f t="shared" si="158"/>
        <v>0</v>
      </c>
      <c r="U956" s="209">
        <f>+SUMIFS('A DEPOSITAR'!$H$2:$H$998,'A DEPOSITAR'!$D$2:$D$998,(O956-2),'A DEPOSITAR'!$I$2:$I$998,"A Depositar")</f>
        <v>0</v>
      </c>
      <c r="V956" s="6"/>
      <c r="W956" s="6"/>
      <c r="X956" s="6"/>
      <c r="Y956" s="6"/>
      <c r="Z956" s="6"/>
    </row>
    <row r="957" spans="1:26" ht="12.75" x14ac:dyDescent="0.2">
      <c r="A957" s="36">
        <v>44469</v>
      </c>
      <c r="B957" s="29" t="s">
        <v>1193</v>
      </c>
      <c r="C957" s="29">
        <v>87608955</v>
      </c>
      <c r="D957" s="37">
        <v>12000</v>
      </c>
      <c r="E957" s="18" t="s">
        <v>22</v>
      </c>
      <c r="F957" s="34">
        <v>44426</v>
      </c>
      <c r="G957" s="18"/>
      <c r="H957" s="16">
        <f t="shared" si="160"/>
        <v>30</v>
      </c>
      <c r="I957" s="16">
        <f t="shared" si="161"/>
        <v>9</v>
      </c>
      <c r="J957" s="122">
        <f t="shared" si="162"/>
        <v>2021</v>
      </c>
      <c r="K957" s="64">
        <f t="shared" si="155"/>
        <v>44529</v>
      </c>
      <c r="L957" s="6"/>
      <c r="M957" s="6"/>
      <c r="O957" s="208">
        <v>44602</v>
      </c>
      <c r="P957" s="209">
        <f t="shared" si="156"/>
        <v>0</v>
      </c>
      <c r="Q957" s="209">
        <f>+SUMIF('A DEPOSITAR'!$D$2:$D$998,(O957-2),'A DEPOSITAR'!$H$2:$H$998)</f>
        <v>0</v>
      </c>
      <c r="R957" s="210">
        <f t="shared" si="157"/>
        <v>0</v>
      </c>
      <c r="S957" s="210">
        <f t="shared" si="159"/>
        <v>3710297.850000001</v>
      </c>
      <c r="T957" s="209">
        <f t="shared" si="158"/>
        <v>0</v>
      </c>
      <c r="U957" s="209">
        <f>+SUMIFS('A DEPOSITAR'!$H$2:$H$998,'A DEPOSITAR'!$D$2:$D$998,(O957-2),'A DEPOSITAR'!$I$2:$I$998,"A Depositar")</f>
        <v>0</v>
      </c>
      <c r="V957" s="6"/>
      <c r="W957" s="6"/>
      <c r="X957" s="6"/>
      <c r="Y957" s="6"/>
      <c r="Z957" s="6"/>
    </row>
    <row r="958" spans="1:26" ht="12.75" x14ac:dyDescent="0.2">
      <c r="A958" s="36">
        <v>44477</v>
      </c>
      <c r="B958" s="29" t="s">
        <v>1193</v>
      </c>
      <c r="C958" s="29">
        <v>87608956</v>
      </c>
      <c r="D958" s="37">
        <v>12000</v>
      </c>
      <c r="E958" s="18" t="s">
        <v>22</v>
      </c>
      <c r="F958" s="34">
        <v>44426</v>
      </c>
      <c r="G958" s="18"/>
      <c r="H958" s="16">
        <f t="shared" si="160"/>
        <v>8</v>
      </c>
      <c r="I958" s="16">
        <f t="shared" si="161"/>
        <v>10</v>
      </c>
      <c r="J958" s="122">
        <f t="shared" si="162"/>
        <v>2021</v>
      </c>
      <c r="K958" s="64">
        <f t="shared" si="155"/>
        <v>44537</v>
      </c>
      <c r="L958" s="6"/>
      <c r="M958" s="6"/>
      <c r="O958" s="208">
        <v>44603</v>
      </c>
      <c r="P958" s="209">
        <f t="shared" si="156"/>
        <v>0</v>
      </c>
      <c r="Q958" s="209">
        <f>+SUMIF('A DEPOSITAR'!$D$2:$D$998,(O958-2),'A DEPOSITAR'!$H$2:$H$998)</f>
        <v>0</v>
      </c>
      <c r="R958" s="210">
        <f t="shared" si="157"/>
        <v>0</v>
      </c>
      <c r="S958" s="210">
        <f t="shared" si="159"/>
        <v>3710297.850000001</v>
      </c>
      <c r="T958" s="209">
        <f t="shared" si="158"/>
        <v>0</v>
      </c>
      <c r="U958" s="209">
        <f>+SUMIFS('A DEPOSITAR'!$H$2:$H$998,'A DEPOSITAR'!$D$2:$D$998,(O958-2),'A DEPOSITAR'!$I$2:$I$998,"A Depositar")</f>
        <v>0</v>
      </c>
      <c r="V958" s="6"/>
      <c r="W958" s="6"/>
      <c r="X958" s="6"/>
      <c r="Y958" s="6"/>
      <c r="Z958" s="6"/>
    </row>
    <row r="959" spans="1:26" ht="12.75" x14ac:dyDescent="0.2">
      <c r="A959" s="36">
        <v>44485</v>
      </c>
      <c r="B959" s="29" t="s">
        <v>1193</v>
      </c>
      <c r="C959" s="29">
        <v>87608957</v>
      </c>
      <c r="D959" s="37">
        <v>12115</v>
      </c>
      <c r="E959" s="18" t="s">
        <v>22</v>
      </c>
      <c r="F959" s="34">
        <v>44426</v>
      </c>
      <c r="G959" s="18"/>
      <c r="H959" s="16">
        <f t="shared" si="160"/>
        <v>16</v>
      </c>
      <c r="I959" s="16">
        <f t="shared" si="161"/>
        <v>10</v>
      </c>
      <c r="J959" s="122">
        <f t="shared" si="162"/>
        <v>2021</v>
      </c>
      <c r="K959" s="64">
        <f t="shared" si="155"/>
        <v>44545</v>
      </c>
      <c r="L959" s="6"/>
      <c r="M959" s="6"/>
      <c r="O959" s="208">
        <v>44604</v>
      </c>
      <c r="P959" s="209">
        <f t="shared" si="156"/>
        <v>0</v>
      </c>
      <c r="Q959" s="209">
        <f>+SUMIF('A DEPOSITAR'!$D$2:$D$998,(O959-2),'A DEPOSITAR'!$H$2:$H$998)</f>
        <v>0</v>
      </c>
      <c r="R959" s="210">
        <f t="shared" si="157"/>
        <v>0</v>
      </c>
      <c r="S959" s="210">
        <f t="shared" si="159"/>
        <v>3710297.850000001</v>
      </c>
      <c r="T959" s="209">
        <f t="shared" si="158"/>
        <v>0</v>
      </c>
      <c r="U959" s="209">
        <f>+SUMIFS('A DEPOSITAR'!$H$2:$H$998,'A DEPOSITAR'!$D$2:$D$998,(O959-2),'A DEPOSITAR'!$I$2:$I$998,"A Depositar")</f>
        <v>0</v>
      </c>
      <c r="V959" s="6"/>
      <c r="W959" s="6"/>
      <c r="X959" s="6"/>
      <c r="Y959" s="6"/>
      <c r="Z959" s="6"/>
    </row>
    <row r="960" spans="1:26" ht="12.75" x14ac:dyDescent="0.2">
      <c r="A960" s="36">
        <v>44455</v>
      </c>
      <c r="B960" s="29" t="s">
        <v>283</v>
      </c>
      <c r="C960" s="29">
        <v>87608958</v>
      </c>
      <c r="D960" s="37">
        <v>6679.1</v>
      </c>
      <c r="E960" s="18" t="s">
        <v>22</v>
      </c>
      <c r="F960" s="7">
        <v>44434</v>
      </c>
      <c r="G960" s="18"/>
      <c r="H960" s="16">
        <f t="shared" si="160"/>
        <v>16</v>
      </c>
      <c r="I960" s="16">
        <f t="shared" si="161"/>
        <v>9</v>
      </c>
      <c r="J960" s="122">
        <f t="shared" si="162"/>
        <v>2021</v>
      </c>
      <c r="K960" s="64">
        <f t="shared" si="155"/>
        <v>44515</v>
      </c>
      <c r="L960" s="6"/>
      <c r="M960" s="6"/>
      <c r="O960" s="208">
        <v>44605</v>
      </c>
      <c r="P960" s="209">
        <f t="shared" si="156"/>
        <v>0</v>
      </c>
      <c r="Q960" s="209">
        <f>+SUMIF('A DEPOSITAR'!$D$2:$D$998,(O960-2),'A DEPOSITAR'!$H$2:$H$998)</f>
        <v>0</v>
      </c>
      <c r="R960" s="210">
        <f t="shared" si="157"/>
        <v>0</v>
      </c>
      <c r="S960" s="210">
        <f t="shared" si="159"/>
        <v>3710297.850000001</v>
      </c>
      <c r="T960" s="209">
        <f t="shared" si="158"/>
        <v>0</v>
      </c>
      <c r="U960" s="209">
        <f>+SUMIFS('A DEPOSITAR'!$H$2:$H$998,'A DEPOSITAR'!$D$2:$D$998,(O960-2),'A DEPOSITAR'!$I$2:$I$998,"A Depositar")</f>
        <v>0</v>
      </c>
      <c r="V960" s="6"/>
      <c r="W960" s="6"/>
      <c r="X960" s="6"/>
      <c r="Y960" s="6"/>
      <c r="Z960" s="6"/>
    </row>
    <row r="961" spans="1:26" ht="12.75" x14ac:dyDescent="0.2">
      <c r="A961" s="36">
        <v>44461</v>
      </c>
      <c r="B961" s="29" t="s">
        <v>283</v>
      </c>
      <c r="C961" s="29">
        <v>87608959</v>
      </c>
      <c r="D961" s="37">
        <v>17680</v>
      </c>
      <c r="E961" s="18" t="s">
        <v>22</v>
      </c>
      <c r="F961" s="7">
        <v>44434</v>
      </c>
      <c r="G961" s="18"/>
      <c r="H961" s="16">
        <f t="shared" si="160"/>
        <v>22</v>
      </c>
      <c r="I961" s="16">
        <f t="shared" si="161"/>
        <v>9</v>
      </c>
      <c r="J961" s="122">
        <f t="shared" si="162"/>
        <v>2021</v>
      </c>
      <c r="K961" s="64">
        <f t="shared" si="155"/>
        <v>44521</v>
      </c>
      <c r="L961" s="6"/>
      <c r="M961" s="6"/>
      <c r="O961" s="208">
        <v>44606</v>
      </c>
      <c r="P961" s="209">
        <f t="shared" si="156"/>
        <v>0</v>
      </c>
      <c r="Q961" s="209">
        <f>+SUMIF('A DEPOSITAR'!$D$2:$D$998,(O961-2),'A DEPOSITAR'!$H$2:$H$998)</f>
        <v>0</v>
      </c>
      <c r="R961" s="210">
        <f t="shared" si="157"/>
        <v>0</v>
      </c>
      <c r="S961" s="210">
        <f t="shared" si="159"/>
        <v>3710297.850000001</v>
      </c>
      <c r="T961" s="209">
        <f t="shared" si="158"/>
        <v>0</v>
      </c>
      <c r="U961" s="209">
        <f>+SUMIFS('A DEPOSITAR'!$H$2:$H$998,'A DEPOSITAR'!$D$2:$D$998,(O961-2),'A DEPOSITAR'!$I$2:$I$998,"A Depositar")</f>
        <v>0</v>
      </c>
      <c r="V961" s="6"/>
      <c r="W961" s="6"/>
      <c r="X961" s="6"/>
      <c r="Y961" s="6"/>
      <c r="Z961" s="6"/>
    </row>
    <row r="962" spans="1:26" ht="12.75" x14ac:dyDescent="0.2">
      <c r="A962" s="36">
        <v>44469</v>
      </c>
      <c r="B962" s="29" t="s">
        <v>283</v>
      </c>
      <c r="C962" s="29">
        <v>87608960</v>
      </c>
      <c r="D962" s="37">
        <v>17815.419999999998</v>
      </c>
      <c r="E962" s="18" t="s">
        <v>22</v>
      </c>
      <c r="F962" s="7">
        <v>44434</v>
      </c>
      <c r="G962" s="18"/>
      <c r="H962" s="16">
        <f t="shared" si="160"/>
        <v>30</v>
      </c>
      <c r="I962" s="16">
        <f t="shared" si="161"/>
        <v>9</v>
      </c>
      <c r="J962" s="122">
        <f t="shared" si="162"/>
        <v>2021</v>
      </c>
      <c r="K962" s="64">
        <f t="shared" ref="K962:K998" si="163">A962+60</f>
        <v>44529</v>
      </c>
      <c r="L962" s="6"/>
      <c r="M962" s="6"/>
      <c r="O962" s="208">
        <v>44607</v>
      </c>
      <c r="P962" s="209">
        <f t="shared" si="156"/>
        <v>0</v>
      </c>
      <c r="Q962" s="209">
        <f>+SUMIF('A DEPOSITAR'!$D$2:$D$998,(O962-2),'A DEPOSITAR'!$H$2:$H$998)</f>
        <v>0</v>
      </c>
      <c r="R962" s="210">
        <f t="shared" si="157"/>
        <v>0</v>
      </c>
      <c r="S962" s="210">
        <f t="shared" si="159"/>
        <v>3710297.850000001</v>
      </c>
      <c r="T962" s="209">
        <f t="shared" si="158"/>
        <v>0</v>
      </c>
      <c r="U962" s="209">
        <f>+SUMIFS('A DEPOSITAR'!$H$2:$H$998,'A DEPOSITAR'!$D$2:$D$998,(O962-2),'A DEPOSITAR'!$I$2:$I$998,"A Depositar")</f>
        <v>0</v>
      </c>
      <c r="V962" s="6"/>
      <c r="W962" s="6"/>
      <c r="X962" s="6"/>
      <c r="Y962" s="6"/>
      <c r="Z962" s="6"/>
    </row>
    <row r="963" spans="1:26" ht="12.75" x14ac:dyDescent="0.2">
      <c r="A963" s="36">
        <v>44469</v>
      </c>
      <c r="B963" s="29" t="s">
        <v>1274</v>
      </c>
      <c r="C963" s="29">
        <v>87608961</v>
      </c>
      <c r="D963" s="37">
        <v>13500</v>
      </c>
      <c r="E963" s="18" t="s">
        <v>136</v>
      </c>
      <c r="F963" s="7">
        <v>44440</v>
      </c>
      <c r="G963" s="18"/>
      <c r="H963" s="16">
        <f t="shared" si="160"/>
        <v>30</v>
      </c>
      <c r="I963" s="16">
        <f t="shared" si="161"/>
        <v>9</v>
      </c>
      <c r="J963" s="122">
        <f t="shared" si="162"/>
        <v>2021</v>
      </c>
      <c r="K963" s="64">
        <f t="shared" si="163"/>
        <v>44529</v>
      </c>
      <c r="L963" s="6"/>
      <c r="M963" s="6"/>
      <c r="O963" s="208">
        <v>44608</v>
      </c>
      <c r="P963" s="209">
        <f t="shared" ref="P963:P1026" si="164">+SUMIF($A$2:$A$998,O963,$D$2:$D$998)</f>
        <v>4048.02</v>
      </c>
      <c r="Q963" s="209">
        <f>+SUMIF('A DEPOSITAR'!$D$2:$D$998,(O963-2),'A DEPOSITAR'!$H$2:$H$998)</f>
        <v>0</v>
      </c>
      <c r="R963" s="210">
        <f t="shared" ref="R963:R1026" si="165">+Q963-P963</f>
        <v>-4048.02</v>
      </c>
      <c r="S963" s="210">
        <f t="shared" si="159"/>
        <v>3706249.830000001</v>
      </c>
      <c r="T963" s="209">
        <f t="shared" ref="T963:T1026" si="166">+SUMIFS($D$2:$D$998,$A$2:$A$998,O963,$E$2:$E$998,"A Pagar")</f>
        <v>4048.02</v>
      </c>
      <c r="U963" s="209">
        <f>+SUMIFS('A DEPOSITAR'!$H$2:$H$998,'A DEPOSITAR'!$D$2:$D$998,(O963-2),'A DEPOSITAR'!$I$2:$I$998,"A Depositar")</f>
        <v>0</v>
      </c>
      <c r="V963" s="6"/>
      <c r="W963" s="6"/>
      <c r="X963" s="6"/>
      <c r="Y963" s="6"/>
      <c r="Z963" s="6"/>
    </row>
    <row r="964" spans="1:26" ht="12.75" x14ac:dyDescent="0.2">
      <c r="A964" s="36">
        <v>44499</v>
      </c>
      <c r="B964" s="29" t="s">
        <v>1274</v>
      </c>
      <c r="C964" s="29">
        <v>87608962</v>
      </c>
      <c r="D964" s="37">
        <v>13500</v>
      </c>
      <c r="E964" s="18" t="s">
        <v>136</v>
      </c>
      <c r="F964" s="7">
        <v>44440</v>
      </c>
      <c r="G964" s="18"/>
      <c r="H964" s="16">
        <f t="shared" si="160"/>
        <v>30</v>
      </c>
      <c r="I964" s="16">
        <f t="shared" si="161"/>
        <v>10</v>
      </c>
      <c r="J964" s="122">
        <f t="shared" si="162"/>
        <v>2021</v>
      </c>
      <c r="K964" s="64">
        <f t="shared" si="163"/>
        <v>44559</v>
      </c>
      <c r="L964" s="6"/>
      <c r="M964" s="6"/>
      <c r="O964" s="208">
        <v>44609</v>
      </c>
      <c r="P964" s="209">
        <f t="shared" si="164"/>
        <v>0</v>
      </c>
      <c r="Q964" s="209">
        <f>+SUMIF('A DEPOSITAR'!$D$2:$D$998,(O964-2),'A DEPOSITAR'!$H$2:$H$998)</f>
        <v>0</v>
      </c>
      <c r="R964" s="210">
        <f t="shared" si="165"/>
        <v>0</v>
      </c>
      <c r="S964" s="210">
        <f t="shared" ref="S964:S1027" si="167">+S963+R964</f>
        <v>3706249.830000001</v>
      </c>
      <c r="T964" s="209">
        <f t="shared" si="166"/>
        <v>0</v>
      </c>
      <c r="U964" s="209">
        <f>+SUMIFS('A DEPOSITAR'!$H$2:$H$998,'A DEPOSITAR'!$D$2:$D$998,(O964-2),'A DEPOSITAR'!$I$2:$I$998,"A Depositar")</f>
        <v>0</v>
      </c>
      <c r="V964" s="6"/>
      <c r="W964" s="6"/>
      <c r="X964" s="6"/>
      <c r="Y964" s="6"/>
      <c r="Z964" s="6"/>
    </row>
    <row r="965" spans="1:26" ht="12.75" x14ac:dyDescent="0.2">
      <c r="A965" s="36">
        <v>44485</v>
      </c>
      <c r="B965" s="29" t="s">
        <v>396</v>
      </c>
      <c r="C965" s="29">
        <v>87608963</v>
      </c>
      <c r="D965" s="37">
        <v>8115.17</v>
      </c>
      <c r="E965" s="18" t="s">
        <v>136</v>
      </c>
      <c r="F965" s="7">
        <v>44448</v>
      </c>
      <c r="G965" s="18"/>
      <c r="H965" s="16">
        <f t="shared" si="160"/>
        <v>16</v>
      </c>
      <c r="I965" s="16">
        <f t="shared" si="161"/>
        <v>10</v>
      </c>
      <c r="J965" s="122">
        <f t="shared" si="162"/>
        <v>2021</v>
      </c>
      <c r="K965" s="64">
        <f t="shared" si="163"/>
        <v>44545</v>
      </c>
      <c r="L965" s="6"/>
      <c r="M965" s="6"/>
      <c r="O965" s="208">
        <v>44610</v>
      </c>
      <c r="P965" s="209">
        <f t="shared" si="164"/>
        <v>0</v>
      </c>
      <c r="Q965" s="209">
        <f>+SUMIF('A DEPOSITAR'!$D$2:$D$998,(O965-2),'A DEPOSITAR'!$H$2:$H$998)</f>
        <v>0</v>
      </c>
      <c r="R965" s="210">
        <f t="shared" si="165"/>
        <v>0</v>
      </c>
      <c r="S965" s="210">
        <f t="shared" si="167"/>
        <v>3706249.830000001</v>
      </c>
      <c r="T965" s="209">
        <f t="shared" si="166"/>
        <v>0</v>
      </c>
      <c r="U965" s="209">
        <f>+SUMIFS('A DEPOSITAR'!$H$2:$H$998,'A DEPOSITAR'!$D$2:$D$998,(O965-2),'A DEPOSITAR'!$I$2:$I$998,"A Depositar")</f>
        <v>0</v>
      </c>
      <c r="V965" s="6"/>
      <c r="W965" s="6"/>
      <c r="X965" s="6"/>
      <c r="Y965" s="6"/>
      <c r="Z965" s="6"/>
    </row>
    <row r="966" spans="1:26" ht="12.75" x14ac:dyDescent="0.2">
      <c r="A966" s="36">
        <v>44499</v>
      </c>
      <c r="B966" s="29" t="s">
        <v>396</v>
      </c>
      <c r="C966" s="29">
        <v>87608964</v>
      </c>
      <c r="D966" s="37">
        <v>15000</v>
      </c>
      <c r="E966" s="18" t="s">
        <v>136</v>
      </c>
      <c r="F966" s="7">
        <v>44448</v>
      </c>
      <c r="G966" s="18"/>
      <c r="H966" s="16">
        <f t="shared" si="160"/>
        <v>30</v>
      </c>
      <c r="I966" s="16">
        <f t="shared" si="161"/>
        <v>10</v>
      </c>
      <c r="J966" s="122">
        <f t="shared" si="162"/>
        <v>2021</v>
      </c>
      <c r="K966" s="64">
        <f t="shared" si="163"/>
        <v>44559</v>
      </c>
      <c r="L966" s="6"/>
      <c r="M966" s="6"/>
      <c r="O966" s="208">
        <v>44611</v>
      </c>
      <c r="P966" s="209">
        <f t="shared" si="164"/>
        <v>0</v>
      </c>
      <c r="Q966" s="209">
        <f>+SUMIF('A DEPOSITAR'!$D$2:$D$998,(O966-2),'A DEPOSITAR'!$H$2:$H$998)</f>
        <v>0</v>
      </c>
      <c r="R966" s="210">
        <f t="shared" si="165"/>
        <v>0</v>
      </c>
      <c r="S966" s="210">
        <f t="shared" si="167"/>
        <v>3706249.830000001</v>
      </c>
      <c r="T966" s="209">
        <f t="shared" si="166"/>
        <v>0</v>
      </c>
      <c r="U966" s="209">
        <f>+SUMIFS('A DEPOSITAR'!$H$2:$H$998,'A DEPOSITAR'!$D$2:$D$998,(O966-2),'A DEPOSITAR'!$I$2:$I$998,"A Depositar")</f>
        <v>0</v>
      </c>
      <c r="V966" s="6"/>
      <c r="W966" s="6"/>
      <c r="X966" s="6"/>
      <c r="Y966" s="6"/>
      <c r="Z966" s="6"/>
    </row>
    <row r="967" spans="1:26" ht="12.75" x14ac:dyDescent="0.2">
      <c r="A967" s="36">
        <v>44530</v>
      </c>
      <c r="B967" s="29" t="s">
        <v>396</v>
      </c>
      <c r="C967" s="29">
        <v>87608965</v>
      </c>
      <c r="D967" s="37">
        <v>16000</v>
      </c>
      <c r="E967" s="18" t="s">
        <v>136</v>
      </c>
      <c r="F967" s="7">
        <v>44448</v>
      </c>
      <c r="G967" s="18"/>
      <c r="H967" s="16">
        <f t="shared" si="160"/>
        <v>30</v>
      </c>
      <c r="I967" s="16">
        <f t="shared" si="161"/>
        <v>11</v>
      </c>
      <c r="J967" s="122">
        <f t="shared" si="162"/>
        <v>2021</v>
      </c>
      <c r="K967" s="64">
        <f t="shared" si="163"/>
        <v>44590</v>
      </c>
      <c r="L967" s="6"/>
      <c r="M967" s="6"/>
      <c r="O967" s="208">
        <v>44612</v>
      </c>
      <c r="P967" s="209">
        <f t="shared" si="164"/>
        <v>0</v>
      </c>
      <c r="Q967" s="209">
        <f>+SUMIF('A DEPOSITAR'!$D$2:$D$998,(O967-2),'A DEPOSITAR'!$H$2:$H$998)</f>
        <v>0</v>
      </c>
      <c r="R967" s="210">
        <f t="shared" si="165"/>
        <v>0</v>
      </c>
      <c r="S967" s="210">
        <f t="shared" si="167"/>
        <v>3706249.830000001</v>
      </c>
      <c r="T967" s="209">
        <f t="shared" si="166"/>
        <v>0</v>
      </c>
      <c r="U967" s="209">
        <f>+SUMIFS('A DEPOSITAR'!$H$2:$H$998,'A DEPOSITAR'!$D$2:$D$998,(O967-2),'A DEPOSITAR'!$I$2:$I$998,"A Depositar")</f>
        <v>0</v>
      </c>
      <c r="V967" s="6"/>
      <c r="W967" s="6"/>
      <c r="X967" s="6"/>
      <c r="Y967" s="6"/>
      <c r="Z967" s="6"/>
    </row>
    <row r="968" spans="1:26" ht="12.75" x14ac:dyDescent="0.2">
      <c r="A968" s="36">
        <v>44546</v>
      </c>
      <c r="B968" s="29" t="s">
        <v>396</v>
      </c>
      <c r="C968" s="29">
        <v>87608966</v>
      </c>
      <c r="D968" s="37">
        <v>17141.73</v>
      </c>
      <c r="E968" s="18" t="s">
        <v>136</v>
      </c>
      <c r="F968" s="7">
        <v>44448</v>
      </c>
      <c r="G968" s="18"/>
      <c r="H968" s="16">
        <f t="shared" si="160"/>
        <v>16</v>
      </c>
      <c r="I968" s="16">
        <f t="shared" si="161"/>
        <v>12</v>
      </c>
      <c r="J968" s="122">
        <f t="shared" si="162"/>
        <v>2021</v>
      </c>
      <c r="K968" s="64">
        <f t="shared" si="163"/>
        <v>44606</v>
      </c>
      <c r="L968" s="6"/>
      <c r="M968" s="6"/>
      <c r="O968" s="208">
        <v>44613</v>
      </c>
      <c r="P968" s="209">
        <f t="shared" si="164"/>
        <v>0</v>
      </c>
      <c r="Q968" s="209">
        <f>+SUMIF('A DEPOSITAR'!$D$2:$D$998,(O968-2),'A DEPOSITAR'!$H$2:$H$998)</f>
        <v>0</v>
      </c>
      <c r="R968" s="210">
        <f t="shared" si="165"/>
        <v>0</v>
      </c>
      <c r="S968" s="210">
        <f t="shared" si="167"/>
        <v>3706249.830000001</v>
      </c>
      <c r="T968" s="209">
        <f t="shared" si="166"/>
        <v>0</v>
      </c>
      <c r="U968" s="209">
        <f>+SUMIFS('A DEPOSITAR'!$H$2:$H$998,'A DEPOSITAR'!$D$2:$D$998,(O968-2),'A DEPOSITAR'!$I$2:$I$998,"A Depositar")</f>
        <v>0</v>
      </c>
      <c r="V968" s="6"/>
      <c r="W968" s="6"/>
      <c r="X968" s="6"/>
      <c r="Y968" s="6"/>
      <c r="Z968" s="6"/>
    </row>
    <row r="969" spans="1:26" ht="12.75" x14ac:dyDescent="0.2">
      <c r="A969" s="36">
        <v>44546</v>
      </c>
      <c r="B969" s="29" t="s">
        <v>1290</v>
      </c>
      <c r="C969" s="29">
        <v>87608967</v>
      </c>
      <c r="D969" s="37">
        <v>4311</v>
      </c>
      <c r="E969" s="18" t="s">
        <v>136</v>
      </c>
      <c r="F969" s="7">
        <v>44467</v>
      </c>
      <c r="G969" s="18"/>
      <c r="H969" s="16">
        <f t="shared" si="160"/>
        <v>16</v>
      </c>
      <c r="I969" s="16">
        <f t="shared" si="161"/>
        <v>12</v>
      </c>
      <c r="J969" s="122">
        <f t="shared" si="162"/>
        <v>2021</v>
      </c>
      <c r="K969" s="64">
        <f t="shared" si="163"/>
        <v>44606</v>
      </c>
      <c r="L969" s="6"/>
      <c r="M969" s="6"/>
      <c r="O969" s="208">
        <v>44614</v>
      </c>
      <c r="P969" s="209">
        <f t="shared" si="164"/>
        <v>0</v>
      </c>
      <c r="Q969" s="209">
        <f>+SUMIF('A DEPOSITAR'!$D$2:$D$998,(O969-2),'A DEPOSITAR'!$H$2:$H$998)</f>
        <v>0</v>
      </c>
      <c r="R969" s="210">
        <f t="shared" si="165"/>
        <v>0</v>
      </c>
      <c r="S969" s="210">
        <f t="shared" si="167"/>
        <v>3706249.830000001</v>
      </c>
      <c r="T969" s="209">
        <f t="shared" si="166"/>
        <v>0</v>
      </c>
      <c r="U969" s="209">
        <f>+SUMIFS('A DEPOSITAR'!$H$2:$H$998,'A DEPOSITAR'!$D$2:$D$998,(O969-2),'A DEPOSITAR'!$I$2:$I$998,"A Depositar")</f>
        <v>0</v>
      </c>
      <c r="V969" s="6"/>
      <c r="W969" s="6"/>
      <c r="X969" s="6"/>
      <c r="Y969" s="6"/>
      <c r="Z969" s="6"/>
    </row>
    <row r="970" spans="1:26" ht="12.75" x14ac:dyDescent="0.2">
      <c r="A970" s="36">
        <v>44491</v>
      </c>
      <c r="B970" s="29" t="s">
        <v>283</v>
      </c>
      <c r="C970" s="29">
        <v>87608968</v>
      </c>
      <c r="D970" s="37">
        <v>9509</v>
      </c>
      <c r="E970" s="18" t="s">
        <v>136</v>
      </c>
      <c r="F970" s="7">
        <v>44474</v>
      </c>
      <c r="G970" s="18"/>
      <c r="H970" s="16">
        <f t="shared" si="160"/>
        <v>22</v>
      </c>
      <c r="I970" s="16">
        <f t="shared" si="161"/>
        <v>10</v>
      </c>
      <c r="J970" s="122">
        <f t="shared" si="162"/>
        <v>2021</v>
      </c>
      <c r="K970" s="64">
        <f t="shared" si="163"/>
        <v>44551</v>
      </c>
      <c r="L970" s="6"/>
      <c r="M970" s="6"/>
      <c r="O970" s="208">
        <v>44615</v>
      </c>
      <c r="P970" s="209">
        <f t="shared" si="164"/>
        <v>0</v>
      </c>
      <c r="Q970" s="209">
        <f>+SUMIF('A DEPOSITAR'!$D$2:$D$998,(O970-2),'A DEPOSITAR'!$H$2:$H$998)</f>
        <v>0</v>
      </c>
      <c r="R970" s="210">
        <f t="shared" si="165"/>
        <v>0</v>
      </c>
      <c r="S970" s="210">
        <f t="shared" si="167"/>
        <v>3706249.830000001</v>
      </c>
      <c r="T970" s="209">
        <f t="shared" si="166"/>
        <v>0</v>
      </c>
      <c r="U970" s="209">
        <f>+SUMIFS('A DEPOSITAR'!$H$2:$H$998,'A DEPOSITAR'!$D$2:$D$998,(O970-2),'A DEPOSITAR'!$I$2:$I$998,"A Depositar")</f>
        <v>0</v>
      </c>
      <c r="V970" s="6"/>
      <c r="W970" s="6"/>
      <c r="X970" s="6"/>
      <c r="Y970" s="6"/>
      <c r="Z970" s="6"/>
    </row>
    <row r="971" spans="1:26" ht="12.75" x14ac:dyDescent="0.2">
      <c r="A971" s="36">
        <v>44499</v>
      </c>
      <c r="B971" s="29" t="s">
        <v>283</v>
      </c>
      <c r="C971" s="29">
        <v>87608969</v>
      </c>
      <c r="D971" s="37">
        <v>10030.31</v>
      </c>
      <c r="E971" s="18" t="s">
        <v>136</v>
      </c>
      <c r="F971" s="7">
        <v>44474</v>
      </c>
      <c r="G971" s="18"/>
      <c r="H971" s="16">
        <f t="shared" si="160"/>
        <v>30</v>
      </c>
      <c r="I971" s="16">
        <f t="shared" si="161"/>
        <v>10</v>
      </c>
      <c r="J971" s="122">
        <f t="shared" si="162"/>
        <v>2021</v>
      </c>
      <c r="K971" s="64">
        <f t="shared" si="163"/>
        <v>44559</v>
      </c>
      <c r="L971" s="6"/>
      <c r="M971" s="6"/>
      <c r="O971" s="208">
        <v>44616</v>
      </c>
      <c r="P971" s="209">
        <f t="shared" si="164"/>
        <v>0</v>
      </c>
      <c r="Q971" s="209">
        <f>+SUMIF('A DEPOSITAR'!$D$2:$D$998,(O971-2),'A DEPOSITAR'!$H$2:$H$998)</f>
        <v>0</v>
      </c>
      <c r="R971" s="210">
        <f t="shared" si="165"/>
        <v>0</v>
      </c>
      <c r="S971" s="210">
        <f t="shared" si="167"/>
        <v>3706249.830000001</v>
      </c>
      <c r="T971" s="209">
        <f t="shared" si="166"/>
        <v>0</v>
      </c>
      <c r="U971" s="209">
        <f>+SUMIFS('A DEPOSITAR'!$H$2:$H$998,'A DEPOSITAR'!$D$2:$D$998,(O971-2),'A DEPOSITAR'!$I$2:$I$998,"A Depositar")</f>
        <v>0</v>
      </c>
      <c r="V971" s="6"/>
      <c r="W971" s="6"/>
      <c r="X971" s="6"/>
      <c r="Y971" s="6"/>
      <c r="Z971" s="6"/>
    </row>
    <row r="972" spans="1:26" ht="12.75" x14ac:dyDescent="0.2">
      <c r="A972" s="36">
        <v>44560</v>
      </c>
      <c r="B972" s="29" t="s">
        <v>283</v>
      </c>
      <c r="C972" s="29">
        <v>87608970</v>
      </c>
      <c r="D972" s="37">
        <v>11400</v>
      </c>
      <c r="E972" s="18" t="s">
        <v>136</v>
      </c>
      <c r="F972" s="7">
        <v>44474</v>
      </c>
      <c r="G972" s="18"/>
      <c r="H972" s="16">
        <f t="shared" si="160"/>
        <v>30</v>
      </c>
      <c r="I972" s="16">
        <f t="shared" si="161"/>
        <v>12</v>
      </c>
      <c r="J972" s="122">
        <f t="shared" si="162"/>
        <v>2021</v>
      </c>
      <c r="K972" s="64">
        <f t="shared" si="163"/>
        <v>44620</v>
      </c>
      <c r="L972" s="6"/>
      <c r="M972" s="6"/>
      <c r="O972" s="208">
        <v>44617</v>
      </c>
      <c r="P972" s="209">
        <f t="shared" si="164"/>
        <v>0</v>
      </c>
      <c r="Q972" s="209">
        <f>+SUMIF('A DEPOSITAR'!$D$2:$D$998,(O972-2),'A DEPOSITAR'!$H$2:$H$998)</f>
        <v>0</v>
      </c>
      <c r="R972" s="210">
        <f t="shared" si="165"/>
        <v>0</v>
      </c>
      <c r="S972" s="210">
        <f t="shared" si="167"/>
        <v>3706249.830000001</v>
      </c>
      <c r="T972" s="209">
        <f t="shared" si="166"/>
        <v>0</v>
      </c>
      <c r="U972" s="209">
        <f>+SUMIFS('A DEPOSITAR'!$H$2:$H$998,'A DEPOSITAR'!$D$2:$D$998,(O972-2),'A DEPOSITAR'!$I$2:$I$998,"A Depositar")</f>
        <v>0</v>
      </c>
      <c r="V972" s="6"/>
      <c r="W972" s="6"/>
      <c r="X972" s="6"/>
      <c r="Y972" s="6"/>
      <c r="Z972" s="6"/>
    </row>
    <row r="973" spans="1:26" ht="12.75" x14ac:dyDescent="0.2">
      <c r="A973" s="36">
        <v>44530</v>
      </c>
      <c r="B973" s="29" t="s">
        <v>212</v>
      </c>
      <c r="C973" s="29">
        <v>87608971</v>
      </c>
      <c r="D973" s="37">
        <v>2000</v>
      </c>
      <c r="E973" s="18" t="s">
        <v>136</v>
      </c>
      <c r="F973" s="7">
        <v>44474</v>
      </c>
      <c r="G973" s="18"/>
      <c r="H973" s="16">
        <f t="shared" si="160"/>
        <v>30</v>
      </c>
      <c r="I973" s="16">
        <f t="shared" si="161"/>
        <v>11</v>
      </c>
      <c r="J973" s="122">
        <f t="shared" si="162"/>
        <v>2021</v>
      </c>
      <c r="K973" s="64">
        <f t="shared" si="163"/>
        <v>44590</v>
      </c>
      <c r="L973" s="6"/>
      <c r="M973" s="6"/>
      <c r="O973" s="208">
        <v>44618</v>
      </c>
      <c r="P973" s="209">
        <f t="shared" si="164"/>
        <v>0</v>
      </c>
      <c r="Q973" s="209">
        <f>+SUMIF('A DEPOSITAR'!$D$2:$D$998,(O973-2),'A DEPOSITAR'!$H$2:$H$998)</f>
        <v>0</v>
      </c>
      <c r="R973" s="210">
        <f t="shared" si="165"/>
        <v>0</v>
      </c>
      <c r="S973" s="210">
        <f t="shared" si="167"/>
        <v>3706249.830000001</v>
      </c>
      <c r="T973" s="209">
        <f t="shared" si="166"/>
        <v>0</v>
      </c>
      <c r="U973" s="209">
        <f>+SUMIFS('A DEPOSITAR'!$H$2:$H$998,'A DEPOSITAR'!$D$2:$D$998,(O973-2),'A DEPOSITAR'!$I$2:$I$998,"A Depositar")</f>
        <v>0</v>
      </c>
      <c r="V973" s="6"/>
      <c r="W973" s="6"/>
      <c r="X973" s="6"/>
      <c r="Y973" s="6"/>
      <c r="Z973" s="6"/>
    </row>
    <row r="974" spans="1:26" ht="12.75" x14ac:dyDescent="0.2">
      <c r="A974" s="36">
        <v>44545</v>
      </c>
      <c r="B974" s="29" t="s">
        <v>212</v>
      </c>
      <c r="C974" s="29">
        <v>87608972</v>
      </c>
      <c r="D974" s="37">
        <v>4000</v>
      </c>
      <c r="E974" s="18" t="s">
        <v>136</v>
      </c>
      <c r="F974" s="7">
        <v>44474</v>
      </c>
      <c r="G974" s="18"/>
      <c r="H974" s="16">
        <f t="shared" si="160"/>
        <v>15</v>
      </c>
      <c r="I974" s="16">
        <f t="shared" si="161"/>
        <v>12</v>
      </c>
      <c r="J974" s="122">
        <f t="shared" si="162"/>
        <v>2021</v>
      </c>
      <c r="K974" s="64">
        <f t="shared" si="163"/>
        <v>44605</v>
      </c>
      <c r="L974" s="6"/>
      <c r="M974" s="6"/>
      <c r="O974" s="208">
        <v>44619</v>
      </c>
      <c r="P974" s="209">
        <f t="shared" si="164"/>
        <v>0</v>
      </c>
      <c r="Q974" s="209">
        <f>+SUMIF('A DEPOSITAR'!$D$2:$D$998,(O974-2),'A DEPOSITAR'!$H$2:$H$998)</f>
        <v>0</v>
      </c>
      <c r="R974" s="210">
        <f t="shared" si="165"/>
        <v>0</v>
      </c>
      <c r="S974" s="210">
        <f t="shared" si="167"/>
        <v>3706249.830000001</v>
      </c>
      <c r="T974" s="209">
        <f t="shared" si="166"/>
        <v>0</v>
      </c>
      <c r="U974" s="209">
        <f>+SUMIFS('A DEPOSITAR'!$H$2:$H$998,'A DEPOSITAR'!$D$2:$D$998,(O974-2),'A DEPOSITAR'!$I$2:$I$998,"A Depositar")</f>
        <v>0</v>
      </c>
      <c r="V974" s="6"/>
      <c r="W974" s="6"/>
      <c r="X974" s="6"/>
      <c r="Y974" s="6"/>
      <c r="Z974" s="6"/>
    </row>
    <row r="975" spans="1:26" ht="12.75" x14ac:dyDescent="0.2">
      <c r="A975" s="36">
        <v>44530</v>
      </c>
      <c r="B975" s="29" t="s">
        <v>1291</v>
      </c>
      <c r="C975" s="29">
        <v>87608973</v>
      </c>
      <c r="D975" s="37">
        <v>7900</v>
      </c>
      <c r="E975" s="18" t="s">
        <v>136</v>
      </c>
      <c r="F975" s="7">
        <v>44474</v>
      </c>
      <c r="G975" s="18"/>
      <c r="H975" s="16">
        <f t="shared" si="160"/>
        <v>30</v>
      </c>
      <c r="I975" s="16">
        <f t="shared" si="161"/>
        <v>11</v>
      </c>
      <c r="J975" s="122">
        <f t="shared" si="162"/>
        <v>2021</v>
      </c>
      <c r="K975" s="64">
        <f t="shared" si="163"/>
        <v>44590</v>
      </c>
      <c r="L975" s="6"/>
      <c r="M975" s="6"/>
      <c r="O975" s="208">
        <v>44620</v>
      </c>
      <c r="P975" s="209">
        <f t="shared" si="164"/>
        <v>47229.83</v>
      </c>
      <c r="Q975" s="209">
        <f>+SUMIF('A DEPOSITAR'!$D$2:$D$998,(O975-2),'A DEPOSITAR'!$H$2:$H$998)</f>
        <v>0</v>
      </c>
      <c r="R975" s="210">
        <f t="shared" si="165"/>
        <v>-47229.83</v>
      </c>
      <c r="S975" s="210">
        <f t="shared" si="167"/>
        <v>3659020.0000000009</v>
      </c>
      <c r="T975" s="209">
        <f t="shared" si="166"/>
        <v>47229.83</v>
      </c>
      <c r="U975" s="209">
        <f>+SUMIFS('A DEPOSITAR'!$H$2:$H$998,'A DEPOSITAR'!$D$2:$D$998,(O975-2),'A DEPOSITAR'!$I$2:$I$998,"A Depositar")</f>
        <v>0</v>
      </c>
      <c r="V975" s="6"/>
      <c r="W975" s="6"/>
      <c r="X975" s="6"/>
      <c r="Y975" s="6"/>
      <c r="Z975" s="6"/>
    </row>
    <row r="976" spans="1:26" ht="12.75" x14ac:dyDescent="0.2">
      <c r="A976" s="36">
        <v>44538</v>
      </c>
      <c r="B976" s="29" t="s">
        <v>1291</v>
      </c>
      <c r="C976" s="29">
        <v>87608974</v>
      </c>
      <c r="D976" s="37">
        <v>8100</v>
      </c>
      <c r="E976" s="18" t="s">
        <v>136</v>
      </c>
      <c r="F976" s="7">
        <v>44474</v>
      </c>
      <c r="G976" s="18"/>
      <c r="H976" s="16">
        <f t="shared" si="160"/>
        <v>8</v>
      </c>
      <c r="I976" s="16">
        <f t="shared" si="161"/>
        <v>12</v>
      </c>
      <c r="J976" s="122">
        <f t="shared" si="162"/>
        <v>2021</v>
      </c>
      <c r="K976" s="64">
        <f t="shared" si="163"/>
        <v>44598</v>
      </c>
      <c r="L976" s="6"/>
      <c r="M976" s="6"/>
      <c r="O976" s="208">
        <v>44621</v>
      </c>
      <c r="P976" s="209">
        <f t="shared" si="164"/>
        <v>0</v>
      </c>
      <c r="Q976" s="209">
        <f>+SUMIF('A DEPOSITAR'!$D$2:$D$998,(O976-2),'A DEPOSITAR'!$H$2:$H$998)</f>
        <v>0</v>
      </c>
      <c r="R976" s="210">
        <f t="shared" si="165"/>
        <v>0</v>
      </c>
      <c r="S976" s="210">
        <f t="shared" si="167"/>
        <v>3659020.0000000009</v>
      </c>
      <c r="T976" s="209">
        <f t="shared" si="166"/>
        <v>0</v>
      </c>
      <c r="U976" s="209">
        <f>+SUMIFS('A DEPOSITAR'!$H$2:$H$998,'A DEPOSITAR'!$D$2:$D$998,(O976-2),'A DEPOSITAR'!$I$2:$I$998,"A Depositar")</f>
        <v>0</v>
      </c>
      <c r="V976" s="6"/>
      <c r="W976" s="6"/>
      <c r="X976" s="6"/>
      <c r="Y976" s="6"/>
      <c r="Z976" s="6"/>
    </row>
    <row r="977" spans="1:26" ht="12.75" x14ac:dyDescent="0.2">
      <c r="A977" s="36">
        <v>44546</v>
      </c>
      <c r="B977" s="29" t="s">
        <v>1291</v>
      </c>
      <c r="C977" s="29">
        <v>87608975</v>
      </c>
      <c r="D977" s="37">
        <v>8153.07</v>
      </c>
      <c r="E977" s="18" t="s">
        <v>136</v>
      </c>
      <c r="F977" s="7">
        <v>44474</v>
      </c>
      <c r="G977" s="18"/>
      <c r="H977" s="16">
        <f t="shared" si="160"/>
        <v>16</v>
      </c>
      <c r="I977" s="16">
        <f t="shared" si="161"/>
        <v>12</v>
      </c>
      <c r="J977" s="122">
        <f t="shared" si="162"/>
        <v>2021</v>
      </c>
      <c r="K977" s="64">
        <f t="shared" si="163"/>
        <v>44606</v>
      </c>
      <c r="L977" s="6"/>
      <c r="M977" s="6"/>
      <c r="O977" s="208">
        <v>44622</v>
      </c>
      <c r="P977" s="209">
        <f t="shared" si="164"/>
        <v>0</v>
      </c>
      <c r="Q977" s="209">
        <f>+SUMIF('A DEPOSITAR'!$D$2:$D$998,(O977-2),'A DEPOSITAR'!$H$2:$H$998)</f>
        <v>0</v>
      </c>
      <c r="R977" s="210">
        <f t="shared" si="165"/>
        <v>0</v>
      </c>
      <c r="S977" s="210">
        <f t="shared" si="167"/>
        <v>3659020.0000000009</v>
      </c>
      <c r="T977" s="209">
        <f t="shared" si="166"/>
        <v>0</v>
      </c>
      <c r="U977" s="209">
        <f>+SUMIFS('A DEPOSITAR'!$H$2:$H$998,'A DEPOSITAR'!$D$2:$D$998,(O977-2),'A DEPOSITAR'!$I$2:$I$998,"A Depositar")</f>
        <v>0</v>
      </c>
      <c r="V977" s="6"/>
      <c r="W977" s="6"/>
      <c r="X977" s="6"/>
      <c r="Y977" s="6"/>
      <c r="Z977" s="6"/>
    </row>
    <row r="978" spans="1:26" ht="12.75" x14ac:dyDescent="0.2">
      <c r="A978" s="36">
        <v>44485</v>
      </c>
      <c r="B978" s="29" t="s">
        <v>1282</v>
      </c>
      <c r="C978" s="29" t="s">
        <v>230</v>
      </c>
      <c r="D978" s="37">
        <v>5687.31</v>
      </c>
      <c r="E978" s="18" t="s">
        <v>22</v>
      </c>
      <c r="F978" s="7">
        <v>44448</v>
      </c>
      <c r="G978" s="18"/>
      <c r="H978" s="16">
        <f t="shared" si="160"/>
        <v>16</v>
      </c>
      <c r="I978" s="16">
        <f t="shared" si="161"/>
        <v>10</v>
      </c>
      <c r="J978" s="122">
        <f t="shared" si="162"/>
        <v>2021</v>
      </c>
      <c r="K978" s="64">
        <f t="shared" si="163"/>
        <v>44545</v>
      </c>
      <c r="L978" s="6"/>
      <c r="M978" s="6"/>
      <c r="O978" s="208">
        <v>44623</v>
      </c>
      <c r="P978" s="209">
        <f t="shared" si="164"/>
        <v>0</v>
      </c>
      <c r="Q978" s="209">
        <f>+SUMIF('A DEPOSITAR'!$D$2:$D$998,(O978-2),'A DEPOSITAR'!$H$2:$H$998)</f>
        <v>0</v>
      </c>
      <c r="R978" s="210">
        <f t="shared" si="165"/>
        <v>0</v>
      </c>
      <c r="S978" s="210">
        <f t="shared" si="167"/>
        <v>3659020.0000000009</v>
      </c>
      <c r="T978" s="209">
        <f t="shared" si="166"/>
        <v>0</v>
      </c>
      <c r="U978" s="209">
        <f>+SUMIFS('A DEPOSITAR'!$H$2:$H$998,'A DEPOSITAR'!$D$2:$D$998,(O978-2),'A DEPOSITAR'!$I$2:$I$998,"A Depositar")</f>
        <v>0</v>
      </c>
      <c r="V978" s="6"/>
      <c r="W978" s="6"/>
      <c r="X978" s="6"/>
      <c r="Y978" s="6"/>
      <c r="Z978" s="6"/>
    </row>
    <row r="979" spans="1:26" ht="12.75" x14ac:dyDescent="0.2">
      <c r="A979" s="36">
        <v>44516</v>
      </c>
      <c r="B979" s="29" t="s">
        <v>1282</v>
      </c>
      <c r="C979" s="29" t="s">
        <v>231</v>
      </c>
      <c r="D979" s="37">
        <v>5687.31</v>
      </c>
      <c r="E979" s="18" t="s">
        <v>136</v>
      </c>
      <c r="F979" s="34">
        <v>44448</v>
      </c>
      <c r="G979" s="18"/>
      <c r="H979" s="16">
        <f t="shared" si="160"/>
        <v>16</v>
      </c>
      <c r="I979" s="16">
        <f t="shared" si="161"/>
        <v>11</v>
      </c>
      <c r="J979" s="122">
        <f t="shared" si="162"/>
        <v>2021</v>
      </c>
      <c r="K979" s="64">
        <f t="shared" si="163"/>
        <v>44576</v>
      </c>
      <c r="L979" s="6"/>
      <c r="M979" s="6"/>
      <c r="O979" s="208">
        <v>44624</v>
      </c>
      <c r="P979" s="209">
        <f t="shared" si="164"/>
        <v>0</v>
      </c>
      <c r="Q979" s="209">
        <f>+SUMIF('A DEPOSITAR'!$D$2:$D$998,(O979-2),'A DEPOSITAR'!$H$2:$H$998)</f>
        <v>0</v>
      </c>
      <c r="R979" s="210">
        <f t="shared" si="165"/>
        <v>0</v>
      </c>
      <c r="S979" s="210">
        <f t="shared" si="167"/>
        <v>3659020.0000000009</v>
      </c>
      <c r="T979" s="209">
        <f t="shared" si="166"/>
        <v>0</v>
      </c>
      <c r="U979" s="209">
        <f>+SUMIFS('A DEPOSITAR'!$H$2:$H$998,'A DEPOSITAR'!$D$2:$D$998,(O979-2),'A DEPOSITAR'!$I$2:$I$998,"A Depositar")</f>
        <v>0</v>
      </c>
      <c r="V979" s="6"/>
      <c r="W979" s="6"/>
      <c r="X979" s="6"/>
      <c r="Y979" s="6"/>
      <c r="Z979" s="6"/>
    </row>
    <row r="980" spans="1:26" ht="12.75" x14ac:dyDescent="0.2">
      <c r="A980" s="36">
        <v>44546</v>
      </c>
      <c r="B980" s="29" t="s">
        <v>1282</v>
      </c>
      <c r="C980" s="29" t="s">
        <v>232</v>
      </c>
      <c r="D980" s="37">
        <v>5687.31</v>
      </c>
      <c r="E980" s="18" t="s">
        <v>136</v>
      </c>
      <c r="F980" s="34">
        <v>44448</v>
      </c>
      <c r="G980" s="18"/>
      <c r="H980" s="16">
        <f t="shared" si="160"/>
        <v>16</v>
      </c>
      <c r="I980" s="16">
        <f t="shared" si="161"/>
        <v>12</v>
      </c>
      <c r="J980" s="122">
        <f t="shared" si="162"/>
        <v>2021</v>
      </c>
      <c r="K980" s="64">
        <f t="shared" si="163"/>
        <v>44606</v>
      </c>
      <c r="L980" s="6"/>
      <c r="M980" s="6"/>
      <c r="O980" s="208">
        <v>44625</v>
      </c>
      <c r="P980" s="209">
        <f t="shared" si="164"/>
        <v>0</v>
      </c>
      <c r="Q980" s="209">
        <f>+SUMIF('A DEPOSITAR'!$D$2:$D$998,(O980-2),'A DEPOSITAR'!$H$2:$H$998)</f>
        <v>0</v>
      </c>
      <c r="R980" s="210">
        <f t="shared" si="165"/>
        <v>0</v>
      </c>
      <c r="S980" s="210">
        <f t="shared" si="167"/>
        <v>3659020.0000000009</v>
      </c>
      <c r="T980" s="209">
        <f t="shared" si="166"/>
        <v>0</v>
      </c>
      <c r="U980" s="209">
        <f>+SUMIFS('A DEPOSITAR'!$H$2:$H$998,'A DEPOSITAR'!$D$2:$D$998,(O980-2),'A DEPOSITAR'!$I$2:$I$998,"A Depositar")</f>
        <v>0</v>
      </c>
      <c r="V980" s="6"/>
      <c r="W980" s="6"/>
      <c r="X980" s="6"/>
      <c r="Y980" s="6"/>
      <c r="Z980" s="6"/>
    </row>
    <row r="981" spans="1:26" ht="12.75" x14ac:dyDescent="0.2">
      <c r="A981" s="36">
        <v>44508</v>
      </c>
      <c r="B981" s="29" t="s">
        <v>139</v>
      </c>
      <c r="C981" s="29">
        <v>89033575</v>
      </c>
      <c r="D981" s="37">
        <v>48000</v>
      </c>
      <c r="E981" s="29" t="s">
        <v>136</v>
      </c>
      <c r="F981" s="7">
        <v>44483</v>
      </c>
      <c r="G981" s="18"/>
      <c r="H981" s="16">
        <f t="shared" si="160"/>
        <v>8</v>
      </c>
      <c r="I981" s="16">
        <f t="shared" si="161"/>
        <v>11</v>
      </c>
      <c r="J981" s="122">
        <f t="shared" si="162"/>
        <v>2021</v>
      </c>
      <c r="K981" s="64">
        <f t="shared" si="163"/>
        <v>44568</v>
      </c>
      <c r="L981" s="6"/>
      <c r="M981" s="6"/>
      <c r="O981" s="208">
        <v>44626</v>
      </c>
      <c r="P981" s="209">
        <f t="shared" si="164"/>
        <v>0</v>
      </c>
      <c r="Q981" s="209">
        <f>+SUMIF('A DEPOSITAR'!$D$2:$D$998,(O981-2),'A DEPOSITAR'!$H$2:$H$998)</f>
        <v>0</v>
      </c>
      <c r="R981" s="210">
        <f t="shared" si="165"/>
        <v>0</v>
      </c>
      <c r="S981" s="210">
        <f t="shared" si="167"/>
        <v>3659020.0000000009</v>
      </c>
      <c r="T981" s="209">
        <f t="shared" si="166"/>
        <v>0</v>
      </c>
      <c r="U981" s="209">
        <f>+SUMIFS('A DEPOSITAR'!$H$2:$H$998,'A DEPOSITAR'!$D$2:$D$998,(O981-2),'A DEPOSITAR'!$I$2:$I$998,"A Depositar")</f>
        <v>0</v>
      </c>
      <c r="V981" s="6"/>
      <c r="W981" s="6"/>
      <c r="X981" s="6"/>
      <c r="Y981" s="6"/>
      <c r="Z981" s="6"/>
    </row>
    <row r="982" spans="1:26" ht="12.75" x14ac:dyDescent="0.2">
      <c r="A982" s="36">
        <v>44516</v>
      </c>
      <c r="B982" s="29" t="s">
        <v>139</v>
      </c>
      <c r="C982" s="29">
        <v>89033576</v>
      </c>
      <c r="D982" s="37">
        <v>51000</v>
      </c>
      <c r="E982" s="29" t="s">
        <v>136</v>
      </c>
      <c r="F982" s="34">
        <v>44483</v>
      </c>
      <c r="G982" s="18"/>
      <c r="H982" s="16">
        <f t="shared" si="160"/>
        <v>16</v>
      </c>
      <c r="I982" s="16">
        <f t="shared" si="161"/>
        <v>11</v>
      </c>
      <c r="J982" s="122">
        <f t="shared" si="162"/>
        <v>2021</v>
      </c>
      <c r="K982" s="64">
        <f t="shared" si="163"/>
        <v>44576</v>
      </c>
      <c r="L982" s="6"/>
      <c r="M982" s="6"/>
      <c r="O982" s="208">
        <v>44627</v>
      </c>
      <c r="P982" s="209">
        <f t="shared" si="164"/>
        <v>0</v>
      </c>
      <c r="Q982" s="209">
        <f>+SUMIF('A DEPOSITAR'!$D$2:$D$998,(O982-2),'A DEPOSITAR'!$H$2:$H$998)</f>
        <v>0</v>
      </c>
      <c r="R982" s="210">
        <f t="shared" si="165"/>
        <v>0</v>
      </c>
      <c r="S982" s="210">
        <f t="shared" si="167"/>
        <v>3659020.0000000009</v>
      </c>
      <c r="T982" s="209">
        <f t="shared" si="166"/>
        <v>0</v>
      </c>
      <c r="U982" s="209">
        <f>+SUMIFS('A DEPOSITAR'!$H$2:$H$998,'A DEPOSITAR'!$D$2:$D$998,(O982-2),'A DEPOSITAR'!$I$2:$I$998,"A Depositar")</f>
        <v>0</v>
      </c>
      <c r="V982" s="6"/>
      <c r="W982" s="6"/>
      <c r="X982" s="6"/>
      <c r="Y982" s="6"/>
      <c r="Z982" s="6"/>
    </row>
    <row r="983" spans="1:26" ht="12.75" x14ac:dyDescent="0.2">
      <c r="A983" s="36">
        <v>44522</v>
      </c>
      <c r="B983" s="29" t="s">
        <v>139</v>
      </c>
      <c r="C983" s="29">
        <v>89033577</v>
      </c>
      <c r="D983" s="37">
        <v>53000</v>
      </c>
      <c r="E983" s="29" t="s">
        <v>136</v>
      </c>
      <c r="F983" s="34">
        <v>44483</v>
      </c>
      <c r="G983" s="18"/>
      <c r="H983" s="16">
        <f t="shared" ref="H983:H998" si="168">DAY(A983)</f>
        <v>22</v>
      </c>
      <c r="I983" s="16">
        <f t="shared" ref="I983:I998" si="169">MONTH(A983)</f>
        <v>11</v>
      </c>
      <c r="J983" s="122">
        <f t="shared" ref="J983:J998" si="170">YEAR(A983)</f>
        <v>2021</v>
      </c>
      <c r="K983" s="64">
        <f t="shared" si="163"/>
        <v>44582</v>
      </c>
      <c r="L983" s="6"/>
      <c r="M983" s="6"/>
      <c r="O983" s="208">
        <v>44628</v>
      </c>
      <c r="P983" s="209">
        <f t="shared" si="164"/>
        <v>0</v>
      </c>
      <c r="Q983" s="209">
        <f>+SUMIF('A DEPOSITAR'!$D$2:$D$998,(O983-2),'A DEPOSITAR'!$H$2:$H$998)</f>
        <v>0</v>
      </c>
      <c r="R983" s="210">
        <f t="shared" si="165"/>
        <v>0</v>
      </c>
      <c r="S983" s="210">
        <f t="shared" si="167"/>
        <v>3659020.0000000009</v>
      </c>
      <c r="T983" s="209">
        <f t="shared" si="166"/>
        <v>0</v>
      </c>
      <c r="U983" s="209">
        <f>+SUMIFS('A DEPOSITAR'!$H$2:$H$998,'A DEPOSITAR'!$D$2:$D$998,(O983-2),'A DEPOSITAR'!$I$2:$I$998,"A Depositar")</f>
        <v>0</v>
      </c>
      <c r="V983" s="6"/>
      <c r="W983" s="6"/>
      <c r="X983" s="6"/>
      <c r="Y983" s="6"/>
      <c r="Z983" s="6"/>
    </row>
    <row r="984" spans="1:26" ht="12.75" x14ac:dyDescent="0.2">
      <c r="A984" s="36">
        <v>44530</v>
      </c>
      <c r="B984" s="29" t="s">
        <v>139</v>
      </c>
      <c r="C984" s="29">
        <v>89033578</v>
      </c>
      <c r="D984" s="37">
        <v>54125.35</v>
      </c>
      <c r="E984" s="29" t="s">
        <v>136</v>
      </c>
      <c r="F984" s="34">
        <v>44483</v>
      </c>
      <c r="G984" s="18"/>
      <c r="H984" s="16">
        <f t="shared" si="168"/>
        <v>30</v>
      </c>
      <c r="I984" s="16">
        <f t="shared" si="169"/>
        <v>11</v>
      </c>
      <c r="J984" s="122">
        <f t="shared" si="170"/>
        <v>2021</v>
      </c>
      <c r="K984" s="64">
        <f t="shared" si="163"/>
        <v>44590</v>
      </c>
      <c r="L984" s="6"/>
      <c r="M984" s="6"/>
      <c r="O984" s="208">
        <v>44629</v>
      </c>
      <c r="P984" s="209">
        <f t="shared" si="164"/>
        <v>0</v>
      </c>
      <c r="Q984" s="209">
        <f>+SUMIF('A DEPOSITAR'!$D$2:$D$998,(O984-2),'A DEPOSITAR'!$H$2:$H$998)</f>
        <v>0</v>
      </c>
      <c r="R984" s="210">
        <f t="shared" si="165"/>
        <v>0</v>
      </c>
      <c r="S984" s="210">
        <f t="shared" si="167"/>
        <v>3659020.0000000009</v>
      </c>
      <c r="T984" s="209">
        <f t="shared" si="166"/>
        <v>0</v>
      </c>
      <c r="U984" s="209">
        <f>+SUMIFS('A DEPOSITAR'!$H$2:$H$998,'A DEPOSITAR'!$D$2:$D$998,(O984-2),'A DEPOSITAR'!$I$2:$I$998,"A Depositar")</f>
        <v>0</v>
      </c>
      <c r="V984" s="6"/>
      <c r="W984" s="6"/>
      <c r="X984" s="6"/>
      <c r="Y984" s="6"/>
      <c r="Z984" s="6"/>
    </row>
    <row r="985" spans="1:26" ht="12.75" x14ac:dyDescent="0.2">
      <c r="A985" s="36">
        <v>44538</v>
      </c>
      <c r="B985" s="29" t="s">
        <v>139</v>
      </c>
      <c r="C985" s="29">
        <v>89033579</v>
      </c>
      <c r="D985" s="37">
        <v>57000</v>
      </c>
      <c r="E985" s="29" t="s">
        <v>136</v>
      </c>
      <c r="F985" s="34">
        <v>44483</v>
      </c>
      <c r="G985" s="18"/>
      <c r="H985" s="16">
        <f t="shared" si="168"/>
        <v>8</v>
      </c>
      <c r="I985" s="16">
        <f t="shared" si="169"/>
        <v>12</v>
      </c>
      <c r="J985" s="122">
        <f t="shared" si="170"/>
        <v>2021</v>
      </c>
      <c r="K985" s="64">
        <f t="shared" si="163"/>
        <v>44598</v>
      </c>
      <c r="L985" s="6"/>
      <c r="M985" s="6"/>
      <c r="O985" s="208">
        <v>44630</v>
      </c>
      <c r="P985" s="209">
        <f t="shared" si="164"/>
        <v>0</v>
      </c>
      <c r="Q985" s="209">
        <f>+SUMIF('A DEPOSITAR'!$D$2:$D$998,(O985-2),'A DEPOSITAR'!$H$2:$H$998)</f>
        <v>0</v>
      </c>
      <c r="R985" s="210">
        <f t="shared" si="165"/>
        <v>0</v>
      </c>
      <c r="S985" s="210">
        <f t="shared" si="167"/>
        <v>3659020.0000000009</v>
      </c>
      <c r="T985" s="209">
        <f t="shared" si="166"/>
        <v>0</v>
      </c>
      <c r="U985" s="209">
        <f>+SUMIFS('A DEPOSITAR'!$H$2:$H$998,'A DEPOSITAR'!$D$2:$D$998,(O985-2),'A DEPOSITAR'!$I$2:$I$998,"A Depositar")</f>
        <v>0</v>
      </c>
      <c r="V985" s="6"/>
      <c r="W985" s="6"/>
      <c r="X985" s="6"/>
      <c r="Y985" s="6"/>
      <c r="Z985" s="6"/>
    </row>
    <row r="986" spans="1:26" ht="12.75" x14ac:dyDescent="0.2">
      <c r="A986" s="36">
        <v>44546</v>
      </c>
      <c r="B986" s="29" t="s">
        <v>139</v>
      </c>
      <c r="C986" s="29">
        <v>89033580</v>
      </c>
      <c r="D986" s="37">
        <v>59000</v>
      </c>
      <c r="E986" s="29" t="s">
        <v>136</v>
      </c>
      <c r="F986" s="34">
        <v>44483</v>
      </c>
      <c r="G986" s="18"/>
      <c r="H986" s="16">
        <f t="shared" si="168"/>
        <v>16</v>
      </c>
      <c r="I986" s="16">
        <f t="shared" si="169"/>
        <v>12</v>
      </c>
      <c r="J986" s="122">
        <f t="shared" si="170"/>
        <v>2021</v>
      </c>
      <c r="K986" s="64">
        <f t="shared" si="163"/>
        <v>44606</v>
      </c>
      <c r="L986" s="6"/>
      <c r="M986" s="6"/>
      <c r="O986" s="208">
        <v>44631</v>
      </c>
      <c r="P986" s="209">
        <f t="shared" si="164"/>
        <v>0</v>
      </c>
      <c r="Q986" s="209">
        <f>+SUMIF('A DEPOSITAR'!$D$2:$D$998,(O986-2),'A DEPOSITAR'!$H$2:$H$998)</f>
        <v>0</v>
      </c>
      <c r="R986" s="210">
        <f t="shared" si="165"/>
        <v>0</v>
      </c>
      <c r="S986" s="210">
        <f t="shared" si="167"/>
        <v>3659020.0000000009</v>
      </c>
      <c r="T986" s="209">
        <f t="shared" si="166"/>
        <v>0</v>
      </c>
      <c r="U986" s="209">
        <f>+SUMIFS('A DEPOSITAR'!$H$2:$H$998,'A DEPOSITAR'!$D$2:$D$998,(O986-2),'A DEPOSITAR'!$I$2:$I$998,"A Depositar")</f>
        <v>0</v>
      </c>
      <c r="V986" s="6"/>
      <c r="W986" s="6"/>
      <c r="X986" s="6"/>
      <c r="Y986" s="6"/>
      <c r="Z986" s="6"/>
    </row>
    <row r="987" spans="1:26" ht="12.75" x14ac:dyDescent="0.2">
      <c r="A987" s="36">
        <v>44552</v>
      </c>
      <c r="B987" s="29" t="s">
        <v>139</v>
      </c>
      <c r="C987" s="29">
        <v>89033581</v>
      </c>
      <c r="D987" s="37">
        <v>60000</v>
      </c>
      <c r="E987" s="29" t="s">
        <v>136</v>
      </c>
      <c r="F987" s="34">
        <v>44483</v>
      </c>
      <c r="G987" s="18"/>
      <c r="H987" s="16">
        <f t="shared" si="168"/>
        <v>22</v>
      </c>
      <c r="I987" s="16">
        <f t="shared" si="169"/>
        <v>12</v>
      </c>
      <c r="J987" s="122">
        <f t="shared" si="170"/>
        <v>2021</v>
      </c>
      <c r="K987" s="64">
        <f t="shared" si="163"/>
        <v>44612</v>
      </c>
      <c r="L987" s="6"/>
      <c r="M987" s="6"/>
      <c r="O987" s="208">
        <v>44632</v>
      </c>
      <c r="P987" s="209">
        <f t="shared" si="164"/>
        <v>0</v>
      </c>
      <c r="Q987" s="209">
        <f>+SUMIF('A DEPOSITAR'!$D$2:$D$998,(O987-2),'A DEPOSITAR'!$H$2:$H$998)</f>
        <v>0</v>
      </c>
      <c r="R987" s="210">
        <f t="shared" si="165"/>
        <v>0</v>
      </c>
      <c r="S987" s="210">
        <f t="shared" si="167"/>
        <v>3659020.0000000009</v>
      </c>
      <c r="T987" s="209">
        <f t="shared" si="166"/>
        <v>0</v>
      </c>
      <c r="U987" s="209">
        <f>+SUMIFS('A DEPOSITAR'!$H$2:$H$998,'A DEPOSITAR'!$D$2:$D$998,(O987-2),'A DEPOSITAR'!$I$2:$I$998,"A Depositar")</f>
        <v>0</v>
      </c>
      <c r="V987" s="6"/>
      <c r="W987" s="6"/>
      <c r="X987" s="6"/>
      <c r="Y987" s="6"/>
      <c r="Z987" s="6"/>
    </row>
    <row r="988" spans="1:26" ht="12.75" x14ac:dyDescent="0.2">
      <c r="A988" s="36"/>
      <c r="B988" s="29"/>
      <c r="C988" s="29">
        <v>89033582</v>
      </c>
      <c r="D988" s="37"/>
      <c r="E988" s="18"/>
      <c r="F988" s="7"/>
      <c r="G988" s="18"/>
      <c r="H988" s="16">
        <f t="shared" si="168"/>
        <v>0</v>
      </c>
      <c r="I988" s="16">
        <f t="shared" si="169"/>
        <v>1</v>
      </c>
      <c r="J988" s="122">
        <f t="shared" si="170"/>
        <v>1900</v>
      </c>
      <c r="K988" s="64">
        <f t="shared" si="163"/>
        <v>60</v>
      </c>
      <c r="L988" s="6"/>
      <c r="M988" s="6"/>
      <c r="O988" s="208">
        <v>44633</v>
      </c>
      <c r="P988" s="209">
        <f t="shared" si="164"/>
        <v>0</v>
      </c>
      <c r="Q988" s="209">
        <f>+SUMIF('A DEPOSITAR'!$D$2:$D$998,(O988-2),'A DEPOSITAR'!$H$2:$H$998)</f>
        <v>0</v>
      </c>
      <c r="R988" s="210">
        <f t="shared" si="165"/>
        <v>0</v>
      </c>
      <c r="S988" s="210">
        <f t="shared" si="167"/>
        <v>3659020.0000000009</v>
      </c>
      <c r="T988" s="209">
        <f t="shared" si="166"/>
        <v>0</v>
      </c>
      <c r="U988" s="209">
        <f>+SUMIFS('A DEPOSITAR'!$H$2:$H$998,'A DEPOSITAR'!$D$2:$D$998,(O988-2),'A DEPOSITAR'!$I$2:$I$998,"A Depositar")</f>
        <v>0</v>
      </c>
      <c r="V988" s="6"/>
      <c r="W988" s="6"/>
      <c r="X988" s="6"/>
      <c r="Y988" s="6"/>
      <c r="Z988" s="6"/>
    </row>
    <row r="989" spans="1:26" ht="12.75" x14ac:dyDescent="0.2">
      <c r="A989" s="36"/>
      <c r="B989" s="29"/>
      <c r="C989" s="29">
        <v>89033583</v>
      </c>
      <c r="D989" s="37"/>
      <c r="E989" s="18"/>
      <c r="F989" s="7"/>
      <c r="G989" s="18"/>
      <c r="H989" s="16">
        <f t="shared" si="168"/>
        <v>0</v>
      </c>
      <c r="I989" s="16">
        <f t="shared" si="169"/>
        <v>1</v>
      </c>
      <c r="J989" s="122">
        <f t="shared" si="170"/>
        <v>1900</v>
      </c>
      <c r="K989" s="64">
        <f t="shared" si="163"/>
        <v>60</v>
      </c>
      <c r="L989" s="6"/>
      <c r="M989" s="6"/>
      <c r="O989" s="208">
        <v>44634</v>
      </c>
      <c r="P989" s="209">
        <f t="shared" si="164"/>
        <v>0</v>
      </c>
      <c r="Q989" s="209">
        <f>+SUMIF('A DEPOSITAR'!$D$2:$D$998,(O989-2),'A DEPOSITAR'!$H$2:$H$998)</f>
        <v>0</v>
      </c>
      <c r="R989" s="210">
        <f t="shared" si="165"/>
        <v>0</v>
      </c>
      <c r="S989" s="210">
        <f t="shared" si="167"/>
        <v>3659020.0000000009</v>
      </c>
      <c r="T989" s="209">
        <f t="shared" si="166"/>
        <v>0</v>
      </c>
      <c r="U989" s="209">
        <f>+SUMIFS('A DEPOSITAR'!$H$2:$H$998,'A DEPOSITAR'!$D$2:$D$998,(O989-2),'A DEPOSITAR'!$I$2:$I$998,"A Depositar")</f>
        <v>0</v>
      </c>
      <c r="V989" s="6"/>
      <c r="W989" s="6"/>
      <c r="X989" s="6"/>
      <c r="Y989" s="6"/>
      <c r="Z989" s="6"/>
    </row>
    <row r="990" spans="1:26" ht="12.75" x14ac:dyDescent="0.2">
      <c r="A990" s="36"/>
      <c r="B990" s="29"/>
      <c r="C990" s="29">
        <v>89033584</v>
      </c>
      <c r="D990" s="37"/>
      <c r="E990" s="18"/>
      <c r="F990" s="7"/>
      <c r="G990" s="18"/>
      <c r="H990" s="16">
        <f t="shared" si="168"/>
        <v>0</v>
      </c>
      <c r="I990" s="16">
        <f t="shared" si="169"/>
        <v>1</v>
      </c>
      <c r="J990" s="122">
        <f t="shared" si="170"/>
        <v>1900</v>
      </c>
      <c r="K990" s="64">
        <f t="shared" si="163"/>
        <v>60</v>
      </c>
      <c r="L990" s="6"/>
      <c r="M990" s="6"/>
      <c r="O990" s="208">
        <v>44635</v>
      </c>
      <c r="P990" s="209">
        <f t="shared" si="164"/>
        <v>0</v>
      </c>
      <c r="Q990" s="209">
        <f>+SUMIF('A DEPOSITAR'!$D$2:$D$998,(O990-2),'A DEPOSITAR'!$H$2:$H$998)</f>
        <v>0</v>
      </c>
      <c r="R990" s="210">
        <f t="shared" si="165"/>
        <v>0</v>
      </c>
      <c r="S990" s="210">
        <f t="shared" si="167"/>
        <v>3659020.0000000009</v>
      </c>
      <c r="T990" s="209">
        <f t="shared" si="166"/>
        <v>0</v>
      </c>
      <c r="U990" s="209">
        <f>+SUMIFS('A DEPOSITAR'!$H$2:$H$998,'A DEPOSITAR'!$D$2:$D$998,(O990-2),'A DEPOSITAR'!$I$2:$I$998,"A Depositar")</f>
        <v>0</v>
      </c>
      <c r="V990" s="6"/>
      <c r="W990" s="6"/>
      <c r="X990" s="6"/>
      <c r="Y990" s="6"/>
      <c r="Z990" s="6"/>
    </row>
    <row r="991" spans="1:26" ht="12.75" x14ac:dyDescent="0.2">
      <c r="A991" s="36"/>
      <c r="B991" s="29"/>
      <c r="C991" s="29">
        <v>89033585</v>
      </c>
      <c r="D991" s="37"/>
      <c r="E991" s="18"/>
      <c r="F991" s="7"/>
      <c r="G991" s="18"/>
      <c r="H991" s="16">
        <f t="shared" si="168"/>
        <v>0</v>
      </c>
      <c r="I991" s="16">
        <f t="shared" si="169"/>
        <v>1</v>
      </c>
      <c r="J991" s="122">
        <f t="shared" si="170"/>
        <v>1900</v>
      </c>
      <c r="K991" s="64">
        <f t="shared" si="163"/>
        <v>60</v>
      </c>
      <c r="L991" s="6"/>
      <c r="M991" s="6"/>
      <c r="O991" s="208">
        <v>44636</v>
      </c>
      <c r="P991" s="209">
        <f t="shared" si="164"/>
        <v>4109.13</v>
      </c>
      <c r="Q991" s="209">
        <f>+SUMIF('A DEPOSITAR'!$D$2:$D$998,(O991-2),'A DEPOSITAR'!$H$2:$H$998)</f>
        <v>0</v>
      </c>
      <c r="R991" s="210">
        <f t="shared" si="165"/>
        <v>-4109.13</v>
      </c>
      <c r="S991" s="210">
        <f t="shared" si="167"/>
        <v>3654910.870000001</v>
      </c>
      <c r="T991" s="209">
        <f t="shared" si="166"/>
        <v>4109.13</v>
      </c>
      <c r="U991" s="209">
        <f>+SUMIFS('A DEPOSITAR'!$H$2:$H$998,'A DEPOSITAR'!$D$2:$D$998,(O991-2),'A DEPOSITAR'!$I$2:$I$998,"A Depositar")</f>
        <v>0</v>
      </c>
      <c r="V991" s="6"/>
      <c r="W991" s="6"/>
      <c r="X991" s="6"/>
      <c r="Y991" s="6"/>
      <c r="Z991" s="6"/>
    </row>
    <row r="992" spans="1:26" ht="12.75" x14ac:dyDescent="0.2">
      <c r="A992" s="36"/>
      <c r="B992" s="29"/>
      <c r="C992" s="29">
        <v>89033586</v>
      </c>
      <c r="D992" s="37"/>
      <c r="E992" s="18"/>
      <c r="F992" s="7"/>
      <c r="G992" s="18"/>
      <c r="H992" s="16">
        <f t="shared" si="168"/>
        <v>0</v>
      </c>
      <c r="I992" s="16">
        <f t="shared" si="169"/>
        <v>1</v>
      </c>
      <c r="J992" s="122">
        <f t="shared" si="170"/>
        <v>1900</v>
      </c>
      <c r="K992" s="64">
        <f t="shared" si="163"/>
        <v>60</v>
      </c>
      <c r="L992" s="6"/>
      <c r="M992" s="6"/>
      <c r="O992" s="208">
        <v>44637</v>
      </c>
      <c r="P992" s="209">
        <f t="shared" si="164"/>
        <v>0</v>
      </c>
      <c r="Q992" s="209">
        <f>+SUMIF('A DEPOSITAR'!$D$2:$D$998,(O992-2),'A DEPOSITAR'!$H$2:$H$998)</f>
        <v>0</v>
      </c>
      <c r="R992" s="210">
        <f t="shared" si="165"/>
        <v>0</v>
      </c>
      <c r="S992" s="210">
        <f t="shared" si="167"/>
        <v>3654910.870000001</v>
      </c>
      <c r="T992" s="209">
        <f t="shared" si="166"/>
        <v>0</v>
      </c>
      <c r="U992" s="209">
        <f>+SUMIFS('A DEPOSITAR'!$H$2:$H$998,'A DEPOSITAR'!$D$2:$D$998,(O992-2),'A DEPOSITAR'!$I$2:$I$998,"A Depositar")</f>
        <v>0</v>
      </c>
      <c r="V992" s="6"/>
      <c r="W992" s="6"/>
      <c r="X992" s="6"/>
      <c r="Y992" s="6"/>
      <c r="Z992" s="6"/>
    </row>
    <row r="993" spans="1:26" ht="12.75" x14ac:dyDescent="0.2">
      <c r="A993" s="36"/>
      <c r="B993" s="29"/>
      <c r="C993" s="29">
        <v>89033587</v>
      </c>
      <c r="D993" s="37"/>
      <c r="E993" s="18"/>
      <c r="F993" s="7"/>
      <c r="G993" s="18"/>
      <c r="H993" s="16">
        <f t="shared" si="168"/>
        <v>0</v>
      </c>
      <c r="I993" s="16">
        <f t="shared" si="169"/>
        <v>1</v>
      </c>
      <c r="J993" s="122">
        <f t="shared" si="170"/>
        <v>1900</v>
      </c>
      <c r="K993" s="64">
        <f t="shared" si="163"/>
        <v>60</v>
      </c>
      <c r="L993" s="6"/>
      <c r="M993" s="6"/>
      <c r="O993" s="208">
        <v>44638</v>
      </c>
      <c r="P993" s="209">
        <f t="shared" si="164"/>
        <v>0</v>
      </c>
      <c r="Q993" s="209">
        <f>+SUMIF('A DEPOSITAR'!$D$2:$D$998,(O993-2),'A DEPOSITAR'!$H$2:$H$998)</f>
        <v>0</v>
      </c>
      <c r="R993" s="210">
        <f t="shared" si="165"/>
        <v>0</v>
      </c>
      <c r="S993" s="210">
        <f t="shared" si="167"/>
        <v>3654910.870000001</v>
      </c>
      <c r="T993" s="209">
        <f t="shared" si="166"/>
        <v>0</v>
      </c>
      <c r="U993" s="209">
        <f>+SUMIFS('A DEPOSITAR'!$H$2:$H$998,'A DEPOSITAR'!$D$2:$D$998,(O993-2),'A DEPOSITAR'!$I$2:$I$998,"A Depositar")</f>
        <v>0</v>
      </c>
      <c r="V993" s="6"/>
      <c r="W993" s="6"/>
      <c r="X993" s="6"/>
      <c r="Y993" s="6"/>
      <c r="Z993" s="6"/>
    </row>
    <row r="994" spans="1:26" ht="12.75" x14ac:dyDescent="0.2">
      <c r="A994" s="36"/>
      <c r="B994" s="29"/>
      <c r="C994" s="29">
        <v>89033588</v>
      </c>
      <c r="D994" s="37"/>
      <c r="E994" s="18"/>
      <c r="F994" s="7"/>
      <c r="G994" s="18"/>
      <c r="H994" s="16">
        <f t="shared" si="168"/>
        <v>0</v>
      </c>
      <c r="I994" s="16">
        <f t="shared" si="169"/>
        <v>1</v>
      </c>
      <c r="J994" s="122">
        <f t="shared" si="170"/>
        <v>1900</v>
      </c>
      <c r="K994" s="64">
        <f t="shared" si="163"/>
        <v>60</v>
      </c>
      <c r="L994" s="6"/>
      <c r="M994" s="6"/>
      <c r="O994" s="208">
        <v>44639</v>
      </c>
      <c r="P994" s="209">
        <f t="shared" si="164"/>
        <v>0</v>
      </c>
      <c r="Q994" s="209">
        <f>+SUMIF('A DEPOSITAR'!$D$2:$D$998,(O994-2),'A DEPOSITAR'!$H$2:$H$998)</f>
        <v>0</v>
      </c>
      <c r="R994" s="210">
        <f t="shared" si="165"/>
        <v>0</v>
      </c>
      <c r="S994" s="210">
        <f t="shared" si="167"/>
        <v>3654910.870000001</v>
      </c>
      <c r="T994" s="209">
        <f t="shared" si="166"/>
        <v>0</v>
      </c>
      <c r="U994" s="209">
        <f>+SUMIFS('A DEPOSITAR'!$H$2:$H$998,'A DEPOSITAR'!$D$2:$D$998,(O994-2),'A DEPOSITAR'!$I$2:$I$998,"A Depositar")</f>
        <v>0</v>
      </c>
      <c r="V994" s="6"/>
      <c r="W994" s="6"/>
      <c r="X994" s="6"/>
      <c r="Y994" s="6"/>
      <c r="Z994" s="6"/>
    </row>
    <row r="995" spans="1:26" ht="12.75" x14ac:dyDescent="0.2">
      <c r="A995" s="36"/>
      <c r="B995" s="29"/>
      <c r="C995" s="29">
        <v>89033589</v>
      </c>
      <c r="D995" s="37"/>
      <c r="E995" s="18"/>
      <c r="F995" s="7"/>
      <c r="G995" s="18"/>
      <c r="H995" s="16">
        <f t="shared" si="168"/>
        <v>0</v>
      </c>
      <c r="I995" s="16">
        <f t="shared" si="169"/>
        <v>1</v>
      </c>
      <c r="J995" s="122">
        <f t="shared" si="170"/>
        <v>1900</v>
      </c>
      <c r="K995" s="64">
        <f t="shared" si="163"/>
        <v>60</v>
      </c>
      <c r="L995" s="6"/>
      <c r="M995" s="6"/>
      <c r="O995" s="208">
        <v>44640</v>
      </c>
      <c r="P995" s="209">
        <f t="shared" si="164"/>
        <v>0</v>
      </c>
      <c r="Q995" s="209">
        <f>+SUMIF('A DEPOSITAR'!$D$2:$D$998,(O995-2),'A DEPOSITAR'!$H$2:$H$998)</f>
        <v>0</v>
      </c>
      <c r="R995" s="210">
        <f t="shared" si="165"/>
        <v>0</v>
      </c>
      <c r="S995" s="210">
        <f t="shared" si="167"/>
        <v>3654910.870000001</v>
      </c>
      <c r="T995" s="209">
        <f t="shared" si="166"/>
        <v>0</v>
      </c>
      <c r="U995" s="209">
        <f>+SUMIFS('A DEPOSITAR'!$H$2:$H$998,'A DEPOSITAR'!$D$2:$D$998,(O995-2),'A DEPOSITAR'!$I$2:$I$998,"A Depositar")</f>
        <v>0</v>
      </c>
      <c r="V995" s="6"/>
      <c r="W995" s="6"/>
      <c r="X995" s="6"/>
      <c r="Y995" s="6"/>
      <c r="Z995" s="6"/>
    </row>
    <row r="996" spans="1:26" ht="12.75" x14ac:dyDescent="0.2">
      <c r="A996" s="36"/>
      <c r="B996" s="29"/>
      <c r="C996" s="29">
        <v>89033590</v>
      </c>
      <c r="D996" s="37"/>
      <c r="E996" s="18"/>
      <c r="F996" s="7"/>
      <c r="G996" s="18"/>
      <c r="H996" s="16">
        <f t="shared" si="168"/>
        <v>0</v>
      </c>
      <c r="I996" s="16">
        <f t="shared" si="169"/>
        <v>1</v>
      </c>
      <c r="J996" s="122">
        <f t="shared" si="170"/>
        <v>1900</v>
      </c>
      <c r="K996" s="64">
        <f t="shared" si="163"/>
        <v>60</v>
      </c>
      <c r="L996" s="6"/>
      <c r="M996" s="6"/>
      <c r="O996" s="208">
        <v>44641</v>
      </c>
      <c r="P996" s="209">
        <f t="shared" si="164"/>
        <v>0</v>
      </c>
      <c r="Q996" s="209">
        <f>+SUMIF('A DEPOSITAR'!$D$2:$D$998,(O996-2),'A DEPOSITAR'!$H$2:$H$998)</f>
        <v>0</v>
      </c>
      <c r="R996" s="210">
        <f t="shared" si="165"/>
        <v>0</v>
      </c>
      <c r="S996" s="210">
        <f t="shared" si="167"/>
        <v>3654910.870000001</v>
      </c>
      <c r="T996" s="209">
        <f t="shared" si="166"/>
        <v>0</v>
      </c>
      <c r="U996" s="209">
        <f>+SUMIFS('A DEPOSITAR'!$H$2:$H$998,'A DEPOSITAR'!$D$2:$D$998,(O996-2),'A DEPOSITAR'!$I$2:$I$998,"A Depositar")</f>
        <v>0</v>
      </c>
      <c r="V996" s="6"/>
      <c r="W996" s="6"/>
      <c r="X996" s="6"/>
      <c r="Y996" s="6"/>
      <c r="Z996" s="6"/>
    </row>
    <row r="997" spans="1:26" ht="12.75" x14ac:dyDescent="0.2">
      <c r="A997" s="36"/>
      <c r="B997" s="29"/>
      <c r="C997" s="29">
        <v>89033591</v>
      </c>
      <c r="D997" s="37"/>
      <c r="E997" s="18"/>
      <c r="F997" s="7"/>
      <c r="G997" s="18"/>
      <c r="H997" s="16">
        <f t="shared" si="168"/>
        <v>0</v>
      </c>
      <c r="I997" s="16">
        <f t="shared" si="169"/>
        <v>1</v>
      </c>
      <c r="J997" s="122">
        <f t="shared" si="170"/>
        <v>1900</v>
      </c>
      <c r="K997" s="64">
        <f t="shared" si="163"/>
        <v>60</v>
      </c>
      <c r="L997" s="6"/>
      <c r="M997" s="6"/>
      <c r="O997" s="208">
        <v>44642</v>
      </c>
      <c r="P997" s="209">
        <f t="shared" si="164"/>
        <v>0</v>
      </c>
      <c r="Q997" s="209">
        <f>+SUMIF('A DEPOSITAR'!$D$2:$D$998,(O997-2),'A DEPOSITAR'!$H$2:$H$998)</f>
        <v>0</v>
      </c>
      <c r="R997" s="210">
        <f t="shared" si="165"/>
        <v>0</v>
      </c>
      <c r="S997" s="210">
        <f t="shared" si="167"/>
        <v>3654910.870000001</v>
      </c>
      <c r="T997" s="209">
        <f t="shared" si="166"/>
        <v>0</v>
      </c>
      <c r="U997" s="209">
        <f>+SUMIFS('A DEPOSITAR'!$H$2:$H$998,'A DEPOSITAR'!$D$2:$D$998,(O997-2),'A DEPOSITAR'!$I$2:$I$998,"A Depositar")</f>
        <v>0</v>
      </c>
      <c r="V997" s="6"/>
      <c r="W997" s="6"/>
      <c r="X997" s="6"/>
      <c r="Y997" s="6"/>
      <c r="Z997" s="6"/>
    </row>
    <row r="998" spans="1:26" ht="12.75" x14ac:dyDescent="0.2">
      <c r="A998" s="36"/>
      <c r="B998" s="29"/>
      <c r="C998" s="29">
        <v>89033592</v>
      </c>
      <c r="D998" s="37"/>
      <c r="E998" s="18"/>
      <c r="F998" s="7"/>
      <c r="G998" s="18"/>
      <c r="H998" s="16">
        <f t="shared" si="168"/>
        <v>0</v>
      </c>
      <c r="I998" s="16">
        <f t="shared" si="169"/>
        <v>1</v>
      </c>
      <c r="J998" s="122">
        <f t="shared" si="170"/>
        <v>1900</v>
      </c>
      <c r="K998" s="183">
        <f t="shared" si="163"/>
        <v>60</v>
      </c>
      <c r="L998" s="6"/>
      <c r="M998" s="6"/>
      <c r="O998" s="208">
        <v>44643</v>
      </c>
      <c r="P998" s="209">
        <f t="shared" si="164"/>
        <v>0</v>
      </c>
      <c r="Q998" s="209">
        <f>+SUMIF('A DEPOSITAR'!$D$2:$D$998,(O998-2),'A DEPOSITAR'!$H$2:$H$998)</f>
        <v>0</v>
      </c>
      <c r="R998" s="210">
        <f t="shared" si="165"/>
        <v>0</v>
      </c>
      <c r="S998" s="210">
        <f t="shared" si="167"/>
        <v>3654910.870000001</v>
      </c>
      <c r="T998" s="209">
        <f t="shared" si="166"/>
        <v>0</v>
      </c>
      <c r="U998" s="209">
        <f>+SUMIFS('A DEPOSITAR'!$H$2:$H$998,'A DEPOSITAR'!$D$2:$D$998,(O998-2),'A DEPOSITAR'!$I$2:$I$998,"A Depositar")</f>
        <v>0</v>
      </c>
      <c r="V998" s="6"/>
      <c r="W998" s="6"/>
      <c r="X998" s="6"/>
      <c r="Y998" s="6"/>
      <c r="Z998" s="6"/>
    </row>
    <row r="999" spans="1:26" ht="15.75" customHeight="1" x14ac:dyDescent="0.2">
      <c r="C999" s="29">
        <v>89033593</v>
      </c>
      <c r="O999" s="208">
        <v>44644</v>
      </c>
      <c r="P999" s="209">
        <f t="shared" si="164"/>
        <v>0</v>
      </c>
      <c r="Q999" s="209">
        <f>+SUMIF('A DEPOSITAR'!$D$2:$D$998,(O999-2),'A DEPOSITAR'!$H$2:$H$998)</f>
        <v>0</v>
      </c>
      <c r="R999" s="210">
        <f t="shared" si="165"/>
        <v>0</v>
      </c>
      <c r="S999" s="210">
        <f t="shared" si="167"/>
        <v>3654910.870000001</v>
      </c>
      <c r="T999" s="209">
        <f t="shared" si="166"/>
        <v>0</v>
      </c>
      <c r="U999" s="209">
        <f>+SUMIFS('A DEPOSITAR'!$H$2:$H$998,'A DEPOSITAR'!$D$2:$D$998,(O999-2),'A DEPOSITAR'!$I$2:$I$998,"A Depositar")</f>
        <v>0</v>
      </c>
    </row>
    <row r="1000" spans="1:26" ht="15.75" customHeight="1" x14ac:dyDescent="0.2">
      <c r="C1000" s="29">
        <v>89033594</v>
      </c>
      <c r="F1000" s="222"/>
      <c r="O1000" s="208">
        <v>44645</v>
      </c>
      <c r="P1000" s="209">
        <f t="shared" si="164"/>
        <v>0</v>
      </c>
      <c r="Q1000" s="209">
        <f>+SUMIF('A DEPOSITAR'!$D$2:$D$998,(O1000-2),'A DEPOSITAR'!$H$2:$H$998)</f>
        <v>0</v>
      </c>
      <c r="R1000" s="210">
        <f t="shared" si="165"/>
        <v>0</v>
      </c>
      <c r="S1000" s="210">
        <f t="shared" si="167"/>
        <v>3654910.870000001</v>
      </c>
      <c r="T1000" s="209">
        <f t="shared" si="166"/>
        <v>0</v>
      </c>
      <c r="U1000" s="209">
        <f>+SUMIFS('A DEPOSITAR'!$H$2:$H$998,'A DEPOSITAR'!$D$2:$D$998,(O1000-2),'A DEPOSITAR'!$I$2:$I$998,"A Depositar")</f>
        <v>0</v>
      </c>
    </row>
    <row r="1001" spans="1:26" ht="15.75" customHeight="1" x14ac:dyDescent="0.2">
      <c r="C1001" s="29">
        <v>89033595</v>
      </c>
      <c r="O1001" s="208">
        <v>44646</v>
      </c>
      <c r="P1001" s="209">
        <f t="shared" si="164"/>
        <v>0</v>
      </c>
      <c r="Q1001" s="209">
        <f>+SUMIF('A DEPOSITAR'!$D$2:$D$998,(O1001-2),'A DEPOSITAR'!$H$2:$H$998)</f>
        <v>0</v>
      </c>
      <c r="R1001" s="210">
        <f t="shared" si="165"/>
        <v>0</v>
      </c>
      <c r="S1001" s="210">
        <f t="shared" si="167"/>
        <v>3654910.870000001</v>
      </c>
      <c r="T1001" s="209">
        <f t="shared" si="166"/>
        <v>0</v>
      </c>
      <c r="U1001" s="209">
        <f>+SUMIFS('A DEPOSITAR'!$H$2:$H$998,'A DEPOSITAR'!$D$2:$D$998,(O1001-2),'A DEPOSITAR'!$I$2:$I$998,"A Depositar")</f>
        <v>0</v>
      </c>
    </row>
    <row r="1002" spans="1:26" ht="15.75" customHeight="1" x14ac:dyDescent="0.2">
      <c r="C1002" s="29">
        <v>89033596</v>
      </c>
      <c r="F1002" s="221"/>
      <c r="O1002" s="208">
        <v>44647</v>
      </c>
      <c r="P1002" s="209">
        <f t="shared" si="164"/>
        <v>0</v>
      </c>
      <c r="Q1002" s="209">
        <f>+SUMIF('A DEPOSITAR'!$D$2:$D$998,(O1002-2),'A DEPOSITAR'!$H$2:$H$998)</f>
        <v>0</v>
      </c>
      <c r="R1002" s="210">
        <f t="shared" si="165"/>
        <v>0</v>
      </c>
      <c r="S1002" s="210">
        <f t="shared" si="167"/>
        <v>3654910.870000001</v>
      </c>
      <c r="T1002" s="209">
        <f t="shared" si="166"/>
        <v>0</v>
      </c>
      <c r="U1002" s="209">
        <f>+SUMIFS('A DEPOSITAR'!$H$2:$H$998,'A DEPOSITAR'!$D$2:$D$998,(O1002-2),'A DEPOSITAR'!$I$2:$I$998,"A Depositar")</f>
        <v>0</v>
      </c>
    </row>
    <row r="1003" spans="1:26" ht="15.75" customHeight="1" x14ac:dyDescent="0.2">
      <c r="C1003" s="29">
        <v>89033597</v>
      </c>
      <c r="O1003" s="208">
        <v>44648</v>
      </c>
      <c r="P1003" s="209">
        <f t="shared" si="164"/>
        <v>44383.56</v>
      </c>
      <c r="Q1003" s="209">
        <f>+SUMIF('A DEPOSITAR'!$D$2:$D$998,(O1003-2),'A DEPOSITAR'!$H$2:$H$998)</f>
        <v>0</v>
      </c>
      <c r="R1003" s="210">
        <f t="shared" si="165"/>
        <v>-44383.56</v>
      </c>
      <c r="S1003" s="210">
        <f t="shared" si="167"/>
        <v>3610527.310000001</v>
      </c>
      <c r="T1003" s="209">
        <f t="shared" si="166"/>
        <v>44383.56</v>
      </c>
      <c r="U1003" s="209">
        <f>+SUMIFS('A DEPOSITAR'!$H$2:$H$998,'A DEPOSITAR'!$D$2:$D$998,(O1003-2),'A DEPOSITAR'!$I$2:$I$998,"A Depositar")</f>
        <v>0</v>
      </c>
    </row>
    <row r="1004" spans="1:26" ht="15.75" customHeight="1" x14ac:dyDescent="0.2">
      <c r="C1004" s="29">
        <v>89033598</v>
      </c>
      <c r="O1004" s="208">
        <v>44649</v>
      </c>
      <c r="P1004" s="209">
        <f t="shared" si="164"/>
        <v>0</v>
      </c>
      <c r="Q1004" s="209">
        <f>+SUMIF('A DEPOSITAR'!$D$2:$D$998,(O1004-2),'A DEPOSITAR'!$H$2:$H$998)</f>
        <v>0</v>
      </c>
      <c r="R1004" s="210">
        <f t="shared" si="165"/>
        <v>0</v>
      </c>
      <c r="S1004" s="210">
        <f t="shared" si="167"/>
        <v>3610527.310000001</v>
      </c>
      <c r="T1004" s="209">
        <f t="shared" si="166"/>
        <v>0</v>
      </c>
      <c r="U1004" s="209">
        <f>+SUMIFS('A DEPOSITAR'!$H$2:$H$998,'A DEPOSITAR'!$D$2:$D$998,(O1004-2),'A DEPOSITAR'!$I$2:$I$998,"A Depositar")</f>
        <v>0</v>
      </c>
    </row>
    <row r="1005" spans="1:26" ht="15.75" customHeight="1" x14ac:dyDescent="0.2">
      <c r="C1005" s="29">
        <v>89033599</v>
      </c>
      <c r="O1005" s="208">
        <v>44650</v>
      </c>
      <c r="P1005" s="209">
        <f t="shared" si="164"/>
        <v>0</v>
      </c>
      <c r="Q1005" s="209">
        <f>+SUMIF('A DEPOSITAR'!$D$2:$D$998,(O1005-2),'A DEPOSITAR'!$H$2:$H$998)</f>
        <v>0</v>
      </c>
      <c r="R1005" s="210">
        <f t="shared" si="165"/>
        <v>0</v>
      </c>
      <c r="S1005" s="210">
        <f t="shared" si="167"/>
        <v>3610527.310000001</v>
      </c>
      <c r="T1005" s="209">
        <f t="shared" si="166"/>
        <v>0</v>
      </c>
      <c r="U1005" s="209">
        <f>+SUMIFS('A DEPOSITAR'!$H$2:$H$998,'A DEPOSITAR'!$D$2:$D$998,(O1005-2),'A DEPOSITAR'!$I$2:$I$998,"A Depositar")</f>
        <v>0</v>
      </c>
    </row>
    <row r="1006" spans="1:26" ht="15.75" customHeight="1" x14ac:dyDescent="0.2">
      <c r="C1006" s="29">
        <v>89033600</v>
      </c>
      <c r="O1006" s="208">
        <v>44651</v>
      </c>
      <c r="P1006" s="209">
        <f t="shared" si="164"/>
        <v>0</v>
      </c>
      <c r="Q1006" s="209">
        <f>+SUMIF('A DEPOSITAR'!$D$2:$D$998,(O1006-2),'A DEPOSITAR'!$H$2:$H$998)</f>
        <v>0</v>
      </c>
      <c r="R1006" s="210">
        <f t="shared" si="165"/>
        <v>0</v>
      </c>
      <c r="S1006" s="210">
        <f t="shared" si="167"/>
        <v>3610527.310000001</v>
      </c>
      <c r="T1006" s="209">
        <f t="shared" si="166"/>
        <v>0</v>
      </c>
      <c r="U1006" s="209">
        <f>+SUMIFS('A DEPOSITAR'!$H$2:$H$998,'A DEPOSITAR'!$D$2:$D$998,(O1006-2),'A DEPOSITAR'!$I$2:$I$998,"A Depositar")</f>
        <v>0</v>
      </c>
    </row>
    <row r="1007" spans="1:26" ht="15.75" customHeight="1" x14ac:dyDescent="0.2">
      <c r="C1007" s="29">
        <v>89033601</v>
      </c>
      <c r="O1007" s="208">
        <v>44652</v>
      </c>
      <c r="P1007" s="209">
        <f t="shared" si="164"/>
        <v>0</v>
      </c>
      <c r="Q1007" s="209">
        <f>+SUMIF('A DEPOSITAR'!$D$2:$D$998,(O1007-2),'A DEPOSITAR'!$H$2:$H$998)</f>
        <v>0</v>
      </c>
      <c r="R1007" s="210">
        <f t="shared" si="165"/>
        <v>0</v>
      </c>
      <c r="S1007" s="210">
        <f t="shared" si="167"/>
        <v>3610527.310000001</v>
      </c>
      <c r="T1007" s="209">
        <f t="shared" si="166"/>
        <v>0</v>
      </c>
      <c r="U1007" s="209">
        <f>+SUMIFS('A DEPOSITAR'!$H$2:$H$998,'A DEPOSITAR'!$D$2:$D$998,(O1007-2),'A DEPOSITAR'!$I$2:$I$998,"A Depositar")</f>
        <v>0</v>
      </c>
    </row>
    <row r="1008" spans="1:26" ht="15.75" customHeight="1" x14ac:dyDescent="0.2">
      <c r="C1008" s="29">
        <v>89033602</v>
      </c>
      <c r="O1008" s="208">
        <v>44653</v>
      </c>
      <c r="P1008" s="209">
        <f t="shared" si="164"/>
        <v>0</v>
      </c>
      <c r="Q1008" s="209">
        <f>+SUMIF('A DEPOSITAR'!$D$2:$D$998,(O1008-2),'A DEPOSITAR'!$H$2:$H$998)</f>
        <v>0</v>
      </c>
      <c r="R1008" s="210">
        <f t="shared" si="165"/>
        <v>0</v>
      </c>
      <c r="S1008" s="210">
        <f t="shared" si="167"/>
        <v>3610527.310000001</v>
      </c>
      <c r="T1008" s="209">
        <f t="shared" si="166"/>
        <v>0</v>
      </c>
      <c r="U1008" s="209">
        <f>+SUMIFS('A DEPOSITAR'!$H$2:$H$998,'A DEPOSITAR'!$D$2:$D$998,(O1008-2),'A DEPOSITAR'!$I$2:$I$998,"A Depositar")</f>
        <v>0</v>
      </c>
    </row>
    <row r="1009" spans="3:21" ht="15.75" customHeight="1" x14ac:dyDescent="0.2">
      <c r="C1009" s="29">
        <v>89033603</v>
      </c>
      <c r="O1009" s="208">
        <v>44654</v>
      </c>
      <c r="P1009" s="209">
        <f t="shared" si="164"/>
        <v>0</v>
      </c>
      <c r="Q1009" s="209">
        <f>+SUMIF('A DEPOSITAR'!$D$2:$D$998,(O1009-2),'A DEPOSITAR'!$H$2:$H$998)</f>
        <v>0</v>
      </c>
      <c r="R1009" s="210">
        <f t="shared" si="165"/>
        <v>0</v>
      </c>
      <c r="S1009" s="210">
        <f t="shared" si="167"/>
        <v>3610527.310000001</v>
      </c>
      <c r="T1009" s="209">
        <f t="shared" si="166"/>
        <v>0</v>
      </c>
      <c r="U1009" s="209">
        <f>+SUMIFS('A DEPOSITAR'!$H$2:$H$998,'A DEPOSITAR'!$D$2:$D$998,(O1009-2),'A DEPOSITAR'!$I$2:$I$998,"A Depositar")</f>
        <v>0</v>
      </c>
    </row>
    <row r="1010" spans="3:21" ht="15.75" customHeight="1" x14ac:dyDescent="0.2">
      <c r="C1010" s="29">
        <v>89033604</v>
      </c>
      <c r="O1010" s="208">
        <v>44655</v>
      </c>
      <c r="P1010" s="209">
        <f t="shared" si="164"/>
        <v>0</v>
      </c>
      <c r="Q1010" s="209">
        <f>+SUMIF('A DEPOSITAR'!$D$2:$D$998,(O1010-2),'A DEPOSITAR'!$H$2:$H$998)</f>
        <v>0</v>
      </c>
      <c r="R1010" s="210">
        <f t="shared" si="165"/>
        <v>0</v>
      </c>
      <c r="S1010" s="210">
        <f t="shared" si="167"/>
        <v>3610527.310000001</v>
      </c>
      <c r="T1010" s="209">
        <f t="shared" si="166"/>
        <v>0</v>
      </c>
      <c r="U1010" s="209">
        <f>+SUMIFS('A DEPOSITAR'!$H$2:$H$998,'A DEPOSITAR'!$D$2:$D$998,(O1010-2),'A DEPOSITAR'!$I$2:$I$998,"A Depositar")</f>
        <v>0</v>
      </c>
    </row>
    <row r="1011" spans="3:21" ht="15.75" customHeight="1" x14ac:dyDescent="0.2">
      <c r="C1011" s="29">
        <v>89033605</v>
      </c>
      <c r="O1011" s="208">
        <v>44656</v>
      </c>
      <c r="P1011" s="209">
        <f t="shared" si="164"/>
        <v>0</v>
      </c>
      <c r="Q1011" s="209">
        <f>+SUMIF('A DEPOSITAR'!$D$2:$D$998,(O1011-2),'A DEPOSITAR'!$H$2:$H$998)</f>
        <v>0</v>
      </c>
      <c r="R1011" s="210">
        <f t="shared" si="165"/>
        <v>0</v>
      </c>
      <c r="S1011" s="210">
        <f t="shared" si="167"/>
        <v>3610527.310000001</v>
      </c>
      <c r="T1011" s="209">
        <f t="shared" si="166"/>
        <v>0</v>
      </c>
      <c r="U1011" s="209">
        <f>+SUMIFS('A DEPOSITAR'!$H$2:$H$998,'A DEPOSITAR'!$D$2:$D$998,(O1011-2),'A DEPOSITAR'!$I$2:$I$998,"A Depositar")</f>
        <v>0</v>
      </c>
    </row>
    <row r="1012" spans="3:21" ht="15.75" customHeight="1" x14ac:dyDescent="0.2">
      <c r="C1012" s="29">
        <v>89033606</v>
      </c>
      <c r="O1012" s="208">
        <v>44657</v>
      </c>
      <c r="P1012" s="209">
        <f t="shared" si="164"/>
        <v>0</v>
      </c>
      <c r="Q1012" s="209">
        <f>+SUMIF('A DEPOSITAR'!$D$2:$D$998,(O1012-2),'A DEPOSITAR'!$H$2:$H$998)</f>
        <v>0</v>
      </c>
      <c r="R1012" s="210">
        <f t="shared" si="165"/>
        <v>0</v>
      </c>
      <c r="S1012" s="210">
        <f t="shared" si="167"/>
        <v>3610527.310000001</v>
      </c>
      <c r="T1012" s="209">
        <f t="shared" si="166"/>
        <v>0</v>
      </c>
      <c r="U1012" s="209">
        <f>+SUMIFS('A DEPOSITAR'!$H$2:$H$998,'A DEPOSITAR'!$D$2:$D$998,(O1012-2),'A DEPOSITAR'!$I$2:$I$998,"A Depositar")</f>
        <v>0</v>
      </c>
    </row>
    <row r="1013" spans="3:21" ht="15.75" customHeight="1" x14ac:dyDescent="0.2">
      <c r="C1013" s="29">
        <v>89033607</v>
      </c>
      <c r="O1013" s="208">
        <v>44658</v>
      </c>
      <c r="P1013" s="209">
        <f t="shared" si="164"/>
        <v>0</v>
      </c>
      <c r="Q1013" s="209">
        <f>+SUMIF('A DEPOSITAR'!$D$2:$D$998,(O1013-2),'A DEPOSITAR'!$H$2:$H$998)</f>
        <v>0</v>
      </c>
      <c r="R1013" s="210">
        <f t="shared" si="165"/>
        <v>0</v>
      </c>
      <c r="S1013" s="210">
        <f t="shared" si="167"/>
        <v>3610527.310000001</v>
      </c>
      <c r="T1013" s="209">
        <f t="shared" si="166"/>
        <v>0</v>
      </c>
      <c r="U1013" s="209">
        <f>+SUMIFS('A DEPOSITAR'!$H$2:$H$998,'A DEPOSITAR'!$D$2:$D$998,(O1013-2),'A DEPOSITAR'!$I$2:$I$998,"A Depositar")</f>
        <v>0</v>
      </c>
    </row>
    <row r="1014" spans="3:21" ht="15.75" customHeight="1" x14ac:dyDescent="0.2">
      <c r="C1014" s="29">
        <v>89033608</v>
      </c>
      <c r="O1014" s="208">
        <v>44659</v>
      </c>
      <c r="P1014" s="209">
        <f t="shared" si="164"/>
        <v>0</v>
      </c>
      <c r="Q1014" s="209">
        <f>+SUMIF('A DEPOSITAR'!$D$2:$D$998,(O1014-2),'A DEPOSITAR'!$H$2:$H$998)</f>
        <v>0</v>
      </c>
      <c r="R1014" s="210">
        <f t="shared" si="165"/>
        <v>0</v>
      </c>
      <c r="S1014" s="210">
        <f t="shared" si="167"/>
        <v>3610527.310000001</v>
      </c>
      <c r="T1014" s="209">
        <f t="shared" si="166"/>
        <v>0</v>
      </c>
      <c r="U1014" s="209">
        <f>+SUMIFS('A DEPOSITAR'!$H$2:$H$998,'A DEPOSITAR'!$D$2:$D$998,(O1014-2),'A DEPOSITAR'!$I$2:$I$998,"A Depositar")</f>
        <v>0</v>
      </c>
    </row>
    <row r="1015" spans="3:21" ht="15.75" customHeight="1" x14ac:dyDescent="0.2">
      <c r="C1015" s="29">
        <v>89033609</v>
      </c>
      <c r="O1015" s="208">
        <v>44660</v>
      </c>
      <c r="P1015" s="209">
        <f t="shared" si="164"/>
        <v>0</v>
      </c>
      <c r="Q1015" s="209">
        <f>+SUMIF('A DEPOSITAR'!$D$2:$D$998,(O1015-2),'A DEPOSITAR'!$H$2:$H$998)</f>
        <v>0</v>
      </c>
      <c r="R1015" s="210">
        <f t="shared" si="165"/>
        <v>0</v>
      </c>
      <c r="S1015" s="210">
        <f t="shared" si="167"/>
        <v>3610527.310000001</v>
      </c>
      <c r="T1015" s="209">
        <f t="shared" si="166"/>
        <v>0</v>
      </c>
      <c r="U1015" s="209">
        <f>+SUMIFS('A DEPOSITAR'!$H$2:$H$998,'A DEPOSITAR'!$D$2:$D$998,(O1015-2),'A DEPOSITAR'!$I$2:$I$998,"A Depositar")</f>
        <v>0</v>
      </c>
    </row>
    <row r="1016" spans="3:21" ht="15.75" customHeight="1" x14ac:dyDescent="0.2">
      <c r="C1016" s="29">
        <v>89033610</v>
      </c>
      <c r="O1016" s="208">
        <v>44661</v>
      </c>
      <c r="P1016" s="209">
        <f t="shared" si="164"/>
        <v>0</v>
      </c>
      <c r="Q1016" s="209">
        <f>+SUMIF('A DEPOSITAR'!$D$2:$D$998,(O1016-2),'A DEPOSITAR'!$H$2:$H$998)</f>
        <v>0</v>
      </c>
      <c r="R1016" s="210">
        <f t="shared" si="165"/>
        <v>0</v>
      </c>
      <c r="S1016" s="210">
        <f t="shared" si="167"/>
        <v>3610527.310000001</v>
      </c>
      <c r="T1016" s="209">
        <f t="shared" si="166"/>
        <v>0</v>
      </c>
      <c r="U1016" s="209">
        <f>+SUMIFS('A DEPOSITAR'!$H$2:$H$998,'A DEPOSITAR'!$D$2:$D$998,(O1016-2),'A DEPOSITAR'!$I$2:$I$998,"A Depositar")</f>
        <v>0</v>
      </c>
    </row>
    <row r="1017" spans="3:21" ht="15.75" customHeight="1" x14ac:dyDescent="0.2">
      <c r="O1017" s="208">
        <v>44662</v>
      </c>
      <c r="P1017" s="209">
        <f t="shared" si="164"/>
        <v>0</v>
      </c>
      <c r="Q1017" s="209">
        <f>+SUMIF('A DEPOSITAR'!$D$2:$D$998,(O1017-2),'A DEPOSITAR'!$H$2:$H$998)</f>
        <v>0</v>
      </c>
      <c r="R1017" s="210">
        <f t="shared" si="165"/>
        <v>0</v>
      </c>
      <c r="S1017" s="210">
        <f t="shared" si="167"/>
        <v>3610527.310000001</v>
      </c>
      <c r="T1017" s="209">
        <f t="shared" si="166"/>
        <v>0</v>
      </c>
      <c r="U1017" s="209">
        <f>+SUMIFS('A DEPOSITAR'!$H$2:$H$998,'A DEPOSITAR'!$D$2:$D$998,(O1017-2),'A DEPOSITAR'!$I$2:$I$998,"A Depositar")</f>
        <v>0</v>
      </c>
    </row>
    <row r="1018" spans="3:21" ht="15.75" customHeight="1" x14ac:dyDescent="0.2">
      <c r="O1018" s="208">
        <v>44663</v>
      </c>
      <c r="P1018" s="209">
        <f t="shared" si="164"/>
        <v>0</v>
      </c>
      <c r="Q1018" s="209">
        <f>+SUMIF('A DEPOSITAR'!$D$2:$D$998,(O1018-2),'A DEPOSITAR'!$H$2:$H$998)</f>
        <v>0</v>
      </c>
      <c r="R1018" s="210">
        <f t="shared" si="165"/>
        <v>0</v>
      </c>
      <c r="S1018" s="210">
        <f t="shared" si="167"/>
        <v>3610527.310000001</v>
      </c>
      <c r="T1018" s="209">
        <f t="shared" si="166"/>
        <v>0</v>
      </c>
      <c r="U1018" s="209">
        <f>+SUMIFS('A DEPOSITAR'!$H$2:$H$998,'A DEPOSITAR'!$D$2:$D$998,(O1018-2),'A DEPOSITAR'!$I$2:$I$998,"A Depositar")</f>
        <v>0</v>
      </c>
    </row>
    <row r="1019" spans="3:21" ht="15.75" customHeight="1" x14ac:dyDescent="0.2">
      <c r="O1019" s="208">
        <v>44664</v>
      </c>
      <c r="P1019" s="209">
        <f t="shared" si="164"/>
        <v>0</v>
      </c>
      <c r="Q1019" s="209">
        <f>+SUMIF('A DEPOSITAR'!$D$2:$D$998,(O1019-2),'A DEPOSITAR'!$H$2:$H$998)</f>
        <v>0</v>
      </c>
      <c r="R1019" s="210">
        <f t="shared" si="165"/>
        <v>0</v>
      </c>
      <c r="S1019" s="210">
        <f t="shared" si="167"/>
        <v>3610527.310000001</v>
      </c>
      <c r="T1019" s="209">
        <f t="shared" si="166"/>
        <v>0</v>
      </c>
      <c r="U1019" s="209">
        <f>+SUMIFS('A DEPOSITAR'!$H$2:$H$998,'A DEPOSITAR'!$D$2:$D$998,(O1019-2),'A DEPOSITAR'!$I$2:$I$998,"A Depositar")</f>
        <v>0</v>
      </c>
    </row>
    <row r="1020" spans="3:21" ht="15.75" customHeight="1" x14ac:dyDescent="0.2">
      <c r="O1020" s="208">
        <v>44665</v>
      </c>
      <c r="P1020" s="209">
        <f t="shared" si="164"/>
        <v>0</v>
      </c>
      <c r="Q1020" s="209">
        <f>+SUMIF('A DEPOSITAR'!$D$2:$D$998,(O1020-2),'A DEPOSITAR'!$H$2:$H$998)</f>
        <v>0</v>
      </c>
      <c r="R1020" s="210">
        <f t="shared" si="165"/>
        <v>0</v>
      </c>
      <c r="S1020" s="210">
        <f t="shared" si="167"/>
        <v>3610527.310000001</v>
      </c>
      <c r="T1020" s="209">
        <f t="shared" si="166"/>
        <v>0</v>
      </c>
      <c r="U1020" s="209">
        <f>+SUMIFS('A DEPOSITAR'!$H$2:$H$998,'A DEPOSITAR'!$D$2:$D$998,(O1020-2),'A DEPOSITAR'!$I$2:$I$998,"A Depositar")</f>
        <v>0</v>
      </c>
    </row>
    <row r="1021" spans="3:21" ht="15.75" customHeight="1" x14ac:dyDescent="0.2">
      <c r="O1021" s="208">
        <v>44666</v>
      </c>
      <c r="P1021" s="209">
        <f t="shared" si="164"/>
        <v>0</v>
      </c>
      <c r="Q1021" s="209">
        <f>+SUMIF('A DEPOSITAR'!$D$2:$D$998,(O1021-2),'A DEPOSITAR'!$H$2:$H$998)</f>
        <v>0</v>
      </c>
      <c r="R1021" s="210">
        <f t="shared" si="165"/>
        <v>0</v>
      </c>
      <c r="S1021" s="210">
        <f t="shared" si="167"/>
        <v>3610527.310000001</v>
      </c>
      <c r="T1021" s="209">
        <f t="shared" si="166"/>
        <v>0</v>
      </c>
      <c r="U1021" s="209">
        <f>+SUMIFS('A DEPOSITAR'!$H$2:$H$998,'A DEPOSITAR'!$D$2:$D$998,(O1021-2),'A DEPOSITAR'!$I$2:$I$998,"A Depositar")</f>
        <v>0</v>
      </c>
    </row>
    <row r="1022" spans="3:21" ht="15.75" customHeight="1" x14ac:dyDescent="0.2">
      <c r="O1022" s="208">
        <v>44667</v>
      </c>
      <c r="P1022" s="209">
        <f t="shared" si="164"/>
        <v>4170.26</v>
      </c>
      <c r="Q1022" s="209">
        <f>+SUMIF('A DEPOSITAR'!$D$2:$D$998,(O1022-2),'A DEPOSITAR'!$H$2:$H$998)</f>
        <v>0</v>
      </c>
      <c r="R1022" s="210">
        <f t="shared" si="165"/>
        <v>-4170.26</v>
      </c>
      <c r="S1022" s="210">
        <f t="shared" si="167"/>
        <v>3606357.0500000012</v>
      </c>
      <c r="T1022" s="209">
        <f t="shared" si="166"/>
        <v>4170.26</v>
      </c>
      <c r="U1022" s="209">
        <f>+SUMIFS('A DEPOSITAR'!$H$2:$H$998,'A DEPOSITAR'!$D$2:$D$998,(O1022-2),'A DEPOSITAR'!$I$2:$I$998,"A Depositar")</f>
        <v>0</v>
      </c>
    </row>
    <row r="1023" spans="3:21" ht="15.75" customHeight="1" x14ac:dyDescent="0.2">
      <c r="O1023" s="208">
        <v>44668</v>
      </c>
      <c r="P1023" s="209">
        <f t="shared" si="164"/>
        <v>0</v>
      </c>
      <c r="Q1023" s="209">
        <f>+SUMIF('A DEPOSITAR'!$D$2:$D$998,(O1023-2),'A DEPOSITAR'!$H$2:$H$998)</f>
        <v>0</v>
      </c>
      <c r="R1023" s="210">
        <f t="shared" si="165"/>
        <v>0</v>
      </c>
      <c r="S1023" s="210">
        <f t="shared" si="167"/>
        <v>3606357.0500000012</v>
      </c>
      <c r="T1023" s="209">
        <f t="shared" si="166"/>
        <v>0</v>
      </c>
      <c r="U1023" s="209">
        <f>+SUMIFS('A DEPOSITAR'!$H$2:$H$998,'A DEPOSITAR'!$D$2:$D$998,(O1023-2),'A DEPOSITAR'!$I$2:$I$998,"A Depositar")</f>
        <v>0</v>
      </c>
    </row>
    <row r="1024" spans="3:21" ht="15.75" customHeight="1" x14ac:dyDescent="0.2">
      <c r="O1024" s="208">
        <v>44669</v>
      </c>
      <c r="P1024" s="209">
        <f t="shared" si="164"/>
        <v>0</v>
      </c>
      <c r="Q1024" s="209">
        <f>+SUMIF('A DEPOSITAR'!$D$2:$D$998,(O1024-2),'A DEPOSITAR'!$H$2:$H$998)</f>
        <v>0</v>
      </c>
      <c r="R1024" s="210">
        <f t="shared" si="165"/>
        <v>0</v>
      </c>
      <c r="S1024" s="210">
        <f t="shared" si="167"/>
        <v>3606357.0500000012</v>
      </c>
      <c r="T1024" s="209">
        <f t="shared" si="166"/>
        <v>0</v>
      </c>
      <c r="U1024" s="209">
        <f>+SUMIFS('A DEPOSITAR'!$H$2:$H$998,'A DEPOSITAR'!$D$2:$D$998,(O1024-2),'A DEPOSITAR'!$I$2:$I$998,"A Depositar")</f>
        <v>0</v>
      </c>
    </row>
    <row r="1025" spans="15:21" ht="15.75" customHeight="1" x14ac:dyDescent="0.2">
      <c r="O1025" s="208">
        <v>44670</v>
      </c>
      <c r="P1025" s="209">
        <f t="shared" si="164"/>
        <v>0</v>
      </c>
      <c r="Q1025" s="209">
        <f>+SUMIF('A DEPOSITAR'!$D$2:$D$998,(O1025-2),'A DEPOSITAR'!$H$2:$H$998)</f>
        <v>0</v>
      </c>
      <c r="R1025" s="210">
        <f t="shared" si="165"/>
        <v>0</v>
      </c>
      <c r="S1025" s="210">
        <f t="shared" si="167"/>
        <v>3606357.0500000012</v>
      </c>
      <c r="T1025" s="209">
        <f t="shared" si="166"/>
        <v>0</v>
      </c>
      <c r="U1025" s="209">
        <f>+SUMIFS('A DEPOSITAR'!$H$2:$H$998,'A DEPOSITAR'!$D$2:$D$998,(O1025-2),'A DEPOSITAR'!$I$2:$I$998,"A Depositar")</f>
        <v>0</v>
      </c>
    </row>
    <row r="1026" spans="15:21" ht="15.75" customHeight="1" x14ac:dyDescent="0.2">
      <c r="O1026" s="208">
        <v>44671</v>
      </c>
      <c r="P1026" s="209">
        <f t="shared" si="164"/>
        <v>0</v>
      </c>
      <c r="Q1026" s="209">
        <f>+SUMIF('A DEPOSITAR'!$D$2:$D$998,(O1026-2),'A DEPOSITAR'!$H$2:$H$998)</f>
        <v>0</v>
      </c>
      <c r="R1026" s="210">
        <f t="shared" si="165"/>
        <v>0</v>
      </c>
      <c r="S1026" s="210">
        <f t="shared" si="167"/>
        <v>3606357.0500000012</v>
      </c>
      <c r="T1026" s="209">
        <f t="shared" si="166"/>
        <v>0</v>
      </c>
      <c r="U1026" s="209">
        <f>+SUMIFS('A DEPOSITAR'!$H$2:$H$998,'A DEPOSITAR'!$D$2:$D$998,(O1026-2),'A DEPOSITAR'!$I$2:$I$998,"A Depositar")</f>
        <v>0</v>
      </c>
    </row>
    <row r="1027" spans="15:21" ht="15.75" customHeight="1" x14ac:dyDescent="0.2">
      <c r="O1027" s="208">
        <v>44672</v>
      </c>
      <c r="P1027" s="209">
        <f t="shared" ref="P1027:P1054" si="171">+SUMIF($A$2:$A$998,O1027,$D$2:$D$998)</f>
        <v>0</v>
      </c>
      <c r="Q1027" s="209">
        <f>+SUMIF('A DEPOSITAR'!$D$2:$D$998,(O1027-2),'A DEPOSITAR'!$H$2:$H$998)</f>
        <v>0</v>
      </c>
      <c r="R1027" s="210">
        <f t="shared" ref="R1027:R1054" si="172">+Q1027-P1027</f>
        <v>0</v>
      </c>
      <c r="S1027" s="210">
        <f t="shared" si="167"/>
        <v>3606357.0500000012</v>
      </c>
      <c r="T1027" s="209">
        <f t="shared" ref="T1027:T1054" si="173">+SUMIFS($D$2:$D$998,$A$2:$A$998,O1027,$E$2:$E$998,"A Pagar")</f>
        <v>0</v>
      </c>
      <c r="U1027" s="209">
        <f>+SUMIFS('A DEPOSITAR'!$H$2:$H$998,'A DEPOSITAR'!$D$2:$D$998,(O1027-2),'A DEPOSITAR'!$I$2:$I$998,"A Depositar")</f>
        <v>0</v>
      </c>
    </row>
    <row r="1028" spans="15:21" ht="15.75" customHeight="1" x14ac:dyDescent="0.2">
      <c r="O1028" s="208">
        <v>44673</v>
      </c>
      <c r="P1028" s="209">
        <f t="shared" si="171"/>
        <v>0</v>
      </c>
      <c r="Q1028" s="209">
        <f>+SUMIF('A DEPOSITAR'!$D$2:$D$998,(O1028-2),'A DEPOSITAR'!$H$2:$H$998)</f>
        <v>0</v>
      </c>
      <c r="R1028" s="210">
        <f t="shared" si="172"/>
        <v>0</v>
      </c>
      <c r="S1028" s="210">
        <f t="shared" ref="S1028:S1054" si="174">+S1027+R1028</f>
        <v>3606357.0500000012</v>
      </c>
      <c r="T1028" s="209">
        <f t="shared" si="173"/>
        <v>0</v>
      </c>
      <c r="U1028" s="209">
        <f>+SUMIFS('A DEPOSITAR'!$H$2:$H$998,'A DEPOSITAR'!$D$2:$D$998,(O1028-2),'A DEPOSITAR'!$I$2:$I$998,"A Depositar")</f>
        <v>0</v>
      </c>
    </row>
    <row r="1029" spans="15:21" ht="15.75" customHeight="1" x14ac:dyDescent="0.2">
      <c r="O1029" s="208">
        <v>44674</v>
      </c>
      <c r="P1029" s="209">
        <f t="shared" si="171"/>
        <v>0</v>
      </c>
      <c r="Q1029" s="209">
        <f>+SUMIF('A DEPOSITAR'!$D$2:$D$998,(O1029-2),'A DEPOSITAR'!$H$2:$H$998)</f>
        <v>0</v>
      </c>
      <c r="R1029" s="210">
        <f t="shared" si="172"/>
        <v>0</v>
      </c>
      <c r="S1029" s="210">
        <f t="shared" si="174"/>
        <v>3606357.0500000012</v>
      </c>
      <c r="T1029" s="209">
        <f t="shared" si="173"/>
        <v>0</v>
      </c>
      <c r="U1029" s="209">
        <f>+SUMIFS('A DEPOSITAR'!$H$2:$H$998,'A DEPOSITAR'!$D$2:$D$998,(O1029-2),'A DEPOSITAR'!$I$2:$I$998,"A Depositar")</f>
        <v>0</v>
      </c>
    </row>
    <row r="1030" spans="15:21" ht="15.75" customHeight="1" x14ac:dyDescent="0.2">
      <c r="O1030" s="208">
        <v>44675</v>
      </c>
      <c r="P1030" s="209">
        <f t="shared" si="171"/>
        <v>0</v>
      </c>
      <c r="Q1030" s="209">
        <f>+SUMIF('A DEPOSITAR'!$D$2:$D$998,(O1030-2),'A DEPOSITAR'!$H$2:$H$998)</f>
        <v>0</v>
      </c>
      <c r="R1030" s="210">
        <f t="shared" si="172"/>
        <v>0</v>
      </c>
      <c r="S1030" s="210">
        <f t="shared" si="174"/>
        <v>3606357.0500000012</v>
      </c>
      <c r="T1030" s="209">
        <f t="shared" si="173"/>
        <v>0</v>
      </c>
      <c r="U1030" s="209">
        <f>+SUMIFS('A DEPOSITAR'!$H$2:$H$998,'A DEPOSITAR'!$D$2:$D$998,(O1030-2),'A DEPOSITAR'!$I$2:$I$998,"A Depositar")</f>
        <v>0</v>
      </c>
    </row>
    <row r="1031" spans="15:21" ht="15.75" customHeight="1" x14ac:dyDescent="0.2">
      <c r="O1031" s="208">
        <v>44676</v>
      </c>
      <c r="P1031" s="209">
        <f t="shared" si="171"/>
        <v>0</v>
      </c>
      <c r="Q1031" s="209">
        <f>+SUMIF('A DEPOSITAR'!$D$2:$D$998,(O1031-2),'A DEPOSITAR'!$H$2:$H$998)</f>
        <v>0</v>
      </c>
      <c r="R1031" s="210">
        <f t="shared" si="172"/>
        <v>0</v>
      </c>
      <c r="S1031" s="210">
        <f t="shared" si="174"/>
        <v>3606357.0500000012</v>
      </c>
      <c r="T1031" s="209">
        <f t="shared" si="173"/>
        <v>0</v>
      </c>
      <c r="U1031" s="209">
        <f>+SUMIFS('A DEPOSITAR'!$H$2:$H$998,'A DEPOSITAR'!$D$2:$D$998,(O1031-2),'A DEPOSITAR'!$I$2:$I$998,"A Depositar")</f>
        <v>0</v>
      </c>
    </row>
    <row r="1032" spans="15:21" ht="15.75" customHeight="1" x14ac:dyDescent="0.2">
      <c r="O1032" s="208">
        <v>44677</v>
      </c>
      <c r="P1032" s="209">
        <f t="shared" si="171"/>
        <v>0</v>
      </c>
      <c r="Q1032" s="209">
        <f>+SUMIF('A DEPOSITAR'!$D$2:$D$998,(O1032-2),'A DEPOSITAR'!$H$2:$H$998)</f>
        <v>0</v>
      </c>
      <c r="R1032" s="210">
        <f t="shared" si="172"/>
        <v>0</v>
      </c>
      <c r="S1032" s="210">
        <f t="shared" si="174"/>
        <v>3606357.0500000012</v>
      </c>
      <c r="T1032" s="209">
        <f t="shared" si="173"/>
        <v>0</v>
      </c>
      <c r="U1032" s="209">
        <f>+SUMIFS('A DEPOSITAR'!$H$2:$H$998,'A DEPOSITAR'!$D$2:$D$998,(O1032-2),'A DEPOSITAR'!$I$2:$I$998,"A Depositar")</f>
        <v>0</v>
      </c>
    </row>
    <row r="1033" spans="15:21" ht="15.75" customHeight="1" x14ac:dyDescent="0.2">
      <c r="O1033" s="208">
        <v>44678</v>
      </c>
      <c r="P1033" s="209">
        <f t="shared" si="171"/>
        <v>0</v>
      </c>
      <c r="Q1033" s="209">
        <f>+SUMIF('A DEPOSITAR'!$D$2:$D$998,(O1033-2),'A DEPOSITAR'!$H$2:$H$998)</f>
        <v>0</v>
      </c>
      <c r="R1033" s="210">
        <f t="shared" si="172"/>
        <v>0</v>
      </c>
      <c r="S1033" s="210">
        <f t="shared" si="174"/>
        <v>3606357.0500000012</v>
      </c>
      <c r="T1033" s="209">
        <f t="shared" si="173"/>
        <v>0</v>
      </c>
      <c r="U1033" s="209">
        <f>+SUMIFS('A DEPOSITAR'!$H$2:$H$998,'A DEPOSITAR'!$D$2:$D$998,(O1033-2),'A DEPOSITAR'!$I$2:$I$998,"A Depositar")</f>
        <v>0</v>
      </c>
    </row>
    <row r="1034" spans="15:21" ht="15.75" customHeight="1" x14ac:dyDescent="0.2">
      <c r="O1034" s="208">
        <v>44679</v>
      </c>
      <c r="P1034" s="209">
        <f t="shared" si="171"/>
        <v>46286.15</v>
      </c>
      <c r="Q1034" s="209">
        <f>+SUMIF('A DEPOSITAR'!$D$2:$D$998,(O1034-2),'A DEPOSITAR'!$H$2:$H$998)</f>
        <v>0</v>
      </c>
      <c r="R1034" s="210">
        <f t="shared" si="172"/>
        <v>-46286.15</v>
      </c>
      <c r="S1034" s="210">
        <f t="shared" si="174"/>
        <v>3560070.9000000013</v>
      </c>
      <c r="T1034" s="209">
        <f t="shared" si="173"/>
        <v>46286.15</v>
      </c>
      <c r="U1034" s="209">
        <f>+SUMIFS('A DEPOSITAR'!$H$2:$H$998,'A DEPOSITAR'!$D$2:$D$998,(O1034-2),'A DEPOSITAR'!$I$2:$I$998,"A Depositar")</f>
        <v>0</v>
      </c>
    </row>
    <row r="1035" spans="15:21" ht="15.75" customHeight="1" x14ac:dyDescent="0.2">
      <c r="O1035" s="208">
        <v>44680</v>
      </c>
      <c r="P1035" s="209">
        <f t="shared" si="171"/>
        <v>0</v>
      </c>
      <c r="Q1035" s="209">
        <f>+SUMIF('A DEPOSITAR'!$D$2:$D$998,(O1035-2),'A DEPOSITAR'!$H$2:$H$998)</f>
        <v>0</v>
      </c>
      <c r="R1035" s="210">
        <f t="shared" si="172"/>
        <v>0</v>
      </c>
      <c r="S1035" s="210">
        <f t="shared" si="174"/>
        <v>3560070.9000000013</v>
      </c>
      <c r="T1035" s="209">
        <f t="shared" si="173"/>
        <v>0</v>
      </c>
      <c r="U1035" s="209">
        <f>+SUMIFS('A DEPOSITAR'!$H$2:$H$998,'A DEPOSITAR'!$D$2:$D$998,(O1035-2),'A DEPOSITAR'!$I$2:$I$998,"A Depositar")</f>
        <v>0</v>
      </c>
    </row>
    <row r="1036" spans="15:21" ht="15.75" customHeight="1" x14ac:dyDescent="0.2">
      <c r="O1036" s="208">
        <v>44681</v>
      </c>
      <c r="P1036" s="209">
        <f t="shared" si="171"/>
        <v>0</v>
      </c>
      <c r="Q1036" s="209">
        <f>+SUMIF('A DEPOSITAR'!$D$2:$D$998,(O1036-2),'A DEPOSITAR'!$H$2:$H$998)</f>
        <v>0</v>
      </c>
      <c r="R1036" s="210">
        <f t="shared" si="172"/>
        <v>0</v>
      </c>
      <c r="S1036" s="210">
        <f t="shared" si="174"/>
        <v>3560070.9000000013</v>
      </c>
      <c r="T1036" s="209">
        <f t="shared" si="173"/>
        <v>0</v>
      </c>
      <c r="U1036" s="209">
        <f>+SUMIFS('A DEPOSITAR'!$H$2:$H$998,'A DEPOSITAR'!$D$2:$D$998,(O1036-2),'A DEPOSITAR'!$I$2:$I$998,"A Depositar")</f>
        <v>0</v>
      </c>
    </row>
    <row r="1037" spans="15:21" ht="15.75" customHeight="1" x14ac:dyDescent="0.2">
      <c r="O1037" s="208">
        <v>44682</v>
      </c>
      <c r="P1037" s="209">
        <f t="shared" si="171"/>
        <v>0</v>
      </c>
      <c r="Q1037" s="209">
        <f>+SUMIF('A DEPOSITAR'!$D$2:$D$998,(O1037-2),'A DEPOSITAR'!$H$2:$H$998)</f>
        <v>0</v>
      </c>
      <c r="R1037" s="210">
        <f t="shared" si="172"/>
        <v>0</v>
      </c>
      <c r="S1037" s="210">
        <f t="shared" si="174"/>
        <v>3560070.9000000013</v>
      </c>
      <c r="T1037" s="209">
        <f t="shared" si="173"/>
        <v>0</v>
      </c>
      <c r="U1037" s="209">
        <f>+SUMIFS('A DEPOSITAR'!$H$2:$H$998,'A DEPOSITAR'!$D$2:$D$998,(O1037-2),'A DEPOSITAR'!$I$2:$I$998,"A Depositar")</f>
        <v>0</v>
      </c>
    </row>
    <row r="1038" spans="15:21" ht="15.75" customHeight="1" x14ac:dyDescent="0.2">
      <c r="O1038" s="208">
        <v>44683</v>
      </c>
      <c r="P1038" s="209">
        <f t="shared" si="171"/>
        <v>0</v>
      </c>
      <c r="Q1038" s="209">
        <f>+SUMIF('A DEPOSITAR'!$D$2:$D$998,(O1038-2),'A DEPOSITAR'!$H$2:$H$998)</f>
        <v>0</v>
      </c>
      <c r="R1038" s="210">
        <f t="shared" si="172"/>
        <v>0</v>
      </c>
      <c r="S1038" s="210">
        <f t="shared" si="174"/>
        <v>3560070.9000000013</v>
      </c>
      <c r="T1038" s="209">
        <f t="shared" si="173"/>
        <v>0</v>
      </c>
      <c r="U1038" s="209">
        <f>+SUMIFS('A DEPOSITAR'!$H$2:$H$998,'A DEPOSITAR'!$D$2:$D$998,(O1038-2),'A DEPOSITAR'!$I$2:$I$998,"A Depositar")</f>
        <v>0</v>
      </c>
    </row>
    <row r="1039" spans="15:21" ht="15.75" customHeight="1" x14ac:dyDescent="0.2">
      <c r="O1039" s="208">
        <v>44684</v>
      </c>
      <c r="P1039" s="209">
        <f t="shared" si="171"/>
        <v>0</v>
      </c>
      <c r="Q1039" s="209">
        <f>+SUMIF('A DEPOSITAR'!$D$2:$D$998,(O1039-2),'A DEPOSITAR'!$H$2:$H$998)</f>
        <v>0</v>
      </c>
      <c r="R1039" s="210">
        <f t="shared" si="172"/>
        <v>0</v>
      </c>
      <c r="S1039" s="210">
        <f t="shared" si="174"/>
        <v>3560070.9000000013</v>
      </c>
      <c r="T1039" s="209">
        <f t="shared" si="173"/>
        <v>0</v>
      </c>
      <c r="U1039" s="209">
        <f>+SUMIFS('A DEPOSITAR'!$H$2:$H$998,'A DEPOSITAR'!$D$2:$D$998,(O1039-2),'A DEPOSITAR'!$I$2:$I$998,"A Depositar")</f>
        <v>0</v>
      </c>
    </row>
    <row r="1040" spans="15:21" ht="15.75" customHeight="1" x14ac:dyDescent="0.2">
      <c r="O1040" s="208">
        <v>44685</v>
      </c>
      <c r="P1040" s="209">
        <f t="shared" si="171"/>
        <v>0</v>
      </c>
      <c r="Q1040" s="209">
        <f>+SUMIF('A DEPOSITAR'!$D$2:$D$998,(O1040-2),'A DEPOSITAR'!$H$2:$H$998)</f>
        <v>0</v>
      </c>
      <c r="R1040" s="210">
        <f t="shared" si="172"/>
        <v>0</v>
      </c>
      <c r="S1040" s="210">
        <f t="shared" si="174"/>
        <v>3560070.9000000013</v>
      </c>
      <c r="T1040" s="209">
        <f t="shared" si="173"/>
        <v>0</v>
      </c>
      <c r="U1040" s="209">
        <f>+SUMIFS('A DEPOSITAR'!$H$2:$H$998,'A DEPOSITAR'!$D$2:$D$998,(O1040-2),'A DEPOSITAR'!$I$2:$I$998,"A Depositar")</f>
        <v>0</v>
      </c>
    </row>
    <row r="1041" spans="15:21" ht="15.75" customHeight="1" x14ac:dyDescent="0.2">
      <c r="O1041" s="208">
        <v>44686</v>
      </c>
      <c r="P1041" s="209">
        <f t="shared" si="171"/>
        <v>0</v>
      </c>
      <c r="Q1041" s="209">
        <f>+SUMIF('A DEPOSITAR'!$D$2:$D$998,(O1041-2),'A DEPOSITAR'!$H$2:$H$998)</f>
        <v>0</v>
      </c>
      <c r="R1041" s="210">
        <f t="shared" si="172"/>
        <v>0</v>
      </c>
      <c r="S1041" s="210">
        <f t="shared" si="174"/>
        <v>3560070.9000000013</v>
      </c>
      <c r="T1041" s="209">
        <f t="shared" si="173"/>
        <v>0</v>
      </c>
      <c r="U1041" s="209">
        <f>+SUMIFS('A DEPOSITAR'!$H$2:$H$998,'A DEPOSITAR'!$D$2:$D$998,(O1041-2),'A DEPOSITAR'!$I$2:$I$998,"A Depositar")</f>
        <v>0</v>
      </c>
    </row>
    <row r="1042" spans="15:21" ht="15.75" customHeight="1" x14ac:dyDescent="0.2">
      <c r="O1042" s="208">
        <v>44687</v>
      </c>
      <c r="P1042" s="209">
        <f t="shared" si="171"/>
        <v>0</v>
      </c>
      <c r="Q1042" s="209">
        <f>+SUMIF('A DEPOSITAR'!$D$2:$D$998,(O1042-2),'A DEPOSITAR'!$H$2:$H$998)</f>
        <v>0</v>
      </c>
      <c r="R1042" s="210">
        <f t="shared" si="172"/>
        <v>0</v>
      </c>
      <c r="S1042" s="210">
        <f t="shared" si="174"/>
        <v>3560070.9000000013</v>
      </c>
      <c r="T1042" s="209">
        <f t="shared" si="173"/>
        <v>0</v>
      </c>
      <c r="U1042" s="209">
        <f>+SUMIFS('A DEPOSITAR'!$H$2:$H$998,'A DEPOSITAR'!$D$2:$D$998,(O1042-2),'A DEPOSITAR'!$I$2:$I$998,"A Depositar")</f>
        <v>0</v>
      </c>
    </row>
    <row r="1043" spans="15:21" ht="15.75" customHeight="1" x14ac:dyDescent="0.2">
      <c r="O1043" s="208">
        <v>44688</v>
      </c>
      <c r="P1043" s="209">
        <f t="shared" si="171"/>
        <v>0</v>
      </c>
      <c r="Q1043" s="209">
        <f>+SUMIF('A DEPOSITAR'!$D$2:$D$998,(O1043-2),'A DEPOSITAR'!$H$2:$H$998)</f>
        <v>0</v>
      </c>
      <c r="R1043" s="210">
        <f t="shared" si="172"/>
        <v>0</v>
      </c>
      <c r="S1043" s="210">
        <f t="shared" si="174"/>
        <v>3560070.9000000013</v>
      </c>
      <c r="T1043" s="209">
        <f t="shared" si="173"/>
        <v>0</v>
      </c>
      <c r="U1043" s="209">
        <f>+SUMIFS('A DEPOSITAR'!$H$2:$H$998,'A DEPOSITAR'!$D$2:$D$998,(O1043-2),'A DEPOSITAR'!$I$2:$I$998,"A Depositar")</f>
        <v>0</v>
      </c>
    </row>
    <row r="1044" spans="15:21" ht="15.75" customHeight="1" x14ac:dyDescent="0.2">
      <c r="O1044" s="208">
        <v>44689</v>
      </c>
      <c r="P1044" s="209">
        <f t="shared" si="171"/>
        <v>0</v>
      </c>
      <c r="Q1044" s="209">
        <f>+SUMIF('A DEPOSITAR'!$D$2:$D$998,(O1044-2),'A DEPOSITAR'!$H$2:$H$998)</f>
        <v>0</v>
      </c>
      <c r="R1044" s="210">
        <f t="shared" si="172"/>
        <v>0</v>
      </c>
      <c r="S1044" s="210">
        <f t="shared" si="174"/>
        <v>3560070.9000000013</v>
      </c>
      <c r="T1044" s="209">
        <f t="shared" si="173"/>
        <v>0</v>
      </c>
      <c r="U1044" s="209">
        <f>+SUMIFS('A DEPOSITAR'!$H$2:$H$998,'A DEPOSITAR'!$D$2:$D$998,(O1044-2),'A DEPOSITAR'!$I$2:$I$998,"A Depositar")</f>
        <v>0</v>
      </c>
    </row>
    <row r="1045" spans="15:21" ht="15.75" customHeight="1" x14ac:dyDescent="0.2">
      <c r="O1045" s="208">
        <v>44690</v>
      </c>
      <c r="P1045" s="209">
        <f t="shared" si="171"/>
        <v>0</v>
      </c>
      <c r="Q1045" s="209">
        <f>+SUMIF('A DEPOSITAR'!$D$2:$D$998,(O1045-2),'A DEPOSITAR'!$H$2:$H$998)</f>
        <v>0</v>
      </c>
      <c r="R1045" s="210">
        <f t="shared" si="172"/>
        <v>0</v>
      </c>
      <c r="S1045" s="210">
        <f t="shared" si="174"/>
        <v>3560070.9000000013</v>
      </c>
      <c r="T1045" s="209">
        <f t="shared" si="173"/>
        <v>0</v>
      </c>
      <c r="U1045" s="209">
        <f>+SUMIFS('A DEPOSITAR'!$H$2:$H$998,'A DEPOSITAR'!$D$2:$D$998,(O1045-2),'A DEPOSITAR'!$I$2:$I$998,"A Depositar")</f>
        <v>0</v>
      </c>
    </row>
    <row r="1046" spans="15:21" ht="15.75" customHeight="1" x14ac:dyDescent="0.2">
      <c r="O1046" s="208">
        <v>44691</v>
      </c>
      <c r="P1046" s="209">
        <f t="shared" si="171"/>
        <v>0</v>
      </c>
      <c r="Q1046" s="209">
        <f>+SUMIF('A DEPOSITAR'!$D$2:$D$998,(O1046-2),'A DEPOSITAR'!$H$2:$H$998)</f>
        <v>0</v>
      </c>
      <c r="R1046" s="210">
        <f t="shared" si="172"/>
        <v>0</v>
      </c>
      <c r="S1046" s="210">
        <f t="shared" si="174"/>
        <v>3560070.9000000013</v>
      </c>
      <c r="T1046" s="209">
        <f t="shared" si="173"/>
        <v>0</v>
      </c>
      <c r="U1046" s="209">
        <f>+SUMIFS('A DEPOSITAR'!$H$2:$H$998,'A DEPOSITAR'!$D$2:$D$998,(O1046-2),'A DEPOSITAR'!$I$2:$I$998,"A Depositar")</f>
        <v>0</v>
      </c>
    </row>
    <row r="1047" spans="15:21" ht="15.75" customHeight="1" x14ac:dyDescent="0.2">
      <c r="O1047" s="208">
        <v>44692</v>
      </c>
      <c r="P1047" s="209">
        <f t="shared" si="171"/>
        <v>0</v>
      </c>
      <c r="Q1047" s="209">
        <f>+SUMIF('A DEPOSITAR'!$D$2:$D$998,(O1047-2),'A DEPOSITAR'!$H$2:$H$998)</f>
        <v>0</v>
      </c>
      <c r="R1047" s="210">
        <f t="shared" si="172"/>
        <v>0</v>
      </c>
      <c r="S1047" s="210">
        <f t="shared" si="174"/>
        <v>3560070.9000000013</v>
      </c>
      <c r="T1047" s="209">
        <f t="shared" si="173"/>
        <v>0</v>
      </c>
      <c r="U1047" s="209">
        <f>+SUMIFS('A DEPOSITAR'!$H$2:$H$998,'A DEPOSITAR'!$D$2:$D$998,(O1047-2),'A DEPOSITAR'!$I$2:$I$998,"A Depositar")</f>
        <v>0</v>
      </c>
    </row>
    <row r="1048" spans="15:21" ht="15.75" customHeight="1" x14ac:dyDescent="0.2">
      <c r="O1048" s="208">
        <v>44693</v>
      </c>
      <c r="P1048" s="209">
        <f t="shared" si="171"/>
        <v>0</v>
      </c>
      <c r="Q1048" s="209">
        <f>+SUMIF('A DEPOSITAR'!$D$2:$D$998,(O1048-2),'A DEPOSITAR'!$H$2:$H$998)</f>
        <v>0</v>
      </c>
      <c r="R1048" s="210">
        <f t="shared" si="172"/>
        <v>0</v>
      </c>
      <c r="S1048" s="210">
        <f t="shared" si="174"/>
        <v>3560070.9000000013</v>
      </c>
      <c r="T1048" s="209">
        <f t="shared" si="173"/>
        <v>0</v>
      </c>
      <c r="U1048" s="209">
        <f>+SUMIFS('A DEPOSITAR'!$H$2:$H$998,'A DEPOSITAR'!$D$2:$D$998,(O1048-2),'A DEPOSITAR'!$I$2:$I$998,"A Depositar")</f>
        <v>0</v>
      </c>
    </row>
    <row r="1049" spans="15:21" ht="15.75" customHeight="1" x14ac:dyDescent="0.2">
      <c r="O1049" s="208">
        <v>44694</v>
      </c>
      <c r="P1049" s="209">
        <f t="shared" si="171"/>
        <v>0</v>
      </c>
      <c r="Q1049" s="209">
        <f>+SUMIF('A DEPOSITAR'!$D$2:$D$998,(O1049-2),'A DEPOSITAR'!$H$2:$H$998)</f>
        <v>0</v>
      </c>
      <c r="R1049" s="210">
        <f t="shared" si="172"/>
        <v>0</v>
      </c>
      <c r="S1049" s="210">
        <f t="shared" si="174"/>
        <v>3560070.9000000013</v>
      </c>
      <c r="T1049" s="209">
        <f t="shared" si="173"/>
        <v>0</v>
      </c>
      <c r="U1049" s="209">
        <f>+SUMIFS('A DEPOSITAR'!$H$2:$H$998,'A DEPOSITAR'!$D$2:$D$998,(O1049-2),'A DEPOSITAR'!$I$2:$I$998,"A Depositar")</f>
        <v>0</v>
      </c>
    </row>
    <row r="1050" spans="15:21" ht="15.75" customHeight="1" x14ac:dyDescent="0.2">
      <c r="O1050" s="208">
        <v>44695</v>
      </c>
      <c r="P1050" s="209">
        <f t="shared" si="171"/>
        <v>0</v>
      </c>
      <c r="Q1050" s="209">
        <f>+SUMIF('A DEPOSITAR'!$D$2:$D$998,(O1050-2),'A DEPOSITAR'!$H$2:$H$998)</f>
        <v>0</v>
      </c>
      <c r="R1050" s="210">
        <f t="shared" si="172"/>
        <v>0</v>
      </c>
      <c r="S1050" s="210">
        <f t="shared" si="174"/>
        <v>3560070.9000000013</v>
      </c>
      <c r="T1050" s="209">
        <f t="shared" si="173"/>
        <v>0</v>
      </c>
      <c r="U1050" s="209">
        <f>+SUMIFS('A DEPOSITAR'!$H$2:$H$998,'A DEPOSITAR'!$D$2:$D$998,(O1050-2),'A DEPOSITAR'!$I$2:$I$998,"A Depositar")</f>
        <v>0</v>
      </c>
    </row>
    <row r="1051" spans="15:21" ht="15.75" customHeight="1" x14ac:dyDescent="0.2">
      <c r="O1051" s="208">
        <v>44696</v>
      </c>
      <c r="P1051" s="209">
        <f t="shared" si="171"/>
        <v>0</v>
      </c>
      <c r="Q1051" s="209">
        <f>+SUMIF('A DEPOSITAR'!$D$2:$D$998,(O1051-2),'A DEPOSITAR'!$H$2:$H$998)</f>
        <v>0</v>
      </c>
      <c r="R1051" s="210">
        <f t="shared" si="172"/>
        <v>0</v>
      </c>
      <c r="S1051" s="210">
        <f t="shared" si="174"/>
        <v>3560070.9000000013</v>
      </c>
      <c r="T1051" s="209">
        <f t="shared" si="173"/>
        <v>0</v>
      </c>
      <c r="U1051" s="209">
        <f>+SUMIFS('A DEPOSITAR'!$H$2:$H$998,'A DEPOSITAR'!$D$2:$D$998,(O1051-2),'A DEPOSITAR'!$I$2:$I$998,"A Depositar")</f>
        <v>0</v>
      </c>
    </row>
    <row r="1052" spans="15:21" ht="15.75" customHeight="1" x14ac:dyDescent="0.2">
      <c r="O1052" s="208">
        <v>44697</v>
      </c>
      <c r="P1052" s="209">
        <f t="shared" si="171"/>
        <v>4231.3799999999992</v>
      </c>
      <c r="Q1052" s="209">
        <f>+SUMIF('A DEPOSITAR'!$D$2:$D$998,(O1052-2),'A DEPOSITAR'!$H$2:$H$998)</f>
        <v>0</v>
      </c>
      <c r="R1052" s="210">
        <f t="shared" si="172"/>
        <v>-4231.3799999999992</v>
      </c>
      <c r="S1052" s="210">
        <f t="shared" si="174"/>
        <v>3555839.5200000014</v>
      </c>
      <c r="T1052" s="209">
        <f t="shared" si="173"/>
        <v>4231.3799999999992</v>
      </c>
      <c r="U1052" s="209">
        <f>+SUMIFS('A DEPOSITAR'!$H$2:$H$998,'A DEPOSITAR'!$D$2:$D$998,(O1052-2),'A DEPOSITAR'!$I$2:$I$998,"A Depositar")</f>
        <v>0</v>
      </c>
    </row>
    <row r="1053" spans="15:21" ht="15.75" customHeight="1" x14ac:dyDescent="0.2">
      <c r="O1053" s="208">
        <v>44698</v>
      </c>
      <c r="P1053" s="209">
        <f t="shared" si="171"/>
        <v>0</v>
      </c>
      <c r="Q1053" s="209">
        <f>+SUMIF('A DEPOSITAR'!$D$2:$D$998,(O1053-2),'A DEPOSITAR'!$H$2:$H$998)</f>
        <v>0</v>
      </c>
      <c r="R1053" s="210">
        <f t="shared" si="172"/>
        <v>0</v>
      </c>
      <c r="S1053" s="210">
        <f t="shared" si="174"/>
        <v>3555839.5200000014</v>
      </c>
      <c r="T1053" s="209">
        <f t="shared" si="173"/>
        <v>0</v>
      </c>
      <c r="U1053" s="209">
        <f>+SUMIFS('A DEPOSITAR'!$H$2:$H$998,'A DEPOSITAR'!$D$2:$D$998,(O1053-2),'A DEPOSITAR'!$I$2:$I$998,"A Depositar")</f>
        <v>0</v>
      </c>
    </row>
    <row r="1054" spans="15:21" ht="15.75" customHeight="1" x14ac:dyDescent="0.2">
      <c r="O1054" s="208">
        <v>44699</v>
      </c>
      <c r="P1054" s="209">
        <f t="shared" si="171"/>
        <v>0</v>
      </c>
      <c r="Q1054" s="209">
        <f>+SUMIF('A DEPOSITAR'!$D$2:$D$998,(O1054-2),'A DEPOSITAR'!$H$2:$H$998)</f>
        <v>0</v>
      </c>
      <c r="R1054" s="210">
        <f t="shared" si="172"/>
        <v>0</v>
      </c>
      <c r="S1054" s="210">
        <f t="shared" si="174"/>
        <v>3555839.5200000014</v>
      </c>
      <c r="T1054" s="209">
        <f t="shared" si="173"/>
        <v>0</v>
      </c>
      <c r="U1054" s="209">
        <f>+SUMIFS('A DEPOSITAR'!$H$2:$H$998,'A DEPOSITAR'!$D$2:$D$998,(O1054-2),'A DEPOSITAR'!$I$2:$I$998,"A Depositar")</f>
        <v>0</v>
      </c>
    </row>
    <row r="1040334" spans="6:6" ht="15" customHeight="1" x14ac:dyDescent="0.2">
      <c r="F1040334" s="185"/>
    </row>
  </sheetData>
  <autoFilter ref="A1:Z998">
    <sortState ref="A444:Z630">
      <sortCondition ref="B1:B998"/>
    </sortState>
  </autoFilter>
  <conditionalFormatting sqref="A1:M306 A307:C307 E307:M307 V3:Z998 O1:Z2 O3:U1054 C983:C1016 A983:B998 A308:M982 D983:M998">
    <cfRule type="cellIs" dxfId="378" priority="8" operator="equal">
      <formula>"A Pagar"</formula>
    </cfRule>
  </conditionalFormatting>
  <conditionalFormatting sqref="E1:E998">
    <cfRule type="cellIs" dxfId="377" priority="4" operator="equal">
      <formula>"Corona Virus"</formula>
    </cfRule>
    <cfRule type="cellIs" dxfId="376" priority="6" operator="equal">
      <formula>"Rechazado"</formula>
    </cfRule>
    <cfRule type="cellIs" dxfId="375" priority="7" operator="equal">
      <formula>"Recuperado"</formula>
    </cfRule>
    <cfRule type="cellIs" dxfId="374" priority="9" operator="equal">
      <formula>"Pagado"</formula>
    </cfRule>
  </conditionalFormatting>
  <conditionalFormatting sqref="E2:E998">
    <cfRule type="cellIs" dxfId="373" priority="3" operator="equal">
      <formula>"Anulado"</formula>
    </cfRule>
  </conditionalFormatting>
  <conditionalFormatting sqref="F1040334:F1048576">
    <cfRule type="cellIs" dxfId="372" priority="2" operator="equal">
      <formula>"A Pagar"</formula>
    </cfRule>
  </conditionalFormatting>
  <conditionalFormatting sqref="D307">
    <cfRule type="cellIs" dxfId="371" priority="1" operator="equal">
      <formula>"A Pagar"</formula>
    </cfRule>
  </conditionalFormatting>
  <dataValidations xWindow="540" yWindow="237" count="1">
    <dataValidation type="list" allowBlank="1" showInputMessage="1" showErrorMessage="1" errorTitle="Estado erroneo" error="Los cheques pueden estar Pagados, A pagar, Recuperados o Perdidos." prompt="Haz clic e introduce un valor de la lista de elementos" sqref="E1:E1048576">
      <formula1>"A Pagar,Pagado,Recuperado,Perdido,Rechazado,Corona Virus,Anulado,Vencidos"</formula1>
    </dataValidation>
  </dataValidations>
  <pageMargins left="0.7" right="0.7" top="0.75" bottom="0.75" header="0.3" footer="0.3"/>
  <pageSetup paperSize="9" scale="4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baseColWidth="10" defaultRowHeight="12.75" x14ac:dyDescent="0.2"/>
  <cols>
    <col min="1" max="1" width="14.7109375" bestFit="1" customWidth="1"/>
    <col min="2" max="2" width="10.42578125" bestFit="1" customWidth="1"/>
    <col min="3" max="3" width="18.7109375" bestFit="1" customWidth="1"/>
    <col min="4" max="4" width="9" bestFit="1" customWidth="1"/>
    <col min="5" max="5" width="7.7109375" bestFit="1" customWidth="1"/>
    <col min="6" max="6" width="17.28515625" bestFit="1" customWidth="1"/>
    <col min="7" max="7" width="12.28515625" bestFit="1" customWidth="1"/>
    <col min="8" max="8" width="4" bestFit="1" customWidth="1"/>
    <col min="9" max="9" width="4.5703125" bestFit="1" customWidth="1"/>
    <col min="10" max="10" width="5.140625" bestFit="1" customWidth="1"/>
  </cols>
  <sheetData>
    <row r="1" spans="1:10" ht="13.5" thickBot="1" x14ac:dyDescent="0.25">
      <c r="A1" s="250" t="s">
        <v>0</v>
      </c>
      <c r="B1" s="250" t="s">
        <v>2</v>
      </c>
      <c r="C1" s="250" t="s">
        <v>3</v>
      </c>
      <c r="D1" s="250" t="s">
        <v>4</v>
      </c>
      <c r="E1" s="250" t="s">
        <v>5</v>
      </c>
      <c r="F1" s="250" t="s">
        <v>6</v>
      </c>
      <c r="G1" s="250" t="s">
        <v>9</v>
      </c>
      <c r="H1" s="250" t="s">
        <v>10</v>
      </c>
      <c r="I1" s="250" t="s">
        <v>12</v>
      </c>
      <c r="J1" s="250" t="s">
        <v>13</v>
      </c>
    </row>
    <row r="2" spans="1:10" ht="13.5" thickBot="1" x14ac:dyDescent="0.25">
      <c r="A2" s="248">
        <v>44589</v>
      </c>
      <c r="B2" s="249" t="s">
        <v>201</v>
      </c>
      <c r="C2" s="249" t="s">
        <v>269</v>
      </c>
      <c r="D2" s="249">
        <v>47701.67</v>
      </c>
      <c r="E2" s="249" t="s">
        <v>136</v>
      </c>
      <c r="F2" s="248">
        <v>44376</v>
      </c>
      <c r="G2" s="249"/>
      <c r="H2" s="249">
        <v>28</v>
      </c>
      <c r="I2" s="249">
        <v>1</v>
      </c>
      <c r="J2" s="249">
        <v>2022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baseColWidth="10" defaultRowHeight="12.75" x14ac:dyDescent="0.2"/>
  <cols>
    <col min="1" max="1" width="14.7109375" bestFit="1" customWidth="1"/>
    <col min="2" max="2" width="12.5703125" bestFit="1" customWidth="1"/>
    <col min="3" max="3" width="18.7109375" bestFit="1" customWidth="1"/>
    <col min="4" max="4" width="8" bestFit="1" customWidth="1"/>
    <col min="5" max="5" width="7.7109375" bestFit="1" customWidth="1"/>
    <col min="6" max="6" width="17.28515625" bestFit="1" customWidth="1"/>
    <col min="7" max="7" width="12.28515625" bestFit="1" customWidth="1"/>
    <col min="8" max="8" width="4" bestFit="1" customWidth="1"/>
    <col min="9" max="9" width="4.5703125" bestFit="1" customWidth="1"/>
    <col min="10" max="10" width="5.140625" bestFit="1" customWidth="1"/>
  </cols>
  <sheetData>
    <row r="1" spans="1:10" ht="13.5" thickBot="1" x14ac:dyDescent="0.25">
      <c r="A1" s="250" t="s">
        <v>0</v>
      </c>
      <c r="B1" s="250" t="s">
        <v>2</v>
      </c>
      <c r="C1" s="250" t="s">
        <v>3</v>
      </c>
      <c r="D1" s="250" t="s">
        <v>4</v>
      </c>
      <c r="E1" s="250" t="s">
        <v>5</v>
      </c>
      <c r="F1" s="250" t="s">
        <v>6</v>
      </c>
      <c r="G1" s="250" t="s">
        <v>9</v>
      </c>
      <c r="H1" s="250" t="s">
        <v>10</v>
      </c>
      <c r="I1" s="250" t="s">
        <v>12</v>
      </c>
      <c r="J1" s="250" t="s">
        <v>13</v>
      </c>
    </row>
    <row r="2" spans="1:10" x14ac:dyDescent="0.2">
      <c r="A2" s="251">
        <v>44577</v>
      </c>
      <c r="B2" s="252" t="s">
        <v>994</v>
      </c>
      <c r="C2" s="252" t="s">
        <v>430</v>
      </c>
      <c r="D2" s="252">
        <v>1326.83</v>
      </c>
      <c r="E2" s="252" t="s">
        <v>136</v>
      </c>
      <c r="F2" s="251">
        <v>44116</v>
      </c>
      <c r="G2" s="252"/>
      <c r="H2" s="252">
        <v>16</v>
      </c>
      <c r="I2" s="252">
        <v>1</v>
      </c>
      <c r="J2" s="252">
        <v>2022</v>
      </c>
    </row>
    <row r="3" spans="1:10" x14ac:dyDescent="0.2">
      <c r="A3" s="251">
        <v>44577</v>
      </c>
      <c r="B3" s="252" t="s">
        <v>995</v>
      </c>
      <c r="C3" s="252" t="s">
        <v>430</v>
      </c>
      <c r="D3" s="252">
        <v>1350.55</v>
      </c>
      <c r="E3" s="252" t="s">
        <v>136</v>
      </c>
      <c r="F3" s="251">
        <v>44116</v>
      </c>
      <c r="G3" s="252"/>
      <c r="H3" s="252">
        <v>16</v>
      </c>
      <c r="I3" s="252">
        <v>1</v>
      </c>
      <c r="J3" s="252">
        <v>2022</v>
      </c>
    </row>
    <row r="4" spans="1:10" ht="13.5" thickBot="1" x14ac:dyDescent="0.25">
      <c r="A4" s="248">
        <v>44577</v>
      </c>
      <c r="B4" s="249" t="s">
        <v>939</v>
      </c>
      <c r="C4" s="249" t="s">
        <v>430</v>
      </c>
      <c r="D4" s="249">
        <v>1309.52</v>
      </c>
      <c r="E4" s="249" t="s">
        <v>136</v>
      </c>
      <c r="F4" s="248">
        <v>44116</v>
      </c>
      <c r="G4" s="249"/>
      <c r="H4" s="249">
        <v>16</v>
      </c>
      <c r="I4" s="249">
        <v>1</v>
      </c>
      <c r="J4" s="24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3" sqref="C3"/>
    </sheetView>
  </sheetViews>
  <sheetFormatPr baseColWidth="10" defaultRowHeight="12.75" x14ac:dyDescent="0.2"/>
  <cols>
    <col min="1" max="1" width="14.7109375" bestFit="1" customWidth="1"/>
    <col min="2" max="2" width="12.5703125" bestFit="1" customWidth="1"/>
    <col min="3" max="3" width="18.7109375" bestFit="1" customWidth="1"/>
    <col min="4" max="4" width="8" bestFit="1" customWidth="1"/>
    <col min="5" max="5" width="7.7109375" bestFit="1" customWidth="1"/>
    <col min="6" max="6" width="17.28515625" bestFit="1" customWidth="1"/>
    <col min="7" max="7" width="12.28515625" bestFit="1" customWidth="1"/>
    <col min="8" max="8" width="4" bestFit="1" customWidth="1"/>
    <col min="9" max="9" width="4.5703125" bestFit="1" customWidth="1"/>
    <col min="10" max="10" width="5.140625" bestFit="1" customWidth="1"/>
  </cols>
  <sheetData>
    <row r="1" spans="1:10" ht="13.5" thickBot="1" x14ac:dyDescent="0.25">
      <c r="A1" s="250" t="s">
        <v>0</v>
      </c>
      <c r="B1" s="250" t="s">
        <v>2</v>
      </c>
      <c r="C1" s="250" t="s">
        <v>3</v>
      </c>
      <c r="D1" s="250" t="s">
        <v>4</v>
      </c>
      <c r="E1" s="250" t="s">
        <v>5</v>
      </c>
      <c r="F1" s="250" t="s">
        <v>6</v>
      </c>
      <c r="G1" s="250" t="s">
        <v>9</v>
      </c>
      <c r="H1" s="250" t="s">
        <v>10</v>
      </c>
      <c r="I1" s="250" t="s">
        <v>12</v>
      </c>
      <c r="J1" s="250" t="s">
        <v>13</v>
      </c>
    </row>
    <row r="2" spans="1:10" x14ac:dyDescent="0.2">
      <c r="A2" s="251">
        <v>44516</v>
      </c>
      <c r="B2" s="252" t="s">
        <v>139</v>
      </c>
      <c r="C2" s="252">
        <v>89033576</v>
      </c>
      <c r="D2" s="252">
        <v>51000</v>
      </c>
      <c r="E2" s="252" t="s">
        <v>136</v>
      </c>
      <c r="F2" s="251">
        <v>44483</v>
      </c>
      <c r="G2" s="252"/>
      <c r="H2" s="252">
        <v>16</v>
      </c>
      <c r="I2" s="252">
        <v>11</v>
      </c>
      <c r="J2" s="252">
        <v>2021</v>
      </c>
    </row>
    <row r="3" spans="1:10" x14ac:dyDescent="0.2">
      <c r="A3" s="251">
        <v>44516</v>
      </c>
      <c r="B3" s="252" t="s">
        <v>1282</v>
      </c>
      <c r="C3" s="252" t="s">
        <v>231</v>
      </c>
      <c r="D3" s="252">
        <v>5687.31</v>
      </c>
      <c r="E3" s="252" t="s">
        <v>136</v>
      </c>
      <c r="F3" s="251">
        <v>44448</v>
      </c>
      <c r="G3" s="252"/>
      <c r="H3" s="252">
        <v>16</v>
      </c>
      <c r="I3" s="252">
        <v>11</v>
      </c>
      <c r="J3" s="252">
        <v>2021</v>
      </c>
    </row>
    <row r="4" spans="1:10" x14ac:dyDescent="0.2">
      <c r="A4" s="251">
        <v>44516</v>
      </c>
      <c r="B4" s="252" t="s">
        <v>323</v>
      </c>
      <c r="C4" s="252">
        <v>87608949</v>
      </c>
      <c r="D4" s="252">
        <v>9000</v>
      </c>
      <c r="E4" s="252" t="s">
        <v>136</v>
      </c>
      <c r="F4" s="251">
        <v>44426</v>
      </c>
      <c r="G4" s="252"/>
      <c r="H4" s="252">
        <v>16</v>
      </c>
      <c r="I4" s="252">
        <v>11</v>
      </c>
      <c r="J4" s="252">
        <v>2021</v>
      </c>
    </row>
    <row r="5" spans="1:10" x14ac:dyDescent="0.2">
      <c r="A5" s="251">
        <v>44516</v>
      </c>
      <c r="B5" s="252" t="s">
        <v>323</v>
      </c>
      <c r="C5" s="252">
        <v>87608930</v>
      </c>
      <c r="D5" s="252">
        <v>20000</v>
      </c>
      <c r="E5" s="252" t="s">
        <v>136</v>
      </c>
      <c r="F5" s="251">
        <v>44392</v>
      </c>
      <c r="G5" s="252"/>
      <c r="H5" s="252">
        <v>16</v>
      </c>
      <c r="I5" s="252">
        <v>11</v>
      </c>
      <c r="J5" s="252">
        <v>2021</v>
      </c>
    </row>
    <row r="6" spans="1:10" x14ac:dyDescent="0.2">
      <c r="A6" s="251">
        <v>44516</v>
      </c>
      <c r="B6" s="252" t="s">
        <v>994</v>
      </c>
      <c r="C6" s="252" t="s">
        <v>428</v>
      </c>
      <c r="D6" s="252">
        <v>1286.1500000000001</v>
      </c>
      <c r="E6" s="252" t="s">
        <v>136</v>
      </c>
      <c r="F6" s="251">
        <v>44116</v>
      </c>
      <c r="G6" s="252"/>
      <c r="H6" s="252">
        <v>16</v>
      </c>
      <c r="I6" s="252">
        <v>11</v>
      </c>
      <c r="J6" s="252">
        <v>2021</v>
      </c>
    </row>
    <row r="7" spans="1:10" x14ac:dyDescent="0.2">
      <c r="A7" s="251">
        <v>44516</v>
      </c>
      <c r="B7" s="252" t="s">
        <v>995</v>
      </c>
      <c r="C7" s="252" t="s">
        <v>428</v>
      </c>
      <c r="D7" s="252">
        <v>1309.1400000000001</v>
      </c>
      <c r="E7" s="252" t="s">
        <v>136</v>
      </c>
      <c r="F7" s="251">
        <v>44116</v>
      </c>
      <c r="G7" s="252"/>
      <c r="H7" s="252">
        <v>16</v>
      </c>
      <c r="I7" s="252">
        <v>11</v>
      </c>
      <c r="J7" s="252">
        <v>2021</v>
      </c>
    </row>
    <row r="8" spans="1:10" ht="13.5" thickBot="1" x14ac:dyDescent="0.25">
      <c r="A8" s="248">
        <v>44516</v>
      </c>
      <c r="B8" s="249" t="s">
        <v>939</v>
      </c>
      <c r="C8" s="249" t="s">
        <v>428</v>
      </c>
      <c r="D8" s="249">
        <v>1269.3699999999999</v>
      </c>
      <c r="E8" s="249" t="s">
        <v>136</v>
      </c>
      <c r="F8" s="248">
        <v>44116</v>
      </c>
      <c r="G8" s="249"/>
      <c r="H8" s="249">
        <v>16</v>
      </c>
      <c r="I8" s="249">
        <v>11</v>
      </c>
      <c r="J8" s="24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outlinePr summaryBelow="0" summaryRight="0"/>
    <pageSetUpPr fitToPage="1"/>
  </sheetPr>
  <dimension ref="A1:Z1000"/>
  <sheetViews>
    <sheetView zoomScale="85" zoomScaleNormal="85" workbookViewId="0">
      <selection activeCell="E7" sqref="E7"/>
    </sheetView>
  </sheetViews>
  <sheetFormatPr baseColWidth="10" defaultColWidth="14.42578125" defaultRowHeight="15.75" customHeight="1" x14ac:dyDescent="0.4"/>
  <cols>
    <col min="1" max="1" width="10.140625" style="108" customWidth="1"/>
    <col min="2" max="2" width="6.140625" style="150" customWidth="1"/>
    <col min="3" max="3" width="21.42578125" style="108" bestFit="1" customWidth="1"/>
    <col min="4" max="6" width="22.28515625" style="108" bestFit="1" customWidth="1"/>
    <col min="7" max="8" width="23.42578125" style="108" bestFit="1" customWidth="1"/>
    <col min="9" max="9" width="22.28515625" style="108" bestFit="1" customWidth="1"/>
    <col min="10" max="10" width="25.5703125" style="108" bestFit="1" customWidth="1"/>
    <col min="11" max="11" width="22.28515625" style="108" bestFit="1" customWidth="1"/>
    <col min="12" max="12" width="24.42578125" style="54" bestFit="1" customWidth="1"/>
    <col min="13" max="14" width="24.42578125" style="108" bestFit="1" customWidth="1"/>
    <col min="15" max="15" width="18.140625" style="108" bestFit="1" customWidth="1"/>
    <col min="16" max="16" width="21" style="108" bestFit="1" customWidth="1"/>
    <col min="17" max="17" width="12.7109375" style="108" customWidth="1"/>
    <col min="18" max="18" width="16.42578125" style="108" customWidth="1"/>
    <col min="19" max="16384" width="14.42578125" style="108"/>
  </cols>
  <sheetData>
    <row r="1" spans="1:26" ht="19.5" customHeight="1" x14ac:dyDescent="0.4">
      <c r="A1" s="230" t="s">
        <v>5</v>
      </c>
      <c r="B1" s="237" t="s">
        <v>136</v>
      </c>
      <c r="C1" s="107"/>
      <c r="D1" s="107"/>
      <c r="E1" s="107"/>
      <c r="F1" s="107"/>
      <c r="G1" s="107"/>
      <c r="H1" s="107"/>
      <c r="I1" s="107"/>
      <c r="J1" s="107"/>
      <c r="K1" s="107"/>
      <c r="L1" s="51"/>
      <c r="M1" s="107"/>
      <c r="N1" s="107"/>
      <c r="O1" s="52"/>
      <c r="P1" s="52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30" x14ac:dyDescent="0.4">
      <c r="A2" s="107"/>
      <c r="B2" s="149"/>
      <c r="C2" s="107"/>
      <c r="D2" s="107"/>
      <c r="E2" s="107"/>
      <c r="F2" s="107"/>
      <c r="G2" s="107"/>
      <c r="H2" s="107"/>
      <c r="I2" s="107"/>
      <c r="J2" s="107"/>
      <c r="K2" s="107"/>
      <c r="L2" s="51"/>
      <c r="M2" s="107"/>
      <c r="N2" s="107"/>
      <c r="O2" s="52"/>
      <c r="P2" s="52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8.5" customHeight="1" x14ac:dyDescent="0.2">
      <c r="A3" s="230" t="s">
        <v>738</v>
      </c>
      <c r="B3" s="231"/>
      <c r="C3" s="230" t="s">
        <v>10</v>
      </c>
      <c r="D3" s="231"/>
      <c r="E3" s="231"/>
      <c r="F3" s="231"/>
      <c r="G3" s="231"/>
      <c r="H3" s="231"/>
      <c r="I3" s="231"/>
      <c r="J3" s="231"/>
      <c r="K3" s="231"/>
      <c r="L3"/>
      <c r="M3"/>
      <c r="N3"/>
      <c r="O3" s="109"/>
      <c r="P3" s="109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2.75" x14ac:dyDescent="0.2">
      <c r="A4" s="230" t="s">
        <v>13</v>
      </c>
      <c r="B4" s="230" t="s">
        <v>12</v>
      </c>
      <c r="C4" s="231">
        <v>8</v>
      </c>
      <c r="D4" s="231">
        <v>15</v>
      </c>
      <c r="E4" s="231">
        <v>16</v>
      </c>
      <c r="F4" s="231">
        <v>17</v>
      </c>
      <c r="G4" s="231">
        <v>22</v>
      </c>
      <c r="H4" s="231">
        <v>28</v>
      </c>
      <c r="I4" s="231">
        <v>30</v>
      </c>
      <c r="J4" s="231">
        <v>31</v>
      </c>
      <c r="K4" s="231" t="s">
        <v>739</v>
      </c>
      <c r="L4"/>
      <c r="M4"/>
      <c r="N4"/>
      <c r="O4" s="109"/>
      <c r="P4" s="109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42.75" customHeight="1" x14ac:dyDescent="0.25">
      <c r="A5" s="232">
        <v>2021</v>
      </c>
      <c r="B5" s="231">
        <v>9</v>
      </c>
      <c r="C5" s="233"/>
      <c r="D5" s="233"/>
      <c r="E5" s="233"/>
      <c r="F5" s="233"/>
      <c r="G5" s="233"/>
      <c r="H5" s="233"/>
      <c r="I5" s="227">
        <v>13500</v>
      </c>
      <c r="J5" s="233"/>
      <c r="K5" s="233">
        <v>13500</v>
      </c>
      <c r="L5"/>
      <c r="M5"/>
      <c r="N5"/>
      <c r="O5" s="109"/>
      <c r="P5" s="109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s="110" customFormat="1" ht="39.75" customHeight="1" x14ac:dyDescent="0.25">
      <c r="A6" s="232"/>
      <c r="B6" s="231">
        <v>10</v>
      </c>
      <c r="C6" s="233">
        <v>18700</v>
      </c>
      <c r="D6" s="233"/>
      <c r="E6" s="233">
        <v>28206.17</v>
      </c>
      <c r="F6" s="233"/>
      <c r="G6" s="233">
        <v>29809.99</v>
      </c>
      <c r="H6" s="233">
        <v>24657.53</v>
      </c>
      <c r="I6" s="227">
        <v>69530.31</v>
      </c>
      <c r="J6" s="233">
        <v>4000</v>
      </c>
      <c r="K6" s="233">
        <v>174904</v>
      </c>
      <c r="L6"/>
      <c r="M6"/>
      <c r="N6"/>
      <c r="O6" s="109"/>
      <c r="P6" s="109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s="173" customFormat="1" ht="34.5" customHeight="1" x14ac:dyDescent="0.25">
      <c r="A7" s="232"/>
      <c r="B7" s="231">
        <v>11</v>
      </c>
      <c r="C7" s="233">
        <v>56000</v>
      </c>
      <c r="D7" s="233"/>
      <c r="E7" s="233">
        <v>89551.969999999987</v>
      </c>
      <c r="F7" s="233">
        <v>59939.360000000001</v>
      </c>
      <c r="G7" s="233">
        <v>63000</v>
      </c>
      <c r="H7" s="233">
        <v>25479.45</v>
      </c>
      <c r="I7" s="227">
        <v>97025.35</v>
      </c>
      <c r="J7" s="233"/>
      <c r="K7" s="233">
        <v>390996.13</v>
      </c>
      <c r="L7"/>
      <c r="M7"/>
      <c r="N7" s="156"/>
      <c r="O7" s="171"/>
      <c r="P7" s="157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 spans="1:26" s="120" customFormat="1" ht="47.25" customHeight="1" x14ac:dyDescent="0.25">
      <c r="A8" s="232"/>
      <c r="B8" s="231">
        <v>12</v>
      </c>
      <c r="C8" s="233">
        <v>73100</v>
      </c>
      <c r="D8" s="233">
        <v>4000</v>
      </c>
      <c r="E8" s="233">
        <v>108218.90000000001</v>
      </c>
      <c r="F8" s="233">
        <v>58250.189999999995</v>
      </c>
      <c r="G8" s="233">
        <v>60000</v>
      </c>
      <c r="H8" s="233">
        <v>24657.53</v>
      </c>
      <c r="I8" s="227">
        <v>13400</v>
      </c>
      <c r="J8" s="233"/>
      <c r="K8" s="233">
        <v>341626.62</v>
      </c>
      <c r="L8"/>
      <c r="M8"/>
      <c r="N8" s="118"/>
      <c r="O8" s="119"/>
      <c r="P8" s="119"/>
    </row>
    <row r="9" spans="1:26" s="98" customFormat="1" ht="34.5" customHeight="1" x14ac:dyDescent="0.25">
      <c r="A9" s="234" t="s">
        <v>1067</v>
      </c>
      <c r="B9" s="234"/>
      <c r="C9" s="235">
        <v>147800</v>
      </c>
      <c r="D9" s="235">
        <v>4000</v>
      </c>
      <c r="E9" s="235">
        <v>225977.03999999998</v>
      </c>
      <c r="F9" s="235">
        <v>118189.54999999999</v>
      </c>
      <c r="G9" s="235">
        <v>152809.99</v>
      </c>
      <c r="H9" s="235">
        <v>74794.509999999995</v>
      </c>
      <c r="I9" s="228">
        <v>193455.66</v>
      </c>
      <c r="J9" s="235">
        <v>4000</v>
      </c>
      <c r="K9" s="235">
        <v>921026.75</v>
      </c>
      <c r="L9"/>
      <c r="M9"/>
      <c r="N9" s="170"/>
      <c r="O9" s="109"/>
      <c r="P9" s="96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spans="1:26" s="155" customFormat="1" ht="45.75" customHeight="1" x14ac:dyDescent="0.2">
      <c r="A10" s="231">
        <v>2022</v>
      </c>
      <c r="B10" s="231">
        <v>1</v>
      </c>
      <c r="C10" s="236"/>
      <c r="D10" s="236"/>
      <c r="E10" s="236">
        <v>3986.9</v>
      </c>
      <c r="F10" s="236"/>
      <c r="G10" s="236"/>
      <c r="H10" s="236">
        <v>47701.67</v>
      </c>
      <c r="I10" s="229"/>
      <c r="J10" s="236"/>
      <c r="K10" s="236">
        <v>51688.57</v>
      </c>
      <c r="L10"/>
      <c r="M10"/>
      <c r="N10" s="154"/>
    </row>
    <row r="11" spans="1:26" s="165" customFormat="1" ht="43.5" customHeight="1" x14ac:dyDescent="0.35">
      <c r="A11" s="231"/>
      <c r="B11" s="231">
        <v>2</v>
      </c>
      <c r="C11" s="236"/>
      <c r="D11" s="236"/>
      <c r="E11" s="236">
        <v>4048.0200000000004</v>
      </c>
      <c r="F11" s="236"/>
      <c r="G11" s="236"/>
      <c r="H11" s="236">
        <v>47229.83</v>
      </c>
      <c r="I11" s="229"/>
      <c r="J11" s="236"/>
      <c r="K11" s="236">
        <v>51277.850000000006</v>
      </c>
      <c r="L11"/>
      <c r="M11"/>
      <c r="N11" s="164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 spans="1:26" ht="39.75" customHeight="1" x14ac:dyDescent="0.2">
      <c r="A12" s="231"/>
      <c r="B12" s="231">
        <v>3</v>
      </c>
      <c r="C12" s="236"/>
      <c r="D12" s="236"/>
      <c r="E12" s="236">
        <v>4109.13</v>
      </c>
      <c r="F12" s="236"/>
      <c r="G12" s="236"/>
      <c r="H12" s="236">
        <v>44383.56</v>
      </c>
      <c r="I12" s="229"/>
      <c r="J12" s="236"/>
      <c r="K12" s="236">
        <v>48492.689999999995</v>
      </c>
      <c r="L12"/>
      <c r="M12"/>
      <c r="N12"/>
      <c r="O12" s="109"/>
      <c r="P12" s="109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39.75" customHeight="1" x14ac:dyDescent="0.2">
      <c r="A13" s="231"/>
      <c r="B13" s="231">
        <v>4</v>
      </c>
      <c r="C13" s="236"/>
      <c r="D13" s="236"/>
      <c r="E13" s="236">
        <v>4170.26</v>
      </c>
      <c r="F13" s="236"/>
      <c r="G13" s="236"/>
      <c r="H13" s="236">
        <v>46286.15</v>
      </c>
      <c r="I13" s="229"/>
      <c r="J13" s="236"/>
      <c r="K13" s="236">
        <v>50456.41</v>
      </c>
      <c r="L13"/>
      <c r="M13"/>
      <c r="N13"/>
      <c r="O13" s="109"/>
      <c r="P13" s="109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47.25" customHeight="1" x14ac:dyDescent="0.2">
      <c r="A14" s="231"/>
      <c r="B14" s="231">
        <v>5</v>
      </c>
      <c r="C14" s="236"/>
      <c r="D14" s="236"/>
      <c r="E14" s="236">
        <v>4231.38</v>
      </c>
      <c r="F14" s="236"/>
      <c r="G14" s="236"/>
      <c r="H14" s="236">
        <v>45053.27</v>
      </c>
      <c r="I14" s="229"/>
      <c r="J14" s="236"/>
      <c r="K14" s="236">
        <v>49284.649999999994</v>
      </c>
      <c r="L14"/>
      <c r="M14"/>
      <c r="N14"/>
      <c r="O14" s="109"/>
      <c r="P14" s="109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2.75" x14ac:dyDescent="0.2">
      <c r="A15" s="231"/>
      <c r="B15" s="231">
        <v>6</v>
      </c>
      <c r="C15" s="236"/>
      <c r="D15" s="236"/>
      <c r="E15" s="236">
        <v>4292.49</v>
      </c>
      <c r="F15" s="236"/>
      <c r="G15" s="236"/>
      <c r="H15" s="236">
        <v>45342.47</v>
      </c>
      <c r="I15" s="229"/>
      <c r="J15" s="236"/>
      <c r="K15" s="236">
        <v>49634.96</v>
      </c>
      <c r="L15"/>
      <c r="M15"/>
      <c r="N15"/>
      <c r="O15" s="109"/>
      <c r="P15" s="109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2.75" x14ac:dyDescent="0.2">
      <c r="A16" s="231"/>
      <c r="B16" s="231">
        <v>7</v>
      </c>
      <c r="C16" s="236"/>
      <c r="D16" s="236"/>
      <c r="E16" s="236">
        <v>4353.72</v>
      </c>
      <c r="F16" s="236"/>
      <c r="G16" s="236"/>
      <c r="H16" s="236">
        <v>44140.03</v>
      </c>
      <c r="I16" s="229"/>
      <c r="J16" s="236"/>
      <c r="K16" s="236">
        <v>48493.75</v>
      </c>
      <c r="L16"/>
      <c r="M16"/>
      <c r="N16"/>
      <c r="O16" s="109"/>
      <c r="P16" s="109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2.75" x14ac:dyDescent="0.2">
      <c r="A17" s="231"/>
      <c r="B17" s="231">
        <v>8</v>
      </c>
      <c r="C17" s="236"/>
      <c r="D17" s="236"/>
      <c r="E17" s="236">
        <v>2919.25</v>
      </c>
      <c r="F17" s="236"/>
      <c r="G17" s="236"/>
      <c r="H17" s="236">
        <v>44398.78</v>
      </c>
      <c r="I17" s="229"/>
      <c r="J17" s="236"/>
      <c r="K17" s="236">
        <v>47318.03</v>
      </c>
      <c r="L17"/>
      <c r="M17"/>
      <c r="N17"/>
      <c r="O17" s="109"/>
      <c r="P17" s="109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2.75" x14ac:dyDescent="0.2">
      <c r="A18" s="231"/>
      <c r="B18" s="231">
        <v>9</v>
      </c>
      <c r="C18" s="236"/>
      <c r="D18" s="236"/>
      <c r="E18" s="236">
        <v>2959.67</v>
      </c>
      <c r="F18" s="236"/>
      <c r="G18" s="236"/>
      <c r="H18" s="236">
        <v>43926.94</v>
      </c>
      <c r="I18" s="229"/>
      <c r="J18" s="236"/>
      <c r="K18" s="236">
        <v>46886.61</v>
      </c>
      <c r="L18"/>
      <c r="M18"/>
      <c r="N18"/>
      <c r="O18" s="109"/>
      <c r="P18" s="109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2.75" x14ac:dyDescent="0.2">
      <c r="A19" s="231"/>
      <c r="B19" s="231">
        <v>10</v>
      </c>
      <c r="C19" s="236"/>
      <c r="D19" s="236"/>
      <c r="E19" s="236">
        <v>3000.08</v>
      </c>
      <c r="F19" s="236"/>
      <c r="G19" s="236"/>
      <c r="H19" s="236">
        <v>42770.17</v>
      </c>
      <c r="I19" s="229"/>
      <c r="J19" s="236"/>
      <c r="K19" s="236">
        <v>45770.25</v>
      </c>
      <c r="L19"/>
      <c r="M19"/>
      <c r="N19" s="109"/>
      <c r="O19" s="109"/>
      <c r="P19" s="109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2.75" x14ac:dyDescent="0.2">
      <c r="A20" s="231"/>
      <c r="B20" s="231">
        <v>11</v>
      </c>
      <c r="C20" s="236"/>
      <c r="D20" s="236"/>
      <c r="E20" s="236">
        <v>3040.49</v>
      </c>
      <c r="F20" s="236"/>
      <c r="G20" s="236"/>
      <c r="H20" s="236">
        <v>42983.26</v>
      </c>
      <c r="I20" s="229"/>
      <c r="J20" s="236"/>
      <c r="K20" s="236">
        <v>46023.75</v>
      </c>
      <c r="L20"/>
      <c r="M20"/>
      <c r="N20" s="109"/>
      <c r="O20" s="109"/>
      <c r="P20" s="109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2.75" x14ac:dyDescent="0.2">
      <c r="A21" s="231"/>
      <c r="B21" s="231">
        <v>12</v>
      </c>
      <c r="C21" s="236"/>
      <c r="D21" s="236"/>
      <c r="E21" s="236">
        <v>3080.91</v>
      </c>
      <c r="F21" s="236"/>
      <c r="G21" s="236"/>
      <c r="H21" s="236">
        <v>41856.93</v>
      </c>
      <c r="I21" s="229"/>
      <c r="J21" s="236"/>
      <c r="K21" s="236">
        <v>44937.84</v>
      </c>
      <c r="L21"/>
      <c r="M21"/>
      <c r="N21" s="109"/>
      <c r="O21" s="109"/>
      <c r="P21" s="109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" x14ac:dyDescent="0.25">
      <c r="A22" s="234" t="s">
        <v>1292</v>
      </c>
      <c r="B22" s="234"/>
      <c r="C22" s="235"/>
      <c r="D22" s="235"/>
      <c r="E22" s="235">
        <v>44192.3</v>
      </c>
      <c r="F22" s="235"/>
      <c r="G22" s="235"/>
      <c r="H22" s="235">
        <v>536073.06000000006</v>
      </c>
      <c r="I22" s="228"/>
      <c r="J22" s="235"/>
      <c r="K22" s="235">
        <v>580265.36</v>
      </c>
      <c r="L22"/>
      <c r="M22"/>
      <c r="N22" s="109"/>
      <c r="O22" s="109"/>
      <c r="P22" s="109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2.75" x14ac:dyDescent="0.2">
      <c r="A23" s="231">
        <v>2023</v>
      </c>
      <c r="B23" s="231"/>
      <c r="C23" s="236"/>
      <c r="D23" s="236"/>
      <c r="E23" s="236">
        <v>40123.230000000003</v>
      </c>
      <c r="F23" s="236"/>
      <c r="G23" s="236"/>
      <c r="H23" s="236">
        <v>488069.99999999994</v>
      </c>
      <c r="I23" s="229"/>
      <c r="J23" s="236"/>
      <c r="K23" s="236">
        <v>528193.23</v>
      </c>
      <c r="L23"/>
      <c r="M23"/>
      <c r="N23" s="109"/>
      <c r="O23" s="109"/>
      <c r="P23" s="109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45" customHeight="1" x14ac:dyDescent="0.2">
      <c r="A24" s="231">
        <v>2024</v>
      </c>
      <c r="B24" s="231"/>
      <c r="C24" s="236"/>
      <c r="D24" s="236"/>
      <c r="E24" s="236">
        <v>39887.46</v>
      </c>
      <c r="F24" s="236"/>
      <c r="G24" s="236"/>
      <c r="H24" s="236">
        <v>430465.73000000004</v>
      </c>
      <c r="I24" s="229"/>
      <c r="J24" s="236"/>
      <c r="K24" s="236">
        <v>470353.19000000006</v>
      </c>
      <c r="L24"/>
      <c r="M24"/>
      <c r="N24" s="109"/>
      <c r="O24" s="109"/>
      <c r="P24" s="109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2.75" x14ac:dyDescent="0.2">
      <c r="A25" s="231">
        <v>2025</v>
      </c>
      <c r="B25" s="231"/>
      <c r="C25" s="236"/>
      <c r="D25" s="236"/>
      <c r="E25" s="236">
        <v>25711.299999999992</v>
      </c>
      <c r="F25" s="236"/>
      <c r="G25" s="236"/>
      <c r="H25" s="236">
        <v>349954.32</v>
      </c>
      <c r="I25" s="229"/>
      <c r="J25" s="236"/>
      <c r="K25" s="236">
        <v>375665.62</v>
      </c>
      <c r="L25"/>
      <c r="M25"/>
      <c r="N25" s="109"/>
      <c r="O25" s="109"/>
      <c r="P25" s="109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2.75" x14ac:dyDescent="0.2">
      <c r="A26" s="231">
        <v>2026</v>
      </c>
      <c r="B26" s="231"/>
      <c r="C26" s="236"/>
      <c r="D26" s="236"/>
      <c r="E26" s="236">
        <v>26107.759999999998</v>
      </c>
      <c r="F26" s="236"/>
      <c r="G26" s="236"/>
      <c r="H26" s="236">
        <v>144968.02000000002</v>
      </c>
      <c r="I26" s="229"/>
      <c r="J26" s="236"/>
      <c r="K26" s="236">
        <v>171075.78000000003</v>
      </c>
      <c r="L26"/>
      <c r="M26"/>
      <c r="N26" s="109"/>
      <c r="O26" s="109"/>
      <c r="P26" s="109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109"/>
      <c r="O27" s="109"/>
      <c r="P27" s="109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109"/>
      <c r="O28" s="109"/>
      <c r="P28" s="109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109"/>
      <c r="O29" s="109"/>
      <c r="P29" s="109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2.75" x14ac:dyDescent="0.2">
      <c r="A30"/>
      <c r="B30"/>
      <c r="C30"/>
      <c r="D30"/>
      <c r="E30"/>
      <c r="F30"/>
      <c r="G30"/>
      <c r="H30"/>
      <c r="I30"/>
      <c r="J30"/>
      <c r="K30"/>
      <c r="L30"/>
      <c r="M30" s="109"/>
      <c r="N30" s="109"/>
      <c r="O30" s="109"/>
      <c r="P30" s="109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2.75" x14ac:dyDescent="0.2">
      <c r="A31"/>
      <c r="B31"/>
      <c r="C31"/>
      <c r="D31"/>
      <c r="E31"/>
      <c r="F31"/>
      <c r="G31"/>
      <c r="H31"/>
      <c r="I31"/>
      <c r="J31" s="111"/>
      <c r="K31" s="111"/>
      <c r="L31" s="57"/>
      <c r="M31" s="111"/>
      <c r="N31" s="111"/>
      <c r="O31" s="111"/>
      <c r="P31" s="111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2.75" x14ac:dyDescent="0.2">
      <c r="A32"/>
      <c r="B32"/>
      <c r="C32"/>
      <c r="D32"/>
      <c r="E32"/>
      <c r="F32"/>
      <c r="G32"/>
      <c r="H32"/>
      <c r="I32"/>
      <c r="J32" s="58"/>
      <c r="K32" s="58"/>
      <c r="L32" s="112"/>
      <c r="M32" s="58"/>
      <c r="N32" s="58"/>
      <c r="O32" s="58"/>
      <c r="P32" s="58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2.75" x14ac:dyDescent="0.2">
      <c r="A33"/>
      <c r="B33"/>
      <c r="C33"/>
      <c r="D33"/>
      <c r="E33"/>
      <c r="F33"/>
      <c r="G33"/>
      <c r="H33"/>
      <c r="I33"/>
      <c r="J33" s="58"/>
      <c r="K33" s="58"/>
      <c r="L33" s="112"/>
      <c r="M33" s="58"/>
      <c r="N33" s="58"/>
      <c r="O33" s="58"/>
      <c r="P33" s="58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2.75" x14ac:dyDescent="0.2">
      <c r="A34"/>
      <c r="B34"/>
      <c r="C34"/>
      <c r="D34"/>
      <c r="E34"/>
      <c r="F34"/>
      <c r="G34"/>
      <c r="H34"/>
      <c r="I34"/>
      <c r="J34" s="58"/>
      <c r="K34" s="58"/>
      <c r="L34" s="112"/>
      <c r="M34" s="58"/>
      <c r="N34" s="58"/>
      <c r="O34" s="58"/>
      <c r="P34" s="58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2.75" x14ac:dyDescent="0.2">
      <c r="A35"/>
      <c r="B35"/>
      <c r="C35"/>
      <c r="D35"/>
      <c r="E35"/>
      <c r="F35"/>
      <c r="G35"/>
      <c r="H35"/>
      <c r="I35"/>
      <c r="J35" s="58"/>
      <c r="K35" s="58"/>
      <c r="L35" s="112"/>
      <c r="M35" s="58"/>
      <c r="N35" s="58"/>
      <c r="O35" s="58"/>
      <c r="P35" s="58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2.75" x14ac:dyDescent="0.2">
      <c r="A36"/>
      <c r="B36"/>
      <c r="C36"/>
      <c r="D36"/>
      <c r="E36"/>
      <c r="F36"/>
      <c r="G36"/>
      <c r="H36"/>
      <c r="I36"/>
      <c r="J36" s="58"/>
      <c r="K36" s="58"/>
      <c r="L36" s="112"/>
      <c r="M36" s="58"/>
      <c r="N36" s="58"/>
      <c r="O36" s="58"/>
      <c r="P36" s="58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2.75" x14ac:dyDescent="0.2">
      <c r="A37"/>
      <c r="B37"/>
      <c r="C37"/>
      <c r="D37"/>
      <c r="E37"/>
      <c r="F37"/>
      <c r="G37"/>
      <c r="H37"/>
      <c r="I37"/>
      <c r="J37" s="58"/>
      <c r="K37" s="58"/>
      <c r="L37" s="112"/>
      <c r="M37" s="58"/>
      <c r="N37" s="58"/>
      <c r="O37" s="58"/>
      <c r="P37" s="58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2.75" x14ac:dyDescent="0.2">
      <c r="A38"/>
      <c r="B38"/>
      <c r="C38"/>
      <c r="D38"/>
      <c r="E38"/>
      <c r="F38"/>
      <c r="G38"/>
      <c r="H38"/>
      <c r="I38"/>
      <c r="J38" s="58"/>
      <c r="K38" s="58"/>
      <c r="L38" s="112"/>
      <c r="M38" s="58"/>
      <c r="N38" s="58"/>
      <c r="O38" s="58"/>
      <c r="P38" s="58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2.75" x14ac:dyDescent="0.2">
      <c r="A39"/>
      <c r="B39"/>
      <c r="C39"/>
      <c r="D39"/>
      <c r="E39"/>
      <c r="F39"/>
      <c r="G39"/>
      <c r="H39"/>
      <c r="I39"/>
      <c r="J39" s="58"/>
      <c r="K39" s="58"/>
      <c r="L39" s="112"/>
      <c r="M39" s="58"/>
      <c r="N39" s="58"/>
      <c r="O39" s="58"/>
      <c r="P39" s="58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2.75" x14ac:dyDescent="0.2">
      <c r="A40"/>
      <c r="B40"/>
      <c r="C40"/>
      <c r="D40"/>
      <c r="E40"/>
      <c r="F40"/>
      <c r="G40"/>
      <c r="H40"/>
      <c r="I40"/>
      <c r="J40" s="58"/>
      <c r="K40" s="58"/>
      <c r="L40" s="112"/>
      <c r="M40" s="58"/>
      <c r="N40" s="58"/>
      <c r="O40" s="58"/>
      <c r="P40" s="58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2.75" x14ac:dyDescent="0.2">
      <c r="A41"/>
      <c r="B41"/>
      <c r="C41"/>
      <c r="D41"/>
      <c r="E41"/>
      <c r="F41"/>
      <c r="G41"/>
      <c r="H41"/>
      <c r="I41"/>
      <c r="J41" s="58"/>
      <c r="K41" s="58"/>
      <c r="L41" s="112"/>
      <c r="M41" s="58"/>
      <c r="N41" s="58"/>
      <c r="O41" s="58"/>
      <c r="P41" s="58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2.75" x14ac:dyDescent="0.2">
      <c r="A42"/>
      <c r="B42"/>
      <c r="C42"/>
      <c r="D42"/>
      <c r="E42"/>
      <c r="F42"/>
      <c r="G42"/>
      <c r="H42"/>
      <c r="I42"/>
      <c r="J42" s="58"/>
      <c r="K42" s="58"/>
      <c r="L42" s="112"/>
      <c r="M42" s="58"/>
      <c r="N42" s="58"/>
      <c r="O42" s="58"/>
      <c r="P42" s="58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2.75" x14ac:dyDescent="0.2">
      <c r="A43"/>
      <c r="B43"/>
      <c r="C43"/>
      <c r="D43"/>
      <c r="E43"/>
      <c r="F43"/>
      <c r="G43"/>
      <c r="H43"/>
      <c r="I43"/>
      <c r="J43" s="53"/>
      <c r="K43" s="53"/>
      <c r="L43" s="11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2.75" x14ac:dyDescent="0.2">
      <c r="A44"/>
      <c r="B44"/>
      <c r="C44"/>
      <c r="D44"/>
      <c r="E44"/>
      <c r="F44"/>
      <c r="G44"/>
      <c r="H44"/>
      <c r="I44"/>
      <c r="J44" s="53"/>
      <c r="K44" s="53"/>
      <c r="L44" s="11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2.75" x14ac:dyDescent="0.2">
      <c r="A45"/>
      <c r="B45"/>
      <c r="C45"/>
      <c r="D45"/>
      <c r="E45"/>
      <c r="F45"/>
      <c r="G45"/>
      <c r="H45"/>
      <c r="I45"/>
      <c r="J45" s="53"/>
      <c r="K45" s="53"/>
      <c r="L45" s="11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2.75" x14ac:dyDescent="0.2">
      <c r="A46"/>
      <c r="B46"/>
      <c r="C46"/>
      <c r="D46"/>
      <c r="E46"/>
      <c r="F46"/>
      <c r="G46"/>
      <c r="H46"/>
      <c r="I46"/>
      <c r="J46" s="53"/>
      <c r="K46" s="53"/>
      <c r="L46" s="11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2.75" x14ac:dyDescent="0.2">
      <c r="A47"/>
      <c r="B47"/>
      <c r="C47"/>
      <c r="D47"/>
      <c r="E47"/>
      <c r="F47"/>
      <c r="G47"/>
      <c r="H47"/>
      <c r="I47"/>
      <c r="J47" s="53"/>
      <c r="K47" s="53"/>
      <c r="L47" s="11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2.75" x14ac:dyDescent="0.2">
      <c r="A48"/>
      <c r="B48"/>
      <c r="C48"/>
      <c r="D48"/>
      <c r="E48"/>
      <c r="F48"/>
      <c r="G48"/>
      <c r="H48"/>
      <c r="I48"/>
      <c r="J48" s="53"/>
      <c r="K48" s="53"/>
      <c r="L48" s="11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2.75" x14ac:dyDescent="0.2">
      <c r="A49"/>
      <c r="B49"/>
      <c r="C49"/>
      <c r="D49"/>
      <c r="E49"/>
      <c r="F49"/>
      <c r="G49"/>
      <c r="H49"/>
      <c r="I49"/>
      <c r="J49" s="53"/>
      <c r="K49" s="53"/>
      <c r="L49" s="11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2.75" x14ac:dyDescent="0.2">
      <c r="A50"/>
      <c r="B50"/>
      <c r="C50"/>
      <c r="D50"/>
      <c r="E50"/>
      <c r="F50"/>
      <c r="G50"/>
      <c r="H50"/>
      <c r="I50"/>
      <c r="J50" s="53"/>
      <c r="K50" s="53"/>
      <c r="L50" s="11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2.75" x14ac:dyDescent="0.2">
      <c r="A51"/>
      <c r="B51"/>
      <c r="C51"/>
      <c r="D51"/>
      <c r="E51"/>
      <c r="F51"/>
      <c r="G51"/>
      <c r="H51"/>
      <c r="I51"/>
      <c r="J51" s="53"/>
      <c r="K51" s="53"/>
      <c r="L51" s="11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2.75" x14ac:dyDescent="0.2">
      <c r="A52"/>
      <c r="B52"/>
      <c r="C52"/>
      <c r="D52"/>
      <c r="E52"/>
      <c r="F52"/>
      <c r="G52"/>
      <c r="H52"/>
      <c r="I52"/>
      <c r="J52" s="53"/>
      <c r="K52" s="53"/>
      <c r="L52" s="11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2.75" x14ac:dyDescent="0.2">
      <c r="A53"/>
      <c r="B53"/>
      <c r="C53"/>
      <c r="D53"/>
      <c r="E53"/>
      <c r="F53"/>
      <c r="G53"/>
      <c r="H53"/>
      <c r="I53"/>
      <c r="J53" s="53"/>
      <c r="K53" s="53"/>
      <c r="L53" s="11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2.75" x14ac:dyDescent="0.2">
      <c r="A54"/>
      <c r="B54"/>
      <c r="C54"/>
      <c r="D54"/>
      <c r="E54"/>
      <c r="F54"/>
      <c r="G54"/>
      <c r="H54"/>
      <c r="I54"/>
      <c r="J54" s="53"/>
      <c r="K54" s="53"/>
      <c r="L54" s="11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2.75" x14ac:dyDescent="0.2">
      <c r="A55"/>
      <c r="B55"/>
      <c r="C55"/>
      <c r="D55"/>
      <c r="E55"/>
      <c r="F55"/>
      <c r="G55"/>
      <c r="H55"/>
      <c r="I55"/>
      <c r="J55" s="53"/>
      <c r="K55" s="53"/>
      <c r="L55" s="11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2.75" x14ac:dyDescent="0.2">
      <c r="A56"/>
      <c r="B56"/>
      <c r="C56"/>
      <c r="D56"/>
      <c r="E56"/>
      <c r="F56"/>
      <c r="G56"/>
      <c r="H56"/>
      <c r="I56"/>
      <c r="J56" s="53"/>
      <c r="K56" s="53"/>
      <c r="L56" s="11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2.75" x14ac:dyDescent="0.2">
      <c r="A57"/>
      <c r="B57"/>
      <c r="C57"/>
      <c r="D57"/>
      <c r="E57"/>
      <c r="F57"/>
      <c r="G57"/>
      <c r="H57"/>
      <c r="I57"/>
      <c r="J57" s="53"/>
      <c r="K57" s="53"/>
      <c r="L57" s="11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2.75" x14ac:dyDescent="0.2">
      <c r="A58"/>
      <c r="B58"/>
      <c r="C58"/>
      <c r="D58"/>
      <c r="E58"/>
      <c r="F58"/>
      <c r="G58"/>
      <c r="H58"/>
      <c r="I58"/>
      <c r="J58" s="53"/>
      <c r="K58" s="53"/>
      <c r="L58" s="11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2.75" x14ac:dyDescent="0.2">
      <c r="A59"/>
      <c r="B59"/>
      <c r="C59"/>
      <c r="D59"/>
      <c r="E59"/>
      <c r="F59"/>
      <c r="G59"/>
      <c r="H59"/>
      <c r="I59"/>
      <c r="J59" s="53"/>
      <c r="K59" s="53"/>
      <c r="L59" s="11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2.75" x14ac:dyDescent="0.2">
      <c r="A60"/>
      <c r="B60"/>
      <c r="C60"/>
      <c r="D60"/>
      <c r="E60"/>
      <c r="F60"/>
      <c r="G60"/>
      <c r="H60"/>
      <c r="I60"/>
      <c r="J60" s="53"/>
      <c r="K60" s="53"/>
      <c r="L60" s="11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2.75" x14ac:dyDescent="0.2">
      <c r="A61"/>
      <c r="B61"/>
      <c r="C61"/>
      <c r="D61"/>
      <c r="E61"/>
      <c r="F61"/>
      <c r="G61"/>
      <c r="H61"/>
      <c r="I61"/>
      <c r="J61" s="53"/>
      <c r="K61" s="53"/>
      <c r="L61" s="11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2.75" x14ac:dyDescent="0.2">
      <c r="A62"/>
      <c r="B62"/>
      <c r="C62"/>
      <c r="D62"/>
      <c r="E62"/>
      <c r="F62"/>
      <c r="G62"/>
      <c r="H62"/>
      <c r="I62"/>
      <c r="J62" s="53"/>
      <c r="K62" s="53"/>
      <c r="L62" s="11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2.75" x14ac:dyDescent="0.2">
      <c r="A63"/>
      <c r="B63"/>
      <c r="C63"/>
      <c r="D63"/>
      <c r="E63"/>
      <c r="F63"/>
      <c r="G63"/>
      <c r="H63"/>
      <c r="I63"/>
      <c r="J63" s="53"/>
      <c r="K63" s="53"/>
      <c r="L63" s="11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2.75" x14ac:dyDescent="0.2">
      <c r="A64"/>
      <c r="B64"/>
      <c r="C64"/>
      <c r="D64"/>
      <c r="E64"/>
      <c r="F64"/>
      <c r="G64"/>
      <c r="H64"/>
      <c r="I64"/>
      <c r="J64" s="53"/>
      <c r="K64" s="53"/>
      <c r="L64" s="11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2.75" x14ac:dyDescent="0.2">
      <c r="A65"/>
      <c r="B65"/>
      <c r="C65"/>
      <c r="D65"/>
      <c r="E65"/>
      <c r="F65"/>
      <c r="G65"/>
      <c r="H65"/>
      <c r="I65"/>
      <c r="J65" s="53"/>
      <c r="K65" s="53"/>
      <c r="L65" s="11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2.75" x14ac:dyDescent="0.2">
      <c r="A66"/>
      <c r="B66"/>
      <c r="C66"/>
      <c r="D66"/>
      <c r="E66"/>
      <c r="F66"/>
      <c r="G66"/>
      <c r="H66"/>
      <c r="I66"/>
      <c r="J66" s="53"/>
      <c r="K66" s="53"/>
      <c r="L66" s="11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2.75" x14ac:dyDescent="0.2">
      <c r="A67"/>
      <c r="B67"/>
      <c r="C67"/>
      <c r="D67"/>
      <c r="E67"/>
      <c r="F67"/>
      <c r="G67"/>
      <c r="H67"/>
      <c r="I67"/>
      <c r="J67" s="53"/>
      <c r="K67" s="53"/>
      <c r="L67" s="11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2.75" x14ac:dyDescent="0.2">
      <c r="A68"/>
      <c r="B68"/>
      <c r="C68"/>
      <c r="D68"/>
      <c r="E68"/>
      <c r="F68"/>
      <c r="G68"/>
      <c r="H68"/>
      <c r="I68"/>
      <c r="J68" s="53"/>
      <c r="K68" s="53"/>
      <c r="L68" s="11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2.75" x14ac:dyDescent="0.2">
      <c r="A69"/>
      <c r="B69"/>
      <c r="C69"/>
      <c r="D69"/>
      <c r="E69"/>
      <c r="F69"/>
      <c r="G69"/>
      <c r="H69"/>
      <c r="I69"/>
      <c r="J69" s="53"/>
      <c r="K69" s="53"/>
      <c r="L69" s="11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2.75" x14ac:dyDescent="0.2">
      <c r="A70"/>
      <c r="B70"/>
      <c r="C70"/>
      <c r="D70"/>
      <c r="E70"/>
      <c r="F70"/>
      <c r="G70"/>
      <c r="H70"/>
      <c r="I70"/>
      <c r="J70" s="53"/>
      <c r="K70" s="53"/>
      <c r="L70" s="11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2.75" x14ac:dyDescent="0.2">
      <c r="A71"/>
      <c r="B71"/>
      <c r="C71"/>
      <c r="D71"/>
      <c r="E71"/>
      <c r="F71"/>
      <c r="G71"/>
      <c r="H71"/>
      <c r="I71"/>
      <c r="J71" s="53"/>
      <c r="K71" s="53"/>
      <c r="L71" s="11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2.75" x14ac:dyDescent="0.2">
      <c r="A72"/>
      <c r="B72"/>
      <c r="C72"/>
      <c r="D72"/>
      <c r="E72"/>
      <c r="F72"/>
      <c r="G72"/>
      <c r="H72"/>
      <c r="I72"/>
      <c r="J72" s="53"/>
      <c r="K72" s="53"/>
      <c r="L72" s="11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2.75" x14ac:dyDescent="0.2">
      <c r="A73"/>
      <c r="B73"/>
      <c r="C73"/>
      <c r="D73"/>
      <c r="E73"/>
      <c r="F73"/>
      <c r="G73"/>
      <c r="H73"/>
      <c r="I73"/>
      <c r="J73" s="53"/>
      <c r="K73" s="53"/>
      <c r="L73" s="11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2.75" x14ac:dyDescent="0.2">
      <c r="A74"/>
      <c r="B74"/>
      <c r="C74"/>
      <c r="D74"/>
      <c r="E74"/>
      <c r="F74"/>
      <c r="G74"/>
      <c r="H74"/>
      <c r="I74"/>
      <c r="J74" s="53"/>
      <c r="K74" s="53"/>
      <c r="L74" s="11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30" x14ac:dyDescent="0.4">
      <c r="A75" s="53"/>
      <c r="B75" s="151"/>
      <c r="C75" s="53"/>
      <c r="D75" s="53"/>
      <c r="E75" s="53"/>
      <c r="F75" s="53"/>
      <c r="G75" s="53"/>
      <c r="H75" s="53"/>
      <c r="I75" s="53"/>
      <c r="J75" s="53"/>
      <c r="K75" s="53"/>
      <c r="L75" s="11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30" x14ac:dyDescent="0.4">
      <c r="A76" s="53"/>
      <c r="B76" s="151"/>
      <c r="C76" s="53"/>
      <c r="D76" s="53"/>
      <c r="E76" s="53"/>
      <c r="F76" s="53"/>
      <c r="G76" s="53"/>
      <c r="H76" s="53"/>
      <c r="I76" s="53"/>
      <c r="J76" s="53"/>
      <c r="K76" s="53"/>
      <c r="L76" s="11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30" x14ac:dyDescent="0.4">
      <c r="A77" s="53"/>
      <c r="B77" s="151"/>
      <c r="C77" s="53"/>
      <c r="D77" s="53"/>
      <c r="E77" s="53"/>
      <c r="F77" s="53"/>
      <c r="G77" s="53"/>
      <c r="H77" s="53"/>
      <c r="I77" s="53"/>
      <c r="J77" s="53"/>
      <c r="K77" s="53"/>
      <c r="L77" s="11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30" x14ac:dyDescent="0.4">
      <c r="A78" s="53"/>
      <c r="B78" s="151"/>
      <c r="C78" s="53"/>
      <c r="D78" s="53"/>
      <c r="E78" s="53"/>
      <c r="F78" s="53"/>
      <c r="G78" s="53"/>
      <c r="H78" s="53"/>
      <c r="I78" s="53"/>
      <c r="J78" s="53"/>
      <c r="K78" s="53"/>
      <c r="L78" s="11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30" x14ac:dyDescent="0.4">
      <c r="A79" s="53"/>
      <c r="B79" s="151"/>
      <c r="C79" s="53"/>
      <c r="D79" s="53"/>
      <c r="E79" s="53"/>
      <c r="F79" s="53"/>
      <c r="G79" s="53"/>
      <c r="H79" s="53"/>
      <c r="I79" s="53"/>
      <c r="J79" s="53"/>
      <c r="K79" s="53"/>
      <c r="L79" s="11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30" x14ac:dyDescent="0.4">
      <c r="A80" s="53"/>
      <c r="B80" s="151"/>
      <c r="C80" s="53"/>
      <c r="D80" s="53"/>
      <c r="E80" s="53"/>
      <c r="F80" s="53"/>
      <c r="G80" s="53"/>
      <c r="H80" s="53"/>
      <c r="I80" s="53"/>
      <c r="J80" s="53"/>
      <c r="K80" s="53"/>
      <c r="L80" s="11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30" x14ac:dyDescent="0.4">
      <c r="A81" s="53"/>
      <c r="B81" s="151"/>
      <c r="C81" s="53"/>
      <c r="D81" s="53"/>
      <c r="E81" s="53"/>
      <c r="F81" s="53"/>
      <c r="G81" s="53"/>
      <c r="H81" s="53"/>
      <c r="I81" s="53"/>
      <c r="J81" s="53"/>
      <c r="K81" s="53"/>
      <c r="L81" s="11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30" x14ac:dyDescent="0.4">
      <c r="A82" s="53"/>
      <c r="B82" s="151"/>
      <c r="C82" s="53"/>
      <c r="D82" s="53"/>
      <c r="E82" s="53"/>
      <c r="F82" s="53"/>
      <c r="G82" s="53"/>
      <c r="H82" s="53"/>
      <c r="I82" s="53"/>
      <c r="J82" s="53"/>
      <c r="K82" s="53"/>
      <c r="L82" s="11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30" x14ac:dyDescent="0.4">
      <c r="A83" s="53"/>
      <c r="B83" s="151"/>
      <c r="C83" s="53"/>
      <c r="D83" s="53"/>
      <c r="E83" s="53"/>
      <c r="F83" s="53"/>
      <c r="G83" s="53"/>
      <c r="H83" s="53"/>
      <c r="I83" s="53"/>
      <c r="J83" s="53"/>
      <c r="K83" s="53"/>
      <c r="L83" s="11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30" x14ac:dyDescent="0.4">
      <c r="A84" s="53"/>
      <c r="B84" s="151"/>
      <c r="C84" s="53"/>
      <c r="D84" s="53"/>
      <c r="E84" s="53"/>
      <c r="F84" s="53"/>
      <c r="G84" s="53"/>
      <c r="H84" s="53"/>
      <c r="I84" s="53"/>
      <c r="J84" s="53"/>
      <c r="K84" s="53"/>
      <c r="L84" s="11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30" x14ac:dyDescent="0.4">
      <c r="A85" s="53"/>
      <c r="B85" s="151"/>
      <c r="C85" s="53"/>
      <c r="D85" s="53"/>
      <c r="E85" s="53"/>
      <c r="F85" s="53"/>
      <c r="G85" s="53"/>
      <c r="H85" s="53"/>
      <c r="I85" s="53"/>
      <c r="J85" s="53"/>
      <c r="K85" s="53"/>
      <c r="L85" s="11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30" x14ac:dyDescent="0.4">
      <c r="A86" s="53"/>
      <c r="B86" s="151"/>
      <c r="C86" s="53"/>
      <c r="D86" s="53"/>
      <c r="E86" s="53"/>
      <c r="F86" s="53"/>
      <c r="G86" s="53"/>
      <c r="H86" s="53"/>
      <c r="I86" s="53"/>
      <c r="J86" s="53"/>
      <c r="K86" s="53"/>
      <c r="L86" s="11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30" x14ac:dyDescent="0.4">
      <c r="A87" s="53"/>
      <c r="B87" s="151"/>
      <c r="C87" s="53"/>
      <c r="D87" s="53"/>
      <c r="E87" s="53"/>
      <c r="F87" s="53"/>
      <c r="G87" s="53"/>
      <c r="H87" s="53"/>
      <c r="I87" s="53"/>
      <c r="J87" s="53"/>
      <c r="K87" s="53"/>
      <c r="L87" s="11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30" x14ac:dyDescent="0.4">
      <c r="A88" s="53"/>
      <c r="B88" s="151"/>
      <c r="C88" s="53"/>
      <c r="D88" s="53"/>
      <c r="E88" s="53"/>
      <c r="F88" s="53"/>
      <c r="G88" s="53"/>
      <c r="H88" s="53"/>
      <c r="I88" s="53"/>
      <c r="J88" s="53"/>
      <c r="K88" s="53"/>
      <c r="L88" s="11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30" x14ac:dyDescent="0.4">
      <c r="A89" s="53"/>
      <c r="B89" s="151"/>
      <c r="C89" s="53"/>
      <c r="D89" s="53"/>
      <c r="E89" s="53"/>
      <c r="F89" s="53"/>
      <c r="G89" s="53"/>
      <c r="H89" s="53"/>
      <c r="I89" s="53"/>
      <c r="J89" s="53"/>
      <c r="K89" s="53"/>
      <c r="L89" s="11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30" x14ac:dyDescent="0.4">
      <c r="A90" s="53"/>
      <c r="B90" s="151"/>
      <c r="C90" s="53"/>
      <c r="D90" s="53"/>
      <c r="E90" s="53"/>
      <c r="F90" s="53"/>
      <c r="G90" s="53"/>
      <c r="H90" s="53"/>
      <c r="I90" s="53"/>
      <c r="J90" s="53"/>
      <c r="K90" s="53"/>
      <c r="L90" s="11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30" x14ac:dyDescent="0.4">
      <c r="A91" s="53"/>
      <c r="B91" s="151"/>
      <c r="C91" s="53"/>
      <c r="D91" s="53"/>
      <c r="E91" s="53"/>
      <c r="F91" s="53"/>
      <c r="G91" s="53"/>
      <c r="H91" s="53"/>
      <c r="I91" s="53"/>
      <c r="J91" s="53"/>
      <c r="K91" s="53"/>
      <c r="L91" s="11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30" x14ac:dyDescent="0.4">
      <c r="A92" s="53"/>
      <c r="B92" s="151"/>
      <c r="C92" s="53"/>
      <c r="D92" s="53"/>
      <c r="E92" s="53"/>
      <c r="F92" s="53"/>
      <c r="G92" s="53"/>
      <c r="H92" s="53"/>
      <c r="I92" s="53"/>
      <c r="J92" s="53"/>
      <c r="K92" s="53"/>
      <c r="L92" s="11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30" x14ac:dyDescent="0.4">
      <c r="A93" s="53"/>
      <c r="B93" s="151"/>
      <c r="C93" s="53"/>
      <c r="D93" s="53"/>
      <c r="E93" s="53"/>
      <c r="F93" s="53"/>
      <c r="G93" s="53"/>
      <c r="H93" s="53"/>
      <c r="I93" s="53"/>
      <c r="J93" s="53"/>
      <c r="K93" s="53"/>
      <c r="L93" s="11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30" x14ac:dyDescent="0.4">
      <c r="A94" s="53"/>
      <c r="B94" s="151"/>
      <c r="C94" s="53"/>
      <c r="D94" s="53"/>
      <c r="E94" s="53"/>
      <c r="F94" s="53"/>
      <c r="G94" s="53"/>
      <c r="H94" s="53"/>
      <c r="I94" s="53"/>
      <c r="J94" s="53"/>
      <c r="K94" s="53"/>
      <c r="L94" s="11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30" x14ac:dyDescent="0.4">
      <c r="A95" s="53"/>
      <c r="B95" s="151"/>
      <c r="C95" s="53"/>
      <c r="D95" s="53"/>
      <c r="E95" s="53"/>
      <c r="F95" s="53"/>
      <c r="G95" s="53"/>
      <c r="H95" s="53"/>
      <c r="I95" s="53"/>
      <c r="J95" s="53"/>
      <c r="K95" s="53"/>
      <c r="L95" s="11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30" x14ac:dyDescent="0.4">
      <c r="A96" s="53"/>
      <c r="B96" s="151"/>
      <c r="C96" s="53"/>
      <c r="D96" s="53"/>
      <c r="E96" s="53"/>
      <c r="F96" s="53"/>
      <c r="G96" s="53"/>
      <c r="H96" s="53"/>
      <c r="I96" s="53"/>
      <c r="J96" s="53"/>
      <c r="K96" s="53"/>
      <c r="L96" s="11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30" x14ac:dyDescent="0.4">
      <c r="A97" s="53"/>
      <c r="B97" s="151"/>
      <c r="C97" s="53"/>
      <c r="D97" s="53"/>
      <c r="E97" s="53"/>
      <c r="F97" s="53"/>
      <c r="G97" s="53"/>
      <c r="H97" s="53"/>
      <c r="I97" s="53"/>
      <c r="J97" s="53"/>
      <c r="K97" s="53"/>
      <c r="L97" s="11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30" x14ac:dyDescent="0.4">
      <c r="A98" s="53"/>
      <c r="B98" s="151"/>
      <c r="C98" s="53"/>
      <c r="D98" s="53"/>
      <c r="E98" s="53"/>
      <c r="F98" s="53"/>
      <c r="G98" s="53"/>
      <c r="H98" s="53"/>
      <c r="I98" s="53"/>
      <c r="J98" s="53"/>
      <c r="K98" s="53"/>
      <c r="L98" s="11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30" x14ac:dyDescent="0.4">
      <c r="A99" s="53"/>
      <c r="B99" s="151"/>
      <c r="C99" s="53"/>
      <c r="D99" s="53"/>
      <c r="E99" s="53"/>
      <c r="F99" s="53"/>
      <c r="G99" s="53"/>
      <c r="H99" s="53"/>
      <c r="I99" s="53"/>
      <c r="J99" s="53"/>
      <c r="K99" s="53"/>
      <c r="L99" s="11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30" x14ac:dyDescent="0.4">
      <c r="A100" s="53"/>
      <c r="B100" s="151"/>
      <c r="C100" s="53"/>
      <c r="D100" s="53"/>
      <c r="E100" s="53"/>
      <c r="F100" s="53"/>
      <c r="G100" s="53"/>
      <c r="H100" s="53"/>
      <c r="I100" s="53"/>
      <c r="J100" s="53"/>
      <c r="K100" s="53"/>
      <c r="L100" s="11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30" x14ac:dyDescent="0.4">
      <c r="A101" s="53"/>
      <c r="B101" s="151"/>
      <c r="C101" s="53"/>
      <c r="D101" s="53"/>
      <c r="E101" s="53"/>
      <c r="F101" s="53"/>
      <c r="G101" s="53"/>
      <c r="H101" s="53"/>
      <c r="I101" s="53"/>
      <c r="J101" s="53"/>
      <c r="K101" s="53"/>
      <c r="L101" s="11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30" x14ac:dyDescent="0.4">
      <c r="A102" s="53"/>
      <c r="B102" s="151"/>
      <c r="C102" s="53"/>
      <c r="D102" s="53"/>
      <c r="E102" s="53"/>
      <c r="F102" s="53"/>
      <c r="G102" s="53"/>
      <c r="H102" s="53"/>
      <c r="I102" s="53"/>
      <c r="J102" s="53"/>
      <c r="K102" s="53"/>
      <c r="L102" s="11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30" x14ac:dyDescent="0.4">
      <c r="A103" s="53"/>
      <c r="B103" s="151"/>
      <c r="C103" s="53"/>
      <c r="D103" s="53"/>
      <c r="E103" s="53"/>
      <c r="F103" s="53"/>
      <c r="G103" s="53"/>
      <c r="H103" s="53"/>
      <c r="I103" s="53"/>
      <c r="J103" s="53"/>
      <c r="K103" s="53"/>
      <c r="L103" s="11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30" x14ac:dyDescent="0.4">
      <c r="A104" s="53"/>
      <c r="B104" s="151"/>
      <c r="C104" s="53"/>
      <c r="D104" s="53"/>
      <c r="E104" s="53"/>
      <c r="F104" s="53"/>
      <c r="G104" s="53"/>
      <c r="H104" s="53"/>
      <c r="I104" s="53"/>
      <c r="J104" s="53"/>
      <c r="K104" s="53"/>
      <c r="L104" s="11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30" x14ac:dyDescent="0.4">
      <c r="A105" s="53"/>
      <c r="B105" s="151"/>
      <c r="C105" s="53"/>
      <c r="D105" s="53"/>
      <c r="E105" s="53"/>
      <c r="F105" s="53"/>
      <c r="G105" s="53"/>
      <c r="H105" s="53"/>
      <c r="I105" s="53"/>
      <c r="J105" s="53"/>
      <c r="K105" s="53"/>
      <c r="L105" s="11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30" x14ac:dyDescent="0.4">
      <c r="A106" s="53"/>
      <c r="B106" s="151"/>
      <c r="C106" s="53"/>
      <c r="D106" s="53"/>
      <c r="E106" s="53"/>
      <c r="F106" s="53"/>
      <c r="G106" s="53"/>
      <c r="H106" s="53"/>
      <c r="I106" s="53"/>
      <c r="J106" s="53"/>
      <c r="K106" s="53"/>
      <c r="L106" s="11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30" x14ac:dyDescent="0.4">
      <c r="A107" s="53"/>
      <c r="B107" s="151"/>
      <c r="C107" s="53"/>
      <c r="D107" s="53"/>
      <c r="E107" s="53"/>
      <c r="F107" s="53"/>
      <c r="G107" s="53"/>
      <c r="H107" s="53"/>
      <c r="I107" s="53"/>
      <c r="J107" s="53"/>
      <c r="K107" s="53"/>
      <c r="L107" s="11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30" x14ac:dyDescent="0.4">
      <c r="A108" s="53"/>
      <c r="B108" s="151"/>
      <c r="C108" s="53"/>
      <c r="D108" s="53"/>
      <c r="E108" s="53"/>
      <c r="F108" s="53"/>
      <c r="G108" s="53"/>
      <c r="H108" s="53"/>
      <c r="I108" s="53"/>
      <c r="J108" s="53"/>
      <c r="K108" s="53"/>
      <c r="L108" s="11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30" x14ac:dyDescent="0.4">
      <c r="A109" s="53"/>
      <c r="B109" s="151"/>
      <c r="C109" s="53"/>
      <c r="D109" s="53"/>
      <c r="E109" s="53"/>
      <c r="F109" s="53"/>
      <c r="G109" s="53"/>
      <c r="H109" s="53"/>
      <c r="I109" s="53"/>
      <c r="J109" s="53"/>
      <c r="K109" s="53"/>
      <c r="L109" s="11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30" x14ac:dyDescent="0.4">
      <c r="A110" s="53"/>
      <c r="B110" s="151"/>
      <c r="C110" s="53"/>
      <c r="D110" s="53"/>
      <c r="E110" s="53"/>
      <c r="F110" s="53"/>
      <c r="G110" s="53"/>
      <c r="H110" s="53"/>
      <c r="I110" s="53"/>
      <c r="J110" s="53"/>
      <c r="K110" s="53"/>
      <c r="L110" s="11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30" x14ac:dyDescent="0.4">
      <c r="A111" s="53"/>
      <c r="B111" s="151"/>
      <c r="C111" s="53"/>
      <c r="D111" s="53"/>
      <c r="E111" s="53"/>
      <c r="F111" s="53"/>
      <c r="G111" s="53"/>
      <c r="H111" s="53"/>
      <c r="I111" s="53"/>
      <c r="J111" s="53"/>
      <c r="K111" s="53"/>
      <c r="L111" s="11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30" x14ac:dyDescent="0.4">
      <c r="A112" s="53"/>
      <c r="B112" s="151"/>
      <c r="C112" s="53"/>
      <c r="D112" s="53"/>
      <c r="E112" s="53"/>
      <c r="F112" s="53"/>
      <c r="G112" s="53"/>
      <c r="H112" s="53"/>
      <c r="I112" s="53"/>
      <c r="J112" s="53"/>
      <c r="K112" s="53"/>
      <c r="L112" s="11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30" x14ac:dyDescent="0.4">
      <c r="A113" s="53"/>
      <c r="B113" s="151"/>
      <c r="C113" s="53"/>
      <c r="D113" s="53"/>
      <c r="E113" s="53"/>
      <c r="F113" s="53"/>
      <c r="G113" s="53"/>
      <c r="H113" s="53"/>
      <c r="I113" s="53"/>
      <c r="J113" s="53"/>
      <c r="K113" s="53"/>
      <c r="L113" s="11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30" x14ac:dyDescent="0.4">
      <c r="A114" s="53"/>
      <c r="B114" s="151"/>
      <c r="C114" s="53"/>
      <c r="D114" s="53"/>
      <c r="E114" s="53"/>
      <c r="F114" s="53"/>
      <c r="G114" s="53"/>
      <c r="H114" s="53"/>
      <c r="I114" s="53"/>
      <c r="J114" s="53"/>
      <c r="K114" s="53"/>
      <c r="L114" s="11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30" x14ac:dyDescent="0.4">
      <c r="A115" s="53"/>
      <c r="B115" s="151"/>
      <c r="C115" s="53"/>
      <c r="D115" s="53"/>
      <c r="E115" s="53"/>
      <c r="F115" s="53"/>
      <c r="G115" s="53"/>
      <c r="H115" s="53"/>
      <c r="I115" s="53"/>
      <c r="J115" s="53"/>
      <c r="K115" s="53"/>
      <c r="L115" s="11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30" x14ac:dyDescent="0.4">
      <c r="A116" s="53"/>
      <c r="B116" s="151"/>
      <c r="C116" s="53"/>
      <c r="D116" s="53"/>
      <c r="E116" s="53"/>
      <c r="F116" s="53"/>
      <c r="G116" s="53"/>
      <c r="H116" s="53"/>
      <c r="I116" s="53"/>
      <c r="J116" s="53"/>
      <c r="K116" s="53"/>
      <c r="L116" s="11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30" x14ac:dyDescent="0.4">
      <c r="A117" s="53"/>
      <c r="B117" s="151"/>
      <c r="C117" s="53"/>
      <c r="D117" s="53"/>
      <c r="E117" s="53"/>
      <c r="F117" s="53"/>
      <c r="G117" s="53"/>
      <c r="H117" s="53"/>
      <c r="I117" s="53"/>
      <c r="J117" s="53"/>
      <c r="K117" s="53"/>
      <c r="L117" s="11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30" x14ac:dyDescent="0.4">
      <c r="A118" s="53"/>
      <c r="B118" s="151"/>
      <c r="C118" s="53"/>
      <c r="D118" s="53"/>
      <c r="E118" s="53"/>
      <c r="F118" s="53"/>
      <c r="G118" s="53"/>
      <c r="H118" s="53"/>
      <c r="I118" s="53"/>
      <c r="J118" s="53"/>
      <c r="K118" s="53"/>
      <c r="L118" s="11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30" x14ac:dyDescent="0.4">
      <c r="A119" s="53"/>
      <c r="B119" s="151"/>
      <c r="C119" s="53"/>
      <c r="D119" s="53"/>
      <c r="E119" s="53"/>
      <c r="F119" s="53"/>
      <c r="G119" s="53"/>
      <c r="H119" s="53"/>
      <c r="I119" s="53"/>
      <c r="J119" s="53"/>
      <c r="K119" s="53"/>
      <c r="L119" s="11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30" x14ac:dyDescent="0.4">
      <c r="A120" s="53"/>
      <c r="B120" s="151"/>
      <c r="C120" s="53"/>
      <c r="D120" s="53"/>
      <c r="E120" s="53"/>
      <c r="F120" s="53"/>
      <c r="G120" s="53"/>
      <c r="H120" s="53"/>
      <c r="I120" s="53"/>
      <c r="J120" s="53"/>
      <c r="K120" s="53"/>
      <c r="L120" s="11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30" x14ac:dyDescent="0.4">
      <c r="A121" s="53"/>
      <c r="B121" s="151"/>
      <c r="C121" s="53"/>
      <c r="D121" s="53"/>
      <c r="E121" s="53"/>
      <c r="F121" s="53"/>
      <c r="G121" s="53"/>
      <c r="H121" s="53"/>
      <c r="I121" s="53"/>
      <c r="J121" s="53"/>
      <c r="K121" s="53"/>
      <c r="L121" s="11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30" x14ac:dyDescent="0.4">
      <c r="A122" s="53"/>
      <c r="B122" s="151"/>
      <c r="C122" s="53"/>
      <c r="D122" s="53"/>
      <c r="E122" s="53"/>
      <c r="F122" s="53"/>
      <c r="G122" s="53"/>
      <c r="H122" s="53"/>
      <c r="I122" s="53"/>
      <c r="J122" s="53"/>
      <c r="K122" s="53"/>
      <c r="L122" s="11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30" x14ac:dyDescent="0.4">
      <c r="A123" s="53"/>
      <c r="B123" s="151"/>
      <c r="C123" s="53"/>
      <c r="D123" s="53"/>
      <c r="E123" s="53"/>
      <c r="F123" s="53"/>
      <c r="G123" s="53"/>
      <c r="H123" s="53"/>
      <c r="I123" s="53"/>
      <c r="J123" s="53"/>
      <c r="K123" s="53"/>
      <c r="L123" s="11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30" x14ac:dyDescent="0.4">
      <c r="A124" s="53"/>
      <c r="B124" s="151"/>
      <c r="C124" s="53"/>
      <c r="D124" s="53"/>
      <c r="E124" s="53"/>
      <c r="F124" s="53"/>
      <c r="G124" s="53"/>
      <c r="H124" s="53"/>
      <c r="I124" s="53"/>
      <c r="J124" s="53"/>
      <c r="K124" s="53"/>
      <c r="L124" s="11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30" x14ac:dyDescent="0.4">
      <c r="A125" s="53"/>
      <c r="B125" s="151"/>
      <c r="C125" s="53"/>
      <c r="D125" s="53"/>
      <c r="E125" s="53"/>
      <c r="F125" s="53"/>
      <c r="G125" s="53"/>
      <c r="H125" s="53"/>
      <c r="I125" s="53"/>
      <c r="J125" s="53"/>
      <c r="K125" s="53"/>
      <c r="L125" s="11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30" x14ac:dyDescent="0.4">
      <c r="A126" s="53"/>
      <c r="B126" s="151"/>
      <c r="C126" s="53"/>
      <c r="D126" s="53"/>
      <c r="E126" s="53"/>
      <c r="F126" s="53"/>
      <c r="G126" s="53"/>
      <c r="H126" s="53"/>
      <c r="I126" s="53"/>
      <c r="J126" s="53"/>
      <c r="K126" s="53"/>
      <c r="L126" s="11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30" x14ac:dyDescent="0.4">
      <c r="A127" s="53"/>
      <c r="B127" s="151"/>
      <c r="C127" s="53"/>
      <c r="D127" s="53"/>
      <c r="E127" s="53"/>
      <c r="F127" s="53"/>
      <c r="G127" s="53"/>
      <c r="H127" s="53"/>
      <c r="I127" s="53"/>
      <c r="J127" s="53"/>
      <c r="K127" s="53"/>
      <c r="L127" s="11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30" x14ac:dyDescent="0.4">
      <c r="A128" s="53"/>
      <c r="B128" s="151"/>
      <c r="C128" s="53"/>
      <c r="D128" s="53"/>
      <c r="E128" s="53"/>
      <c r="F128" s="53"/>
      <c r="G128" s="53"/>
      <c r="H128" s="53"/>
      <c r="I128" s="53"/>
      <c r="J128" s="53"/>
      <c r="K128" s="53"/>
      <c r="L128" s="11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30" x14ac:dyDescent="0.4">
      <c r="A129" s="53"/>
      <c r="B129" s="151"/>
      <c r="C129" s="53"/>
      <c r="D129" s="53"/>
      <c r="E129" s="53"/>
      <c r="F129" s="53"/>
      <c r="G129" s="53"/>
      <c r="H129" s="53"/>
      <c r="I129" s="53"/>
      <c r="J129" s="53"/>
      <c r="K129" s="53"/>
      <c r="L129" s="11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30" x14ac:dyDescent="0.4">
      <c r="A130" s="53"/>
      <c r="B130" s="151"/>
      <c r="C130" s="53"/>
      <c r="D130" s="53"/>
      <c r="E130" s="53"/>
      <c r="F130" s="53"/>
      <c r="G130" s="53"/>
      <c r="H130" s="53"/>
      <c r="I130" s="53"/>
      <c r="J130" s="53"/>
      <c r="K130" s="53"/>
      <c r="L130" s="11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30" x14ac:dyDescent="0.4">
      <c r="A131" s="53"/>
      <c r="B131" s="151"/>
      <c r="C131" s="53"/>
      <c r="D131" s="53"/>
      <c r="E131" s="53"/>
      <c r="F131" s="53"/>
      <c r="G131" s="53"/>
      <c r="H131" s="53"/>
      <c r="I131" s="53"/>
      <c r="J131" s="53"/>
      <c r="K131" s="53"/>
      <c r="L131" s="11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30" x14ac:dyDescent="0.4">
      <c r="A132" s="53"/>
      <c r="B132" s="151"/>
      <c r="C132" s="53"/>
      <c r="D132" s="53"/>
      <c r="E132" s="53"/>
      <c r="F132" s="53"/>
      <c r="G132" s="53"/>
      <c r="H132" s="53"/>
      <c r="I132" s="53"/>
      <c r="J132" s="53"/>
      <c r="K132" s="53"/>
      <c r="L132" s="11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30" x14ac:dyDescent="0.4">
      <c r="A133" s="53"/>
      <c r="B133" s="151"/>
      <c r="C133" s="53"/>
      <c r="D133" s="53"/>
      <c r="E133" s="53"/>
      <c r="F133" s="53"/>
      <c r="G133" s="53"/>
      <c r="H133" s="53"/>
      <c r="I133" s="53"/>
      <c r="J133" s="53"/>
      <c r="K133" s="53"/>
      <c r="L133" s="11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30" x14ac:dyDescent="0.4">
      <c r="A134" s="53"/>
      <c r="B134" s="151"/>
      <c r="C134" s="53"/>
      <c r="D134" s="53"/>
      <c r="E134" s="53"/>
      <c r="F134" s="53"/>
      <c r="G134" s="53"/>
      <c r="H134" s="53"/>
      <c r="I134" s="53"/>
      <c r="J134" s="53"/>
      <c r="K134" s="53"/>
      <c r="L134" s="11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30" x14ac:dyDescent="0.4">
      <c r="A135" s="53"/>
      <c r="B135" s="151"/>
      <c r="C135" s="53"/>
      <c r="D135" s="53"/>
      <c r="E135" s="53"/>
      <c r="F135" s="53"/>
      <c r="G135" s="53"/>
      <c r="H135" s="53"/>
      <c r="I135" s="53"/>
      <c r="J135" s="53"/>
      <c r="K135" s="53"/>
      <c r="L135" s="11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30" x14ac:dyDescent="0.4">
      <c r="A136" s="53"/>
      <c r="B136" s="151"/>
      <c r="C136" s="53"/>
      <c r="D136" s="53"/>
      <c r="E136" s="53"/>
      <c r="F136" s="53"/>
      <c r="G136" s="53"/>
      <c r="H136" s="53"/>
      <c r="I136" s="53"/>
      <c r="J136" s="53"/>
      <c r="K136" s="53"/>
      <c r="L136" s="11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30" x14ac:dyDescent="0.4">
      <c r="A137" s="53"/>
      <c r="B137" s="151"/>
      <c r="C137" s="53"/>
      <c r="D137" s="53"/>
      <c r="E137" s="53"/>
      <c r="F137" s="53"/>
      <c r="G137" s="53"/>
      <c r="H137" s="53"/>
      <c r="I137" s="53"/>
      <c r="J137" s="53"/>
      <c r="K137" s="53"/>
      <c r="L137" s="11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30" x14ac:dyDescent="0.4">
      <c r="A138" s="53"/>
      <c r="B138" s="151"/>
      <c r="C138" s="53"/>
      <c r="D138" s="53"/>
      <c r="E138" s="53"/>
      <c r="F138" s="53"/>
      <c r="G138" s="53"/>
      <c r="H138" s="53"/>
      <c r="I138" s="53"/>
      <c r="J138" s="53"/>
      <c r="K138" s="53"/>
      <c r="L138" s="11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30" x14ac:dyDescent="0.4">
      <c r="A139" s="53"/>
      <c r="B139" s="151"/>
      <c r="C139" s="53"/>
      <c r="D139" s="53"/>
      <c r="E139" s="53"/>
      <c r="F139" s="53"/>
      <c r="G139" s="53"/>
      <c r="H139" s="53"/>
      <c r="I139" s="53"/>
      <c r="J139" s="53"/>
      <c r="K139" s="53"/>
      <c r="L139" s="11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30" x14ac:dyDescent="0.4">
      <c r="A140" s="53"/>
      <c r="B140" s="151"/>
      <c r="C140" s="53"/>
      <c r="D140" s="53"/>
      <c r="E140" s="53"/>
      <c r="F140" s="53"/>
      <c r="G140" s="53"/>
      <c r="H140" s="53"/>
      <c r="I140" s="53"/>
      <c r="J140" s="53"/>
      <c r="K140" s="53"/>
      <c r="L140" s="11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30" x14ac:dyDescent="0.4">
      <c r="A141" s="53"/>
      <c r="B141" s="151"/>
      <c r="C141" s="53"/>
      <c r="D141" s="53"/>
      <c r="E141" s="53"/>
      <c r="F141" s="53"/>
      <c r="G141" s="53"/>
      <c r="H141" s="53"/>
      <c r="I141" s="53"/>
      <c r="J141" s="53"/>
      <c r="K141" s="53"/>
      <c r="L141" s="11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30" x14ac:dyDescent="0.4">
      <c r="A142" s="53"/>
      <c r="B142" s="151"/>
      <c r="C142" s="53"/>
      <c r="D142" s="53"/>
      <c r="E142" s="53"/>
      <c r="F142" s="53"/>
      <c r="G142" s="53"/>
      <c r="H142" s="53"/>
      <c r="I142" s="53"/>
      <c r="J142" s="53"/>
      <c r="K142" s="53"/>
      <c r="L142" s="11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30" x14ac:dyDescent="0.4">
      <c r="A143" s="53"/>
      <c r="B143" s="151"/>
      <c r="C143" s="53"/>
      <c r="D143" s="53"/>
      <c r="E143" s="53"/>
      <c r="F143" s="53"/>
      <c r="G143" s="53"/>
      <c r="H143" s="53"/>
      <c r="I143" s="53"/>
      <c r="J143" s="53"/>
      <c r="K143" s="53"/>
      <c r="L143" s="11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30" x14ac:dyDescent="0.4">
      <c r="A144" s="53"/>
      <c r="B144" s="151"/>
      <c r="C144" s="53"/>
      <c r="D144" s="53"/>
      <c r="E144" s="53"/>
      <c r="F144" s="53"/>
      <c r="G144" s="53"/>
      <c r="H144" s="53"/>
      <c r="I144" s="53"/>
      <c r="J144" s="53"/>
      <c r="K144" s="53"/>
      <c r="L144" s="11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30" x14ac:dyDescent="0.4">
      <c r="A145" s="53"/>
      <c r="B145" s="151"/>
      <c r="C145" s="53"/>
      <c r="D145" s="53"/>
      <c r="E145" s="53"/>
      <c r="F145" s="53"/>
      <c r="G145" s="53"/>
      <c r="H145" s="53"/>
      <c r="I145" s="53"/>
      <c r="J145" s="53"/>
      <c r="K145" s="53"/>
      <c r="L145" s="11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30" x14ac:dyDescent="0.4">
      <c r="A146" s="53"/>
      <c r="B146" s="151"/>
      <c r="C146" s="53"/>
      <c r="D146" s="53"/>
      <c r="E146" s="53"/>
      <c r="F146" s="53"/>
      <c r="G146" s="53"/>
      <c r="H146" s="53"/>
      <c r="I146" s="53"/>
      <c r="J146" s="53"/>
      <c r="K146" s="53"/>
      <c r="L146" s="11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30" x14ac:dyDescent="0.4">
      <c r="A147" s="53"/>
      <c r="B147" s="151"/>
      <c r="C147" s="53"/>
      <c r="D147" s="53"/>
      <c r="E147" s="53"/>
      <c r="F147" s="53"/>
      <c r="G147" s="53"/>
      <c r="H147" s="53"/>
      <c r="I147" s="53"/>
      <c r="J147" s="53"/>
      <c r="K147" s="53"/>
      <c r="L147" s="11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30" x14ac:dyDescent="0.4">
      <c r="A148" s="53"/>
      <c r="B148" s="151"/>
      <c r="C148" s="53"/>
      <c r="D148" s="53"/>
      <c r="E148" s="53"/>
      <c r="F148" s="53"/>
      <c r="G148" s="53"/>
      <c r="H148" s="53"/>
      <c r="I148" s="53"/>
      <c r="J148" s="53"/>
      <c r="K148" s="53"/>
      <c r="L148" s="11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30" x14ac:dyDescent="0.4">
      <c r="A149" s="53"/>
      <c r="B149" s="151"/>
      <c r="C149" s="53"/>
      <c r="D149" s="53"/>
      <c r="E149" s="53"/>
      <c r="F149" s="53"/>
      <c r="G149" s="53"/>
      <c r="H149" s="53"/>
      <c r="I149" s="53"/>
      <c r="J149" s="53"/>
      <c r="K149" s="53"/>
      <c r="L149" s="11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30" x14ac:dyDescent="0.4">
      <c r="A150" s="53"/>
      <c r="B150" s="151"/>
      <c r="C150" s="53"/>
      <c r="D150" s="53"/>
      <c r="E150" s="53"/>
      <c r="F150" s="53"/>
      <c r="G150" s="53"/>
      <c r="H150" s="53"/>
      <c r="I150" s="53"/>
      <c r="J150" s="53"/>
      <c r="K150" s="53"/>
      <c r="L150" s="11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30" x14ac:dyDescent="0.4">
      <c r="A151" s="53"/>
      <c r="B151" s="151"/>
      <c r="C151" s="53"/>
      <c r="D151" s="53"/>
      <c r="E151" s="53"/>
      <c r="F151" s="53"/>
      <c r="G151" s="53"/>
      <c r="H151" s="53"/>
      <c r="I151" s="53"/>
      <c r="J151" s="53"/>
      <c r="K151" s="53"/>
      <c r="L151" s="11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30" x14ac:dyDescent="0.4">
      <c r="A152" s="53"/>
      <c r="B152" s="151"/>
      <c r="C152" s="53"/>
      <c r="D152" s="53"/>
      <c r="E152" s="53"/>
      <c r="F152" s="53"/>
      <c r="G152" s="53"/>
      <c r="H152" s="53"/>
      <c r="I152" s="53"/>
      <c r="J152" s="53"/>
      <c r="K152" s="53"/>
      <c r="L152" s="11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30" x14ac:dyDescent="0.4">
      <c r="A153" s="53"/>
      <c r="B153" s="151"/>
      <c r="C153" s="53"/>
      <c r="D153" s="53"/>
      <c r="E153" s="53"/>
      <c r="F153" s="53"/>
      <c r="G153" s="53"/>
      <c r="H153" s="53"/>
      <c r="I153" s="53"/>
      <c r="J153" s="53"/>
      <c r="K153" s="53"/>
      <c r="L153" s="11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30" x14ac:dyDescent="0.4">
      <c r="A154" s="53"/>
      <c r="B154" s="151"/>
      <c r="C154" s="53"/>
      <c r="D154" s="53"/>
      <c r="E154" s="53"/>
      <c r="F154" s="53"/>
      <c r="G154" s="53"/>
      <c r="H154" s="53"/>
      <c r="I154" s="53"/>
      <c r="J154" s="53"/>
      <c r="K154" s="53"/>
      <c r="L154" s="11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30" x14ac:dyDescent="0.4">
      <c r="A155" s="53"/>
      <c r="B155" s="151"/>
      <c r="C155" s="53"/>
      <c r="D155" s="53"/>
      <c r="E155" s="53"/>
      <c r="F155" s="53"/>
      <c r="G155" s="53"/>
      <c r="H155" s="53"/>
      <c r="I155" s="53"/>
      <c r="J155" s="53"/>
      <c r="K155" s="53"/>
      <c r="L155" s="11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30" x14ac:dyDescent="0.4">
      <c r="A156" s="53"/>
      <c r="B156" s="151"/>
      <c r="C156" s="53"/>
      <c r="D156" s="53"/>
      <c r="E156" s="53"/>
      <c r="F156" s="53"/>
      <c r="G156" s="53"/>
      <c r="H156" s="53"/>
      <c r="I156" s="53"/>
      <c r="J156" s="53"/>
      <c r="K156" s="53"/>
      <c r="L156" s="11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30" x14ac:dyDescent="0.4">
      <c r="A157" s="53"/>
      <c r="B157" s="151"/>
      <c r="C157" s="53"/>
      <c r="D157" s="53"/>
      <c r="E157" s="53"/>
      <c r="F157" s="53"/>
      <c r="G157" s="53"/>
      <c r="H157" s="53"/>
      <c r="I157" s="53"/>
      <c r="J157" s="53"/>
      <c r="K157" s="53"/>
      <c r="L157" s="11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30" x14ac:dyDescent="0.4">
      <c r="A158" s="53"/>
      <c r="B158" s="151"/>
      <c r="C158" s="53"/>
      <c r="D158" s="53"/>
      <c r="E158" s="53"/>
      <c r="F158" s="53"/>
      <c r="G158" s="53"/>
      <c r="H158" s="53"/>
      <c r="I158" s="53"/>
      <c r="J158" s="53"/>
      <c r="K158" s="53"/>
      <c r="L158" s="11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30" x14ac:dyDescent="0.4">
      <c r="A159" s="53"/>
      <c r="B159" s="151"/>
      <c r="C159" s="53"/>
      <c r="D159" s="53"/>
      <c r="E159" s="53"/>
      <c r="F159" s="53"/>
      <c r="G159" s="53"/>
      <c r="H159" s="53"/>
      <c r="I159" s="53"/>
      <c r="J159" s="53"/>
      <c r="K159" s="53"/>
      <c r="L159" s="11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30" x14ac:dyDescent="0.4">
      <c r="A160" s="53"/>
      <c r="B160" s="151"/>
      <c r="C160" s="53"/>
      <c r="D160" s="53"/>
      <c r="E160" s="53"/>
      <c r="F160" s="53"/>
      <c r="G160" s="53"/>
      <c r="H160" s="53"/>
      <c r="I160" s="53"/>
      <c r="J160" s="53"/>
      <c r="K160" s="53"/>
      <c r="L160" s="11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30" x14ac:dyDescent="0.4">
      <c r="A161" s="53"/>
      <c r="B161" s="151"/>
      <c r="C161" s="53"/>
      <c r="D161" s="53"/>
      <c r="E161" s="53"/>
      <c r="F161" s="53"/>
      <c r="G161" s="53"/>
      <c r="H161" s="53"/>
      <c r="I161" s="53"/>
      <c r="J161" s="53"/>
      <c r="K161" s="53"/>
      <c r="L161" s="11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30" x14ac:dyDescent="0.4">
      <c r="A162" s="53"/>
      <c r="B162" s="151"/>
      <c r="C162" s="53"/>
      <c r="D162" s="53"/>
      <c r="E162" s="53"/>
      <c r="F162" s="53"/>
      <c r="G162" s="53"/>
      <c r="H162" s="53"/>
      <c r="I162" s="53"/>
      <c r="J162" s="53"/>
      <c r="K162" s="53"/>
      <c r="L162" s="11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30" x14ac:dyDescent="0.4">
      <c r="A163" s="53"/>
      <c r="B163" s="151"/>
      <c r="C163" s="53"/>
      <c r="D163" s="53"/>
      <c r="E163" s="53"/>
      <c r="F163" s="53"/>
      <c r="G163" s="53"/>
      <c r="H163" s="53"/>
      <c r="I163" s="53"/>
      <c r="J163" s="53"/>
      <c r="K163" s="53"/>
      <c r="L163" s="11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30" x14ac:dyDescent="0.4">
      <c r="A164" s="53"/>
      <c r="B164" s="151"/>
      <c r="C164" s="53"/>
      <c r="D164" s="53"/>
      <c r="E164" s="53"/>
      <c r="F164" s="53"/>
      <c r="G164" s="53"/>
      <c r="H164" s="53"/>
      <c r="I164" s="53"/>
      <c r="J164" s="53"/>
      <c r="K164" s="53"/>
      <c r="L164" s="11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30" x14ac:dyDescent="0.4">
      <c r="A165" s="53"/>
      <c r="B165" s="151"/>
      <c r="C165" s="53"/>
      <c r="D165" s="53"/>
      <c r="E165" s="53"/>
      <c r="F165" s="53"/>
      <c r="G165" s="53"/>
      <c r="H165" s="53"/>
      <c r="I165" s="53"/>
      <c r="J165" s="53"/>
      <c r="K165" s="53"/>
      <c r="L165" s="11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30" x14ac:dyDescent="0.4">
      <c r="A166" s="53"/>
      <c r="B166" s="151"/>
      <c r="C166" s="53"/>
      <c r="D166" s="53"/>
      <c r="E166" s="53"/>
      <c r="F166" s="53"/>
      <c r="G166" s="53"/>
      <c r="H166" s="53"/>
      <c r="I166" s="53"/>
      <c r="J166" s="53"/>
      <c r="K166" s="53"/>
      <c r="L166" s="11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30" x14ac:dyDescent="0.4">
      <c r="A167" s="53"/>
      <c r="B167" s="151"/>
      <c r="C167" s="53"/>
      <c r="D167" s="53"/>
      <c r="E167" s="53"/>
      <c r="F167" s="53"/>
      <c r="G167" s="53"/>
      <c r="H167" s="53"/>
      <c r="I167" s="53"/>
      <c r="J167" s="53"/>
      <c r="K167" s="53"/>
      <c r="L167" s="11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30" x14ac:dyDescent="0.4">
      <c r="A168" s="53"/>
      <c r="B168" s="151"/>
      <c r="C168" s="53"/>
      <c r="D168" s="53"/>
      <c r="E168" s="53"/>
      <c r="F168" s="53"/>
      <c r="G168" s="53"/>
      <c r="H168" s="53"/>
      <c r="I168" s="53"/>
      <c r="J168" s="53"/>
      <c r="K168" s="53"/>
      <c r="L168" s="11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30" x14ac:dyDescent="0.4">
      <c r="A169" s="53"/>
      <c r="B169" s="151"/>
      <c r="C169" s="53"/>
      <c r="D169" s="53"/>
      <c r="E169" s="53"/>
      <c r="F169" s="53"/>
      <c r="G169" s="53"/>
      <c r="H169" s="53"/>
      <c r="I169" s="53"/>
      <c r="J169" s="53"/>
      <c r="K169" s="53"/>
      <c r="L169" s="11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30" x14ac:dyDescent="0.4">
      <c r="A170" s="53"/>
      <c r="B170" s="151"/>
      <c r="C170" s="53"/>
      <c r="D170" s="53"/>
      <c r="E170" s="53"/>
      <c r="F170" s="53"/>
      <c r="G170" s="53"/>
      <c r="H170" s="53"/>
      <c r="I170" s="53"/>
      <c r="J170" s="53"/>
      <c r="K170" s="53"/>
      <c r="L170" s="11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30" x14ac:dyDescent="0.4">
      <c r="A171" s="53"/>
      <c r="B171" s="151"/>
      <c r="C171" s="53"/>
      <c r="D171" s="53"/>
      <c r="E171" s="53"/>
      <c r="F171" s="53"/>
      <c r="G171" s="53"/>
      <c r="H171" s="53"/>
      <c r="I171" s="53"/>
      <c r="J171" s="53"/>
      <c r="K171" s="53"/>
      <c r="L171" s="11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30" x14ac:dyDescent="0.4">
      <c r="A172" s="53"/>
      <c r="B172" s="151"/>
      <c r="C172" s="53"/>
      <c r="D172" s="53"/>
      <c r="E172" s="53"/>
      <c r="F172" s="53"/>
      <c r="G172" s="53"/>
      <c r="H172" s="53"/>
      <c r="I172" s="53"/>
      <c r="J172" s="53"/>
      <c r="K172" s="53"/>
      <c r="L172" s="11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30" x14ac:dyDescent="0.4">
      <c r="A173" s="53"/>
      <c r="B173" s="151"/>
      <c r="C173" s="53"/>
      <c r="D173" s="53"/>
      <c r="E173" s="53"/>
      <c r="F173" s="53"/>
      <c r="G173" s="53"/>
      <c r="H173" s="53"/>
      <c r="I173" s="53"/>
      <c r="J173" s="53"/>
      <c r="K173" s="53"/>
      <c r="L173" s="11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30" x14ac:dyDescent="0.4">
      <c r="A174" s="53"/>
      <c r="B174" s="151"/>
      <c r="C174" s="53"/>
      <c r="D174" s="53"/>
      <c r="E174" s="53"/>
      <c r="F174" s="53"/>
      <c r="G174" s="53"/>
      <c r="H174" s="53"/>
      <c r="I174" s="53"/>
      <c r="J174" s="53"/>
      <c r="K174" s="53"/>
      <c r="L174" s="11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30" x14ac:dyDescent="0.4">
      <c r="A175" s="53"/>
      <c r="B175" s="151"/>
      <c r="C175" s="53"/>
      <c r="D175" s="53"/>
      <c r="E175" s="53"/>
      <c r="F175" s="53"/>
      <c r="G175" s="53"/>
      <c r="H175" s="53"/>
      <c r="I175" s="53"/>
      <c r="J175" s="53"/>
      <c r="K175" s="53"/>
      <c r="L175" s="11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30" x14ac:dyDescent="0.4">
      <c r="A176" s="53"/>
      <c r="B176" s="151"/>
      <c r="C176" s="53"/>
      <c r="D176" s="53"/>
      <c r="E176" s="53"/>
      <c r="F176" s="53"/>
      <c r="G176" s="53"/>
      <c r="H176" s="53"/>
      <c r="I176" s="53"/>
      <c r="J176" s="53"/>
      <c r="K176" s="53"/>
      <c r="L176" s="11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30" x14ac:dyDescent="0.4">
      <c r="A177" s="53"/>
      <c r="B177" s="151"/>
      <c r="C177" s="53"/>
      <c r="D177" s="53"/>
      <c r="E177" s="53"/>
      <c r="F177" s="53"/>
      <c r="G177" s="53"/>
      <c r="H177" s="53"/>
      <c r="I177" s="53"/>
      <c r="J177" s="53"/>
      <c r="K177" s="53"/>
      <c r="L177" s="11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30" x14ac:dyDescent="0.4">
      <c r="A178" s="53"/>
      <c r="B178" s="151"/>
      <c r="C178" s="53"/>
      <c r="D178" s="53"/>
      <c r="E178" s="53"/>
      <c r="F178" s="53"/>
      <c r="G178" s="53"/>
      <c r="H178" s="53"/>
      <c r="I178" s="53"/>
      <c r="J178" s="53"/>
      <c r="K178" s="53"/>
      <c r="L178" s="11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30" x14ac:dyDescent="0.4">
      <c r="A179" s="53"/>
      <c r="B179" s="151"/>
      <c r="C179" s="53"/>
      <c r="D179" s="53"/>
      <c r="E179" s="53"/>
      <c r="F179" s="53"/>
      <c r="G179" s="53"/>
      <c r="H179" s="53"/>
      <c r="I179" s="53"/>
      <c r="J179" s="53"/>
      <c r="K179" s="53"/>
      <c r="L179" s="11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30" x14ac:dyDescent="0.4">
      <c r="A180" s="53"/>
      <c r="B180" s="151"/>
      <c r="C180" s="53"/>
      <c r="D180" s="53"/>
      <c r="E180" s="53"/>
      <c r="F180" s="53"/>
      <c r="G180" s="53"/>
      <c r="H180" s="53"/>
      <c r="I180" s="53"/>
      <c r="J180" s="53"/>
      <c r="K180" s="53"/>
      <c r="L180" s="11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30" x14ac:dyDescent="0.4">
      <c r="A181" s="53"/>
      <c r="B181" s="151"/>
      <c r="C181" s="53"/>
      <c r="D181" s="53"/>
      <c r="E181" s="53"/>
      <c r="F181" s="53"/>
      <c r="G181" s="53"/>
      <c r="H181" s="53"/>
      <c r="I181" s="53"/>
      <c r="J181" s="53"/>
      <c r="K181" s="53"/>
      <c r="L181" s="11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30" x14ac:dyDescent="0.4">
      <c r="A182" s="53"/>
      <c r="B182" s="151"/>
      <c r="C182" s="53"/>
      <c r="D182" s="53"/>
      <c r="E182" s="53"/>
      <c r="F182" s="53"/>
      <c r="G182" s="53"/>
      <c r="H182" s="53"/>
      <c r="I182" s="53"/>
      <c r="J182" s="53"/>
      <c r="K182" s="53"/>
      <c r="L182" s="11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30" x14ac:dyDescent="0.4">
      <c r="A183" s="53"/>
      <c r="B183" s="151"/>
      <c r="C183" s="53"/>
      <c r="D183" s="53"/>
      <c r="E183" s="53"/>
      <c r="F183" s="53"/>
      <c r="G183" s="53"/>
      <c r="H183" s="53"/>
      <c r="I183" s="53"/>
      <c r="J183" s="53"/>
      <c r="K183" s="53"/>
      <c r="L183" s="11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30" x14ac:dyDescent="0.4">
      <c r="A184" s="53"/>
      <c r="B184" s="151"/>
      <c r="C184" s="53"/>
      <c r="D184" s="53"/>
      <c r="E184" s="53"/>
      <c r="F184" s="53"/>
      <c r="G184" s="53"/>
      <c r="H184" s="53"/>
      <c r="I184" s="53"/>
      <c r="J184" s="53"/>
      <c r="K184" s="53"/>
      <c r="L184" s="11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30" x14ac:dyDescent="0.4">
      <c r="A185" s="53"/>
      <c r="B185" s="151"/>
      <c r="C185" s="53"/>
      <c r="D185" s="53"/>
      <c r="E185" s="53"/>
      <c r="F185" s="53"/>
      <c r="G185" s="53"/>
      <c r="H185" s="53"/>
      <c r="I185" s="53"/>
      <c r="J185" s="53"/>
      <c r="K185" s="53"/>
      <c r="L185" s="11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30" x14ac:dyDescent="0.4">
      <c r="A186" s="53"/>
      <c r="B186" s="151"/>
      <c r="C186" s="53"/>
      <c r="D186" s="53"/>
      <c r="E186" s="53"/>
      <c r="F186" s="53"/>
      <c r="G186" s="53"/>
      <c r="H186" s="53"/>
      <c r="I186" s="53"/>
      <c r="J186" s="53"/>
      <c r="K186" s="53"/>
      <c r="L186" s="11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30" x14ac:dyDescent="0.4">
      <c r="A187" s="53"/>
      <c r="B187" s="151"/>
      <c r="C187" s="53"/>
      <c r="D187" s="53"/>
      <c r="E187" s="53"/>
      <c r="F187" s="53"/>
      <c r="G187" s="53"/>
      <c r="H187" s="53"/>
      <c r="I187" s="53"/>
      <c r="J187" s="53"/>
      <c r="K187" s="53"/>
      <c r="L187" s="11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30" x14ac:dyDescent="0.4">
      <c r="A188" s="53"/>
      <c r="B188" s="151"/>
      <c r="C188" s="53"/>
      <c r="D188" s="53"/>
      <c r="E188" s="53"/>
      <c r="F188" s="53"/>
      <c r="G188" s="53"/>
      <c r="H188" s="53"/>
      <c r="I188" s="53"/>
      <c r="J188" s="53"/>
      <c r="K188" s="53"/>
      <c r="L188" s="11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30" x14ac:dyDescent="0.4">
      <c r="A189" s="53"/>
      <c r="B189" s="151"/>
      <c r="C189" s="53"/>
      <c r="D189" s="53"/>
      <c r="E189" s="53"/>
      <c r="F189" s="53"/>
      <c r="G189" s="53"/>
      <c r="H189" s="53"/>
      <c r="I189" s="53"/>
      <c r="J189" s="53"/>
      <c r="K189" s="53"/>
      <c r="L189" s="11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30" x14ac:dyDescent="0.4">
      <c r="A190" s="53"/>
      <c r="B190" s="151"/>
      <c r="C190" s="53"/>
      <c r="D190" s="53"/>
      <c r="E190" s="53"/>
      <c r="F190" s="53"/>
      <c r="G190" s="53"/>
      <c r="H190" s="53"/>
      <c r="I190" s="53"/>
      <c r="J190" s="53"/>
      <c r="K190" s="53"/>
      <c r="L190" s="11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30" x14ac:dyDescent="0.4">
      <c r="A191" s="53"/>
      <c r="B191" s="151"/>
      <c r="C191" s="53"/>
      <c r="D191" s="53"/>
      <c r="E191" s="53"/>
      <c r="F191" s="53"/>
      <c r="G191" s="53"/>
      <c r="H191" s="53"/>
      <c r="I191" s="53"/>
      <c r="J191" s="53"/>
      <c r="K191" s="53"/>
      <c r="L191" s="11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30" x14ac:dyDescent="0.4">
      <c r="A192" s="53"/>
      <c r="B192" s="151"/>
      <c r="C192" s="53"/>
      <c r="D192" s="53"/>
      <c r="E192" s="53"/>
      <c r="F192" s="53"/>
      <c r="G192" s="53"/>
      <c r="H192" s="53"/>
      <c r="I192" s="53"/>
      <c r="J192" s="53"/>
      <c r="K192" s="53"/>
      <c r="L192" s="11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30" x14ac:dyDescent="0.4">
      <c r="A193" s="53"/>
      <c r="B193" s="151"/>
      <c r="C193" s="53"/>
      <c r="D193" s="53"/>
      <c r="E193" s="53"/>
      <c r="F193" s="53"/>
      <c r="G193" s="53"/>
      <c r="H193" s="53"/>
      <c r="I193" s="53"/>
      <c r="J193" s="53"/>
      <c r="K193" s="53"/>
      <c r="L193" s="11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30" x14ac:dyDescent="0.4">
      <c r="A194" s="53"/>
      <c r="B194" s="151"/>
      <c r="C194" s="53"/>
      <c r="D194" s="53"/>
      <c r="E194" s="53"/>
      <c r="F194" s="53"/>
      <c r="G194" s="53"/>
      <c r="H194" s="53"/>
      <c r="I194" s="53"/>
      <c r="J194" s="53"/>
      <c r="K194" s="53"/>
      <c r="L194" s="11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30" x14ac:dyDescent="0.4">
      <c r="A195" s="53"/>
      <c r="B195" s="151"/>
      <c r="C195" s="53"/>
      <c r="D195" s="53"/>
      <c r="E195" s="53"/>
      <c r="F195" s="53"/>
      <c r="G195" s="53"/>
      <c r="H195" s="53"/>
      <c r="I195" s="53"/>
      <c r="J195" s="53"/>
      <c r="K195" s="53"/>
      <c r="L195" s="11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30" x14ac:dyDescent="0.4">
      <c r="A196" s="53"/>
      <c r="B196" s="151"/>
      <c r="C196" s="53"/>
      <c r="D196" s="53"/>
      <c r="E196" s="53"/>
      <c r="F196" s="53"/>
      <c r="G196" s="53"/>
      <c r="H196" s="53"/>
      <c r="I196" s="53"/>
      <c r="J196" s="53"/>
      <c r="K196" s="53"/>
      <c r="L196" s="11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30" x14ac:dyDescent="0.4">
      <c r="A197" s="53"/>
      <c r="B197" s="151"/>
      <c r="C197" s="53"/>
      <c r="D197" s="53"/>
      <c r="E197" s="53"/>
      <c r="F197" s="53"/>
      <c r="G197" s="53"/>
      <c r="H197" s="53"/>
      <c r="I197" s="53"/>
      <c r="J197" s="53"/>
      <c r="K197" s="53"/>
      <c r="L197" s="11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30" x14ac:dyDescent="0.4">
      <c r="A198" s="53"/>
      <c r="B198" s="151"/>
      <c r="C198" s="53"/>
      <c r="D198" s="53"/>
      <c r="E198" s="53"/>
      <c r="F198" s="53"/>
      <c r="G198" s="53"/>
      <c r="H198" s="53"/>
      <c r="I198" s="53"/>
      <c r="J198" s="53"/>
      <c r="K198" s="53"/>
      <c r="L198" s="11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30" x14ac:dyDescent="0.4">
      <c r="A199" s="53"/>
      <c r="B199" s="151"/>
      <c r="C199" s="53"/>
      <c r="D199" s="53"/>
      <c r="E199" s="53"/>
      <c r="F199" s="53"/>
      <c r="G199" s="53"/>
      <c r="H199" s="53"/>
      <c r="I199" s="53"/>
      <c r="J199" s="53"/>
      <c r="K199" s="53"/>
      <c r="L199" s="11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30" x14ac:dyDescent="0.4">
      <c r="A200" s="53"/>
      <c r="B200" s="151"/>
      <c r="C200" s="53"/>
      <c r="D200" s="53"/>
      <c r="E200" s="53"/>
      <c r="F200" s="53"/>
      <c r="G200" s="53"/>
      <c r="H200" s="53"/>
      <c r="I200" s="53"/>
      <c r="J200" s="53"/>
      <c r="K200" s="53"/>
      <c r="L200" s="11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30" x14ac:dyDescent="0.4">
      <c r="A201" s="53"/>
      <c r="B201" s="151"/>
      <c r="C201" s="53"/>
      <c r="D201" s="53"/>
      <c r="E201" s="53"/>
      <c r="F201" s="53"/>
      <c r="G201" s="53"/>
      <c r="H201" s="53"/>
      <c r="I201" s="53"/>
      <c r="J201" s="53"/>
      <c r="K201" s="53"/>
      <c r="L201" s="11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30" x14ac:dyDescent="0.4">
      <c r="A202" s="53"/>
      <c r="B202" s="151"/>
      <c r="C202" s="53"/>
      <c r="D202" s="53"/>
      <c r="E202" s="53"/>
      <c r="F202" s="53"/>
      <c r="G202" s="53"/>
      <c r="H202" s="53"/>
      <c r="I202" s="53"/>
      <c r="J202" s="53"/>
      <c r="K202" s="53"/>
      <c r="L202" s="11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30" x14ac:dyDescent="0.4">
      <c r="A203" s="53"/>
      <c r="B203" s="151"/>
      <c r="C203" s="53"/>
      <c r="D203" s="53"/>
      <c r="E203" s="53"/>
      <c r="F203" s="53"/>
      <c r="G203" s="53"/>
      <c r="H203" s="53"/>
      <c r="I203" s="53"/>
      <c r="J203" s="53"/>
      <c r="K203" s="53"/>
      <c r="L203" s="11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30" x14ac:dyDescent="0.4">
      <c r="A204" s="53"/>
      <c r="B204" s="151"/>
      <c r="C204" s="53"/>
      <c r="D204" s="53"/>
      <c r="E204" s="53"/>
      <c r="F204" s="53"/>
      <c r="G204" s="53"/>
      <c r="H204" s="53"/>
      <c r="I204" s="53"/>
      <c r="J204" s="53"/>
      <c r="K204" s="53"/>
      <c r="L204" s="11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30" x14ac:dyDescent="0.4">
      <c r="A205" s="53"/>
      <c r="B205" s="151"/>
      <c r="C205" s="53"/>
      <c r="D205" s="53"/>
      <c r="E205" s="53"/>
      <c r="F205" s="53"/>
      <c r="G205" s="53"/>
      <c r="H205" s="53"/>
      <c r="I205" s="53"/>
      <c r="J205" s="53"/>
      <c r="K205" s="53"/>
      <c r="L205" s="11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30" x14ac:dyDescent="0.4">
      <c r="A206" s="53"/>
      <c r="B206" s="151"/>
      <c r="C206" s="53"/>
      <c r="D206" s="53"/>
      <c r="E206" s="53"/>
      <c r="F206" s="53"/>
      <c r="G206" s="53"/>
      <c r="H206" s="53"/>
      <c r="I206" s="53"/>
      <c r="J206" s="53"/>
      <c r="K206" s="53"/>
      <c r="L206" s="11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30" x14ac:dyDescent="0.4">
      <c r="A207" s="53"/>
      <c r="B207" s="151"/>
      <c r="C207" s="53"/>
      <c r="D207" s="53"/>
      <c r="E207" s="53"/>
      <c r="F207" s="53"/>
      <c r="G207" s="53"/>
      <c r="H207" s="53"/>
      <c r="I207" s="53"/>
      <c r="J207" s="53"/>
      <c r="K207" s="53"/>
      <c r="L207" s="11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30" x14ac:dyDescent="0.4">
      <c r="A208" s="53"/>
      <c r="B208" s="151"/>
      <c r="C208" s="53"/>
      <c r="D208" s="53"/>
      <c r="E208" s="53"/>
      <c r="F208" s="53"/>
      <c r="G208" s="53"/>
      <c r="H208" s="53"/>
      <c r="I208" s="53"/>
      <c r="J208" s="53"/>
      <c r="K208" s="53"/>
      <c r="L208" s="11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30" x14ac:dyDescent="0.4">
      <c r="A209" s="53"/>
      <c r="B209" s="151"/>
      <c r="C209" s="53"/>
      <c r="D209" s="53"/>
      <c r="E209" s="53"/>
      <c r="F209" s="53"/>
      <c r="G209" s="53"/>
      <c r="H209" s="53"/>
      <c r="I209" s="53"/>
      <c r="J209" s="53"/>
      <c r="K209" s="53"/>
      <c r="L209" s="11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30" x14ac:dyDescent="0.4">
      <c r="A210" s="53"/>
      <c r="B210" s="151"/>
      <c r="C210" s="53"/>
      <c r="D210" s="53"/>
      <c r="E210" s="53"/>
      <c r="F210" s="53"/>
      <c r="G210" s="53"/>
      <c r="H210" s="53"/>
      <c r="I210" s="53"/>
      <c r="J210" s="53"/>
      <c r="K210" s="53"/>
      <c r="L210" s="11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30" x14ac:dyDescent="0.4">
      <c r="A211" s="53"/>
      <c r="B211" s="151"/>
      <c r="C211" s="53"/>
      <c r="D211" s="53"/>
      <c r="E211" s="53"/>
      <c r="F211" s="53"/>
      <c r="G211" s="53"/>
      <c r="H211" s="53"/>
      <c r="I211" s="53"/>
      <c r="J211" s="53"/>
      <c r="K211" s="53"/>
      <c r="L211" s="11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30" x14ac:dyDescent="0.4">
      <c r="A212" s="53"/>
      <c r="B212" s="151"/>
      <c r="C212" s="53"/>
      <c r="D212" s="53"/>
      <c r="E212" s="53"/>
      <c r="F212" s="53"/>
      <c r="G212" s="53"/>
      <c r="H212" s="53"/>
      <c r="I212" s="53"/>
      <c r="J212" s="53"/>
      <c r="K212" s="53"/>
      <c r="L212" s="11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30" x14ac:dyDescent="0.4">
      <c r="A213" s="53"/>
      <c r="B213" s="151"/>
      <c r="C213" s="53"/>
      <c r="D213" s="53"/>
      <c r="E213" s="53"/>
      <c r="F213" s="53"/>
      <c r="G213" s="53"/>
      <c r="H213" s="53"/>
      <c r="I213" s="53"/>
      <c r="J213" s="53"/>
      <c r="K213" s="53"/>
      <c r="L213" s="11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30" x14ac:dyDescent="0.4">
      <c r="A214" s="53"/>
      <c r="B214" s="151"/>
      <c r="C214" s="53"/>
      <c r="D214" s="53"/>
      <c r="E214" s="53"/>
      <c r="F214" s="53"/>
      <c r="G214" s="53"/>
      <c r="H214" s="53"/>
      <c r="I214" s="53"/>
      <c r="J214" s="53"/>
      <c r="K214" s="53"/>
      <c r="L214" s="11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30" x14ac:dyDescent="0.4">
      <c r="A215" s="53"/>
      <c r="B215" s="151"/>
      <c r="C215" s="53"/>
      <c r="D215" s="53"/>
      <c r="E215" s="53"/>
      <c r="F215" s="53"/>
      <c r="G215" s="53"/>
      <c r="H215" s="53"/>
      <c r="I215" s="53"/>
      <c r="J215" s="53"/>
      <c r="K215" s="53"/>
      <c r="L215" s="11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30" x14ac:dyDescent="0.4">
      <c r="A216" s="53"/>
      <c r="B216" s="151"/>
      <c r="C216" s="53"/>
      <c r="D216" s="53"/>
      <c r="E216" s="53"/>
      <c r="F216" s="53"/>
      <c r="G216" s="53"/>
      <c r="H216" s="53"/>
      <c r="I216" s="53"/>
      <c r="J216" s="53"/>
      <c r="K216" s="53"/>
      <c r="L216" s="11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30" x14ac:dyDescent="0.4">
      <c r="A217" s="53"/>
      <c r="B217" s="151"/>
      <c r="C217" s="53"/>
      <c r="D217" s="53"/>
      <c r="E217" s="53"/>
      <c r="F217" s="53"/>
      <c r="G217" s="53"/>
      <c r="H217" s="53"/>
      <c r="I217" s="53"/>
      <c r="J217" s="53"/>
      <c r="K217" s="53"/>
      <c r="L217" s="11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30" x14ac:dyDescent="0.4">
      <c r="A218" s="53"/>
      <c r="B218" s="151"/>
      <c r="C218" s="53"/>
      <c r="D218" s="53"/>
      <c r="E218" s="53"/>
      <c r="F218" s="53"/>
      <c r="G218" s="53"/>
      <c r="H218" s="53"/>
      <c r="I218" s="53"/>
      <c r="J218" s="53"/>
      <c r="K218" s="53"/>
      <c r="L218" s="11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30" x14ac:dyDescent="0.4">
      <c r="A219" s="53"/>
      <c r="B219" s="151"/>
      <c r="C219" s="53"/>
      <c r="D219" s="53"/>
      <c r="E219" s="53"/>
      <c r="F219" s="53"/>
      <c r="G219" s="53"/>
      <c r="H219" s="53"/>
      <c r="I219" s="53"/>
      <c r="J219" s="53"/>
      <c r="K219" s="53"/>
      <c r="L219" s="11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30" x14ac:dyDescent="0.4">
      <c r="A220" s="53"/>
      <c r="B220" s="151"/>
      <c r="C220" s="53"/>
      <c r="D220" s="53"/>
      <c r="E220" s="53"/>
      <c r="F220" s="53"/>
      <c r="G220" s="53"/>
      <c r="H220" s="53"/>
      <c r="I220" s="53"/>
      <c r="J220" s="53"/>
      <c r="K220" s="53"/>
      <c r="L220" s="11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30" x14ac:dyDescent="0.4">
      <c r="A221" s="53"/>
      <c r="B221" s="151"/>
      <c r="C221" s="53"/>
      <c r="D221" s="53"/>
      <c r="E221" s="53"/>
      <c r="F221" s="53"/>
      <c r="G221" s="53"/>
      <c r="H221" s="53"/>
      <c r="I221" s="53"/>
      <c r="J221" s="53"/>
      <c r="K221" s="53"/>
      <c r="L221" s="11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30" x14ac:dyDescent="0.4">
      <c r="A222" s="53"/>
      <c r="B222" s="151"/>
      <c r="C222" s="53"/>
      <c r="D222" s="53"/>
      <c r="E222" s="53"/>
      <c r="F222" s="53"/>
      <c r="G222" s="53"/>
      <c r="H222" s="53"/>
      <c r="I222" s="53"/>
      <c r="J222" s="53"/>
      <c r="K222" s="53"/>
      <c r="L222" s="11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30" x14ac:dyDescent="0.4">
      <c r="A223" s="53"/>
      <c r="B223" s="151"/>
      <c r="C223" s="53"/>
      <c r="D223" s="53"/>
      <c r="E223" s="53"/>
      <c r="F223" s="53"/>
      <c r="G223" s="53"/>
      <c r="H223" s="53"/>
      <c r="I223" s="53"/>
      <c r="J223" s="53"/>
      <c r="K223" s="53"/>
      <c r="L223" s="11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30" x14ac:dyDescent="0.4">
      <c r="A224" s="53"/>
      <c r="B224" s="151"/>
      <c r="C224" s="53"/>
      <c r="D224" s="53"/>
      <c r="E224" s="53"/>
      <c r="F224" s="53"/>
      <c r="G224" s="53"/>
      <c r="H224" s="53"/>
      <c r="I224" s="53"/>
      <c r="J224" s="53"/>
      <c r="K224" s="53"/>
      <c r="L224" s="11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30" x14ac:dyDescent="0.4">
      <c r="A225" s="53"/>
      <c r="B225" s="151"/>
      <c r="C225" s="53"/>
      <c r="D225" s="53"/>
      <c r="E225" s="53"/>
      <c r="F225" s="53"/>
      <c r="G225" s="53"/>
      <c r="H225" s="53"/>
      <c r="I225" s="53"/>
      <c r="J225" s="53"/>
      <c r="K225" s="53"/>
      <c r="L225" s="11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30" x14ac:dyDescent="0.4">
      <c r="A226" s="53"/>
      <c r="B226" s="151"/>
      <c r="C226" s="53"/>
      <c r="D226" s="53"/>
      <c r="E226" s="53"/>
      <c r="F226" s="53"/>
      <c r="G226" s="53"/>
      <c r="H226" s="53"/>
      <c r="I226" s="53"/>
      <c r="J226" s="53"/>
      <c r="K226" s="53"/>
      <c r="L226" s="11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30" x14ac:dyDescent="0.4">
      <c r="A227" s="53"/>
      <c r="B227" s="151"/>
      <c r="C227" s="53"/>
      <c r="D227" s="53"/>
      <c r="E227" s="53"/>
      <c r="F227" s="53"/>
      <c r="G227" s="53"/>
      <c r="H227" s="53"/>
      <c r="I227" s="53"/>
      <c r="J227" s="53"/>
      <c r="K227" s="53"/>
      <c r="L227" s="11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30" x14ac:dyDescent="0.4">
      <c r="A228" s="53"/>
      <c r="B228" s="151"/>
      <c r="C228" s="53"/>
      <c r="D228" s="53"/>
      <c r="E228" s="53"/>
      <c r="F228" s="53"/>
      <c r="G228" s="53"/>
      <c r="H228" s="53"/>
      <c r="I228" s="53"/>
      <c r="J228" s="53"/>
      <c r="K228" s="53"/>
      <c r="L228" s="11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30" x14ac:dyDescent="0.4">
      <c r="A229" s="53"/>
      <c r="B229" s="151"/>
      <c r="C229" s="53"/>
      <c r="D229" s="53"/>
      <c r="E229" s="53"/>
      <c r="F229" s="53"/>
      <c r="G229" s="53"/>
      <c r="H229" s="53"/>
      <c r="I229" s="53"/>
      <c r="J229" s="53"/>
      <c r="K229" s="53"/>
      <c r="L229" s="11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30" x14ac:dyDescent="0.4">
      <c r="A230" s="53"/>
      <c r="B230" s="151"/>
      <c r="C230" s="53"/>
      <c r="D230" s="53"/>
      <c r="E230" s="53"/>
      <c r="F230" s="53"/>
      <c r="G230" s="53"/>
      <c r="H230" s="53"/>
      <c r="I230" s="53"/>
      <c r="J230" s="53"/>
      <c r="K230" s="53"/>
      <c r="L230" s="11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30" x14ac:dyDescent="0.4">
      <c r="A231" s="53"/>
      <c r="B231" s="151"/>
      <c r="C231" s="53"/>
      <c r="D231" s="53"/>
      <c r="E231" s="53"/>
      <c r="F231" s="53"/>
      <c r="G231" s="53"/>
      <c r="H231" s="53"/>
      <c r="I231" s="53"/>
      <c r="J231" s="53"/>
      <c r="K231" s="53"/>
      <c r="L231" s="11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30" x14ac:dyDescent="0.4">
      <c r="A232" s="53"/>
      <c r="B232" s="151"/>
      <c r="C232" s="53"/>
      <c r="D232" s="53"/>
      <c r="E232" s="53"/>
      <c r="F232" s="53"/>
      <c r="G232" s="53"/>
      <c r="H232" s="53"/>
      <c r="I232" s="53"/>
      <c r="J232" s="53"/>
      <c r="K232" s="53"/>
      <c r="L232" s="11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30" x14ac:dyDescent="0.4">
      <c r="A233" s="53"/>
      <c r="B233" s="151"/>
      <c r="C233" s="53"/>
      <c r="D233" s="53"/>
      <c r="E233" s="53"/>
      <c r="F233" s="53"/>
      <c r="G233" s="53"/>
      <c r="H233" s="53"/>
      <c r="I233" s="53"/>
      <c r="J233" s="53"/>
      <c r="K233" s="53"/>
      <c r="L233" s="11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30" x14ac:dyDescent="0.4">
      <c r="A234" s="53"/>
      <c r="B234" s="151"/>
      <c r="C234" s="53"/>
      <c r="D234" s="53"/>
      <c r="E234" s="53"/>
      <c r="F234" s="53"/>
      <c r="G234" s="53"/>
      <c r="H234" s="53"/>
      <c r="I234" s="53"/>
      <c r="J234" s="53"/>
      <c r="K234" s="53"/>
      <c r="L234" s="11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30" x14ac:dyDescent="0.4">
      <c r="A235" s="53"/>
      <c r="B235" s="151"/>
      <c r="C235" s="53"/>
      <c r="D235" s="53"/>
      <c r="E235" s="53"/>
      <c r="F235" s="53"/>
      <c r="G235" s="53"/>
      <c r="H235" s="53"/>
      <c r="I235" s="53"/>
      <c r="J235" s="53"/>
      <c r="K235" s="53"/>
      <c r="L235" s="11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30" x14ac:dyDescent="0.4">
      <c r="A236" s="53"/>
      <c r="B236" s="151"/>
      <c r="C236" s="53"/>
      <c r="D236" s="53"/>
      <c r="E236" s="53"/>
      <c r="F236" s="53"/>
      <c r="G236" s="53"/>
      <c r="H236" s="53"/>
      <c r="I236" s="53"/>
      <c r="J236" s="53"/>
      <c r="K236" s="53"/>
      <c r="L236" s="11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30" x14ac:dyDescent="0.4">
      <c r="A237" s="53"/>
      <c r="B237" s="151"/>
      <c r="C237" s="53"/>
      <c r="D237" s="53"/>
      <c r="E237" s="53"/>
      <c r="F237" s="53"/>
      <c r="G237" s="53"/>
      <c r="H237" s="53"/>
      <c r="I237" s="53"/>
      <c r="J237" s="53"/>
      <c r="K237" s="53"/>
      <c r="L237" s="11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30" x14ac:dyDescent="0.4">
      <c r="A238" s="53"/>
      <c r="B238" s="151"/>
      <c r="C238" s="53"/>
      <c r="D238" s="53"/>
      <c r="E238" s="53"/>
      <c r="F238" s="53"/>
      <c r="G238" s="53"/>
      <c r="H238" s="53"/>
      <c r="I238" s="53"/>
      <c r="J238" s="53"/>
      <c r="K238" s="53"/>
      <c r="L238" s="11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30" x14ac:dyDescent="0.4">
      <c r="A239" s="53"/>
      <c r="B239" s="151"/>
      <c r="C239" s="53"/>
      <c r="D239" s="53"/>
      <c r="E239" s="53"/>
      <c r="F239" s="53"/>
      <c r="G239" s="53"/>
      <c r="H239" s="53"/>
      <c r="I239" s="53"/>
      <c r="J239" s="53"/>
      <c r="K239" s="53"/>
      <c r="L239" s="11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30" x14ac:dyDescent="0.4">
      <c r="A240" s="53"/>
      <c r="B240" s="151"/>
      <c r="C240" s="53"/>
      <c r="D240" s="53"/>
      <c r="E240" s="53"/>
      <c r="F240" s="53"/>
      <c r="G240" s="53"/>
      <c r="H240" s="53"/>
      <c r="I240" s="53"/>
      <c r="J240" s="53"/>
      <c r="K240" s="53"/>
      <c r="L240" s="11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30" x14ac:dyDescent="0.4">
      <c r="A241" s="53"/>
      <c r="B241" s="151"/>
      <c r="C241" s="53"/>
      <c r="D241" s="53"/>
      <c r="E241" s="53"/>
      <c r="F241" s="53"/>
      <c r="G241" s="53"/>
      <c r="H241" s="53"/>
      <c r="I241" s="53"/>
      <c r="J241" s="53"/>
      <c r="K241" s="53"/>
      <c r="L241" s="11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30" x14ac:dyDescent="0.4">
      <c r="A242" s="53"/>
      <c r="B242" s="151"/>
      <c r="C242" s="53"/>
      <c r="D242" s="53"/>
      <c r="E242" s="53"/>
      <c r="F242" s="53"/>
      <c r="G242" s="53"/>
      <c r="H242" s="53"/>
      <c r="I242" s="53"/>
      <c r="J242" s="53"/>
      <c r="K242" s="53"/>
      <c r="L242" s="11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30" x14ac:dyDescent="0.4">
      <c r="A243" s="53"/>
      <c r="B243" s="151"/>
      <c r="C243" s="53"/>
      <c r="D243" s="53"/>
      <c r="E243" s="53"/>
      <c r="F243" s="53"/>
      <c r="G243" s="53"/>
      <c r="H243" s="53"/>
      <c r="I243" s="53"/>
      <c r="J243" s="53"/>
      <c r="K243" s="53"/>
      <c r="L243" s="11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30" x14ac:dyDescent="0.4">
      <c r="A244" s="53"/>
      <c r="B244" s="151"/>
      <c r="C244" s="53"/>
      <c r="D244" s="53"/>
      <c r="E244" s="53"/>
      <c r="F244" s="53"/>
      <c r="G244" s="53"/>
      <c r="H244" s="53"/>
      <c r="I244" s="53"/>
      <c r="J244" s="53"/>
      <c r="K244" s="53"/>
      <c r="L244" s="11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30" x14ac:dyDescent="0.4">
      <c r="A245" s="53"/>
      <c r="B245" s="151"/>
      <c r="C245" s="53"/>
      <c r="D245" s="53"/>
      <c r="E245" s="53"/>
      <c r="F245" s="53"/>
      <c r="G245" s="53"/>
      <c r="H245" s="53"/>
      <c r="I245" s="53"/>
      <c r="J245" s="53"/>
      <c r="K245" s="53"/>
      <c r="L245" s="11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30" x14ac:dyDescent="0.4">
      <c r="A246" s="53"/>
      <c r="B246" s="151"/>
      <c r="C246" s="53"/>
      <c r="D246" s="53"/>
      <c r="E246" s="53"/>
      <c r="F246" s="53"/>
      <c r="G246" s="53"/>
      <c r="H246" s="53"/>
      <c r="I246" s="53"/>
      <c r="J246" s="53"/>
      <c r="K246" s="53"/>
      <c r="L246" s="11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30" x14ac:dyDescent="0.4">
      <c r="A247" s="53"/>
      <c r="B247" s="151"/>
      <c r="C247" s="53"/>
      <c r="D247" s="53"/>
      <c r="E247" s="53"/>
      <c r="F247" s="53"/>
      <c r="G247" s="53"/>
      <c r="H247" s="53"/>
      <c r="I247" s="53"/>
      <c r="J247" s="53"/>
      <c r="K247" s="53"/>
      <c r="L247" s="11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30" x14ac:dyDescent="0.4">
      <c r="A248" s="53"/>
      <c r="B248" s="151"/>
      <c r="C248" s="53"/>
      <c r="D248" s="53"/>
      <c r="E248" s="53"/>
      <c r="F248" s="53"/>
      <c r="G248" s="53"/>
      <c r="H248" s="53"/>
      <c r="I248" s="53"/>
      <c r="J248" s="53"/>
      <c r="K248" s="53"/>
      <c r="L248" s="11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30" x14ac:dyDescent="0.4">
      <c r="A249" s="53"/>
      <c r="B249" s="151"/>
      <c r="C249" s="53"/>
      <c r="D249" s="53"/>
      <c r="E249" s="53"/>
      <c r="F249" s="53"/>
      <c r="G249" s="53"/>
      <c r="H249" s="53"/>
      <c r="I249" s="53"/>
      <c r="J249" s="53"/>
      <c r="K249" s="53"/>
      <c r="L249" s="11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30" x14ac:dyDescent="0.4">
      <c r="A250" s="53"/>
      <c r="B250" s="151"/>
      <c r="C250" s="53"/>
      <c r="D250" s="53"/>
      <c r="E250" s="53"/>
      <c r="F250" s="53"/>
      <c r="G250" s="53"/>
      <c r="H250" s="53"/>
      <c r="I250" s="53"/>
      <c r="J250" s="53"/>
      <c r="K250" s="53"/>
      <c r="L250" s="11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30" x14ac:dyDescent="0.4">
      <c r="A251" s="53"/>
      <c r="B251" s="151"/>
      <c r="C251" s="53"/>
      <c r="D251" s="53"/>
      <c r="E251" s="53"/>
      <c r="F251" s="53"/>
      <c r="G251" s="53"/>
      <c r="H251" s="53"/>
      <c r="I251" s="53"/>
      <c r="J251" s="53"/>
      <c r="K251" s="53"/>
      <c r="L251" s="11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30" x14ac:dyDescent="0.4">
      <c r="A252" s="53"/>
      <c r="B252" s="151"/>
      <c r="C252" s="53"/>
      <c r="D252" s="53"/>
      <c r="E252" s="53"/>
      <c r="F252" s="53"/>
      <c r="G252" s="53"/>
      <c r="H252" s="53"/>
      <c r="I252" s="53"/>
      <c r="J252" s="53"/>
      <c r="K252" s="53"/>
      <c r="L252" s="11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30" x14ac:dyDescent="0.4">
      <c r="A253" s="53"/>
      <c r="B253" s="151"/>
      <c r="C253" s="53"/>
      <c r="D253" s="53"/>
      <c r="E253" s="53"/>
      <c r="F253" s="53"/>
      <c r="G253" s="53"/>
      <c r="H253" s="53"/>
      <c r="I253" s="53"/>
      <c r="J253" s="53"/>
      <c r="K253" s="53"/>
      <c r="L253" s="11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30" x14ac:dyDescent="0.4">
      <c r="A254" s="53"/>
      <c r="B254" s="151"/>
      <c r="C254" s="53"/>
      <c r="D254" s="53"/>
      <c r="E254" s="53"/>
      <c r="F254" s="53"/>
      <c r="G254" s="53"/>
      <c r="H254" s="53"/>
      <c r="I254" s="53"/>
      <c r="J254" s="53"/>
      <c r="K254" s="53"/>
      <c r="L254" s="11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30" x14ac:dyDescent="0.4">
      <c r="A255" s="53"/>
      <c r="B255" s="151"/>
      <c r="C255" s="53"/>
      <c r="D255" s="53"/>
      <c r="E255" s="53"/>
      <c r="F255" s="53"/>
      <c r="G255" s="53"/>
      <c r="H255" s="53"/>
      <c r="I255" s="53"/>
      <c r="J255" s="53"/>
      <c r="K255" s="53"/>
      <c r="L255" s="11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30" x14ac:dyDescent="0.4">
      <c r="A256" s="53"/>
      <c r="B256" s="151"/>
      <c r="C256" s="53"/>
      <c r="D256" s="53"/>
      <c r="E256" s="53"/>
      <c r="F256" s="53"/>
      <c r="G256" s="53"/>
      <c r="H256" s="53"/>
      <c r="I256" s="53"/>
      <c r="J256" s="53"/>
      <c r="K256" s="53"/>
      <c r="L256" s="11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30" x14ac:dyDescent="0.4">
      <c r="A257" s="53"/>
      <c r="B257" s="151"/>
      <c r="C257" s="53"/>
      <c r="D257" s="53"/>
      <c r="E257" s="53"/>
      <c r="F257" s="53"/>
      <c r="G257" s="53"/>
      <c r="H257" s="53"/>
      <c r="I257" s="53"/>
      <c r="J257" s="53"/>
      <c r="K257" s="53"/>
      <c r="L257" s="11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30" x14ac:dyDescent="0.4">
      <c r="A258" s="53"/>
      <c r="B258" s="151"/>
      <c r="C258" s="53"/>
      <c r="D258" s="53"/>
      <c r="E258" s="53"/>
      <c r="F258" s="53"/>
      <c r="G258" s="53"/>
      <c r="H258" s="53"/>
      <c r="I258" s="53"/>
      <c r="J258" s="53"/>
      <c r="K258" s="53"/>
      <c r="L258" s="11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30" x14ac:dyDescent="0.4">
      <c r="A259" s="53"/>
      <c r="B259" s="151"/>
      <c r="C259" s="53"/>
      <c r="D259" s="53"/>
      <c r="E259" s="53"/>
      <c r="F259" s="53"/>
      <c r="G259" s="53"/>
      <c r="H259" s="53"/>
      <c r="I259" s="53"/>
      <c r="J259" s="53"/>
      <c r="K259" s="53"/>
      <c r="L259" s="11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30" x14ac:dyDescent="0.4">
      <c r="A260" s="53"/>
      <c r="B260" s="151"/>
      <c r="C260" s="53"/>
      <c r="D260" s="53"/>
      <c r="E260" s="53"/>
      <c r="F260" s="53"/>
      <c r="G260" s="53"/>
      <c r="H260" s="53"/>
      <c r="I260" s="53"/>
      <c r="J260" s="53"/>
      <c r="K260" s="53"/>
      <c r="L260" s="11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30" x14ac:dyDescent="0.4">
      <c r="A261" s="53"/>
      <c r="B261" s="151"/>
      <c r="C261" s="53"/>
      <c r="D261" s="53"/>
      <c r="E261" s="53"/>
      <c r="F261" s="53"/>
      <c r="G261" s="53"/>
      <c r="H261" s="53"/>
      <c r="I261" s="53"/>
      <c r="J261" s="53"/>
      <c r="K261" s="53"/>
      <c r="L261" s="11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30" x14ac:dyDescent="0.4">
      <c r="A262" s="53"/>
      <c r="B262" s="151"/>
      <c r="C262" s="53"/>
      <c r="D262" s="53"/>
      <c r="E262" s="53"/>
      <c r="F262" s="53"/>
      <c r="G262" s="53"/>
      <c r="H262" s="53"/>
      <c r="I262" s="53"/>
      <c r="J262" s="53"/>
      <c r="K262" s="53"/>
      <c r="L262" s="11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30" x14ac:dyDescent="0.4">
      <c r="A263" s="53"/>
      <c r="B263" s="151"/>
      <c r="C263" s="53"/>
      <c r="D263" s="53"/>
      <c r="E263" s="53"/>
      <c r="F263" s="53"/>
      <c r="G263" s="53"/>
      <c r="H263" s="53"/>
      <c r="I263" s="53"/>
      <c r="J263" s="53"/>
      <c r="K263" s="53"/>
      <c r="L263" s="11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30" x14ac:dyDescent="0.4">
      <c r="A264" s="53"/>
      <c r="B264" s="151"/>
      <c r="C264" s="53"/>
      <c r="D264" s="53"/>
      <c r="E264" s="53"/>
      <c r="F264" s="53"/>
      <c r="G264" s="53"/>
      <c r="H264" s="53"/>
      <c r="I264" s="53"/>
      <c r="J264" s="53"/>
      <c r="K264" s="53"/>
      <c r="L264" s="11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30" x14ac:dyDescent="0.4">
      <c r="A265" s="53"/>
      <c r="B265" s="151"/>
      <c r="C265" s="53"/>
      <c r="D265" s="53"/>
      <c r="E265" s="53"/>
      <c r="F265" s="53"/>
      <c r="G265" s="53"/>
      <c r="H265" s="53"/>
      <c r="I265" s="53"/>
      <c r="J265" s="53"/>
      <c r="K265" s="53"/>
      <c r="L265" s="11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30" x14ac:dyDescent="0.4">
      <c r="A266" s="53"/>
      <c r="B266" s="151"/>
      <c r="C266" s="53"/>
      <c r="D266" s="53"/>
      <c r="E266" s="53"/>
      <c r="F266" s="53"/>
      <c r="G266" s="53"/>
      <c r="H266" s="53"/>
      <c r="I266" s="53"/>
      <c r="J266" s="53"/>
      <c r="K266" s="53"/>
      <c r="L266" s="11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30" x14ac:dyDescent="0.4">
      <c r="A267" s="53"/>
      <c r="B267" s="151"/>
      <c r="C267" s="53"/>
      <c r="D267" s="53"/>
      <c r="E267" s="53"/>
      <c r="F267" s="53"/>
      <c r="G267" s="53"/>
      <c r="H267" s="53"/>
      <c r="I267" s="53"/>
      <c r="J267" s="53"/>
      <c r="K267" s="53"/>
      <c r="L267" s="11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30" x14ac:dyDescent="0.4">
      <c r="A268" s="53"/>
      <c r="B268" s="151"/>
      <c r="C268" s="53"/>
      <c r="D268" s="53"/>
      <c r="E268" s="53"/>
      <c r="F268" s="53"/>
      <c r="G268" s="53"/>
      <c r="H268" s="53"/>
      <c r="I268" s="53"/>
      <c r="J268" s="53"/>
      <c r="K268" s="53"/>
      <c r="L268" s="11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30" x14ac:dyDescent="0.4">
      <c r="A269" s="53"/>
      <c r="B269" s="151"/>
      <c r="C269" s="53"/>
      <c r="D269" s="53"/>
      <c r="E269" s="53"/>
      <c r="F269" s="53"/>
      <c r="G269" s="53"/>
      <c r="H269" s="53"/>
      <c r="I269" s="53"/>
      <c r="J269" s="53"/>
      <c r="K269" s="53"/>
      <c r="L269" s="11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30" x14ac:dyDescent="0.4">
      <c r="A270" s="53"/>
      <c r="B270" s="151"/>
      <c r="C270" s="53"/>
      <c r="D270" s="53"/>
      <c r="E270" s="53"/>
      <c r="F270" s="53"/>
      <c r="G270" s="53"/>
      <c r="H270" s="53"/>
      <c r="I270" s="53"/>
      <c r="J270" s="53"/>
      <c r="K270" s="53"/>
      <c r="L270" s="11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30" x14ac:dyDescent="0.4">
      <c r="A271" s="53"/>
      <c r="B271" s="151"/>
      <c r="C271" s="53"/>
      <c r="D271" s="53"/>
      <c r="E271" s="53"/>
      <c r="F271" s="53"/>
      <c r="G271" s="53"/>
      <c r="H271" s="53"/>
      <c r="I271" s="53"/>
      <c r="J271" s="53"/>
      <c r="K271" s="53"/>
      <c r="L271" s="11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30" x14ac:dyDescent="0.4">
      <c r="A272" s="53"/>
      <c r="B272" s="151"/>
      <c r="C272" s="53"/>
      <c r="D272" s="53"/>
      <c r="E272" s="53"/>
      <c r="F272" s="53"/>
      <c r="G272" s="53"/>
      <c r="H272" s="53"/>
      <c r="I272" s="53"/>
      <c r="J272" s="53"/>
      <c r="K272" s="53"/>
      <c r="L272" s="11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30" x14ac:dyDescent="0.4">
      <c r="A273" s="53"/>
      <c r="B273" s="151"/>
      <c r="C273" s="53"/>
      <c r="D273" s="53"/>
      <c r="E273" s="53"/>
      <c r="F273" s="53"/>
      <c r="G273" s="53"/>
      <c r="H273" s="53"/>
      <c r="I273" s="53"/>
      <c r="J273" s="53"/>
      <c r="K273" s="53"/>
      <c r="L273" s="11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30" x14ac:dyDescent="0.4">
      <c r="A274" s="53"/>
      <c r="B274" s="151"/>
      <c r="C274" s="53"/>
      <c r="D274" s="53"/>
      <c r="E274" s="53"/>
      <c r="F274" s="53"/>
      <c r="G274" s="53"/>
      <c r="H274" s="53"/>
      <c r="I274" s="53"/>
      <c r="J274" s="53"/>
      <c r="K274" s="53"/>
      <c r="L274" s="11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30" x14ac:dyDescent="0.4">
      <c r="A275" s="53"/>
      <c r="B275" s="151"/>
      <c r="C275" s="53"/>
      <c r="D275" s="53"/>
      <c r="E275" s="53"/>
      <c r="F275" s="53"/>
      <c r="G275" s="53"/>
      <c r="H275" s="53"/>
      <c r="I275" s="53"/>
      <c r="J275" s="53"/>
      <c r="K275" s="53"/>
      <c r="L275" s="11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30" x14ac:dyDescent="0.4">
      <c r="A276" s="53"/>
      <c r="B276" s="151"/>
      <c r="C276" s="53"/>
      <c r="D276" s="53"/>
      <c r="E276" s="53"/>
      <c r="F276" s="53"/>
      <c r="G276" s="53"/>
      <c r="H276" s="53"/>
      <c r="I276" s="53"/>
      <c r="J276" s="53"/>
      <c r="K276" s="53"/>
      <c r="L276" s="11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30" x14ac:dyDescent="0.4">
      <c r="A277" s="53"/>
      <c r="B277" s="151"/>
      <c r="C277" s="53"/>
      <c r="D277" s="53"/>
      <c r="E277" s="53"/>
      <c r="F277" s="53"/>
      <c r="G277" s="53"/>
      <c r="H277" s="53"/>
      <c r="I277" s="53"/>
      <c r="J277" s="53"/>
      <c r="K277" s="53"/>
      <c r="L277" s="11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30" x14ac:dyDescent="0.4">
      <c r="A278" s="53"/>
      <c r="B278" s="151"/>
      <c r="C278" s="53"/>
      <c r="D278" s="53"/>
      <c r="E278" s="53"/>
      <c r="F278" s="53"/>
      <c r="G278" s="53"/>
      <c r="H278" s="53"/>
      <c r="I278" s="53"/>
      <c r="J278" s="53"/>
      <c r="K278" s="53"/>
      <c r="L278" s="11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30" x14ac:dyDescent="0.4">
      <c r="A279" s="53"/>
      <c r="B279" s="151"/>
      <c r="C279" s="53"/>
      <c r="D279" s="53"/>
      <c r="E279" s="53"/>
      <c r="F279" s="53"/>
      <c r="G279" s="53"/>
      <c r="H279" s="53"/>
      <c r="I279" s="53"/>
      <c r="J279" s="53"/>
      <c r="K279" s="53"/>
      <c r="L279" s="11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30" x14ac:dyDescent="0.4">
      <c r="A280" s="53"/>
      <c r="B280" s="151"/>
      <c r="C280" s="53"/>
      <c r="D280" s="53"/>
      <c r="E280" s="53"/>
      <c r="F280" s="53"/>
      <c r="G280" s="53"/>
      <c r="H280" s="53"/>
      <c r="I280" s="53"/>
      <c r="J280" s="53"/>
      <c r="K280" s="53"/>
      <c r="L280" s="11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30" x14ac:dyDescent="0.4">
      <c r="A281" s="53"/>
      <c r="B281" s="151"/>
      <c r="C281" s="53"/>
      <c r="D281" s="53"/>
      <c r="E281" s="53"/>
      <c r="F281" s="53"/>
      <c r="G281" s="53"/>
      <c r="H281" s="53"/>
      <c r="I281" s="53"/>
      <c r="J281" s="53"/>
      <c r="K281" s="53"/>
      <c r="L281" s="11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30" x14ac:dyDescent="0.4">
      <c r="A282" s="53"/>
      <c r="B282" s="151"/>
      <c r="C282" s="53"/>
      <c r="D282" s="53"/>
      <c r="E282" s="53"/>
      <c r="F282" s="53"/>
      <c r="G282" s="53"/>
      <c r="H282" s="53"/>
      <c r="I282" s="53"/>
      <c r="J282" s="53"/>
      <c r="K282" s="53"/>
      <c r="L282" s="11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30" x14ac:dyDescent="0.4">
      <c r="A283" s="53"/>
      <c r="B283" s="151"/>
      <c r="C283" s="53"/>
      <c r="D283" s="53"/>
      <c r="E283" s="53"/>
      <c r="F283" s="53"/>
      <c r="G283" s="53"/>
      <c r="H283" s="53"/>
      <c r="I283" s="53"/>
      <c r="J283" s="53"/>
      <c r="K283" s="53"/>
      <c r="L283" s="11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30" x14ac:dyDescent="0.4">
      <c r="A284" s="53"/>
      <c r="B284" s="151"/>
      <c r="C284" s="53"/>
      <c r="D284" s="53"/>
      <c r="E284" s="53"/>
      <c r="F284" s="53"/>
      <c r="G284" s="53"/>
      <c r="H284" s="53"/>
      <c r="I284" s="53"/>
      <c r="J284" s="53"/>
      <c r="K284" s="53"/>
      <c r="L284" s="11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30" x14ac:dyDescent="0.4">
      <c r="A285" s="53"/>
      <c r="B285" s="151"/>
      <c r="C285" s="53"/>
      <c r="D285" s="53"/>
      <c r="E285" s="53"/>
      <c r="F285" s="53"/>
      <c r="G285" s="53"/>
      <c r="H285" s="53"/>
      <c r="I285" s="53"/>
      <c r="J285" s="53"/>
      <c r="K285" s="53"/>
      <c r="L285" s="11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30" x14ac:dyDescent="0.4">
      <c r="A286" s="53"/>
      <c r="B286" s="151"/>
      <c r="C286" s="53"/>
      <c r="D286" s="53"/>
      <c r="E286" s="53"/>
      <c r="F286" s="53"/>
      <c r="G286" s="53"/>
      <c r="H286" s="53"/>
      <c r="I286" s="53"/>
      <c r="J286" s="53"/>
      <c r="K286" s="53"/>
      <c r="L286" s="11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30" x14ac:dyDescent="0.4">
      <c r="A287" s="53"/>
      <c r="B287" s="151"/>
      <c r="C287" s="53"/>
      <c r="D287" s="53"/>
      <c r="E287" s="53"/>
      <c r="F287" s="53"/>
      <c r="G287" s="53"/>
      <c r="H287" s="53"/>
      <c r="I287" s="53"/>
      <c r="J287" s="53"/>
      <c r="K287" s="53"/>
      <c r="L287" s="11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30" x14ac:dyDescent="0.4">
      <c r="A288" s="53"/>
      <c r="B288" s="151"/>
      <c r="C288" s="53"/>
      <c r="D288" s="53"/>
      <c r="E288" s="53"/>
      <c r="F288" s="53"/>
      <c r="G288" s="53"/>
      <c r="H288" s="53"/>
      <c r="I288" s="53"/>
      <c r="J288" s="53"/>
      <c r="K288" s="53"/>
      <c r="L288" s="11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30" x14ac:dyDescent="0.4">
      <c r="A289" s="53"/>
      <c r="B289" s="151"/>
      <c r="C289" s="53"/>
      <c r="D289" s="53"/>
      <c r="E289" s="53"/>
      <c r="F289" s="53"/>
      <c r="G289" s="53"/>
      <c r="H289" s="53"/>
      <c r="I289" s="53"/>
      <c r="J289" s="53"/>
      <c r="K289" s="53"/>
      <c r="L289" s="11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30" x14ac:dyDescent="0.4">
      <c r="A290" s="53"/>
      <c r="B290" s="151"/>
      <c r="C290" s="53"/>
      <c r="D290" s="53"/>
      <c r="E290" s="53"/>
      <c r="F290" s="53"/>
      <c r="G290" s="53"/>
      <c r="H290" s="53"/>
      <c r="I290" s="53"/>
      <c r="J290" s="53"/>
      <c r="K290" s="53"/>
      <c r="L290" s="11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30" x14ac:dyDescent="0.4">
      <c r="A291" s="53"/>
      <c r="B291" s="151"/>
      <c r="C291" s="53"/>
      <c r="D291" s="53"/>
      <c r="E291" s="53"/>
      <c r="F291" s="53"/>
      <c r="G291" s="53"/>
      <c r="H291" s="53"/>
      <c r="I291" s="53"/>
      <c r="J291" s="53"/>
      <c r="K291" s="53"/>
      <c r="L291" s="11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30" x14ac:dyDescent="0.4">
      <c r="A292" s="53"/>
      <c r="B292" s="151"/>
      <c r="C292" s="53"/>
      <c r="D292" s="53"/>
      <c r="E292" s="53"/>
      <c r="F292" s="53"/>
      <c r="G292" s="53"/>
      <c r="H292" s="53"/>
      <c r="I292" s="53"/>
      <c r="J292" s="53"/>
      <c r="K292" s="53"/>
      <c r="L292" s="11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30" x14ac:dyDescent="0.4">
      <c r="A293" s="53"/>
      <c r="B293" s="151"/>
      <c r="C293" s="53"/>
      <c r="D293" s="53"/>
      <c r="E293" s="53"/>
      <c r="F293" s="53"/>
      <c r="G293" s="53"/>
      <c r="H293" s="53"/>
      <c r="I293" s="53"/>
      <c r="J293" s="53"/>
      <c r="K293" s="53"/>
      <c r="L293" s="11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30" x14ac:dyDescent="0.4">
      <c r="A294" s="53"/>
      <c r="B294" s="151"/>
      <c r="C294" s="53"/>
      <c r="D294" s="53"/>
      <c r="E294" s="53"/>
      <c r="F294" s="53"/>
      <c r="G294" s="53"/>
      <c r="H294" s="53"/>
      <c r="I294" s="53"/>
      <c r="J294" s="53"/>
      <c r="K294" s="53"/>
      <c r="L294" s="11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30" x14ac:dyDescent="0.4">
      <c r="A295" s="53"/>
      <c r="B295" s="151"/>
      <c r="C295" s="53"/>
      <c r="D295" s="53"/>
      <c r="E295" s="53"/>
      <c r="F295" s="53"/>
      <c r="G295" s="53"/>
      <c r="H295" s="53"/>
      <c r="I295" s="53"/>
      <c r="J295" s="53"/>
      <c r="K295" s="53"/>
      <c r="L295" s="11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30" x14ac:dyDescent="0.4">
      <c r="A296" s="53"/>
      <c r="B296" s="151"/>
      <c r="C296" s="53"/>
      <c r="D296" s="53"/>
      <c r="E296" s="53"/>
      <c r="F296" s="53"/>
      <c r="G296" s="53"/>
      <c r="H296" s="53"/>
      <c r="I296" s="53"/>
      <c r="J296" s="53"/>
      <c r="K296" s="53"/>
      <c r="L296" s="11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30" x14ac:dyDescent="0.4">
      <c r="A297" s="53"/>
      <c r="B297" s="151"/>
      <c r="C297" s="53"/>
      <c r="D297" s="53"/>
      <c r="E297" s="53"/>
      <c r="F297" s="53"/>
      <c r="G297" s="53"/>
      <c r="H297" s="53"/>
      <c r="I297" s="53"/>
      <c r="J297" s="53"/>
      <c r="K297" s="53"/>
      <c r="L297" s="11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30" x14ac:dyDescent="0.4">
      <c r="A298" s="53"/>
      <c r="B298" s="151"/>
      <c r="C298" s="53"/>
      <c r="D298" s="53"/>
      <c r="E298" s="53"/>
      <c r="F298" s="53"/>
      <c r="G298" s="53"/>
      <c r="H298" s="53"/>
      <c r="I298" s="53"/>
      <c r="J298" s="53"/>
      <c r="K298" s="53"/>
      <c r="L298" s="11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30" x14ac:dyDescent="0.4">
      <c r="A299" s="53"/>
      <c r="B299" s="151"/>
      <c r="C299" s="53"/>
      <c r="D299" s="53"/>
      <c r="E299" s="53"/>
      <c r="F299" s="53"/>
      <c r="G299" s="53"/>
      <c r="H299" s="53"/>
      <c r="I299" s="53"/>
      <c r="J299" s="53"/>
      <c r="K299" s="53"/>
      <c r="L299" s="11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30" x14ac:dyDescent="0.4">
      <c r="A300" s="53"/>
      <c r="B300" s="151"/>
      <c r="C300" s="53"/>
      <c r="D300" s="53"/>
      <c r="E300" s="53"/>
      <c r="F300" s="53"/>
      <c r="G300" s="53"/>
      <c r="H300" s="53"/>
      <c r="I300" s="53"/>
      <c r="J300" s="53"/>
      <c r="K300" s="53"/>
      <c r="L300" s="11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30" x14ac:dyDescent="0.4">
      <c r="A301" s="53"/>
      <c r="B301" s="151"/>
      <c r="C301" s="53"/>
      <c r="D301" s="53"/>
      <c r="E301" s="53"/>
      <c r="F301" s="53"/>
      <c r="G301" s="53"/>
      <c r="H301" s="53"/>
      <c r="I301" s="53"/>
      <c r="J301" s="53"/>
      <c r="K301" s="53"/>
      <c r="L301" s="11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30" x14ac:dyDescent="0.4">
      <c r="A302" s="53"/>
      <c r="B302" s="151"/>
      <c r="C302" s="53"/>
      <c r="D302" s="53"/>
      <c r="E302" s="53"/>
      <c r="F302" s="53"/>
      <c r="G302" s="53"/>
      <c r="H302" s="53"/>
      <c r="I302" s="53"/>
      <c r="J302" s="53"/>
      <c r="K302" s="53"/>
      <c r="L302" s="11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30" x14ac:dyDescent="0.4">
      <c r="A303" s="53"/>
      <c r="B303" s="151"/>
      <c r="C303" s="53"/>
      <c r="D303" s="53"/>
      <c r="E303" s="53"/>
      <c r="F303" s="53"/>
      <c r="G303" s="53"/>
      <c r="H303" s="53"/>
      <c r="I303" s="53"/>
      <c r="J303" s="53"/>
      <c r="K303" s="53"/>
      <c r="L303" s="11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30" x14ac:dyDescent="0.4">
      <c r="A304" s="53"/>
      <c r="B304" s="151"/>
      <c r="C304" s="53"/>
      <c r="D304" s="53"/>
      <c r="E304" s="53"/>
      <c r="F304" s="53"/>
      <c r="G304" s="53"/>
      <c r="H304" s="53"/>
      <c r="I304" s="53"/>
      <c r="J304" s="53"/>
      <c r="K304" s="53"/>
      <c r="L304" s="11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30" x14ac:dyDescent="0.4">
      <c r="A305" s="53"/>
      <c r="B305" s="151"/>
      <c r="C305" s="53"/>
      <c r="D305" s="53"/>
      <c r="E305" s="53"/>
      <c r="F305" s="53"/>
      <c r="G305" s="53"/>
      <c r="H305" s="53"/>
      <c r="I305" s="53"/>
      <c r="J305" s="53"/>
      <c r="K305" s="53"/>
      <c r="L305" s="11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30" x14ac:dyDescent="0.4">
      <c r="A306" s="53"/>
      <c r="B306" s="151"/>
      <c r="C306" s="53"/>
      <c r="D306" s="53"/>
      <c r="E306" s="53"/>
      <c r="F306" s="53"/>
      <c r="G306" s="53"/>
      <c r="H306" s="53"/>
      <c r="I306" s="53"/>
      <c r="J306" s="53"/>
      <c r="K306" s="53"/>
      <c r="L306" s="11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30" x14ac:dyDescent="0.4">
      <c r="A307" s="53"/>
      <c r="B307" s="151"/>
      <c r="C307" s="53"/>
      <c r="D307" s="53"/>
      <c r="E307" s="53"/>
      <c r="F307" s="53"/>
      <c r="G307" s="53"/>
      <c r="H307" s="53"/>
      <c r="I307" s="53"/>
      <c r="J307" s="53"/>
      <c r="K307" s="53"/>
      <c r="L307" s="11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30" x14ac:dyDescent="0.4">
      <c r="A308" s="53"/>
      <c r="B308" s="151"/>
      <c r="C308" s="53"/>
      <c r="D308" s="53"/>
      <c r="E308" s="53"/>
      <c r="F308" s="53"/>
      <c r="G308" s="53"/>
      <c r="H308" s="53"/>
      <c r="I308" s="53"/>
      <c r="J308" s="53"/>
      <c r="K308" s="53"/>
      <c r="L308" s="11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30" x14ac:dyDescent="0.4">
      <c r="A309" s="53"/>
      <c r="B309" s="151"/>
      <c r="C309" s="53"/>
      <c r="D309" s="53"/>
      <c r="E309" s="53"/>
      <c r="F309" s="53"/>
      <c r="G309" s="53"/>
      <c r="H309" s="53"/>
      <c r="I309" s="53"/>
      <c r="J309" s="53"/>
      <c r="K309" s="53"/>
      <c r="L309" s="11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30" x14ac:dyDescent="0.4">
      <c r="A310" s="53"/>
      <c r="B310" s="151"/>
      <c r="C310" s="53"/>
      <c r="D310" s="53"/>
      <c r="E310" s="53"/>
      <c r="F310" s="53"/>
      <c r="G310" s="53"/>
      <c r="H310" s="53"/>
      <c r="I310" s="53"/>
      <c r="J310" s="53"/>
      <c r="K310" s="53"/>
      <c r="L310" s="11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30" x14ac:dyDescent="0.4">
      <c r="A311" s="53"/>
      <c r="B311" s="151"/>
      <c r="C311" s="53"/>
      <c r="D311" s="53"/>
      <c r="E311" s="53"/>
      <c r="F311" s="53"/>
      <c r="G311" s="53"/>
      <c r="H311" s="53"/>
      <c r="I311" s="53"/>
      <c r="J311" s="53"/>
      <c r="K311" s="53"/>
      <c r="L311" s="11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30" x14ac:dyDescent="0.4">
      <c r="A312" s="53"/>
      <c r="B312" s="151"/>
      <c r="C312" s="53"/>
      <c r="D312" s="53"/>
      <c r="E312" s="53"/>
      <c r="F312" s="53"/>
      <c r="G312" s="53"/>
      <c r="H312" s="53"/>
      <c r="I312" s="53"/>
      <c r="J312" s="53"/>
      <c r="K312" s="53"/>
      <c r="L312" s="11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30" x14ac:dyDescent="0.4">
      <c r="A313" s="53"/>
      <c r="B313" s="151"/>
      <c r="C313" s="53"/>
      <c r="D313" s="53"/>
      <c r="E313" s="53"/>
      <c r="F313" s="53"/>
      <c r="G313" s="53"/>
      <c r="H313" s="53"/>
      <c r="I313" s="53"/>
      <c r="J313" s="53"/>
      <c r="K313" s="53"/>
      <c r="L313" s="11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30" x14ac:dyDescent="0.4">
      <c r="A314" s="53"/>
      <c r="B314" s="151"/>
      <c r="C314" s="53"/>
      <c r="D314" s="53"/>
      <c r="E314" s="53"/>
      <c r="F314" s="53"/>
      <c r="G314" s="53"/>
      <c r="H314" s="53"/>
      <c r="I314" s="53"/>
      <c r="J314" s="53"/>
      <c r="K314" s="53"/>
      <c r="L314" s="11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30" x14ac:dyDescent="0.4">
      <c r="A315" s="53"/>
      <c r="B315" s="151"/>
      <c r="C315" s="53"/>
      <c r="D315" s="53"/>
      <c r="E315" s="53"/>
      <c r="F315" s="53"/>
      <c r="G315" s="53"/>
      <c r="H315" s="53"/>
      <c r="I315" s="53"/>
      <c r="J315" s="53"/>
      <c r="K315" s="53"/>
      <c r="L315" s="11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30" x14ac:dyDescent="0.4">
      <c r="A316" s="53"/>
      <c r="B316" s="151"/>
      <c r="C316" s="53"/>
      <c r="D316" s="53"/>
      <c r="E316" s="53"/>
      <c r="F316" s="53"/>
      <c r="G316" s="53"/>
      <c r="H316" s="53"/>
      <c r="I316" s="53"/>
      <c r="J316" s="53"/>
      <c r="K316" s="53"/>
      <c r="L316" s="11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30" x14ac:dyDescent="0.4">
      <c r="A317" s="53"/>
      <c r="B317" s="151"/>
      <c r="C317" s="53"/>
      <c r="D317" s="53"/>
      <c r="E317" s="53"/>
      <c r="F317" s="53"/>
      <c r="G317" s="53"/>
      <c r="H317" s="53"/>
      <c r="I317" s="53"/>
      <c r="J317" s="53"/>
      <c r="K317" s="53"/>
      <c r="L317" s="11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30" x14ac:dyDescent="0.4">
      <c r="A318" s="53"/>
      <c r="B318" s="151"/>
      <c r="C318" s="53"/>
      <c r="D318" s="53"/>
      <c r="E318" s="53"/>
      <c r="F318" s="53"/>
      <c r="G318" s="53"/>
      <c r="H318" s="53"/>
      <c r="I318" s="53"/>
      <c r="J318" s="53"/>
      <c r="K318" s="53"/>
      <c r="L318" s="11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30" x14ac:dyDescent="0.4">
      <c r="A319" s="53"/>
      <c r="B319" s="151"/>
      <c r="C319" s="53"/>
      <c r="D319" s="53"/>
      <c r="E319" s="53"/>
      <c r="F319" s="53"/>
      <c r="G319" s="53"/>
      <c r="H319" s="53"/>
      <c r="I319" s="53"/>
      <c r="J319" s="53"/>
      <c r="K319" s="53"/>
      <c r="L319" s="11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30" x14ac:dyDescent="0.4">
      <c r="A320" s="53"/>
      <c r="B320" s="151"/>
      <c r="C320" s="53"/>
      <c r="D320" s="53"/>
      <c r="E320" s="53"/>
      <c r="F320" s="53"/>
      <c r="G320" s="53"/>
      <c r="H320" s="53"/>
      <c r="I320" s="53"/>
      <c r="J320" s="53"/>
      <c r="K320" s="53"/>
      <c r="L320" s="11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30" x14ac:dyDescent="0.4">
      <c r="A321" s="53"/>
      <c r="B321" s="151"/>
      <c r="C321" s="53"/>
      <c r="D321" s="53"/>
      <c r="E321" s="53"/>
      <c r="F321" s="53"/>
      <c r="G321" s="53"/>
      <c r="H321" s="53"/>
      <c r="I321" s="53"/>
      <c r="J321" s="53"/>
      <c r="K321" s="53"/>
      <c r="L321" s="11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30" x14ac:dyDescent="0.4">
      <c r="A322" s="53"/>
      <c r="B322" s="151"/>
      <c r="C322" s="53"/>
      <c r="D322" s="53"/>
      <c r="E322" s="53"/>
      <c r="F322" s="53"/>
      <c r="G322" s="53"/>
      <c r="H322" s="53"/>
      <c r="I322" s="53"/>
      <c r="J322" s="53"/>
      <c r="K322" s="53"/>
      <c r="L322" s="11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30" x14ac:dyDescent="0.4">
      <c r="A323" s="53"/>
      <c r="B323" s="151"/>
      <c r="C323" s="53"/>
      <c r="D323" s="53"/>
      <c r="E323" s="53"/>
      <c r="F323" s="53"/>
      <c r="G323" s="53"/>
      <c r="H323" s="53"/>
      <c r="I323" s="53"/>
      <c r="J323" s="53"/>
      <c r="K323" s="53"/>
      <c r="L323" s="11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30" x14ac:dyDescent="0.4">
      <c r="A324" s="53"/>
      <c r="B324" s="151"/>
      <c r="C324" s="53"/>
      <c r="D324" s="53"/>
      <c r="E324" s="53"/>
      <c r="F324" s="53"/>
      <c r="G324" s="53"/>
      <c r="H324" s="53"/>
      <c r="I324" s="53"/>
      <c r="J324" s="53"/>
      <c r="K324" s="53"/>
      <c r="L324" s="11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30" x14ac:dyDescent="0.4">
      <c r="A325" s="53"/>
      <c r="B325" s="151"/>
      <c r="C325" s="53"/>
      <c r="D325" s="53"/>
      <c r="E325" s="53"/>
      <c r="F325" s="53"/>
      <c r="G325" s="53"/>
      <c r="H325" s="53"/>
      <c r="I325" s="53"/>
      <c r="J325" s="53"/>
      <c r="K325" s="53"/>
      <c r="L325" s="11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30" x14ac:dyDescent="0.4">
      <c r="A326" s="53"/>
      <c r="B326" s="151"/>
      <c r="C326" s="53"/>
      <c r="D326" s="53"/>
      <c r="E326" s="53"/>
      <c r="F326" s="53"/>
      <c r="G326" s="53"/>
      <c r="H326" s="53"/>
      <c r="I326" s="53"/>
      <c r="J326" s="53"/>
      <c r="K326" s="53"/>
      <c r="L326" s="11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30" x14ac:dyDescent="0.4">
      <c r="A327" s="53"/>
      <c r="B327" s="151"/>
      <c r="C327" s="53"/>
      <c r="D327" s="53"/>
      <c r="E327" s="53"/>
      <c r="F327" s="53"/>
      <c r="G327" s="53"/>
      <c r="H327" s="53"/>
      <c r="I327" s="53"/>
      <c r="J327" s="53"/>
      <c r="K327" s="53"/>
      <c r="L327" s="11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30" x14ac:dyDescent="0.4">
      <c r="A328" s="53"/>
      <c r="B328" s="151"/>
      <c r="C328" s="53"/>
      <c r="D328" s="53"/>
      <c r="E328" s="53"/>
      <c r="F328" s="53"/>
      <c r="G328" s="53"/>
      <c r="H328" s="53"/>
      <c r="I328" s="53"/>
      <c r="J328" s="53"/>
      <c r="K328" s="53"/>
      <c r="L328" s="11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30" x14ac:dyDescent="0.4">
      <c r="A329" s="53"/>
      <c r="B329" s="151"/>
      <c r="C329" s="53"/>
      <c r="D329" s="53"/>
      <c r="E329" s="53"/>
      <c r="F329" s="53"/>
      <c r="G329" s="53"/>
      <c r="H329" s="53"/>
      <c r="I329" s="53"/>
      <c r="J329" s="53"/>
      <c r="K329" s="53"/>
      <c r="L329" s="11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30" x14ac:dyDescent="0.4">
      <c r="A330" s="53"/>
      <c r="B330" s="151"/>
      <c r="C330" s="53"/>
      <c r="D330" s="53"/>
      <c r="E330" s="53"/>
      <c r="F330" s="53"/>
      <c r="G330" s="53"/>
      <c r="H330" s="53"/>
      <c r="I330" s="53"/>
      <c r="J330" s="53"/>
      <c r="K330" s="53"/>
      <c r="L330" s="11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30" x14ac:dyDescent="0.4">
      <c r="A331" s="53"/>
      <c r="B331" s="151"/>
      <c r="C331" s="53"/>
      <c r="D331" s="53"/>
      <c r="E331" s="53"/>
      <c r="F331" s="53"/>
      <c r="G331" s="53"/>
      <c r="H331" s="53"/>
      <c r="I331" s="53"/>
      <c r="J331" s="53"/>
      <c r="K331" s="53"/>
      <c r="L331" s="11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30" x14ac:dyDescent="0.4">
      <c r="A332" s="53"/>
      <c r="B332" s="151"/>
      <c r="C332" s="53"/>
      <c r="D332" s="53"/>
      <c r="E332" s="53"/>
      <c r="F332" s="53"/>
      <c r="G332" s="53"/>
      <c r="H332" s="53"/>
      <c r="I332" s="53"/>
      <c r="J332" s="53"/>
      <c r="K332" s="53"/>
      <c r="L332" s="11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30" x14ac:dyDescent="0.4">
      <c r="A333" s="53"/>
      <c r="B333" s="151"/>
      <c r="C333" s="53"/>
      <c r="D333" s="53"/>
      <c r="E333" s="53"/>
      <c r="F333" s="53"/>
      <c r="G333" s="53"/>
      <c r="H333" s="53"/>
      <c r="I333" s="53"/>
      <c r="J333" s="53"/>
      <c r="K333" s="53"/>
      <c r="L333" s="11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30" x14ac:dyDescent="0.4">
      <c r="A334" s="53"/>
      <c r="B334" s="151"/>
      <c r="C334" s="53"/>
      <c r="D334" s="53"/>
      <c r="E334" s="53"/>
      <c r="F334" s="53"/>
      <c r="G334" s="53"/>
      <c r="H334" s="53"/>
      <c r="I334" s="53"/>
      <c r="J334" s="53"/>
      <c r="K334" s="53"/>
      <c r="L334" s="11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30" x14ac:dyDescent="0.4">
      <c r="A335" s="53"/>
      <c r="B335" s="151"/>
      <c r="C335" s="53"/>
      <c r="D335" s="53"/>
      <c r="E335" s="53"/>
      <c r="F335" s="53"/>
      <c r="G335" s="53"/>
      <c r="H335" s="53"/>
      <c r="I335" s="53"/>
      <c r="J335" s="53"/>
      <c r="K335" s="53"/>
      <c r="L335" s="11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30" x14ac:dyDescent="0.4">
      <c r="A336" s="53"/>
      <c r="B336" s="151"/>
      <c r="C336" s="53"/>
      <c r="D336" s="53"/>
      <c r="E336" s="53"/>
      <c r="F336" s="53"/>
      <c r="G336" s="53"/>
      <c r="H336" s="53"/>
      <c r="I336" s="53"/>
      <c r="J336" s="53"/>
      <c r="K336" s="53"/>
      <c r="L336" s="11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30" x14ac:dyDescent="0.4">
      <c r="A337" s="53"/>
      <c r="B337" s="151"/>
      <c r="C337" s="53"/>
      <c r="D337" s="53"/>
      <c r="E337" s="53"/>
      <c r="F337" s="53"/>
      <c r="G337" s="53"/>
      <c r="H337" s="53"/>
      <c r="I337" s="53"/>
      <c r="J337" s="53"/>
      <c r="K337" s="53"/>
      <c r="L337" s="11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30" x14ac:dyDescent="0.4">
      <c r="A338" s="53"/>
      <c r="B338" s="151"/>
      <c r="C338" s="53"/>
      <c r="D338" s="53"/>
      <c r="E338" s="53"/>
      <c r="F338" s="53"/>
      <c r="G338" s="53"/>
      <c r="H338" s="53"/>
      <c r="I338" s="53"/>
      <c r="J338" s="53"/>
      <c r="K338" s="53"/>
      <c r="L338" s="11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30" x14ac:dyDescent="0.4">
      <c r="A339" s="53"/>
      <c r="B339" s="151"/>
      <c r="C339" s="53"/>
      <c r="D339" s="53"/>
      <c r="E339" s="53"/>
      <c r="F339" s="53"/>
      <c r="G339" s="53"/>
      <c r="H339" s="53"/>
      <c r="I339" s="53"/>
      <c r="J339" s="53"/>
      <c r="K339" s="53"/>
      <c r="L339" s="11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30" x14ac:dyDescent="0.4">
      <c r="A340" s="53"/>
      <c r="B340" s="151"/>
      <c r="C340" s="53"/>
      <c r="D340" s="53"/>
      <c r="E340" s="53"/>
      <c r="F340" s="53"/>
      <c r="G340" s="53"/>
      <c r="H340" s="53"/>
      <c r="I340" s="53"/>
      <c r="J340" s="53"/>
      <c r="K340" s="53"/>
      <c r="L340" s="11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30" x14ac:dyDescent="0.4">
      <c r="A341" s="53"/>
      <c r="B341" s="151"/>
      <c r="C341" s="53"/>
      <c r="D341" s="53"/>
      <c r="E341" s="53"/>
      <c r="F341" s="53"/>
      <c r="G341" s="53"/>
      <c r="H341" s="53"/>
      <c r="I341" s="53"/>
      <c r="J341" s="53"/>
      <c r="K341" s="53"/>
      <c r="L341" s="11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30" x14ac:dyDescent="0.4">
      <c r="A342" s="53"/>
      <c r="B342" s="151"/>
      <c r="C342" s="53"/>
      <c r="D342" s="53"/>
      <c r="E342" s="53"/>
      <c r="F342" s="53"/>
      <c r="G342" s="53"/>
      <c r="H342" s="53"/>
      <c r="I342" s="53"/>
      <c r="J342" s="53"/>
      <c r="K342" s="53"/>
      <c r="L342" s="11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30" x14ac:dyDescent="0.4">
      <c r="A343" s="53"/>
      <c r="B343" s="151"/>
      <c r="C343" s="53"/>
      <c r="D343" s="53"/>
      <c r="E343" s="53"/>
      <c r="F343" s="53"/>
      <c r="G343" s="53"/>
      <c r="H343" s="53"/>
      <c r="I343" s="53"/>
      <c r="J343" s="53"/>
      <c r="K343" s="53"/>
      <c r="L343" s="11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30" x14ac:dyDescent="0.4">
      <c r="A344" s="53"/>
      <c r="B344" s="151"/>
      <c r="C344" s="53"/>
      <c r="D344" s="53"/>
      <c r="E344" s="53"/>
      <c r="F344" s="53"/>
      <c r="G344" s="53"/>
      <c r="H344" s="53"/>
      <c r="I344" s="53"/>
      <c r="J344" s="53"/>
      <c r="K344" s="53"/>
      <c r="L344" s="11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30" x14ac:dyDescent="0.4">
      <c r="A345" s="53"/>
      <c r="B345" s="151"/>
      <c r="C345" s="53"/>
      <c r="D345" s="53"/>
      <c r="E345" s="53"/>
      <c r="F345" s="53"/>
      <c r="G345" s="53"/>
      <c r="H345" s="53"/>
      <c r="I345" s="53"/>
      <c r="J345" s="53"/>
      <c r="K345" s="53"/>
      <c r="L345" s="11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30" x14ac:dyDescent="0.4">
      <c r="A346" s="53"/>
      <c r="B346" s="151"/>
      <c r="C346" s="53"/>
      <c r="D346" s="53"/>
      <c r="E346" s="53"/>
      <c r="F346" s="53"/>
      <c r="G346" s="53"/>
      <c r="H346" s="53"/>
      <c r="I346" s="53"/>
      <c r="J346" s="53"/>
      <c r="K346" s="53"/>
      <c r="L346" s="11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30" x14ac:dyDescent="0.4">
      <c r="A347" s="53"/>
      <c r="B347" s="151"/>
      <c r="C347" s="53"/>
      <c r="D347" s="53"/>
      <c r="E347" s="53"/>
      <c r="F347" s="53"/>
      <c r="G347" s="53"/>
      <c r="H347" s="53"/>
      <c r="I347" s="53"/>
      <c r="J347" s="53"/>
      <c r="K347" s="53"/>
      <c r="L347" s="11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30" x14ac:dyDescent="0.4">
      <c r="A348" s="53"/>
      <c r="B348" s="151"/>
      <c r="C348" s="53"/>
      <c r="D348" s="53"/>
      <c r="E348" s="53"/>
      <c r="F348" s="53"/>
      <c r="G348" s="53"/>
      <c r="H348" s="53"/>
      <c r="I348" s="53"/>
      <c r="J348" s="53"/>
      <c r="K348" s="53"/>
      <c r="L348" s="11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30" x14ac:dyDescent="0.4">
      <c r="A349" s="53"/>
      <c r="B349" s="151"/>
      <c r="C349" s="53"/>
      <c r="D349" s="53"/>
      <c r="E349" s="53"/>
      <c r="F349" s="53"/>
      <c r="G349" s="53"/>
      <c r="H349" s="53"/>
      <c r="I349" s="53"/>
      <c r="J349" s="53"/>
      <c r="K349" s="53"/>
      <c r="L349" s="11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30" x14ac:dyDescent="0.4">
      <c r="A350" s="53"/>
      <c r="B350" s="151"/>
      <c r="C350" s="53"/>
      <c r="D350" s="53"/>
      <c r="E350" s="53"/>
      <c r="F350" s="53"/>
      <c r="G350" s="53"/>
      <c r="H350" s="53"/>
      <c r="I350" s="53"/>
      <c r="J350" s="53"/>
      <c r="K350" s="53"/>
      <c r="L350" s="11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30" x14ac:dyDescent="0.4">
      <c r="A351" s="53"/>
      <c r="B351" s="151"/>
      <c r="C351" s="53"/>
      <c r="D351" s="53"/>
      <c r="E351" s="53"/>
      <c r="F351" s="53"/>
      <c r="G351" s="53"/>
      <c r="H351" s="53"/>
      <c r="I351" s="53"/>
      <c r="J351" s="53"/>
      <c r="K351" s="53"/>
      <c r="L351" s="11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30" x14ac:dyDescent="0.4">
      <c r="A352" s="53"/>
      <c r="B352" s="151"/>
      <c r="C352" s="53"/>
      <c r="D352" s="53"/>
      <c r="E352" s="53"/>
      <c r="F352" s="53"/>
      <c r="G352" s="53"/>
      <c r="H352" s="53"/>
      <c r="I352" s="53"/>
      <c r="J352" s="53"/>
      <c r="K352" s="53"/>
      <c r="L352" s="11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30" x14ac:dyDescent="0.4">
      <c r="A353" s="53"/>
      <c r="B353" s="151"/>
      <c r="C353" s="53"/>
      <c r="D353" s="53"/>
      <c r="E353" s="53"/>
      <c r="F353" s="53"/>
      <c r="G353" s="53"/>
      <c r="H353" s="53"/>
      <c r="I353" s="53"/>
      <c r="J353" s="53"/>
      <c r="K353" s="53"/>
      <c r="L353" s="11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30" x14ac:dyDescent="0.4">
      <c r="A354" s="53"/>
      <c r="B354" s="151"/>
      <c r="C354" s="53"/>
      <c r="D354" s="53"/>
      <c r="E354" s="53"/>
      <c r="F354" s="53"/>
      <c r="G354" s="53"/>
      <c r="H354" s="53"/>
      <c r="I354" s="53"/>
      <c r="J354" s="53"/>
      <c r="K354" s="53"/>
      <c r="L354" s="11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30" x14ac:dyDescent="0.4">
      <c r="A355" s="53"/>
      <c r="B355" s="151"/>
      <c r="C355" s="53"/>
      <c r="D355" s="53"/>
      <c r="E355" s="53"/>
      <c r="F355" s="53"/>
      <c r="G355" s="53"/>
      <c r="H355" s="53"/>
      <c r="I355" s="53"/>
      <c r="J355" s="53"/>
      <c r="K355" s="53"/>
      <c r="L355" s="11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30" x14ac:dyDescent="0.4">
      <c r="A356" s="53"/>
      <c r="B356" s="151"/>
      <c r="C356" s="53"/>
      <c r="D356" s="53"/>
      <c r="E356" s="53"/>
      <c r="F356" s="53"/>
      <c r="G356" s="53"/>
      <c r="H356" s="53"/>
      <c r="I356" s="53"/>
      <c r="J356" s="53"/>
      <c r="K356" s="53"/>
      <c r="L356" s="11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30" x14ac:dyDescent="0.4">
      <c r="A357" s="53"/>
      <c r="B357" s="151"/>
      <c r="C357" s="53"/>
      <c r="D357" s="53"/>
      <c r="E357" s="53"/>
      <c r="F357" s="53"/>
      <c r="G357" s="53"/>
      <c r="H357" s="53"/>
      <c r="I357" s="53"/>
      <c r="J357" s="53"/>
      <c r="K357" s="53"/>
      <c r="L357" s="11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30" x14ac:dyDescent="0.4">
      <c r="A358" s="53"/>
      <c r="B358" s="151"/>
      <c r="C358" s="53"/>
      <c r="D358" s="53"/>
      <c r="E358" s="53"/>
      <c r="F358" s="53"/>
      <c r="G358" s="53"/>
      <c r="H358" s="53"/>
      <c r="I358" s="53"/>
      <c r="J358" s="53"/>
      <c r="K358" s="53"/>
      <c r="L358" s="11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30" x14ac:dyDescent="0.4">
      <c r="A359" s="53"/>
      <c r="B359" s="151"/>
      <c r="C359" s="53"/>
      <c r="D359" s="53"/>
      <c r="E359" s="53"/>
      <c r="F359" s="53"/>
      <c r="G359" s="53"/>
      <c r="H359" s="53"/>
      <c r="I359" s="53"/>
      <c r="J359" s="53"/>
      <c r="K359" s="53"/>
      <c r="L359" s="11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30" x14ac:dyDescent="0.4">
      <c r="A360" s="53"/>
      <c r="B360" s="151"/>
      <c r="C360" s="53"/>
      <c r="D360" s="53"/>
      <c r="E360" s="53"/>
      <c r="F360" s="53"/>
      <c r="G360" s="53"/>
      <c r="H360" s="53"/>
      <c r="I360" s="53"/>
      <c r="J360" s="53"/>
      <c r="K360" s="53"/>
      <c r="L360" s="11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30" x14ac:dyDescent="0.4">
      <c r="A361" s="53"/>
      <c r="B361" s="151"/>
      <c r="C361" s="53"/>
      <c r="D361" s="53"/>
      <c r="E361" s="53"/>
      <c r="F361" s="53"/>
      <c r="G361" s="53"/>
      <c r="H361" s="53"/>
      <c r="I361" s="53"/>
      <c r="J361" s="53"/>
      <c r="K361" s="53"/>
      <c r="L361" s="11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30" x14ac:dyDescent="0.4">
      <c r="A362" s="53"/>
      <c r="B362" s="151"/>
      <c r="C362" s="53"/>
      <c r="D362" s="53"/>
      <c r="E362" s="53"/>
      <c r="F362" s="53"/>
      <c r="G362" s="53"/>
      <c r="H362" s="53"/>
      <c r="I362" s="53"/>
      <c r="J362" s="53"/>
      <c r="K362" s="53"/>
      <c r="L362" s="11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30" x14ac:dyDescent="0.4">
      <c r="A363" s="53"/>
      <c r="B363" s="151"/>
      <c r="C363" s="53"/>
      <c r="D363" s="53"/>
      <c r="E363" s="53"/>
      <c r="F363" s="53"/>
      <c r="G363" s="53"/>
      <c r="H363" s="53"/>
      <c r="I363" s="53"/>
      <c r="J363" s="53"/>
      <c r="K363" s="53"/>
      <c r="L363" s="11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30" x14ac:dyDescent="0.4">
      <c r="A364" s="53"/>
      <c r="B364" s="151"/>
      <c r="C364" s="53"/>
      <c r="D364" s="53"/>
      <c r="E364" s="53"/>
      <c r="F364" s="53"/>
      <c r="G364" s="53"/>
      <c r="H364" s="53"/>
      <c r="I364" s="53"/>
      <c r="J364" s="53"/>
      <c r="K364" s="53"/>
      <c r="L364" s="11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30" x14ac:dyDescent="0.4">
      <c r="A365" s="53"/>
      <c r="B365" s="151"/>
      <c r="C365" s="53"/>
      <c r="D365" s="53"/>
      <c r="E365" s="53"/>
      <c r="F365" s="53"/>
      <c r="G365" s="53"/>
      <c r="H365" s="53"/>
      <c r="I365" s="53"/>
      <c r="J365" s="53"/>
      <c r="K365" s="53"/>
      <c r="L365" s="11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30" x14ac:dyDescent="0.4">
      <c r="A366" s="53"/>
      <c r="B366" s="151"/>
      <c r="C366" s="53"/>
      <c r="D366" s="53"/>
      <c r="E366" s="53"/>
      <c r="F366" s="53"/>
      <c r="G366" s="53"/>
      <c r="H366" s="53"/>
      <c r="I366" s="53"/>
      <c r="J366" s="53"/>
      <c r="K366" s="53"/>
      <c r="L366" s="11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30" x14ac:dyDescent="0.4">
      <c r="A367" s="53"/>
      <c r="B367" s="151"/>
      <c r="C367" s="53"/>
      <c r="D367" s="53"/>
      <c r="E367" s="53"/>
      <c r="F367" s="53"/>
      <c r="G367" s="53"/>
      <c r="H367" s="53"/>
      <c r="I367" s="53"/>
      <c r="J367" s="53"/>
      <c r="K367" s="53"/>
      <c r="L367" s="11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30" x14ac:dyDescent="0.4">
      <c r="A368" s="53"/>
      <c r="B368" s="151"/>
      <c r="C368" s="53"/>
      <c r="D368" s="53"/>
      <c r="E368" s="53"/>
      <c r="F368" s="53"/>
      <c r="G368" s="53"/>
      <c r="H368" s="53"/>
      <c r="I368" s="53"/>
      <c r="J368" s="53"/>
      <c r="K368" s="53"/>
      <c r="L368" s="11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30" x14ac:dyDescent="0.4">
      <c r="A369" s="53"/>
      <c r="B369" s="151"/>
      <c r="C369" s="53"/>
      <c r="D369" s="53"/>
      <c r="E369" s="53"/>
      <c r="F369" s="53"/>
      <c r="G369" s="53"/>
      <c r="H369" s="53"/>
      <c r="I369" s="53"/>
      <c r="J369" s="53"/>
      <c r="K369" s="53"/>
      <c r="L369" s="11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30" x14ac:dyDescent="0.4">
      <c r="A370" s="53"/>
      <c r="B370" s="151"/>
      <c r="C370" s="53"/>
      <c r="D370" s="53"/>
      <c r="E370" s="53"/>
      <c r="F370" s="53"/>
      <c r="G370" s="53"/>
      <c r="H370" s="53"/>
      <c r="I370" s="53"/>
      <c r="J370" s="53"/>
      <c r="K370" s="53"/>
      <c r="L370" s="11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30" x14ac:dyDescent="0.4">
      <c r="A371" s="53"/>
      <c r="B371" s="151"/>
      <c r="C371" s="53"/>
      <c r="D371" s="53"/>
      <c r="E371" s="53"/>
      <c r="F371" s="53"/>
      <c r="G371" s="53"/>
      <c r="H371" s="53"/>
      <c r="I371" s="53"/>
      <c r="J371" s="53"/>
      <c r="K371" s="53"/>
      <c r="L371" s="11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30" x14ac:dyDescent="0.4">
      <c r="A372" s="53"/>
      <c r="B372" s="151"/>
      <c r="C372" s="53"/>
      <c r="D372" s="53"/>
      <c r="E372" s="53"/>
      <c r="F372" s="53"/>
      <c r="G372" s="53"/>
      <c r="H372" s="53"/>
      <c r="I372" s="53"/>
      <c r="J372" s="53"/>
      <c r="K372" s="53"/>
      <c r="L372" s="11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30" x14ac:dyDescent="0.4">
      <c r="A373" s="53"/>
      <c r="B373" s="151"/>
      <c r="C373" s="53"/>
      <c r="D373" s="53"/>
      <c r="E373" s="53"/>
      <c r="F373" s="53"/>
      <c r="G373" s="53"/>
      <c r="H373" s="53"/>
      <c r="I373" s="53"/>
      <c r="J373" s="53"/>
      <c r="K373" s="53"/>
      <c r="L373" s="11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30" x14ac:dyDescent="0.4">
      <c r="A374" s="53"/>
      <c r="B374" s="151"/>
      <c r="C374" s="53"/>
      <c r="D374" s="53"/>
      <c r="E374" s="53"/>
      <c r="F374" s="53"/>
      <c r="G374" s="53"/>
      <c r="H374" s="53"/>
      <c r="I374" s="53"/>
      <c r="J374" s="53"/>
      <c r="K374" s="53"/>
      <c r="L374" s="11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30" x14ac:dyDescent="0.4">
      <c r="A375" s="53"/>
      <c r="B375" s="151"/>
      <c r="C375" s="53"/>
      <c r="D375" s="53"/>
      <c r="E375" s="53"/>
      <c r="F375" s="53"/>
      <c r="G375" s="53"/>
      <c r="H375" s="53"/>
      <c r="I375" s="53"/>
      <c r="J375" s="53"/>
      <c r="K375" s="53"/>
      <c r="L375" s="11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30" x14ac:dyDescent="0.4">
      <c r="A376" s="53"/>
      <c r="B376" s="151"/>
      <c r="C376" s="53"/>
      <c r="D376" s="53"/>
      <c r="E376" s="53"/>
      <c r="F376" s="53"/>
      <c r="G376" s="53"/>
      <c r="H376" s="53"/>
      <c r="I376" s="53"/>
      <c r="J376" s="53"/>
      <c r="K376" s="53"/>
      <c r="L376" s="11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30" x14ac:dyDescent="0.4">
      <c r="A377" s="53"/>
      <c r="B377" s="151"/>
      <c r="C377" s="53"/>
      <c r="D377" s="53"/>
      <c r="E377" s="53"/>
      <c r="F377" s="53"/>
      <c r="G377" s="53"/>
      <c r="H377" s="53"/>
      <c r="I377" s="53"/>
      <c r="J377" s="53"/>
      <c r="K377" s="53"/>
      <c r="L377" s="11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30" x14ac:dyDescent="0.4">
      <c r="A378" s="53"/>
      <c r="B378" s="151"/>
      <c r="C378" s="53"/>
      <c r="D378" s="53"/>
      <c r="E378" s="53"/>
      <c r="F378" s="53"/>
      <c r="G378" s="53"/>
      <c r="H378" s="53"/>
      <c r="I378" s="53"/>
      <c r="J378" s="53"/>
      <c r="K378" s="53"/>
      <c r="L378" s="11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30" x14ac:dyDescent="0.4">
      <c r="A379" s="53"/>
      <c r="B379" s="151"/>
      <c r="C379" s="53"/>
      <c r="D379" s="53"/>
      <c r="E379" s="53"/>
      <c r="F379" s="53"/>
      <c r="G379" s="53"/>
      <c r="H379" s="53"/>
      <c r="I379" s="53"/>
      <c r="J379" s="53"/>
      <c r="K379" s="53"/>
      <c r="L379" s="11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30" x14ac:dyDescent="0.4">
      <c r="A380" s="53"/>
      <c r="B380" s="151"/>
      <c r="C380" s="53"/>
      <c r="D380" s="53"/>
      <c r="E380" s="53"/>
      <c r="F380" s="53"/>
      <c r="G380" s="53"/>
      <c r="H380" s="53"/>
      <c r="I380" s="53"/>
      <c r="J380" s="53"/>
      <c r="K380" s="53"/>
      <c r="L380" s="11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30" x14ac:dyDescent="0.4">
      <c r="A381" s="53"/>
      <c r="B381" s="151"/>
      <c r="C381" s="53"/>
      <c r="D381" s="53"/>
      <c r="E381" s="53"/>
      <c r="F381" s="53"/>
      <c r="G381" s="53"/>
      <c r="H381" s="53"/>
      <c r="I381" s="53"/>
      <c r="J381" s="53"/>
      <c r="K381" s="53"/>
      <c r="L381" s="11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30" x14ac:dyDescent="0.4">
      <c r="A382" s="53"/>
      <c r="B382" s="151"/>
      <c r="C382" s="53"/>
      <c r="D382" s="53"/>
      <c r="E382" s="53"/>
      <c r="F382" s="53"/>
      <c r="G382" s="53"/>
      <c r="H382" s="53"/>
      <c r="I382" s="53"/>
      <c r="J382" s="53"/>
      <c r="K382" s="53"/>
      <c r="L382" s="11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30" x14ac:dyDescent="0.4">
      <c r="A383" s="53"/>
      <c r="B383" s="151"/>
      <c r="C383" s="53"/>
      <c r="D383" s="53"/>
      <c r="E383" s="53"/>
      <c r="F383" s="53"/>
      <c r="G383" s="53"/>
      <c r="H383" s="53"/>
      <c r="I383" s="53"/>
      <c r="J383" s="53"/>
      <c r="K383" s="53"/>
      <c r="L383" s="11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30" x14ac:dyDescent="0.4">
      <c r="A384" s="53"/>
      <c r="B384" s="151"/>
      <c r="C384" s="53"/>
      <c r="D384" s="53"/>
      <c r="E384" s="53"/>
      <c r="F384" s="53"/>
      <c r="G384" s="53"/>
      <c r="H384" s="53"/>
      <c r="I384" s="53"/>
      <c r="J384" s="53"/>
      <c r="K384" s="53"/>
      <c r="L384" s="11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30" x14ac:dyDescent="0.4">
      <c r="A385" s="53"/>
      <c r="B385" s="151"/>
      <c r="C385" s="53"/>
      <c r="D385" s="53"/>
      <c r="E385" s="53"/>
      <c r="F385" s="53"/>
      <c r="G385" s="53"/>
      <c r="H385" s="53"/>
      <c r="I385" s="53"/>
      <c r="J385" s="53"/>
      <c r="K385" s="53"/>
      <c r="L385" s="11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30" x14ac:dyDescent="0.4">
      <c r="A386" s="53"/>
      <c r="B386" s="151"/>
      <c r="C386" s="53"/>
      <c r="D386" s="53"/>
      <c r="E386" s="53"/>
      <c r="F386" s="53"/>
      <c r="G386" s="53"/>
      <c r="H386" s="53"/>
      <c r="I386" s="53"/>
      <c r="J386" s="53"/>
      <c r="K386" s="53"/>
      <c r="L386" s="11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30" x14ac:dyDescent="0.4">
      <c r="A387" s="53"/>
      <c r="B387" s="151"/>
      <c r="C387" s="53"/>
      <c r="D387" s="53"/>
      <c r="E387" s="53"/>
      <c r="F387" s="53"/>
      <c r="G387" s="53"/>
      <c r="H387" s="53"/>
      <c r="I387" s="53"/>
      <c r="J387" s="53"/>
      <c r="K387" s="53"/>
      <c r="L387" s="11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30" x14ac:dyDescent="0.4">
      <c r="A388" s="53"/>
      <c r="B388" s="151"/>
      <c r="C388" s="53"/>
      <c r="D388" s="53"/>
      <c r="E388" s="53"/>
      <c r="F388" s="53"/>
      <c r="G388" s="53"/>
      <c r="H388" s="53"/>
      <c r="I388" s="53"/>
      <c r="J388" s="53"/>
      <c r="K388" s="53"/>
      <c r="L388" s="11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30" x14ac:dyDescent="0.4">
      <c r="A389" s="53"/>
      <c r="B389" s="151"/>
      <c r="C389" s="53"/>
      <c r="D389" s="53"/>
      <c r="E389" s="53"/>
      <c r="F389" s="53"/>
      <c r="G389" s="53"/>
      <c r="H389" s="53"/>
      <c r="I389" s="53"/>
      <c r="J389" s="53"/>
      <c r="K389" s="53"/>
      <c r="L389" s="11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30" x14ac:dyDescent="0.4">
      <c r="A390" s="53"/>
      <c r="B390" s="151"/>
      <c r="C390" s="53"/>
      <c r="D390" s="53"/>
      <c r="E390" s="53"/>
      <c r="F390" s="53"/>
      <c r="G390" s="53"/>
      <c r="H390" s="53"/>
      <c r="I390" s="53"/>
      <c r="J390" s="53"/>
      <c r="K390" s="53"/>
      <c r="L390" s="11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30" x14ac:dyDescent="0.4">
      <c r="A391" s="53"/>
      <c r="B391" s="151"/>
      <c r="C391" s="53"/>
      <c r="D391" s="53"/>
      <c r="E391" s="53"/>
      <c r="F391" s="53"/>
      <c r="G391" s="53"/>
      <c r="H391" s="53"/>
      <c r="I391" s="53"/>
      <c r="J391" s="53"/>
      <c r="K391" s="53"/>
      <c r="L391" s="11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30" x14ac:dyDescent="0.4">
      <c r="A392" s="53"/>
      <c r="B392" s="151"/>
      <c r="C392" s="53"/>
      <c r="D392" s="53"/>
      <c r="E392" s="53"/>
      <c r="F392" s="53"/>
      <c r="G392" s="53"/>
      <c r="H392" s="53"/>
      <c r="I392" s="53"/>
      <c r="J392" s="53"/>
      <c r="K392" s="53"/>
      <c r="L392" s="11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30" x14ac:dyDescent="0.4">
      <c r="A393" s="53"/>
      <c r="B393" s="151"/>
      <c r="C393" s="53"/>
      <c r="D393" s="53"/>
      <c r="E393" s="53"/>
      <c r="F393" s="53"/>
      <c r="G393" s="53"/>
      <c r="H393" s="53"/>
      <c r="I393" s="53"/>
      <c r="J393" s="53"/>
      <c r="K393" s="53"/>
      <c r="L393" s="11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30" x14ac:dyDescent="0.4">
      <c r="A394" s="53"/>
      <c r="B394" s="151"/>
      <c r="C394" s="53"/>
      <c r="D394" s="53"/>
      <c r="E394" s="53"/>
      <c r="F394" s="53"/>
      <c r="G394" s="53"/>
      <c r="H394" s="53"/>
      <c r="I394" s="53"/>
      <c r="J394" s="53"/>
      <c r="K394" s="53"/>
      <c r="L394" s="11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30" x14ac:dyDescent="0.4">
      <c r="A395" s="53"/>
      <c r="B395" s="151"/>
      <c r="C395" s="53"/>
      <c r="D395" s="53"/>
      <c r="E395" s="53"/>
      <c r="F395" s="53"/>
      <c r="G395" s="53"/>
      <c r="H395" s="53"/>
      <c r="I395" s="53"/>
      <c r="J395" s="53"/>
      <c r="K395" s="53"/>
      <c r="L395" s="11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30" x14ac:dyDescent="0.4">
      <c r="A396" s="53"/>
      <c r="B396" s="151"/>
      <c r="C396" s="53"/>
      <c r="D396" s="53"/>
      <c r="E396" s="53"/>
      <c r="F396" s="53"/>
      <c r="G396" s="53"/>
      <c r="H396" s="53"/>
      <c r="I396" s="53"/>
      <c r="J396" s="53"/>
      <c r="K396" s="53"/>
      <c r="L396" s="11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30" x14ac:dyDescent="0.4">
      <c r="A397" s="53"/>
      <c r="B397" s="151"/>
      <c r="C397" s="53"/>
      <c r="D397" s="53"/>
      <c r="E397" s="53"/>
      <c r="F397" s="53"/>
      <c r="G397" s="53"/>
      <c r="H397" s="53"/>
      <c r="I397" s="53"/>
      <c r="J397" s="53"/>
      <c r="K397" s="53"/>
      <c r="L397" s="11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30" x14ac:dyDescent="0.4">
      <c r="A398" s="53"/>
      <c r="B398" s="151"/>
      <c r="C398" s="53"/>
      <c r="D398" s="53"/>
      <c r="E398" s="53"/>
      <c r="F398" s="53"/>
      <c r="G398" s="53"/>
      <c r="H398" s="53"/>
      <c r="I398" s="53"/>
      <c r="J398" s="53"/>
      <c r="K398" s="53"/>
      <c r="L398" s="11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30" x14ac:dyDescent="0.4">
      <c r="A399" s="53"/>
      <c r="B399" s="151"/>
      <c r="C399" s="53"/>
      <c r="D399" s="53"/>
      <c r="E399" s="53"/>
      <c r="F399" s="53"/>
      <c r="G399" s="53"/>
      <c r="H399" s="53"/>
      <c r="I399" s="53"/>
      <c r="J399" s="53"/>
      <c r="K399" s="53"/>
      <c r="L399" s="11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30" x14ac:dyDescent="0.4">
      <c r="A400" s="53"/>
      <c r="B400" s="151"/>
      <c r="C400" s="53"/>
      <c r="D400" s="53"/>
      <c r="E400" s="53"/>
      <c r="F400" s="53"/>
      <c r="G400" s="53"/>
      <c r="H400" s="53"/>
      <c r="I400" s="53"/>
      <c r="J400" s="53"/>
      <c r="K400" s="53"/>
      <c r="L400" s="11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30" x14ac:dyDescent="0.4">
      <c r="A401" s="53"/>
      <c r="B401" s="151"/>
      <c r="C401" s="53"/>
      <c r="D401" s="53"/>
      <c r="E401" s="53"/>
      <c r="F401" s="53"/>
      <c r="G401" s="53"/>
      <c r="H401" s="53"/>
      <c r="I401" s="53"/>
      <c r="J401" s="53"/>
      <c r="K401" s="53"/>
      <c r="L401" s="11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30" x14ac:dyDescent="0.4">
      <c r="A402" s="53"/>
      <c r="B402" s="151"/>
      <c r="C402" s="53"/>
      <c r="D402" s="53"/>
      <c r="E402" s="53"/>
      <c r="F402" s="53"/>
      <c r="G402" s="53"/>
      <c r="H402" s="53"/>
      <c r="I402" s="53"/>
      <c r="J402" s="53"/>
      <c r="K402" s="53"/>
      <c r="L402" s="11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30" x14ac:dyDescent="0.4">
      <c r="A403" s="53"/>
      <c r="B403" s="151"/>
      <c r="C403" s="53"/>
      <c r="D403" s="53"/>
      <c r="E403" s="53"/>
      <c r="F403" s="53"/>
      <c r="G403" s="53"/>
      <c r="H403" s="53"/>
      <c r="I403" s="53"/>
      <c r="J403" s="53"/>
      <c r="K403" s="53"/>
      <c r="L403" s="11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30" x14ac:dyDescent="0.4">
      <c r="A404" s="53"/>
      <c r="B404" s="151"/>
      <c r="C404" s="53"/>
      <c r="D404" s="53"/>
      <c r="E404" s="53"/>
      <c r="F404" s="53"/>
      <c r="G404" s="53"/>
      <c r="H404" s="53"/>
      <c r="I404" s="53"/>
      <c r="J404" s="53"/>
      <c r="K404" s="53"/>
      <c r="L404" s="11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30" x14ac:dyDescent="0.4">
      <c r="A405" s="53"/>
      <c r="B405" s="151"/>
      <c r="C405" s="53"/>
      <c r="D405" s="53"/>
      <c r="E405" s="53"/>
      <c r="F405" s="53"/>
      <c r="G405" s="53"/>
      <c r="H405" s="53"/>
      <c r="I405" s="53"/>
      <c r="J405" s="53"/>
      <c r="K405" s="53"/>
      <c r="L405" s="11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30" x14ac:dyDescent="0.4">
      <c r="A406" s="53"/>
      <c r="B406" s="151"/>
      <c r="C406" s="53"/>
      <c r="D406" s="53"/>
      <c r="E406" s="53"/>
      <c r="F406" s="53"/>
      <c r="G406" s="53"/>
      <c r="H406" s="53"/>
      <c r="I406" s="53"/>
      <c r="J406" s="53"/>
      <c r="K406" s="53"/>
      <c r="L406" s="11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30" x14ac:dyDescent="0.4">
      <c r="A407" s="53"/>
      <c r="B407" s="151"/>
      <c r="C407" s="53"/>
      <c r="D407" s="53"/>
      <c r="E407" s="53"/>
      <c r="F407" s="53"/>
      <c r="G407" s="53"/>
      <c r="H407" s="53"/>
      <c r="I407" s="53"/>
      <c r="J407" s="53"/>
      <c r="K407" s="53"/>
      <c r="L407" s="11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30" x14ac:dyDescent="0.4">
      <c r="A408" s="53"/>
      <c r="B408" s="151"/>
      <c r="C408" s="53"/>
      <c r="D408" s="53"/>
      <c r="E408" s="53"/>
      <c r="F408" s="53"/>
      <c r="G408" s="53"/>
      <c r="H408" s="53"/>
      <c r="I408" s="53"/>
      <c r="J408" s="53"/>
      <c r="K408" s="53"/>
      <c r="L408" s="11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30" x14ac:dyDescent="0.4">
      <c r="A409" s="53"/>
      <c r="B409" s="151"/>
      <c r="C409" s="53"/>
      <c r="D409" s="53"/>
      <c r="E409" s="53"/>
      <c r="F409" s="53"/>
      <c r="G409" s="53"/>
      <c r="H409" s="53"/>
      <c r="I409" s="53"/>
      <c r="J409" s="53"/>
      <c r="K409" s="53"/>
      <c r="L409" s="11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30" x14ac:dyDescent="0.4">
      <c r="A410" s="53"/>
      <c r="B410" s="151"/>
      <c r="C410" s="53"/>
      <c r="D410" s="53"/>
      <c r="E410" s="53"/>
      <c r="F410" s="53"/>
      <c r="G410" s="53"/>
      <c r="H410" s="53"/>
      <c r="I410" s="53"/>
      <c r="J410" s="53"/>
      <c r="K410" s="53"/>
      <c r="L410" s="11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30" x14ac:dyDescent="0.4">
      <c r="A411" s="53"/>
      <c r="B411" s="151"/>
      <c r="C411" s="53"/>
      <c r="D411" s="53"/>
      <c r="E411" s="53"/>
      <c r="F411" s="53"/>
      <c r="G411" s="53"/>
      <c r="H411" s="53"/>
      <c r="I411" s="53"/>
      <c r="J411" s="53"/>
      <c r="K411" s="53"/>
      <c r="L411" s="11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30" x14ac:dyDescent="0.4">
      <c r="A412" s="53"/>
      <c r="B412" s="151"/>
      <c r="C412" s="53"/>
      <c r="D412" s="53"/>
      <c r="E412" s="53"/>
      <c r="F412" s="53"/>
      <c r="G412" s="53"/>
      <c r="H412" s="53"/>
      <c r="I412" s="53"/>
      <c r="J412" s="53"/>
      <c r="K412" s="53"/>
      <c r="L412" s="11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30" x14ac:dyDescent="0.4">
      <c r="A413" s="53"/>
      <c r="B413" s="151"/>
      <c r="C413" s="53"/>
      <c r="D413" s="53"/>
      <c r="E413" s="53"/>
      <c r="F413" s="53"/>
      <c r="G413" s="53"/>
      <c r="H413" s="53"/>
      <c r="I413" s="53"/>
      <c r="J413" s="53"/>
      <c r="K413" s="53"/>
      <c r="L413" s="11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30" x14ac:dyDescent="0.4">
      <c r="A414" s="53"/>
      <c r="B414" s="151"/>
      <c r="C414" s="53"/>
      <c r="D414" s="53"/>
      <c r="E414" s="53"/>
      <c r="F414" s="53"/>
      <c r="G414" s="53"/>
      <c r="H414" s="53"/>
      <c r="I414" s="53"/>
      <c r="J414" s="53"/>
      <c r="K414" s="53"/>
      <c r="L414" s="11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30" x14ac:dyDescent="0.4">
      <c r="A415" s="53"/>
      <c r="B415" s="151"/>
      <c r="C415" s="53"/>
      <c r="D415" s="53"/>
      <c r="E415" s="53"/>
      <c r="F415" s="53"/>
      <c r="G415" s="53"/>
      <c r="H415" s="53"/>
      <c r="I415" s="53"/>
      <c r="J415" s="53"/>
      <c r="K415" s="53"/>
      <c r="L415" s="11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30" x14ac:dyDescent="0.4">
      <c r="A416" s="53"/>
      <c r="B416" s="151"/>
      <c r="C416" s="53"/>
      <c r="D416" s="53"/>
      <c r="E416" s="53"/>
      <c r="F416" s="53"/>
      <c r="G416" s="53"/>
      <c r="H416" s="53"/>
      <c r="I416" s="53"/>
      <c r="J416" s="53"/>
      <c r="K416" s="53"/>
      <c r="L416" s="11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30" x14ac:dyDescent="0.4">
      <c r="A417" s="53"/>
      <c r="B417" s="151"/>
      <c r="C417" s="53"/>
      <c r="D417" s="53"/>
      <c r="E417" s="53"/>
      <c r="F417" s="53"/>
      <c r="G417" s="53"/>
      <c r="H417" s="53"/>
      <c r="I417" s="53"/>
      <c r="J417" s="53"/>
      <c r="K417" s="53"/>
      <c r="L417" s="11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30" x14ac:dyDescent="0.4">
      <c r="A418" s="53"/>
      <c r="B418" s="151"/>
      <c r="C418" s="53"/>
      <c r="D418" s="53"/>
      <c r="E418" s="53"/>
      <c r="F418" s="53"/>
      <c r="G418" s="53"/>
      <c r="H418" s="53"/>
      <c r="I418" s="53"/>
      <c r="J418" s="53"/>
      <c r="K418" s="53"/>
      <c r="L418" s="11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30" x14ac:dyDescent="0.4">
      <c r="A419" s="53"/>
      <c r="B419" s="151"/>
      <c r="C419" s="53"/>
      <c r="D419" s="53"/>
      <c r="E419" s="53"/>
      <c r="F419" s="53"/>
      <c r="G419" s="53"/>
      <c r="H419" s="53"/>
      <c r="I419" s="53"/>
      <c r="J419" s="53"/>
      <c r="K419" s="53"/>
      <c r="L419" s="11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30" x14ac:dyDescent="0.4">
      <c r="A420" s="53"/>
      <c r="B420" s="151"/>
      <c r="C420" s="53"/>
      <c r="D420" s="53"/>
      <c r="E420" s="53"/>
      <c r="F420" s="53"/>
      <c r="G420" s="53"/>
      <c r="H420" s="53"/>
      <c r="I420" s="53"/>
      <c r="J420" s="53"/>
      <c r="K420" s="53"/>
      <c r="L420" s="11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30" x14ac:dyDescent="0.4">
      <c r="A421" s="53"/>
      <c r="B421" s="151"/>
      <c r="C421" s="53"/>
      <c r="D421" s="53"/>
      <c r="E421" s="53"/>
      <c r="F421" s="53"/>
      <c r="G421" s="53"/>
      <c r="H421" s="53"/>
      <c r="I421" s="53"/>
      <c r="J421" s="53"/>
      <c r="K421" s="53"/>
      <c r="L421" s="11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30" x14ac:dyDescent="0.4">
      <c r="A422" s="53"/>
      <c r="B422" s="151"/>
      <c r="C422" s="53"/>
      <c r="D422" s="53"/>
      <c r="E422" s="53"/>
      <c r="F422" s="53"/>
      <c r="G422" s="53"/>
      <c r="H422" s="53"/>
      <c r="I422" s="53"/>
      <c r="J422" s="53"/>
      <c r="K422" s="53"/>
      <c r="L422" s="11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30" x14ac:dyDescent="0.4">
      <c r="A423" s="53"/>
      <c r="B423" s="151"/>
      <c r="C423" s="53"/>
      <c r="D423" s="53"/>
      <c r="E423" s="53"/>
      <c r="F423" s="53"/>
      <c r="G423" s="53"/>
      <c r="H423" s="53"/>
      <c r="I423" s="53"/>
      <c r="J423" s="53"/>
      <c r="K423" s="53"/>
      <c r="L423" s="11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30" x14ac:dyDescent="0.4">
      <c r="A424" s="53"/>
      <c r="B424" s="151"/>
      <c r="C424" s="53"/>
      <c r="D424" s="53"/>
      <c r="E424" s="53"/>
      <c r="F424" s="53"/>
      <c r="G424" s="53"/>
      <c r="H424" s="53"/>
      <c r="I424" s="53"/>
      <c r="J424" s="53"/>
      <c r="K424" s="53"/>
      <c r="L424" s="11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30" x14ac:dyDescent="0.4">
      <c r="A425" s="53"/>
      <c r="B425" s="151"/>
      <c r="C425" s="53"/>
      <c r="D425" s="53"/>
      <c r="E425" s="53"/>
      <c r="F425" s="53"/>
      <c r="G425" s="53"/>
      <c r="H425" s="53"/>
      <c r="I425" s="53"/>
      <c r="J425" s="53"/>
      <c r="K425" s="53"/>
      <c r="L425" s="11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30" x14ac:dyDescent="0.4">
      <c r="A426" s="53"/>
      <c r="B426" s="151"/>
      <c r="C426" s="53"/>
      <c r="D426" s="53"/>
      <c r="E426" s="53"/>
      <c r="F426" s="53"/>
      <c r="G426" s="53"/>
      <c r="H426" s="53"/>
      <c r="I426" s="53"/>
      <c r="J426" s="53"/>
      <c r="K426" s="53"/>
      <c r="L426" s="11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30" x14ac:dyDescent="0.4">
      <c r="A427" s="53"/>
      <c r="B427" s="151"/>
      <c r="C427" s="53"/>
      <c r="D427" s="53"/>
      <c r="E427" s="53"/>
      <c r="F427" s="53"/>
      <c r="G427" s="53"/>
      <c r="H427" s="53"/>
      <c r="I427" s="53"/>
      <c r="J427" s="53"/>
      <c r="K427" s="53"/>
      <c r="L427" s="11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30" x14ac:dyDescent="0.4">
      <c r="A428" s="53"/>
      <c r="B428" s="151"/>
      <c r="C428" s="53"/>
      <c r="D428" s="53"/>
      <c r="E428" s="53"/>
      <c r="F428" s="53"/>
      <c r="G428" s="53"/>
      <c r="H428" s="53"/>
      <c r="I428" s="53"/>
      <c r="J428" s="53"/>
      <c r="K428" s="53"/>
      <c r="L428" s="11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30" x14ac:dyDescent="0.4">
      <c r="A429" s="53"/>
      <c r="B429" s="151"/>
      <c r="C429" s="53"/>
      <c r="D429" s="53"/>
      <c r="E429" s="53"/>
      <c r="F429" s="53"/>
      <c r="G429" s="53"/>
      <c r="H429" s="53"/>
      <c r="I429" s="53"/>
      <c r="J429" s="53"/>
      <c r="K429" s="53"/>
      <c r="L429" s="11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30" x14ac:dyDescent="0.4">
      <c r="A430" s="53"/>
      <c r="B430" s="151"/>
      <c r="C430" s="53"/>
      <c r="D430" s="53"/>
      <c r="E430" s="53"/>
      <c r="F430" s="53"/>
      <c r="G430" s="53"/>
      <c r="H430" s="53"/>
      <c r="I430" s="53"/>
      <c r="J430" s="53"/>
      <c r="K430" s="53"/>
      <c r="L430" s="11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30" x14ac:dyDescent="0.4">
      <c r="A431" s="53"/>
      <c r="B431" s="151"/>
      <c r="C431" s="53"/>
      <c r="D431" s="53"/>
      <c r="E431" s="53"/>
      <c r="F431" s="53"/>
      <c r="G431" s="53"/>
      <c r="H431" s="53"/>
      <c r="I431" s="53"/>
      <c r="J431" s="53"/>
      <c r="K431" s="53"/>
      <c r="L431" s="11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30" x14ac:dyDescent="0.4">
      <c r="A432" s="53"/>
      <c r="B432" s="151"/>
      <c r="C432" s="53"/>
      <c r="D432" s="53"/>
      <c r="E432" s="53"/>
      <c r="F432" s="53"/>
      <c r="G432" s="53"/>
      <c r="H432" s="53"/>
      <c r="I432" s="53"/>
      <c r="J432" s="53"/>
      <c r="K432" s="53"/>
      <c r="L432" s="11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30" x14ac:dyDescent="0.4">
      <c r="A433" s="53"/>
      <c r="B433" s="151"/>
      <c r="C433" s="53"/>
      <c r="D433" s="53"/>
      <c r="E433" s="53"/>
      <c r="F433" s="53"/>
      <c r="G433" s="53"/>
      <c r="H433" s="53"/>
      <c r="I433" s="53"/>
      <c r="J433" s="53"/>
      <c r="K433" s="53"/>
      <c r="L433" s="11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30" x14ac:dyDescent="0.4">
      <c r="A434" s="53"/>
      <c r="B434" s="151"/>
      <c r="C434" s="53"/>
      <c r="D434" s="53"/>
      <c r="E434" s="53"/>
      <c r="F434" s="53"/>
      <c r="G434" s="53"/>
      <c r="H434" s="53"/>
      <c r="I434" s="53"/>
      <c r="J434" s="53"/>
      <c r="K434" s="53"/>
      <c r="L434" s="11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30" x14ac:dyDescent="0.4">
      <c r="A435" s="53"/>
      <c r="B435" s="151"/>
      <c r="C435" s="53"/>
      <c r="D435" s="53"/>
      <c r="E435" s="53"/>
      <c r="F435" s="53"/>
      <c r="G435" s="53"/>
      <c r="H435" s="53"/>
      <c r="I435" s="53"/>
      <c r="J435" s="53"/>
      <c r="K435" s="53"/>
      <c r="L435" s="11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30" x14ac:dyDescent="0.4">
      <c r="A436" s="53"/>
      <c r="B436" s="151"/>
      <c r="C436" s="53"/>
      <c r="D436" s="53"/>
      <c r="E436" s="53"/>
      <c r="F436" s="53"/>
      <c r="G436" s="53"/>
      <c r="H436" s="53"/>
      <c r="I436" s="53"/>
      <c r="J436" s="53"/>
      <c r="K436" s="53"/>
      <c r="L436" s="11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30" x14ac:dyDescent="0.4">
      <c r="A437" s="53"/>
      <c r="B437" s="151"/>
      <c r="C437" s="53"/>
      <c r="D437" s="53"/>
      <c r="E437" s="53"/>
      <c r="F437" s="53"/>
      <c r="G437" s="53"/>
      <c r="H437" s="53"/>
      <c r="I437" s="53"/>
      <c r="J437" s="53"/>
      <c r="K437" s="53"/>
      <c r="L437" s="11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30" x14ac:dyDescent="0.4">
      <c r="A438" s="53"/>
      <c r="B438" s="151"/>
      <c r="C438" s="53"/>
      <c r="D438" s="53"/>
      <c r="E438" s="53"/>
      <c r="F438" s="53"/>
      <c r="G438" s="53"/>
      <c r="H438" s="53"/>
      <c r="I438" s="53"/>
      <c r="J438" s="53"/>
      <c r="K438" s="53"/>
      <c r="L438" s="11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30" x14ac:dyDescent="0.4">
      <c r="A439" s="53"/>
      <c r="B439" s="151"/>
      <c r="C439" s="53"/>
      <c r="D439" s="53"/>
      <c r="E439" s="53"/>
      <c r="F439" s="53"/>
      <c r="G439" s="53"/>
      <c r="H439" s="53"/>
      <c r="I439" s="53"/>
      <c r="J439" s="53"/>
      <c r="K439" s="53"/>
      <c r="L439" s="11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30" x14ac:dyDescent="0.4">
      <c r="A440" s="53"/>
      <c r="B440" s="151"/>
      <c r="C440" s="53"/>
      <c r="D440" s="53"/>
      <c r="E440" s="53"/>
      <c r="F440" s="53"/>
      <c r="G440" s="53"/>
      <c r="H440" s="53"/>
      <c r="I440" s="53"/>
      <c r="J440" s="53"/>
      <c r="K440" s="53"/>
      <c r="L440" s="11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30" x14ac:dyDescent="0.4">
      <c r="A441" s="53"/>
      <c r="B441" s="151"/>
      <c r="C441" s="53"/>
      <c r="D441" s="53"/>
      <c r="E441" s="53"/>
      <c r="F441" s="53"/>
      <c r="G441" s="53"/>
      <c r="H441" s="53"/>
      <c r="I441" s="53"/>
      <c r="J441" s="53"/>
      <c r="K441" s="53"/>
      <c r="L441" s="11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30" x14ac:dyDescent="0.4">
      <c r="A442" s="53"/>
      <c r="B442" s="151"/>
      <c r="C442" s="53"/>
      <c r="D442" s="53"/>
      <c r="E442" s="53"/>
      <c r="F442" s="53"/>
      <c r="G442" s="53"/>
      <c r="H442" s="53"/>
      <c r="I442" s="53"/>
      <c r="J442" s="53"/>
      <c r="K442" s="53"/>
      <c r="L442" s="11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30" x14ac:dyDescent="0.4">
      <c r="A443" s="53"/>
      <c r="B443" s="151"/>
      <c r="C443" s="53"/>
      <c r="D443" s="53"/>
      <c r="E443" s="53"/>
      <c r="F443" s="53"/>
      <c r="G443" s="53"/>
      <c r="H443" s="53"/>
      <c r="I443" s="53"/>
      <c r="J443" s="53"/>
      <c r="K443" s="53"/>
      <c r="L443" s="11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30" x14ac:dyDescent="0.4">
      <c r="A444" s="53"/>
      <c r="B444" s="151"/>
      <c r="C444" s="53"/>
      <c r="D444" s="53"/>
      <c r="E444" s="53"/>
      <c r="F444" s="53"/>
      <c r="G444" s="53"/>
      <c r="H444" s="53"/>
      <c r="I444" s="53"/>
      <c r="J444" s="53"/>
      <c r="K444" s="53"/>
      <c r="L444" s="11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30" x14ac:dyDescent="0.4">
      <c r="A445" s="53"/>
      <c r="B445" s="151"/>
      <c r="C445" s="53"/>
      <c r="D445" s="53"/>
      <c r="E445" s="53"/>
      <c r="F445" s="53"/>
      <c r="G445" s="53"/>
      <c r="H445" s="53"/>
      <c r="I445" s="53"/>
      <c r="J445" s="53"/>
      <c r="K445" s="53"/>
      <c r="L445" s="11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30" x14ac:dyDescent="0.4">
      <c r="A446" s="53"/>
      <c r="B446" s="151"/>
      <c r="C446" s="53"/>
      <c r="D446" s="53"/>
      <c r="E446" s="53"/>
      <c r="F446" s="53"/>
      <c r="G446" s="53"/>
      <c r="H446" s="53"/>
      <c r="I446" s="53"/>
      <c r="J446" s="53"/>
      <c r="K446" s="53"/>
      <c r="L446" s="11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30" x14ac:dyDescent="0.4">
      <c r="A447" s="53"/>
      <c r="B447" s="151"/>
      <c r="C447" s="53"/>
      <c r="D447" s="53"/>
      <c r="E447" s="53"/>
      <c r="F447" s="53"/>
      <c r="G447" s="53"/>
      <c r="H447" s="53"/>
      <c r="I447" s="53"/>
      <c r="J447" s="53"/>
      <c r="K447" s="53"/>
      <c r="L447" s="11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30" x14ac:dyDescent="0.4">
      <c r="A448" s="53"/>
      <c r="B448" s="151"/>
      <c r="C448" s="53"/>
      <c r="D448" s="53"/>
      <c r="E448" s="53"/>
      <c r="F448" s="53"/>
      <c r="G448" s="53"/>
      <c r="H448" s="53"/>
      <c r="I448" s="53"/>
      <c r="J448" s="53"/>
      <c r="K448" s="53"/>
      <c r="L448" s="11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30" x14ac:dyDescent="0.4">
      <c r="A449" s="53"/>
      <c r="B449" s="151"/>
      <c r="C449" s="53"/>
      <c r="D449" s="53"/>
      <c r="E449" s="53"/>
      <c r="F449" s="53"/>
      <c r="G449" s="53"/>
      <c r="H449" s="53"/>
      <c r="I449" s="53"/>
      <c r="J449" s="53"/>
      <c r="K449" s="53"/>
      <c r="L449" s="11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30" x14ac:dyDescent="0.4">
      <c r="A450" s="53"/>
      <c r="B450" s="151"/>
      <c r="C450" s="53"/>
      <c r="D450" s="53"/>
      <c r="E450" s="53"/>
      <c r="F450" s="53"/>
      <c r="G450" s="53"/>
      <c r="H450" s="53"/>
      <c r="I450" s="53"/>
      <c r="J450" s="53"/>
      <c r="K450" s="53"/>
      <c r="L450" s="11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30" x14ac:dyDescent="0.4">
      <c r="A451" s="53"/>
      <c r="B451" s="151"/>
      <c r="C451" s="53"/>
      <c r="D451" s="53"/>
      <c r="E451" s="53"/>
      <c r="F451" s="53"/>
      <c r="G451" s="53"/>
      <c r="H451" s="53"/>
      <c r="I451" s="53"/>
      <c r="J451" s="53"/>
      <c r="K451" s="53"/>
      <c r="L451" s="11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30" x14ac:dyDescent="0.4">
      <c r="A452" s="53"/>
      <c r="B452" s="151"/>
      <c r="C452" s="53"/>
      <c r="D452" s="53"/>
      <c r="E452" s="53"/>
      <c r="F452" s="53"/>
      <c r="G452" s="53"/>
      <c r="H452" s="53"/>
      <c r="I452" s="53"/>
      <c r="J452" s="53"/>
      <c r="K452" s="53"/>
      <c r="L452" s="11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30" x14ac:dyDescent="0.4">
      <c r="A453" s="53"/>
      <c r="B453" s="151"/>
      <c r="C453" s="53"/>
      <c r="D453" s="53"/>
      <c r="E453" s="53"/>
      <c r="F453" s="53"/>
      <c r="G453" s="53"/>
      <c r="H453" s="53"/>
      <c r="I453" s="53"/>
      <c r="J453" s="53"/>
      <c r="K453" s="53"/>
      <c r="L453" s="11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30" x14ac:dyDescent="0.4">
      <c r="A454" s="53"/>
      <c r="B454" s="151"/>
      <c r="C454" s="53"/>
      <c r="D454" s="53"/>
      <c r="E454" s="53"/>
      <c r="F454" s="53"/>
      <c r="G454" s="53"/>
      <c r="H454" s="53"/>
      <c r="I454" s="53"/>
      <c r="J454" s="53"/>
      <c r="K454" s="53"/>
      <c r="L454" s="11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30" x14ac:dyDescent="0.4">
      <c r="A455" s="53"/>
      <c r="B455" s="151"/>
      <c r="C455" s="53"/>
      <c r="D455" s="53"/>
      <c r="E455" s="53"/>
      <c r="F455" s="53"/>
      <c r="G455" s="53"/>
      <c r="H455" s="53"/>
      <c r="I455" s="53"/>
      <c r="J455" s="53"/>
      <c r="K455" s="53"/>
      <c r="L455" s="11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30" x14ac:dyDescent="0.4">
      <c r="A456" s="53"/>
      <c r="B456" s="151"/>
      <c r="C456" s="53"/>
      <c r="D456" s="53"/>
      <c r="E456" s="53"/>
      <c r="F456" s="53"/>
      <c r="G456" s="53"/>
      <c r="H456" s="53"/>
      <c r="I456" s="53"/>
      <c r="J456" s="53"/>
      <c r="K456" s="53"/>
      <c r="L456" s="11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30" x14ac:dyDescent="0.4">
      <c r="A457" s="53"/>
      <c r="B457" s="151"/>
      <c r="C457" s="53"/>
      <c r="D457" s="53"/>
      <c r="E457" s="53"/>
      <c r="F457" s="53"/>
      <c r="G457" s="53"/>
      <c r="H457" s="53"/>
      <c r="I457" s="53"/>
      <c r="J457" s="53"/>
      <c r="K457" s="53"/>
      <c r="L457" s="11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30" x14ac:dyDescent="0.4">
      <c r="A458" s="53"/>
      <c r="B458" s="151"/>
      <c r="C458" s="53"/>
      <c r="D458" s="53"/>
      <c r="E458" s="53"/>
      <c r="F458" s="53"/>
      <c r="G458" s="53"/>
      <c r="H458" s="53"/>
      <c r="I458" s="53"/>
      <c r="J458" s="53"/>
      <c r="K458" s="53"/>
      <c r="L458" s="11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30" x14ac:dyDescent="0.4">
      <c r="A459" s="53"/>
      <c r="B459" s="151"/>
      <c r="C459" s="53"/>
      <c r="D459" s="53"/>
      <c r="E459" s="53"/>
      <c r="F459" s="53"/>
      <c r="G459" s="53"/>
      <c r="H459" s="53"/>
      <c r="I459" s="53"/>
      <c r="J459" s="53"/>
      <c r="K459" s="53"/>
      <c r="L459" s="11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30" x14ac:dyDescent="0.4">
      <c r="A460" s="53"/>
      <c r="B460" s="151"/>
      <c r="C460" s="53"/>
      <c r="D460" s="53"/>
      <c r="E460" s="53"/>
      <c r="F460" s="53"/>
      <c r="G460" s="53"/>
      <c r="H460" s="53"/>
      <c r="I460" s="53"/>
      <c r="J460" s="53"/>
      <c r="K460" s="53"/>
      <c r="L460" s="11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30" x14ac:dyDescent="0.4">
      <c r="A461" s="53"/>
      <c r="B461" s="151"/>
      <c r="C461" s="53"/>
      <c r="D461" s="53"/>
      <c r="E461" s="53"/>
      <c r="F461" s="53"/>
      <c r="G461" s="53"/>
      <c r="H461" s="53"/>
      <c r="I461" s="53"/>
      <c r="J461" s="53"/>
      <c r="K461" s="53"/>
      <c r="L461" s="11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30" x14ac:dyDescent="0.4">
      <c r="A462" s="53"/>
      <c r="B462" s="151"/>
      <c r="C462" s="53"/>
      <c r="D462" s="53"/>
      <c r="E462" s="53"/>
      <c r="F462" s="53"/>
      <c r="G462" s="53"/>
      <c r="H462" s="53"/>
      <c r="I462" s="53"/>
      <c r="J462" s="53"/>
      <c r="K462" s="53"/>
      <c r="L462" s="11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30" x14ac:dyDescent="0.4">
      <c r="A463" s="53"/>
      <c r="B463" s="151"/>
      <c r="C463" s="53"/>
      <c r="D463" s="53"/>
      <c r="E463" s="53"/>
      <c r="F463" s="53"/>
      <c r="G463" s="53"/>
      <c r="H463" s="53"/>
      <c r="I463" s="53"/>
      <c r="J463" s="53"/>
      <c r="K463" s="53"/>
      <c r="L463" s="11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30" x14ac:dyDescent="0.4">
      <c r="A464" s="53"/>
      <c r="B464" s="151"/>
      <c r="C464" s="53"/>
      <c r="D464" s="53"/>
      <c r="E464" s="53"/>
      <c r="F464" s="53"/>
      <c r="G464" s="53"/>
      <c r="H464" s="53"/>
      <c r="I464" s="53"/>
      <c r="J464" s="53"/>
      <c r="K464" s="53"/>
      <c r="L464" s="11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30" x14ac:dyDescent="0.4">
      <c r="A465" s="53"/>
      <c r="B465" s="151"/>
      <c r="C465" s="53"/>
      <c r="D465" s="53"/>
      <c r="E465" s="53"/>
      <c r="F465" s="53"/>
      <c r="G465" s="53"/>
      <c r="H465" s="53"/>
      <c r="I465" s="53"/>
      <c r="J465" s="53"/>
      <c r="K465" s="53"/>
      <c r="L465" s="11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30" x14ac:dyDescent="0.4">
      <c r="A466" s="53"/>
      <c r="B466" s="151"/>
      <c r="C466" s="53"/>
      <c r="D466" s="53"/>
      <c r="E466" s="53"/>
      <c r="F466" s="53"/>
      <c r="G466" s="53"/>
      <c r="H466" s="53"/>
      <c r="I466" s="53"/>
      <c r="J466" s="53"/>
      <c r="K466" s="53"/>
      <c r="L466" s="11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30" x14ac:dyDescent="0.4">
      <c r="A467" s="53"/>
      <c r="B467" s="151"/>
      <c r="C467" s="53"/>
      <c r="D467" s="53"/>
      <c r="E467" s="53"/>
      <c r="F467" s="53"/>
      <c r="G467" s="53"/>
      <c r="H467" s="53"/>
      <c r="I467" s="53"/>
      <c r="J467" s="53"/>
      <c r="K467" s="53"/>
      <c r="L467" s="11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30" x14ac:dyDescent="0.4">
      <c r="A468" s="53"/>
      <c r="B468" s="151"/>
      <c r="C468" s="53"/>
      <c r="D468" s="53"/>
      <c r="E468" s="53"/>
      <c r="F468" s="53"/>
      <c r="G468" s="53"/>
      <c r="H468" s="53"/>
      <c r="I468" s="53"/>
      <c r="J468" s="53"/>
      <c r="K468" s="53"/>
      <c r="L468" s="11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30" x14ac:dyDescent="0.4">
      <c r="A469" s="53"/>
      <c r="B469" s="151"/>
      <c r="C469" s="53"/>
      <c r="D469" s="53"/>
      <c r="E469" s="53"/>
      <c r="F469" s="53"/>
      <c r="G469" s="53"/>
      <c r="H469" s="53"/>
      <c r="I469" s="53"/>
      <c r="J469" s="53"/>
      <c r="K469" s="53"/>
      <c r="L469" s="11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30" x14ac:dyDescent="0.4">
      <c r="A470" s="53"/>
      <c r="B470" s="151"/>
      <c r="C470" s="53"/>
      <c r="D470" s="53"/>
      <c r="E470" s="53"/>
      <c r="F470" s="53"/>
      <c r="G470" s="53"/>
      <c r="H470" s="53"/>
      <c r="I470" s="53"/>
      <c r="J470" s="53"/>
      <c r="K470" s="53"/>
      <c r="L470" s="11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30" x14ac:dyDescent="0.4">
      <c r="A471" s="53"/>
      <c r="B471" s="151"/>
      <c r="C471" s="53"/>
      <c r="D471" s="53"/>
      <c r="E471" s="53"/>
      <c r="F471" s="53"/>
      <c r="G471" s="53"/>
      <c r="H471" s="53"/>
      <c r="I471" s="53"/>
      <c r="J471" s="53"/>
      <c r="K471" s="53"/>
      <c r="L471" s="11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30" x14ac:dyDescent="0.4">
      <c r="A472" s="53"/>
      <c r="B472" s="151"/>
      <c r="C472" s="53"/>
      <c r="D472" s="53"/>
      <c r="E472" s="53"/>
      <c r="F472" s="53"/>
      <c r="G472" s="53"/>
      <c r="H472" s="53"/>
      <c r="I472" s="53"/>
      <c r="J472" s="53"/>
      <c r="K472" s="53"/>
      <c r="L472" s="11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30" x14ac:dyDescent="0.4">
      <c r="A473" s="53"/>
      <c r="B473" s="151"/>
      <c r="C473" s="53"/>
      <c r="D473" s="53"/>
      <c r="E473" s="53"/>
      <c r="F473" s="53"/>
      <c r="G473" s="53"/>
      <c r="H473" s="53"/>
      <c r="I473" s="53"/>
      <c r="J473" s="53"/>
      <c r="K473" s="53"/>
      <c r="L473" s="11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30" x14ac:dyDescent="0.4">
      <c r="A474" s="53"/>
      <c r="B474" s="151"/>
      <c r="C474" s="53"/>
      <c r="D474" s="53"/>
      <c r="E474" s="53"/>
      <c r="F474" s="53"/>
      <c r="G474" s="53"/>
      <c r="H474" s="53"/>
      <c r="I474" s="53"/>
      <c r="J474" s="53"/>
      <c r="K474" s="53"/>
      <c r="L474" s="11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30" x14ac:dyDescent="0.4">
      <c r="A475" s="53"/>
      <c r="B475" s="151"/>
      <c r="C475" s="53"/>
      <c r="D475" s="53"/>
      <c r="E475" s="53"/>
      <c r="F475" s="53"/>
      <c r="G475" s="53"/>
      <c r="H475" s="53"/>
      <c r="I475" s="53"/>
      <c r="J475" s="53"/>
      <c r="K475" s="53"/>
      <c r="L475" s="11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30" x14ac:dyDescent="0.4">
      <c r="A476" s="53"/>
      <c r="B476" s="151"/>
      <c r="C476" s="53"/>
      <c r="D476" s="53"/>
      <c r="E476" s="53"/>
      <c r="F476" s="53"/>
      <c r="G476" s="53"/>
      <c r="H476" s="53"/>
      <c r="I476" s="53"/>
      <c r="J476" s="53"/>
      <c r="K476" s="53"/>
      <c r="L476" s="11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30" x14ac:dyDescent="0.4">
      <c r="A477" s="53"/>
      <c r="B477" s="151"/>
      <c r="C477" s="53"/>
      <c r="D477" s="53"/>
      <c r="E477" s="53"/>
      <c r="F477" s="53"/>
      <c r="G477" s="53"/>
      <c r="H477" s="53"/>
      <c r="I477" s="53"/>
      <c r="J477" s="53"/>
      <c r="K477" s="53"/>
      <c r="L477" s="11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30" x14ac:dyDescent="0.4">
      <c r="A478" s="53"/>
      <c r="B478" s="151"/>
      <c r="C478" s="53"/>
      <c r="D478" s="53"/>
      <c r="E478" s="53"/>
      <c r="F478" s="53"/>
      <c r="G478" s="53"/>
      <c r="H478" s="53"/>
      <c r="I478" s="53"/>
      <c r="J478" s="53"/>
      <c r="K478" s="53"/>
      <c r="L478" s="11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30" x14ac:dyDescent="0.4">
      <c r="A479" s="53"/>
      <c r="B479" s="151"/>
      <c r="C479" s="53"/>
      <c r="D479" s="53"/>
      <c r="E479" s="53"/>
      <c r="F479" s="53"/>
      <c r="G479" s="53"/>
      <c r="H479" s="53"/>
      <c r="I479" s="53"/>
      <c r="J479" s="53"/>
      <c r="K479" s="53"/>
      <c r="L479" s="11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30" x14ac:dyDescent="0.4">
      <c r="A480" s="53"/>
      <c r="B480" s="151"/>
      <c r="C480" s="53"/>
      <c r="D480" s="53"/>
      <c r="E480" s="53"/>
      <c r="F480" s="53"/>
      <c r="G480" s="53"/>
      <c r="H480" s="53"/>
      <c r="I480" s="53"/>
      <c r="J480" s="53"/>
      <c r="K480" s="53"/>
      <c r="L480" s="11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30" x14ac:dyDescent="0.4">
      <c r="A481" s="53"/>
      <c r="B481" s="151"/>
      <c r="C481" s="53"/>
      <c r="D481" s="53"/>
      <c r="E481" s="53"/>
      <c r="F481" s="53"/>
      <c r="G481" s="53"/>
      <c r="H481" s="53"/>
      <c r="I481" s="53"/>
      <c r="J481" s="53"/>
      <c r="K481" s="53"/>
      <c r="L481" s="11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30" x14ac:dyDescent="0.4">
      <c r="A482" s="53"/>
      <c r="B482" s="151"/>
      <c r="C482" s="53"/>
      <c r="D482" s="53"/>
      <c r="E482" s="53"/>
      <c r="F482" s="53"/>
      <c r="G482" s="53"/>
      <c r="H482" s="53"/>
      <c r="I482" s="53"/>
      <c r="J482" s="53"/>
      <c r="K482" s="53"/>
      <c r="L482" s="11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30" x14ac:dyDescent="0.4">
      <c r="A483" s="53"/>
      <c r="B483" s="151"/>
      <c r="C483" s="53"/>
      <c r="D483" s="53"/>
      <c r="E483" s="53"/>
      <c r="F483" s="53"/>
      <c r="G483" s="53"/>
      <c r="H483" s="53"/>
      <c r="I483" s="53"/>
      <c r="J483" s="53"/>
      <c r="K483" s="53"/>
      <c r="L483" s="11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30" x14ac:dyDescent="0.4">
      <c r="A484" s="53"/>
      <c r="B484" s="151"/>
      <c r="C484" s="53"/>
      <c r="D484" s="53"/>
      <c r="E484" s="53"/>
      <c r="F484" s="53"/>
      <c r="G484" s="53"/>
      <c r="H484" s="53"/>
      <c r="I484" s="53"/>
      <c r="J484" s="53"/>
      <c r="K484" s="53"/>
      <c r="L484" s="11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30" x14ac:dyDescent="0.4">
      <c r="A485" s="53"/>
      <c r="B485" s="151"/>
      <c r="C485" s="53"/>
      <c r="D485" s="53"/>
      <c r="E485" s="53"/>
      <c r="F485" s="53"/>
      <c r="G485" s="53"/>
      <c r="H485" s="53"/>
      <c r="I485" s="53"/>
      <c r="J485" s="53"/>
      <c r="K485" s="53"/>
      <c r="L485" s="11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30" x14ac:dyDescent="0.4">
      <c r="A486" s="53"/>
      <c r="B486" s="151"/>
      <c r="C486" s="53"/>
      <c r="D486" s="53"/>
      <c r="E486" s="53"/>
      <c r="F486" s="53"/>
      <c r="G486" s="53"/>
      <c r="H486" s="53"/>
      <c r="I486" s="53"/>
      <c r="J486" s="53"/>
      <c r="K486" s="53"/>
      <c r="L486" s="11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30" x14ac:dyDescent="0.4">
      <c r="A487" s="53"/>
      <c r="B487" s="151"/>
      <c r="C487" s="53"/>
      <c r="D487" s="53"/>
      <c r="E487" s="53"/>
      <c r="F487" s="53"/>
      <c r="G487" s="53"/>
      <c r="H487" s="53"/>
      <c r="I487" s="53"/>
      <c r="J487" s="53"/>
      <c r="K487" s="53"/>
      <c r="L487" s="11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30" x14ac:dyDescent="0.4">
      <c r="A488" s="53"/>
      <c r="B488" s="151"/>
      <c r="C488" s="53"/>
      <c r="D488" s="53"/>
      <c r="E488" s="53"/>
      <c r="F488" s="53"/>
      <c r="G488" s="53"/>
      <c r="H488" s="53"/>
      <c r="I488" s="53"/>
      <c r="J488" s="53"/>
      <c r="K488" s="53"/>
      <c r="L488" s="11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30" x14ac:dyDescent="0.4">
      <c r="A489" s="53"/>
      <c r="B489" s="151"/>
      <c r="C489" s="53"/>
      <c r="D489" s="53"/>
      <c r="E489" s="53"/>
      <c r="F489" s="53"/>
      <c r="G489" s="53"/>
      <c r="H489" s="53"/>
      <c r="I489" s="53"/>
      <c r="J489" s="53"/>
      <c r="K489" s="53"/>
      <c r="L489" s="11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30" x14ac:dyDescent="0.4">
      <c r="A490" s="53"/>
      <c r="B490" s="151"/>
      <c r="C490" s="53"/>
      <c r="D490" s="53"/>
      <c r="E490" s="53"/>
      <c r="F490" s="53"/>
      <c r="G490" s="53"/>
      <c r="H490" s="53"/>
      <c r="I490" s="53"/>
      <c r="J490" s="53"/>
      <c r="K490" s="53"/>
      <c r="L490" s="11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30" x14ac:dyDescent="0.4">
      <c r="A491" s="53"/>
      <c r="B491" s="151"/>
      <c r="C491" s="53"/>
      <c r="D491" s="53"/>
      <c r="E491" s="53"/>
      <c r="F491" s="53"/>
      <c r="G491" s="53"/>
      <c r="H491" s="53"/>
      <c r="I491" s="53"/>
      <c r="J491" s="53"/>
      <c r="K491" s="53"/>
      <c r="L491" s="11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30" x14ac:dyDescent="0.4">
      <c r="A492" s="53"/>
      <c r="B492" s="151"/>
      <c r="C492" s="53"/>
      <c r="D492" s="53"/>
      <c r="E492" s="53"/>
      <c r="F492" s="53"/>
      <c r="G492" s="53"/>
      <c r="H492" s="53"/>
      <c r="I492" s="53"/>
      <c r="J492" s="53"/>
      <c r="K492" s="53"/>
      <c r="L492" s="11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30" x14ac:dyDescent="0.4">
      <c r="A493" s="53"/>
      <c r="B493" s="151"/>
      <c r="C493" s="53"/>
      <c r="D493" s="53"/>
      <c r="E493" s="53"/>
      <c r="F493" s="53"/>
      <c r="G493" s="53"/>
      <c r="H493" s="53"/>
      <c r="I493" s="53"/>
      <c r="J493" s="53"/>
      <c r="K493" s="53"/>
      <c r="L493" s="11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30" x14ac:dyDescent="0.4">
      <c r="A494" s="53"/>
      <c r="B494" s="151"/>
      <c r="C494" s="53"/>
      <c r="D494" s="53"/>
      <c r="E494" s="53"/>
      <c r="F494" s="53"/>
      <c r="G494" s="53"/>
      <c r="H494" s="53"/>
      <c r="I494" s="53"/>
      <c r="J494" s="53"/>
      <c r="K494" s="53"/>
      <c r="L494" s="11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30" x14ac:dyDescent="0.4">
      <c r="A495" s="53"/>
      <c r="B495" s="151"/>
      <c r="C495" s="53"/>
      <c r="D495" s="53"/>
      <c r="E495" s="53"/>
      <c r="F495" s="53"/>
      <c r="G495" s="53"/>
      <c r="H495" s="53"/>
      <c r="I495" s="53"/>
      <c r="J495" s="53"/>
      <c r="K495" s="53"/>
      <c r="L495" s="11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30" x14ac:dyDescent="0.4">
      <c r="A496" s="53"/>
      <c r="B496" s="151"/>
      <c r="C496" s="53"/>
      <c r="D496" s="53"/>
      <c r="E496" s="53"/>
      <c r="F496" s="53"/>
      <c r="G496" s="53"/>
      <c r="H496" s="53"/>
      <c r="I496" s="53"/>
      <c r="J496" s="53"/>
      <c r="K496" s="53"/>
      <c r="L496" s="11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30" x14ac:dyDescent="0.4">
      <c r="A497" s="53"/>
      <c r="B497" s="151"/>
      <c r="C497" s="53"/>
      <c r="D497" s="53"/>
      <c r="E497" s="53"/>
      <c r="F497" s="53"/>
      <c r="G497" s="53"/>
      <c r="H497" s="53"/>
      <c r="I497" s="53"/>
      <c r="J497" s="53"/>
      <c r="K497" s="53"/>
      <c r="L497" s="11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30" x14ac:dyDescent="0.4">
      <c r="A498" s="53"/>
      <c r="B498" s="151"/>
      <c r="C498" s="53"/>
      <c r="D498" s="53"/>
      <c r="E498" s="53"/>
      <c r="F498" s="53"/>
      <c r="G498" s="53"/>
      <c r="H498" s="53"/>
      <c r="I498" s="53"/>
      <c r="J498" s="53"/>
      <c r="K498" s="53"/>
      <c r="L498" s="11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30" x14ac:dyDescent="0.4">
      <c r="A499" s="53"/>
      <c r="B499" s="151"/>
      <c r="C499" s="53"/>
      <c r="D499" s="53"/>
      <c r="E499" s="53"/>
      <c r="F499" s="53"/>
      <c r="G499" s="53"/>
      <c r="H499" s="53"/>
      <c r="I499" s="53"/>
      <c r="J499" s="53"/>
      <c r="K499" s="53"/>
      <c r="L499" s="11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30" x14ac:dyDescent="0.4">
      <c r="A500" s="53"/>
      <c r="B500" s="151"/>
      <c r="C500" s="53"/>
      <c r="D500" s="53"/>
      <c r="E500" s="53"/>
      <c r="F500" s="53"/>
      <c r="G500" s="53"/>
      <c r="H500" s="53"/>
      <c r="I500" s="53"/>
      <c r="J500" s="53"/>
      <c r="K500" s="53"/>
      <c r="L500" s="11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30" x14ac:dyDescent="0.4">
      <c r="A501" s="53"/>
      <c r="B501" s="151"/>
      <c r="C501" s="53"/>
      <c r="D501" s="53"/>
      <c r="E501" s="53"/>
      <c r="F501" s="53"/>
      <c r="G501" s="53"/>
      <c r="H501" s="53"/>
      <c r="I501" s="53"/>
      <c r="J501" s="53"/>
      <c r="K501" s="53"/>
      <c r="L501" s="11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30" x14ac:dyDescent="0.4">
      <c r="A502" s="53"/>
      <c r="B502" s="151"/>
      <c r="C502" s="53"/>
      <c r="D502" s="53"/>
      <c r="E502" s="53"/>
      <c r="F502" s="53"/>
      <c r="G502" s="53"/>
      <c r="H502" s="53"/>
      <c r="I502" s="53"/>
      <c r="J502" s="53"/>
      <c r="K502" s="53"/>
      <c r="L502" s="11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30" x14ac:dyDescent="0.4">
      <c r="A503" s="53"/>
      <c r="B503" s="151"/>
      <c r="C503" s="53"/>
      <c r="D503" s="53"/>
      <c r="E503" s="53"/>
      <c r="F503" s="53"/>
      <c r="G503" s="53"/>
      <c r="H503" s="53"/>
      <c r="I503" s="53"/>
      <c r="J503" s="53"/>
      <c r="K503" s="53"/>
      <c r="L503" s="11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30" x14ac:dyDescent="0.4">
      <c r="A504" s="53"/>
      <c r="B504" s="151"/>
      <c r="C504" s="53"/>
      <c r="D504" s="53"/>
      <c r="E504" s="53"/>
      <c r="F504" s="53"/>
      <c r="G504" s="53"/>
      <c r="H504" s="53"/>
      <c r="I504" s="53"/>
      <c r="J504" s="53"/>
      <c r="K504" s="53"/>
      <c r="L504" s="11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30" x14ac:dyDescent="0.4">
      <c r="A505" s="53"/>
      <c r="B505" s="151"/>
      <c r="C505" s="53"/>
      <c r="D505" s="53"/>
      <c r="E505" s="53"/>
      <c r="F505" s="53"/>
      <c r="G505" s="53"/>
      <c r="H505" s="53"/>
      <c r="I505" s="53"/>
      <c r="J505" s="53"/>
      <c r="K505" s="53"/>
      <c r="L505" s="11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30" x14ac:dyDescent="0.4">
      <c r="A506" s="53"/>
      <c r="B506" s="151"/>
      <c r="C506" s="53"/>
      <c r="D506" s="53"/>
      <c r="E506" s="53"/>
      <c r="F506" s="53"/>
      <c r="G506" s="53"/>
      <c r="H506" s="53"/>
      <c r="I506" s="53"/>
      <c r="J506" s="53"/>
      <c r="K506" s="53"/>
      <c r="L506" s="11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30" x14ac:dyDescent="0.4">
      <c r="A507" s="53"/>
      <c r="B507" s="151"/>
      <c r="C507" s="53"/>
      <c r="D507" s="53"/>
      <c r="E507" s="53"/>
      <c r="F507" s="53"/>
      <c r="G507" s="53"/>
      <c r="H507" s="53"/>
      <c r="I507" s="53"/>
      <c r="J507" s="53"/>
      <c r="K507" s="53"/>
      <c r="L507" s="11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30" x14ac:dyDescent="0.4">
      <c r="A508" s="53"/>
      <c r="B508" s="151"/>
      <c r="C508" s="53"/>
      <c r="D508" s="53"/>
      <c r="E508" s="53"/>
      <c r="F508" s="53"/>
      <c r="G508" s="53"/>
      <c r="H508" s="53"/>
      <c r="I508" s="53"/>
      <c r="J508" s="53"/>
      <c r="K508" s="53"/>
      <c r="L508" s="11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30" x14ac:dyDescent="0.4">
      <c r="A509" s="53"/>
      <c r="B509" s="151"/>
      <c r="C509" s="53"/>
      <c r="D509" s="53"/>
      <c r="E509" s="53"/>
      <c r="F509" s="53"/>
      <c r="G509" s="53"/>
      <c r="H509" s="53"/>
      <c r="I509" s="53"/>
      <c r="J509" s="53"/>
      <c r="K509" s="53"/>
      <c r="L509" s="11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30" x14ac:dyDescent="0.4">
      <c r="A510" s="53"/>
      <c r="B510" s="151"/>
      <c r="C510" s="53"/>
      <c r="D510" s="53"/>
      <c r="E510" s="53"/>
      <c r="F510" s="53"/>
      <c r="G510" s="53"/>
      <c r="H510" s="53"/>
      <c r="I510" s="53"/>
      <c r="J510" s="53"/>
      <c r="K510" s="53"/>
      <c r="L510" s="11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30" x14ac:dyDescent="0.4">
      <c r="A511" s="53"/>
      <c r="B511" s="151"/>
      <c r="C511" s="53"/>
      <c r="D511" s="53"/>
      <c r="E511" s="53"/>
      <c r="F511" s="53"/>
      <c r="G511" s="53"/>
      <c r="H511" s="53"/>
      <c r="I511" s="53"/>
      <c r="J511" s="53"/>
      <c r="K511" s="53"/>
      <c r="L511" s="11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30" x14ac:dyDescent="0.4">
      <c r="A512" s="53"/>
      <c r="B512" s="151"/>
      <c r="C512" s="53"/>
      <c r="D512" s="53"/>
      <c r="E512" s="53"/>
      <c r="F512" s="53"/>
      <c r="G512" s="53"/>
      <c r="H512" s="53"/>
      <c r="I512" s="53"/>
      <c r="J512" s="53"/>
      <c r="K512" s="53"/>
      <c r="L512" s="11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30" x14ac:dyDescent="0.4">
      <c r="A513" s="53"/>
      <c r="B513" s="151"/>
      <c r="C513" s="53"/>
      <c r="D513" s="53"/>
      <c r="E513" s="53"/>
      <c r="F513" s="53"/>
      <c r="G513" s="53"/>
      <c r="H513" s="53"/>
      <c r="I513" s="53"/>
      <c r="J513" s="53"/>
      <c r="K513" s="53"/>
      <c r="L513" s="11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30" x14ac:dyDescent="0.4">
      <c r="A514" s="53"/>
      <c r="B514" s="151"/>
      <c r="C514" s="53"/>
      <c r="D514" s="53"/>
      <c r="E514" s="53"/>
      <c r="F514" s="53"/>
      <c r="G514" s="53"/>
      <c r="H514" s="53"/>
      <c r="I514" s="53"/>
      <c r="J514" s="53"/>
      <c r="K514" s="53"/>
      <c r="L514" s="11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30" x14ac:dyDescent="0.4">
      <c r="A515" s="53"/>
      <c r="B515" s="151"/>
      <c r="C515" s="53"/>
      <c r="D515" s="53"/>
      <c r="E515" s="53"/>
      <c r="F515" s="53"/>
      <c r="G515" s="53"/>
      <c r="H515" s="53"/>
      <c r="I515" s="53"/>
      <c r="J515" s="53"/>
      <c r="K515" s="53"/>
      <c r="L515" s="11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30" x14ac:dyDescent="0.4">
      <c r="A516" s="53"/>
      <c r="B516" s="151"/>
      <c r="C516" s="53"/>
      <c r="D516" s="53"/>
      <c r="E516" s="53"/>
      <c r="F516" s="53"/>
      <c r="G516" s="53"/>
      <c r="H516" s="53"/>
      <c r="I516" s="53"/>
      <c r="J516" s="53"/>
      <c r="K516" s="53"/>
      <c r="L516" s="11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30" x14ac:dyDescent="0.4">
      <c r="A517" s="53"/>
      <c r="B517" s="151"/>
      <c r="C517" s="53"/>
      <c r="D517" s="53"/>
      <c r="E517" s="53"/>
      <c r="F517" s="53"/>
      <c r="G517" s="53"/>
      <c r="H517" s="53"/>
      <c r="I517" s="53"/>
      <c r="J517" s="53"/>
      <c r="K517" s="53"/>
      <c r="L517" s="11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30" x14ac:dyDescent="0.4">
      <c r="A518" s="53"/>
      <c r="B518" s="151"/>
      <c r="C518" s="53"/>
      <c r="D518" s="53"/>
      <c r="E518" s="53"/>
      <c r="F518" s="53"/>
      <c r="G518" s="53"/>
      <c r="H518" s="53"/>
      <c r="I518" s="53"/>
      <c r="J518" s="53"/>
      <c r="K518" s="53"/>
      <c r="L518" s="11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30" x14ac:dyDescent="0.4">
      <c r="A519" s="53"/>
      <c r="B519" s="151"/>
      <c r="C519" s="53"/>
      <c r="D519" s="53"/>
      <c r="E519" s="53"/>
      <c r="F519" s="53"/>
      <c r="G519" s="53"/>
      <c r="H519" s="53"/>
      <c r="I519" s="53"/>
      <c r="J519" s="53"/>
      <c r="K519" s="53"/>
      <c r="L519" s="11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30" x14ac:dyDescent="0.4">
      <c r="A520" s="53"/>
      <c r="B520" s="151"/>
      <c r="C520" s="53"/>
      <c r="D520" s="53"/>
      <c r="E520" s="53"/>
      <c r="F520" s="53"/>
      <c r="G520" s="53"/>
      <c r="H520" s="53"/>
      <c r="I520" s="53"/>
      <c r="J520" s="53"/>
      <c r="K520" s="53"/>
      <c r="L520" s="11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30" x14ac:dyDescent="0.4">
      <c r="A521" s="53"/>
      <c r="B521" s="151"/>
      <c r="C521" s="53"/>
      <c r="D521" s="53"/>
      <c r="E521" s="53"/>
      <c r="F521" s="53"/>
      <c r="G521" s="53"/>
      <c r="H521" s="53"/>
      <c r="I521" s="53"/>
      <c r="J521" s="53"/>
      <c r="K521" s="53"/>
      <c r="L521" s="11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30" x14ac:dyDescent="0.4">
      <c r="A522" s="53"/>
      <c r="B522" s="151"/>
      <c r="C522" s="53"/>
      <c r="D522" s="53"/>
      <c r="E522" s="53"/>
      <c r="F522" s="53"/>
      <c r="G522" s="53"/>
      <c r="H522" s="53"/>
      <c r="I522" s="53"/>
      <c r="J522" s="53"/>
      <c r="K522" s="53"/>
      <c r="L522" s="11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30" x14ac:dyDescent="0.4">
      <c r="A523" s="53"/>
      <c r="B523" s="151"/>
      <c r="C523" s="53"/>
      <c r="D523" s="53"/>
      <c r="E523" s="53"/>
      <c r="F523" s="53"/>
      <c r="G523" s="53"/>
      <c r="H523" s="53"/>
      <c r="I523" s="53"/>
      <c r="J523" s="53"/>
      <c r="K523" s="53"/>
      <c r="L523" s="11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30" x14ac:dyDescent="0.4">
      <c r="A524" s="53"/>
      <c r="B524" s="151"/>
      <c r="C524" s="53"/>
      <c r="D524" s="53"/>
      <c r="E524" s="53"/>
      <c r="F524" s="53"/>
      <c r="G524" s="53"/>
      <c r="H524" s="53"/>
      <c r="I524" s="53"/>
      <c r="J524" s="53"/>
      <c r="K524" s="53"/>
      <c r="L524" s="11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30" x14ac:dyDescent="0.4">
      <c r="A525" s="53"/>
      <c r="B525" s="151"/>
      <c r="C525" s="53"/>
      <c r="D525" s="53"/>
      <c r="E525" s="53"/>
      <c r="F525" s="53"/>
      <c r="G525" s="53"/>
      <c r="H525" s="53"/>
      <c r="I525" s="53"/>
      <c r="J525" s="53"/>
      <c r="K525" s="53"/>
      <c r="L525" s="11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30" x14ac:dyDescent="0.4">
      <c r="A526" s="53"/>
      <c r="B526" s="151"/>
      <c r="C526" s="53"/>
      <c r="D526" s="53"/>
      <c r="E526" s="53"/>
      <c r="F526" s="53"/>
      <c r="G526" s="53"/>
      <c r="H526" s="53"/>
      <c r="I526" s="53"/>
      <c r="J526" s="53"/>
      <c r="K526" s="53"/>
      <c r="L526" s="11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30" x14ac:dyDescent="0.4">
      <c r="A527" s="53"/>
      <c r="B527" s="151"/>
      <c r="C527" s="53"/>
      <c r="D527" s="53"/>
      <c r="E527" s="53"/>
      <c r="F527" s="53"/>
      <c r="G527" s="53"/>
      <c r="H527" s="53"/>
      <c r="I527" s="53"/>
      <c r="J527" s="53"/>
      <c r="K527" s="53"/>
      <c r="L527" s="11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30" x14ac:dyDescent="0.4">
      <c r="A528" s="53"/>
      <c r="B528" s="151"/>
      <c r="C528" s="53"/>
      <c r="D528" s="53"/>
      <c r="E528" s="53"/>
      <c r="F528" s="53"/>
      <c r="G528" s="53"/>
      <c r="H528" s="53"/>
      <c r="I528" s="53"/>
      <c r="J528" s="53"/>
      <c r="K528" s="53"/>
      <c r="L528" s="11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30" x14ac:dyDescent="0.4">
      <c r="A529" s="53"/>
      <c r="B529" s="151"/>
      <c r="C529" s="53"/>
      <c r="D529" s="53"/>
      <c r="E529" s="53"/>
      <c r="F529" s="53"/>
      <c r="G529" s="53"/>
      <c r="H529" s="53"/>
      <c r="I529" s="53"/>
      <c r="J529" s="53"/>
      <c r="K529" s="53"/>
      <c r="L529" s="11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30" x14ac:dyDescent="0.4">
      <c r="A530" s="53"/>
      <c r="B530" s="151"/>
      <c r="C530" s="53"/>
      <c r="D530" s="53"/>
      <c r="E530" s="53"/>
      <c r="F530" s="53"/>
      <c r="G530" s="53"/>
      <c r="H530" s="53"/>
      <c r="I530" s="53"/>
      <c r="J530" s="53"/>
      <c r="K530" s="53"/>
      <c r="L530" s="11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30" x14ac:dyDescent="0.4">
      <c r="A531" s="53"/>
      <c r="B531" s="151"/>
      <c r="C531" s="53"/>
      <c r="D531" s="53"/>
      <c r="E531" s="53"/>
      <c r="F531" s="53"/>
      <c r="G531" s="53"/>
      <c r="H531" s="53"/>
      <c r="I531" s="53"/>
      <c r="J531" s="53"/>
      <c r="K531" s="53"/>
      <c r="L531" s="11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30" x14ac:dyDescent="0.4">
      <c r="A532" s="53"/>
      <c r="B532" s="151"/>
      <c r="C532" s="53"/>
      <c r="D532" s="53"/>
      <c r="E532" s="53"/>
      <c r="F532" s="53"/>
      <c r="G532" s="53"/>
      <c r="H532" s="53"/>
      <c r="I532" s="53"/>
      <c r="J532" s="53"/>
      <c r="K532" s="53"/>
      <c r="L532" s="11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30" x14ac:dyDescent="0.4">
      <c r="A533" s="53"/>
      <c r="B533" s="151"/>
      <c r="C533" s="53"/>
      <c r="D533" s="53"/>
      <c r="E533" s="53"/>
      <c r="F533" s="53"/>
      <c r="G533" s="53"/>
      <c r="H533" s="53"/>
      <c r="I533" s="53"/>
      <c r="J533" s="53"/>
      <c r="K533" s="53"/>
      <c r="L533" s="11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30" x14ac:dyDescent="0.4">
      <c r="A534" s="53"/>
      <c r="B534" s="151"/>
      <c r="C534" s="53"/>
      <c r="D534" s="53"/>
      <c r="E534" s="53"/>
      <c r="F534" s="53"/>
      <c r="G534" s="53"/>
      <c r="H534" s="53"/>
      <c r="I534" s="53"/>
      <c r="J534" s="53"/>
      <c r="K534" s="53"/>
      <c r="L534" s="11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30" x14ac:dyDescent="0.4">
      <c r="A535" s="53"/>
      <c r="B535" s="151"/>
      <c r="C535" s="53"/>
      <c r="D535" s="53"/>
      <c r="E535" s="53"/>
      <c r="F535" s="53"/>
      <c r="G535" s="53"/>
      <c r="H535" s="53"/>
      <c r="I535" s="53"/>
      <c r="J535" s="53"/>
      <c r="K535" s="53"/>
      <c r="L535" s="11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30" x14ac:dyDescent="0.4">
      <c r="A536" s="53"/>
      <c r="B536" s="151"/>
      <c r="C536" s="53"/>
      <c r="D536" s="53"/>
      <c r="E536" s="53"/>
      <c r="F536" s="53"/>
      <c r="G536" s="53"/>
      <c r="H536" s="53"/>
      <c r="I536" s="53"/>
      <c r="J536" s="53"/>
      <c r="K536" s="53"/>
      <c r="L536" s="11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30" x14ac:dyDescent="0.4">
      <c r="A537" s="53"/>
      <c r="B537" s="151"/>
      <c r="C537" s="53"/>
      <c r="D537" s="53"/>
      <c r="E537" s="53"/>
      <c r="F537" s="53"/>
      <c r="G537" s="53"/>
      <c r="H537" s="53"/>
      <c r="I537" s="53"/>
      <c r="J537" s="53"/>
      <c r="K537" s="53"/>
      <c r="L537" s="11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30" x14ac:dyDescent="0.4">
      <c r="A538" s="53"/>
      <c r="B538" s="151"/>
      <c r="C538" s="53"/>
      <c r="D538" s="53"/>
      <c r="E538" s="53"/>
      <c r="F538" s="53"/>
      <c r="G538" s="53"/>
      <c r="H538" s="53"/>
      <c r="I538" s="53"/>
      <c r="J538" s="53"/>
      <c r="K538" s="53"/>
      <c r="L538" s="11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30" x14ac:dyDescent="0.4">
      <c r="A539" s="53"/>
      <c r="B539" s="151"/>
      <c r="C539" s="53"/>
      <c r="D539" s="53"/>
      <c r="E539" s="53"/>
      <c r="F539" s="53"/>
      <c r="G539" s="53"/>
      <c r="H539" s="53"/>
      <c r="I539" s="53"/>
      <c r="J539" s="53"/>
      <c r="K539" s="53"/>
      <c r="L539" s="11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30" x14ac:dyDescent="0.4">
      <c r="A540" s="53"/>
      <c r="B540" s="151"/>
      <c r="C540" s="53"/>
      <c r="D540" s="53"/>
      <c r="E540" s="53"/>
      <c r="F540" s="53"/>
      <c r="G540" s="53"/>
      <c r="H540" s="53"/>
      <c r="I540" s="53"/>
      <c r="J540" s="53"/>
      <c r="K540" s="53"/>
      <c r="L540" s="11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30" x14ac:dyDescent="0.4">
      <c r="A541" s="53"/>
      <c r="B541" s="151"/>
      <c r="C541" s="53"/>
      <c r="D541" s="53"/>
      <c r="E541" s="53"/>
      <c r="F541" s="53"/>
      <c r="G541" s="53"/>
      <c r="H541" s="53"/>
      <c r="I541" s="53"/>
      <c r="J541" s="53"/>
      <c r="K541" s="53"/>
      <c r="L541" s="11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30" x14ac:dyDescent="0.4">
      <c r="A542" s="53"/>
      <c r="B542" s="151"/>
      <c r="C542" s="53"/>
      <c r="D542" s="53"/>
      <c r="E542" s="53"/>
      <c r="F542" s="53"/>
      <c r="G542" s="53"/>
      <c r="H542" s="53"/>
      <c r="I542" s="53"/>
      <c r="J542" s="53"/>
      <c r="K542" s="53"/>
      <c r="L542" s="11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30" x14ac:dyDescent="0.4">
      <c r="A543" s="53"/>
      <c r="B543" s="151"/>
      <c r="C543" s="53"/>
      <c r="D543" s="53"/>
      <c r="E543" s="53"/>
      <c r="F543" s="53"/>
      <c r="G543" s="53"/>
      <c r="H543" s="53"/>
      <c r="I543" s="53"/>
      <c r="J543" s="53"/>
      <c r="K543" s="53"/>
      <c r="L543" s="11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30" x14ac:dyDescent="0.4">
      <c r="A544" s="53"/>
      <c r="B544" s="151"/>
      <c r="C544" s="53"/>
      <c r="D544" s="53"/>
      <c r="E544" s="53"/>
      <c r="F544" s="53"/>
      <c r="G544" s="53"/>
      <c r="H544" s="53"/>
      <c r="I544" s="53"/>
      <c r="J544" s="53"/>
      <c r="K544" s="53"/>
      <c r="L544" s="11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30" x14ac:dyDescent="0.4">
      <c r="A545" s="53"/>
      <c r="B545" s="151"/>
      <c r="C545" s="53"/>
      <c r="D545" s="53"/>
      <c r="E545" s="53"/>
      <c r="F545" s="53"/>
      <c r="G545" s="53"/>
      <c r="H545" s="53"/>
      <c r="I545" s="53"/>
      <c r="J545" s="53"/>
      <c r="K545" s="53"/>
      <c r="L545" s="11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30" x14ac:dyDescent="0.4">
      <c r="A546" s="53"/>
      <c r="B546" s="151"/>
      <c r="C546" s="53"/>
      <c r="D546" s="53"/>
      <c r="E546" s="53"/>
      <c r="F546" s="53"/>
      <c r="G546" s="53"/>
      <c r="H546" s="53"/>
      <c r="I546" s="53"/>
      <c r="J546" s="53"/>
      <c r="K546" s="53"/>
      <c r="L546" s="11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30" x14ac:dyDescent="0.4">
      <c r="A547" s="53"/>
      <c r="B547" s="151"/>
      <c r="C547" s="53"/>
      <c r="D547" s="53"/>
      <c r="E547" s="53"/>
      <c r="F547" s="53"/>
      <c r="G547" s="53"/>
      <c r="H547" s="53"/>
      <c r="I547" s="53"/>
      <c r="J547" s="53"/>
      <c r="K547" s="53"/>
      <c r="L547" s="11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30" x14ac:dyDescent="0.4">
      <c r="A548" s="53"/>
      <c r="B548" s="151"/>
      <c r="C548" s="53"/>
      <c r="D548" s="53"/>
      <c r="E548" s="53"/>
      <c r="F548" s="53"/>
      <c r="G548" s="53"/>
      <c r="H548" s="53"/>
      <c r="I548" s="53"/>
      <c r="J548" s="53"/>
      <c r="K548" s="53"/>
      <c r="L548" s="11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30" x14ac:dyDescent="0.4">
      <c r="A549" s="53"/>
      <c r="B549" s="151"/>
      <c r="C549" s="53"/>
      <c r="D549" s="53"/>
      <c r="E549" s="53"/>
      <c r="F549" s="53"/>
      <c r="G549" s="53"/>
      <c r="H549" s="53"/>
      <c r="I549" s="53"/>
      <c r="J549" s="53"/>
      <c r="K549" s="53"/>
      <c r="L549" s="11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30" x14ac:dyDescent="0.4">
      <c r="A550" s="53"/>
      <c r="B550" s="151"/>
      <c r="C550" s="53"/>
      <c r="D550" s="53"/>
      <c r="E550" s="53"/>
      <c r="F550" s="53"/>
      <c r="G550" s="53"/>
      <c r="H550" s="53"/>
      <c r="I550" s="53"/>
      <c r="J550" s="53"/>
      <c r="K550" s="53"/>
      <c r="L550" s="11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30" x14ac:dyDescent="0.4">
      <c r="A551" s="53"/>
      <c r="B551" s="151"/>
      <c r="C551" s="53"/>
      <c r="D551" s="53"/>
      <c r="E551" s="53"/>
      <c r="F551" s="53"/>
      <c r="G551" s="53"/>
      <c r="H551" s="53"/>
      <c r="I551" s="53"/>
      <c r="J551" s="53"/>
      <c r="K551" s="53"/>
      <c r="L551" s="11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30" x14ac:dyDescent="0.4">
      <c r="A552" s="53"/>
      <c r="B552" s="151"/>
      <c r="C552" s="53"/>
      <c r="D552" s="53"/>
      <c r="E552" s="53"/>
      <c r="F552" s="53"/>
      <c r="G552" s="53"/>
      <c r="H552" s="53"/>
      <c r="I552" s="53"/>
      <c r="J552" s="53"/>
      <c r="K552" s="53"/>
      <c r="L552" s="11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30" x14ac:dyDescent="0.4">
      <c r="A553" s="53"/>
      <c r="B553" s="151"/>
      <c r="C553" s="53"/>
      <c r="D553" s="53"/>
      <c r="E553" s="53"/>
      <c r="F553" s="53"/>
      <c r="G553" s="53"/>
      <c r="H553" s="53"/>
      <c r="I553" s="53"/>
      <c r="J553" s="53"/>
      <c r="K553" s="53"/>
      <c r="L553" s="11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30" x14ac:dyDescent="0.4">
      <c r="A554" s="53"/>
      <c r="B554" s="151"/>
      <c r="C554" s="53"/>
      <c r="D554" s="53"/>
      <c r="E554" s="53"/>
      <c r="F554" s="53"/>
      <c r="G554" s="53"/>
      <c r="H554" s="53"/>
      <c r="I554" s="53"/>
      <c r="J554" s="53"/>
      <c r="K554" s="53"/>
      <c r="L554" s="11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30" x14ac:dyDescent="0.4">
      <c r="A555" s="53"/>
      <c r="B555" s="151"/>
      <c r="C555" s="53"/>
      <c r="D555" s="53"/>
      <c r="E555" s="53"/>
      <c r="F555" s="53"/>
      <c r="G555" s="53"/>
      <c r="H555" s="53"/>
      <c r="I555" s="53"/>
      <c r="J555" s="53"/>
      <c r="K555" s="53"/>
      <c r="L555" s="11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30" x14ac:dyDescent="0.4">
      <c r="A556" s="53"/>
      <c r="B556" s="151"/>
      <c r="C556" s="53"/>
      <c r="D556" s="53"/>
      <c r="E556" s="53"/>
      <c r="F556" s="53"/>
      <c r="G556" s="53"/>
      <c r="H556" s="53"/>
      <c r="I556" s="53"/>
      <c r="J556" s="53"/>
      <c r="K556" s="53"/>
      <c r="L556" s="11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30" x14ac:dyDescent="0.4">
      <c r="A557" s="53"/>
      <c r="B557" s="151"/>
      <c r="C557" s="53"/>
      <c r="D557" s="53"/>
      <c r="E557" s="53"/>
      <c r="F557" s="53"/>
      <c r="G557" s="53"/>
      <c r="H557" s="53"/>
      <c r="I557" s="53"/>
      <c r="J557" s="53"/>
      <c r="K557" s="53"/>
      <c r="L557" s="11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30" x14ac:dyDescent="0.4">
      <c r="A558" s="53"/>
      <c r="B558" s="151"/>
      <c r="C558" s="53"/>
      <c r="D558" s="53"/>
      <c r="E558" s="53"/>
      <c r="F558" s="53"/>
      <c r="G558" s="53"/>
      <c r="H558" s="53"/>
      <c r="I558" s="53"/>
      <c r="J558" s="53"/>
      <c r="K558" s="53"/>
      <c r="L558" s="11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30" x14ac:dyDescent="0.4">
      <c r="A559" s="53"/>
      <c r="B559" s="151"/>
      <c r="C559" s="53"/>
      <c r="D559" s="53"/>
      <c r="E559" s="53"/>
      <c r="F559" s="53"/>
      <c r="G559" s="53"/>
      <c r="H559" s="53"/>
      <c r="I559" s="53"/>
      <c r="J559" s="53"/>
      <c r="K559" s="53"/>
      <c r="L559" s="11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30" x14ac:dyDescent="0.4">
      <c r="A560" s="53"/>
      <c r="B560" s="151"/>
      <c r="C560" s="53"/>
      <c r="D560" s="53"/>
      <c r="E560" s="53"/>
      <c r="F560" s="53"/>
      <c r="G560" s="53"/>
      <c r="H560" s="53"/>
      <c r="I560" s="53"/>
      <c r="J560" s="53"/>
      <c r="K560" s="53"/>
      <c r="L560" s="11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30" x14ac:dyDescent="0.4">
      <c r="A561" s="53"/>
      <c r="B561" s="151"/>
      <c r="C561" s="53"/>
      <c r="D561" s="53"/>
      <c r="E561" s="53"/>
      <c r="F561" s="53"/>
      <c r="G561" s="53"/>
      <c r="H561" s="53"/>
      <c r="I561" s="53"/>
      <c r="J561" s="53"/>
      <c r="K561" s="53"/>
      <c r="L561" s="11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30" x14ac:dyDescent="0.4">
      <c r="A562" s="53"/>
      <c r="B562" s="151"/>
      <c r="C562" s="53"/>
      <c r="D562" s="53"/>
      <c r="E562" s="53"/>
      <c r="F562" s="53"/>
      <c r="G562" s="53"/>
      <c r="H562" s="53"/>
      <c r="I562" s="53"/>
      <c r="J562" s="53"/>
      <c r="K562" s="53"/>
      <c r="L562" s="11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30" x14ac:dyDescent="0.4">
      <c r="A563" s="53"/>
      <c r="B563" s="151"/>
      <c r="C563" s="53"/>
      <c r="D563" s="53"/>
      <c r="E563" s="53"/>
      <c r="F563" s="53"/>
      <c r="G563" s="53"/>
      <c r="H563" s="53"/>
      <c r="I563" s="53"/>
      <c r="J563" s="53"/>
      <c r="K563" s="53"/>
      <c r="L563" s="11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30" x14ac:dyDescent="0.4">
      <c r="A564" s="53"/>
      <c r="B564" s="151"/>
      <c r="C564" s="53"/>
      <c r="D564" s="53"/>
      <c r="E564" s="53"/>
      <c r="F564" s="53"/>
      <c r="G564" s="53"/>
      <c r="H564" s="53"/>
      <c r="I564" s="53"/>
      <c r="J564" s="53"/>
      <c r="K564" s="53"/>
      <c r="L564" s="11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30" x14ac:dyDescent="0.4">
      <c r="A565" s="53"/>
      <c r="B565" s="151"/>
      <c r="C565" s="53"/>
      <c r="D565" s="53"/>
      <c r="E565" s="53"/>
      <c r="F565" s="53"/>
      <c r="G565" s="53"/>
      <c r="H565" s="53"/>
      <c r="I565" s="53"/>
      <c r="J565" s="53"/>
      <c r="K565" s="53"/>
      <c r="L565" s="11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30" x14ac:dyDescent="0.4">
      <c r="A566" s="53"/>
      <c r="B566" s="151"/>
      <c r="C566" s="53"/>
      <c r="D566" s="53"/>
      <c r="E566" s="53"/>
      <c r="F566" s="53"/>
      <c r="G566" s="53"/>
      <c r="H566" s="53"/>
      <c r="I566" s="53"/>
      <c r="J566" s="53"/>
      <c r="K566" s="53"/>
      <c r="L566" s="11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30" x14ac:dyDescent="0.4">
      <c r="A567" s="53"/>
      <c r="B567" s="151"/>
      <c r="C567" s="53"/>
      <c r="D567" s="53"/>
      <c r="E567" s="53"/>
      <c r="F567" s="53"/>
      <c r="G567" s="53"/>
      <c r="H567" s="53"/>
      <c r="I567" s="53"/>
      <c r="J567" s="53"/>
      <c r="K567" s="53"/>
      <c r="L567" s="11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30" x14ac:dyDescent="0.4">
      <c r="A568" s="53"/>
      <c r="B568" s="151"/>
      <c r="C568" s="53"/>
      <c r="D568" s="53"/>
      <c r="E568" s="53"/>
      <c r="F568" s="53"/>
      <c r="G568" s="53"/>
      <c r="H568" s="53"/>
      <c r="I568" s="53"/>
      <c r="J568" s="53"/>
      <c r="K568" s="53"/>
      <c r="L568" s="11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30" x14ac:dyDescent="0.4">
      <c r="A569" s="53"/>
      <c r="B569" s="151"/>
      <c r="C569" s="53"/>
      <c r="D569" s="53"/>
      <c r="E569" s="53"/>
      <c r="F569" s="53"/>
      <c r="G569" s="53"/>
      <c r="H569" s="53"/>
      <c r="I569" s="53"/>
      <c r="J569" s="53"/>
      <c r="K569" s="53"/>
      <c r="L569" s="11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30" x14ac:dyDescent="0.4">
      <c r="A570" s="53"/>
      <c r="B570" s="151"/>
      <c r="C570" s="53"/>
      <c r="D570" s="53"/>
      <c r="E570" s="53"/>
      <c r="F570" s="53"/>
      <c r="G570" s="53"/>
      <c r="H570" s="53"/>
      <c r="I570" s="53"/>
      <c r="J570" s="53"/>
      <c r="K570" s="53"/>
      <c r="L570" s="11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30" x14ac:dyDescent="0.4">
      <c r="A571" s="53"/>
      <c r="B571" s="151"/>
      <c r="C571" s="53"/>
      <c r="D571" s="53"/>
      <c r="E571" s="53"/>
      <c r="F571" s="53"/>
      <c r="G571" s="53"/>
      <c r="H571" s="53"/>
      <c r="I571" s="53"/>
      <c r="J571" s="53"/>
      <c r="K571" s="53"/>
      <c r="L571" s="11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30" x14ac:dyDescent="0.4">
      <c r="A572" s="53"/>
      <c r="B572" s="151"/>
      <c r="C572" s="53"/>
      <c r="D572" s="53"/>
      <c r="E572" s="53"/>
      <c r="F572" s="53"/>
      <c r="G572" s="53"/>
      <c r="H572" s="53"/>
      <c r="I572" s="53"/>
      <c r="J572" s="53"/>
      <c r="K572" s="53"/>
      <c r="L572" s="11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30" x14ac:dyDescent="0.4">
      <c r="A573" s="53"/>
      <c r="B573" s="151"/>
      <c r="C573" s="53"/>
      <c r="D573" s="53"/>
      <c r="E573" s="53"/>
      <c r="F573" s="53"/>
      <c r="G573" s="53"/>
      <c r="H573" s="53"/>
      <c r="I573" s="53"/>
      <c r="J573" s="53"/>
      <c r="K573" s="53"/>
      <c r="L573" s="11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30" x14ac:dyDescent="0.4">
      <c r="A574" s="53"/>
      <c r="B574" s="151"/>
      <c r="C574" s="53"/>
      <c r="D574" s="53"/>
      <c r="E574" s="53"/>
      <c r="F574" s="53"/>
      <c r="G574" s="53"/>
      <c r="H574" s="53"/>
      <c r="I574" s="53"/>
      <c r="J574" s="53"/>
      <c r="K574" s="53"/>
      <c r="L574" s="11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30" x14ac:dyDescent="0.4">
      <c r="A575" s="53"/>
      <c r="B575" s="151"/>
      <c r="C575" s="53"/>
      <c r="D575" s="53"/>
      <c r="E575" s="53"/>
      <c r="F575" s="53"/>
      <c r="G575" s="53"/>
      <c r="H575" s="53"/>
      <c r="I575" s="53"/>
      <c r="J575" s="53"/>
      <c r="K575" s="53"/>
      <c r="L575" s="11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30" x14ac:dyDescent="0.4">
      <c r="A576" s="53"/>
      <c r="B576" s="151"/>
      <c r="C576" s="53"/>
      <c r="D576" s="53"/>
      <c r="E576" s="53"/>
      <c r="F576" s="53"/>
      <c r="G576" s="53"/>
      <c r="H576" s="53"/>
      <c r="I576" s="53"/>
      <c r="J576" s="53"/>
      <c r="K576" s="53"/>
      <c r="L576" s="11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30" x14ac:dyDescent="0.4">
      <c r="A577" s="53"/>
      <c r="B577" s="151"/>
      <c r="C577" s="53"/>
      <c r="D577" s="53"/>
      <c r="E577" s="53"/>
      <c r="F577" s="53"/>
      <c r="G577" s="53"/>
      <c r="H577" s="53"/>
      <c r="I577" s="53"/>
      <c r="J577" s="53"/>
      <c r="K577" s="53"/>
      <c r="L577" s="11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30" x14ac:dyDescent="0.4">
      <c r="A578" s="53"/>
      <c r="B578" s="151"/>
      <c r="C578" s="53"/>
      <c r="D578" s="53"/>
      <c r="E578" s="53"/>
      <c r="F578" s="53"/>
      <c r="G578" s="53"/>
      <c r="H578" s="53"/>
      <c r="I578" s="53"/>
      <c r="J578" s="53"/>
      <c r="K578" s="53"/>
      <c r="L578" s="11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30" x14ac:dyDescent="0.4">
      <c r="A579" s="53"/>
      <c r="B579" s="151"/>
      <c r="C579" s="53"/>
      <c r="D579" s="53"/>
      <c r="E579" s="53"/>
      <c r="F579" s="53"/>
      <c r="G579" s="53"/>
      <c r="H579" s="53"/>
      <c r="I579" s="53"/>
      <c r="J579" s="53"/>
      <c r="K579" s="53"/>
      <c r="L579" s="11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30" x14ac:dyDescent="0.4">
      <c r="A580" s="53"/>
      <c r="B580" s="151"/>
      <c r="C580" s="53"/>
      <c r="D580" s="53"/>
      <c r="E580" s="53"/>
      <c r="F580" s="53"/>
      <c r="G580" s="53"/>
      <c r="H580" s="53"/>
      <c r="I580" s="53"/>
      <c r="J580" s="53"/>
      <c r="K580" s="53"/>
      <c r="L580" s="11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30" x14ac:dyDescent="0.4">
      <c r="A581" s="53"/>
      <c r="B581" s="151"/>
      <c r="C581" s="53"/>
      <c r="D581" s="53"/>
      <c r="E581" s="53"/>
      <c r="F581" s="53"/>
      <c r="G581" s="53"/>
      <c r="H581" s="53"/>
      <c r="I581" s="53"/>
      <c r="J581" s="53"/>
      <c r="K581" s="53"/>
      <c r="L581" s="11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30" x14ac:dyDescent="0.4">
      <c r="A582" s="53"/>
      <c r="B582" s="151"/>
      <c r="C582" s="53"/>
      <c r="D582" s="53"/>
      <c r="E582" s="53"/>
      <c r="F582" s="53"/>
      <c r="G582" s="53"/>
      <c r="H582" s="53"/>
      <c r="I582" s="53"/>
      <c r="J582" s="53"/>
      <c r="K582" s="53"/>
      <c r="L582" s="11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30" x14ac:dyDescent="0.4">
      <c r="A583" s="53"/>
      <c r="B583" s="151"/>
      <c r="C583" s="53"/>
      <c r="D583" s="53"/>
      <c r="E583" s="53"/>
      <c r="F583" s="53"/>
      <c r="G583" s="53"/>
      <c r="H583" s="53"/>
      <c r="I583" s="53"/>
      <c r="J583" s="53"/>
      <c r="K583" s="53"/>
      <c r="L583" s="11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30" x14ac:dyDescent="0.4">
      <c r="A584" s="53"/>
      <c r="B584" s="151"/>
      <c r="C584" s="53"/>
      <c r="D584" s="53"/>
      <c r="E584" s="53"/>
      <c r="F584" s="53"/>
      <c r="G584" s="53"/>
      <c r="H584" s="53"/>
      <c r="I584" s="53"/>
      <c r="J584" s="53"/>
      <c r="K584" s="53"/>
      <c r="L584" s="11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30" x14ac:dyDescent="0.4">
      <c r="A585" s="53"/>
      <c r="B585" s="151"/>
      <c r="C585" s="53"/>
      <c r="D585" s="53"/>
      <c r="E585" s="53"/>
      <c r="F585" s="53"/>
      <c r="G585" s="53"/>
      <c r="H585" s="53"/>
      <c r="I585" s="53"/>
      <c r="J585" s="53"/>
      <c r="K585" s="53"/>
      <c r="L585" s="11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30" x14ac:dyDescent="0.4">
      <c r="A586" s="53"/>
      <c r="B586" s="151"/>
      <c r="C586" s="53"/>
      <c r="D586" s="53"/>
      <c r="E586" s="53"/>
      <c r="F586" s="53"/>
      <c r="G586" s="53"/>
      <c r="H586" s="53"/>
      <c r="I586" s="53"/>
      <c r="J586" s="53"/>
      <c r="K586" s="53"/>
      <c r="L586" s="11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30" x14ac:dyDescent="0.4">
      <c r="A587" s="53"/>
      <c r="B587" s="151"/>
      <c r="C587" s="53"/>
      <c r="D587" s="53"/>
      <c r="E587" s="53"/>
      <c r="F587" s="53"/>
      <c r="G587" s="53"/>
      <c r="H587" s="53"/>
      <c r="I587" s="53"/>
      <c r="J587" s="53"/>
      <c r="K587" s="53"/>
      <c r="L587" s="11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30" x14ac:dyDescent="0.4">
      <c r="A588" s="53"/>
      <c r="B588" s="151"/>
      <c r="C588" s="53"/>
      <c r="D588" s="53"/>
      <c r="E588" s="53"/>
      <c r="F588" s="53"/>
      <c r="G588" s="53"/>
      <c r="H588" s="53"/>
      <c r="I588" s="53"/>
      <c r="J588" s="53"/>
      <c r="K588" s="53"/>
      <c r="L588" s="11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30" x14ac:dyDescent="0.4">
      <c r="A589" s="53"/>
      <c r="B589" s="151"/>
      <c r="C589" s="53"/>
      <c r="D589" s="53"/>
      <c r="E589" s="53"/>
      <c r="F589" s="53"/>
      <c r="G589" s="53"/>
      <c r="H589" s="53"/>
      <c r="I589" s="53"/>
      <c r="J589" s="53"/>
      <c r="K589" s="53"/>
      <c r="L589" s="11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30" x14ac:dyDescent="0.4">
      <c r="A590" s="53"/>
      <c r="B590" s="151"/>
      <c r="C590" s="53"/>
      <c r="D590" s="53"/>
      <c r="E590" s="53"/>
      <c r="F590" s="53"/>
      <c r="G590" s="53"/>
      <c r="H590" s="53"/>
      <c r="I590" s="53"/>
      <c r="J590" s="53"/>
      <c r="K590" s="53"/>
      <c r="L590" s="11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30" x14ac:dyDescent="0.4">
      <c r="A591" s="53"/>
      <c r="B591" s="151"/>
      <c r="C591" s="53"/>
      <c r="D591" s="53"/>
      <c r="E591" s="53"/>
      <c r="F591" s="53"/>
      <c r="G591" s="53"/>
      <c r="H591" s="53"/>
      <c r="I591" s="53"/>
      <c r="J591" s="53"/>
      <c r="K591" s="53"/>
      <c r="L591" s="11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30" x14ac:dyDescent="0.4">
      <c r="A592" s="53"/>
      <c r="B592" s="151"/>
      <c r="C592" s="53"/>
      <c r="D592" s="53"/>
      <c r="E592" s="53"/>
      <c r="F592" s="53"/>
      <c r="G592" s="53"/>
      <c r="H592" s="53"/>
      <c r="I592" s="53"/>
      <c r="J592" s="53"/>
      <c r="K592" s="53"/>
      <c r="L592" s="11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30" x14ac:dyDescent="0.4">
      <c r="A593" s="53"/>
      <c r="B593" s="151"/>
      <c r="C593" s="53"/>
      <c r="D593" s="53"/>
      <c r="E593" s="53"/>
      <c r="F593" s="53"/>
      <c r="G593" s="53"/>
      <c r="H593" s="53"/>
      <c r="I593" s="53"/>
      <c r="J593" s="53"/>
      <c r="K593" s="53"/>
      <c r="L593" s="11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30" x14ac:dyDescent="0.4">
      <c r="A594" s="53"/>
      <c r="B594" s="151"/>
      <c r="C594" s="53"/>
      <c r="D594" s="53"/>
      <c r="E594" s="53"/>
      <c r="F594" s="53"/>
      <c r="G594" s="53"/>
      <c r="H594" s="53"/>
      <c r="I594" s="53"/>
      <c r="J594" s="53"/>
      <c r="K594" s="53"/>
      <c r="L594" s="11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30" x14ac:dyDescent="0.4">
      <c r="A595" s="53"/>
      <c r="B595" s="151"/>
      <c r="C595" s="53"/>
      <c r="D595" s="53"/>
      <c r="E595" s="53"/>
      <c r="F595" s="53"/>
      <c r="G595" s="53"/>
      <c r="H595" s="53"/>
      <c r="I595" s="53"/>
      <c r="J595" s="53"/>
      <c r="K595" s="53"/>
      <c r="L595" s="11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30" x14ac:dyDescent="0.4">
      <c r="A596" s="53"/>
      <c r="B596" s="151"/>
      <c r="C596" s="53"/>
      <c r="D596" s="53"/>
      <c r="E596" s="53"/>
      <c r="F596" s="53"/>
      <c r="G596" s="53"/>
      <c r="H596" s="53"/>
      <c r="I596" s="53"/>
      <c r="J596" s="53"/>
      <c r="K596" s="53"/>
      <c r="L596" s="11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30" x14ac:dyDescent="0.4">
      <c r="A597" s="53"/>
      <c r="B597" s="151"/>
      <c r="C597" s="53"/>
      <c r="D597" s="53"/>
      <c r="E597" s="53"/>
      <c r="F597" s="53"/>
      <c r="G597" s="53"/>
      <c r="H597" s="53"/>
      <c r="I597" s="53"/>
      <c r="J597" s="53"/>
      <c r="K597" s="53"/>
      <c r="L597" s="11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30" x14ac:dyDescent="0.4">
      <c r="A598" s="53"/>
      <c r="B598" s="151"/>
      <c r="C598" s="53"/>
      <c r="D598" s="53"/>
      <c r="E598" s="53"/>
      <c r="F598" s="53"/>
      <c r="G598" s="53"/>
      <c r="H598" s="53"/>
      <c r="I598" s="53"/>
      <c r="J598" s="53"/>
      <c r="K598" s="53"/>
      <c r="L598" s="11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30" x14ac:dyDescent="0.4">
      <c r="A599" s="53"/>
      <c r="B599" s="151"/>
      <c r="C599" s="53"/>
      <c r="D599" s="53"/>
      <c r="E599" s="53"/>
      <c r="F599" s="53"/>
      <c r="G599" s="53"/>
      <c r="H599" s="53"/>
      <c r="I599" s="53"/>
      <c r="J599" s="53"/>
      <c r="K599" s="53"/>
      <c r="L599" s="11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30" x14ac:dyDescent="0.4">
      <c r="A600" s="53"/>
      <c r="B600" s="151"/>
      <c r="C600" s="53"/>
      <c r="D600" s="53"/>
      <c r="E600" s="53"/>
      <c r="F600" s="53"/>
      <c r="G600" s="53"/>
      <c r="H600" s="53"/>
      <c r="I600" s="53"/>
      <c r="J600" s="53"/>
      <c r="K600" s="53"/>
      <c r="L600" s="11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30" x14ac:dyDescent="0.4">
      <c r="A601" s="53"/>
      <c r="B601" s="151"/>
      <c r="C601" s="53"/>
      <c r="D601" s="53"/>
      <c r="E601" s="53"/>
      <c r="F601" s="53"/>
      <c r="G601" s="53"/>
      <c r="H601" s="53"/>
      <c r="I601" s="53"/>
      <c r="J601" s="53"/>
      <c r="K601" s="53"/>
      <c r="L601" s="11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30" x14ac:dyDescent="0.4">
      <c r="A602" s="53"/>
      <c r="B602" s="151"/>
      <c r="C602" s="53"/>
      <c r="D602" s="53"/>
      <c r="E602" s="53"/>
      <c r="F602" s="53"/>
      <c r="G602" s="53"/>
      <c r="H602" s="53"/>
      <c r="I602" s="53"/>
      <c r="J602" s="53"/>
      <c r="K602" s="53"/>
      <c r="L602" s="11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30" x14ac:dyDescent="0.4">
      <c r="A603" s="53"/>
      <c r="B603" s="151"/>
      <c r="C603" s="53"/>
      <c r="D603" s="53"/>
      <c r="E603" s="53"/>
      <c r="F603" s="53"/>
      <c r="G603" s="53"/>
      <c r="H603" s="53"/>
      <c r="I603" s="53"/>
      <c r="J603" s="53"/>
      <c r="K603" s="53"/>
      <c r="L603" s="11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30" x14ac:dyDescent="0.4">
      <c r="A604" s="53"/>
      <c r="B604" s="151"/>
      <c r="C604" s="53"/>
      <c r="D604" s="53"/>
      <c r="E604" s="53"/>
      <c r="F604" s="53"/>
      <c r="G604" s="53"/>
      <c r="H604" s="53"/>
      <c r="I604" s="53"/>
      <c r="J604" s="53"/>
      <c r="K604" s="53"/>
      <c r="L604" s="11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30" x14ac:dyDescent="0.4">
      <c r="A605" s="53"/>
      <c r="B605" s="151"/>
      <c r="C605" s="53"/>
      <c r="D605" s="53"/>
      <c r="E605" s="53"/>
      <c r="F605" s="53"/>
      <c r="G605" s="53"/>
      <c r="H605" s="53"/>
      <c r="I605" s="53"/>
      <c r="J605" s="53"/>
      <c r="K605" s="53"/>
      <c r="L605" s="11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30" x14ac:dyDescent="0.4">
      <c r="A606" s="53"/>
      <c r="B606" s="151"/>
      <c r="C606" s="53"/>
      <c r="D606" s="53"/>
      <c r="E606" s="53"/>
      <c r="F606" s="53"/>
      <c r="G606" s="53"/>
      <c r="H606" s="53"/>
      <c r="I606" s="53"/>
      <c r="J606" s="53"/>
      <c r="K606" s="53"/>
      <c r="L606" s="11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30" x14ac:dyDescent="0.4">
      <c r="A607" s="53"/>
      <c r="B607" s="151"/>
      <c r="C607" s="53"/>
      <c r="D607" s="53"/>
      <c r="E607" s="53"/>
      <c r="F607" s="53"/>
      <c r="G607" s="53"/>
      <c r="H607" s="53"/>
      <c r="I607" s="53"/>
      <c r="J607" s="53"/>
      <c r="K607" s="53"/>
      <c r="L607" s="11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30" x14ac:dyDescent="0.4">
      <c r="A608" s="53"/>
      <c r="B608" s="151"/>
      <c r="C608" s="53"/>
      <c r="D608" s="53"/>
      <c r="E608" s="53"/>
      <c r="F608" s="53"/>
      <c r="G608" s="53"/>
      <c r="H608" s="53"/>
      <c r="I608" s="53"/>
      <c r="J608" s="53"/>
      <c r="K608" s="53"/>
      <c r="L608" s="11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30" x14ac:dyDescent="0.4">
      <c r="A609" s="53"/>
      <c r="B609" s="151"/>
      <c r="C609" s="53"/>
      <c r="D609" s="53"/>
      <c r="E609" s="53"/>
      <c r="F609" s="53"/>
      <c r="G609" s="53"/>
      <c r="H609" s="53"/>
      <c r="I609" s="53"/>
      <c r="J609" s="53"/>
      <c r="K609" s="53"/>
      <c r="L609" s="11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30" x14ac:dyDescent="0.4">
      <c r="A610" s="53"/>
      <c r="B610" s="151"/>
      <c r="C610" s="53"/>
      <c r="D610" s="53"/>
      <c r="E610" s="53"/>
      <c r="F610" s="53"/>
      <c r="G610" s="53"/>
      <c r="H610" s="53"/>
      <c r="I610" s="53"/>
      <c r="J610" s="53"/>
      <c r="K610" s="53"/>
      <c r="L610" s="11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30" x14ac:dyDescent="0.4">
      <c r="A611" s="53"/>
      <c r="B611" s="151"/>
      <c r="C611" s="53"/>
      <c r="D611" s="53"/>
      <c r="E611" s="53"/>
      <c r="F611" s="53"/>
      <c r="G611" s="53"/>
      <c r="H611" s="53"/>
      <c r="I611" s="53"/>
      <c r="J611" s="53"/>
      <c r="K611" s="53"/>
      <c r="L611" s="11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30" x14ac:dyDescent="0.4">
      <c r="A612" s="53"/>
      <c r="B612" s="151"/>
      <c r="C612" s="53"/>
      <c r="D612" s="53"/>
      <c r="E612" s="53"/>
      <c r="F612" s="53"/>
      <c r="G612" s="53"/>
      <c r="H612" s="53"/>
      <c r="I612" s="53"/>
      <c r="J612" s="53"/>
      <c r="K612" s="53"/>
      <c r="L612" s="11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30" x14ac:dyDescent="0.4">
      <c r="A613" s="53"/>
      <c r="B613" s="151"/>
      <c r="C613" s="53"/>
      <c r="D613" s="53"/>
      <c r="E613" s="53"/>
      <c r="F613" s="53"/>
      <c r="G613" s="53"/>
      <c r="H613" s="53"/>
      <c r="I613" s="53"/>
      <c r="J613" s="53"/>
      <c r="K613" s="53"/>
      <c r="L613" s="11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30" x14ac:dyDescent="0.4">
      <c r="A614" s="53"/>
      <c r="B614" s="151"/>
      <c r="C614" s="53"/>
      <c r="D614" s="53"/>
      <c r="E614" s="53"/>
      <c r="F614" s="53"/>
      <c r="G614" s="53"/>
      <c r="H614" s="53"/>
      <c r="I614" s="53"/>
      <c r="J614" s="53"/>
      <c r="K614" s="53"/>
      <c r="L614" s="11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30" x14ac:dyDescent="0.4">
      <c r="A615" s="53"/>
      <c r="B615" s="151"/>
      <c r="C615" s="53"/>
      <c r="D615" s="53"/>
      <c r="E615" s="53"/>
      <c r="F615" s="53"/>
      <c r="G615" s="53"/>
      <c r="H615" s="53"/>
      <c r="I615" s="53"/>
      <c r="J615" s="53"/>
      <c r="K615" s="53"/>
      <c r="L615" s="11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30" x14ac:dyDescent="0.4">
      <c r="A616" s="53"/>
      <c r="B616" s="151"/>
      <c r="C616" s="53"/>
      <c r="D616" s="53"/>
      <c r="E616" s="53"/>
      <c r="F616" s="53"/>
      <c r="G616" s="53"/>
      <c r="H616" s="53"/>
      <c r="I616" s="53"/>
      <c r="J616" s="53"/>
      <c r="K616" s="53"/>
      <c r="L616" s="11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30" x14ac:dyDescent="0.4">
      <c r="A617" s="53"/>
      <c r="B617" s="151"/>
      <c r="C617" s="53"/>
      <c r="D617" s="53"/>
      <c r="E617" s="53"/>
      <c r="F617" s="53"/>
      <c r="G617" s="53"/>
      <c r="H617" s="53"/>
      <c r="I617" s="53"/>
      <c r="J617" s="53"/>
      <c r="K617" s="53"/>
      <c r="L617" s="11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30" x14ac:dyDescent="0.4">
      <c r="A618" s="53"/>
      <c r="B618" s="151"/>
      <c r="C618" s="53"/>
      <c r="D618" s="53"/>
      <c r="E618" s="53"/>
      <c r="F618" s="53"/>
      <c r="G618" s="53"/>
      <c r="H618" s="53"/>
      <c r="I618" s="53"/>
      <c r="J618" s="53"/>
      <c r="K618" s="53"/>
      <c r="L618" s="11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30" x14ac:dyDescent="0.4">
      <c r="A619" s="53"/>
      <c r="B619" s="151"/>
      <c r="C619" s="53"/>
      <c r="D619" s="53"/>
      <c r="E619" s="53"/>
      <c r="F619" s="53"/>
      <c r="G619" s="53"/>
      <c r="H619" s="53"/>
      <c r="I619" s="53"/>
      <c r="J619" s="53"/>
      <c r="K619" s="53"/>
      <c r="L619" s="11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30" x14ac:dyDescent="0.4">
      <c r="A620" s="53"/>
      <c r="B620" s="151"/>
      <c r="C620" s="53"/>
      <c r="D620" s="53"/>
      <c r="E620" s="53"/>
      <c r="F620" s="53"/>
      <c r="G620" s="53"/>
      <c r="H620" s="53"/>
      <c r="I620" s="53"/>
      <c r="J620" s="53"/>
      <c r="K620" s="53"/>
      <c r="L620" s="11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30" x14ac:dyDescent="0.4">
      <c r="A621" s="53"/>
      <c r="B621" s="151"/>
      <c r="C621" s="53"/>
      <c r="D621" s="53"/>
      <c r="E621" s="53"/>
      <c r="F621" s="53"/>
      <c r="G621" s="53"/>
      <c r="H621" s="53"/>
      <c r="I621" s="53"/>
      <c r="J621" s="53"/>
      <c r="K621" s="53"/>
      <c r="L621" s="11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30" x14ac:dyDescent="0.4">
      <c r="A622" s="53"/>
      <c r="B622" s="151"/>
      <c r="C622" s="53"/>
      <c r="D622" s="53"/>
      <c r="E622" s="53"/>
      <c r="F622" s="53"/>
      <c r="G622" s="53"/>
      <c r="H622" s="53"/>
      <c r="I622" s="53"/>
      <c r="J622" s="53"/>
      <c r="K622" s="53"/>
      <c r="L622" s="11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30" x14ac:dyDescent="0.4">
      <c r="A623" s="53"/>
      <c r="B623" s="151"/>
      <c r="C623" s="53"/>
      <c r="D623" s="53"/>
      <c r="E623" s="53"/>
      <c r="F623" s="53"/>
      <c r="G623" s="53"/>
      <c r="H623" s="53"/>
      <c r="I623" s="53"/>
      <c r="J623" s="53"/>
      <c r="K623" s="53"/>
      <c r="L623" s="11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30" x14ac:dyDescent="0.4">
      <c r="A624" s="53"/>
      <c r="B624" s="151"/>
      <c r="C624" s="53"/>
      <c r="D624" s="53"/>
      <c r="E624" s="53"/>
      <c r="F624" s="53"/>
      <c r="G624" s="53"/>
      <c r="H624" s="53"/>
      <c r="I624" s="53"/>
      <c r="J624" s="53"/>
      <c r="K624" s="53"/>
      <c r="L624" s="11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30" x14ac:dyDescent="0.4">
      <c r="A625" s="53"/>
      <c r="B625" s="151"/>
      <c r="C625" s="53"/>
      <c r="D625" s="53"/>
      <c r="E625" s="53"/>
      <c r="F625" s="53"/>
      <c r="G625" s="53"/>
      <c r="H625" s="53"/>
      <c r="I625" s="53"/>
      <c r="J625" s="53"/>
      <c r="K625" s="53"/>
      <c r="L625" s="11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30" x14ac:dyDescent="0.4">
      <c r="A626" s="53"/>
      <c r="B626" s="151"/>
      <c r="C626" s="53"/>
      <c r="D626" s="53"/>
      <c r="E626" s="53"/>
      <c r="F626" s="53"/>
      <c r="G626" s="53"/>
      <c r="H626" s="53"/>
      <c r="I626" s="53"/>
      <c r="J626" s="53"/>
      <c r="K626" s="53"/>
      <c r="L626" s="11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30" x14ac:dyDescent="0.4">
      <c r="A627" s="53"/>
      <c r="B627" s="151"/>
      <c r="C627" s="53"/>
      <c r="D627" s="53"/>
      <c r="E627" s="53"/>
      <c r="F627" s="53"/>
      <c r="G627" s="53"/>
      <c r="H627" s="53"/>
      <c r="I627" s="53"/>
      <c r="J627" s="53"/>
      <c r="K627" s="53"/>
      <c r="L627" s="11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30" x14ac:dyDescent="0.4">
      <c r="A628" s="53"/>
      <c r="B628" s="151"/>
      <c r="C628" s="53"/>
      <c r="D628" s="53"/>
      <c r="E628" s="53"/>
      <c r="F628" s="53"/>
      <c r="G628" s="53"/>
      <c r="H628" s="53"/>
      <c r="I628" s="53"/>
      <c r="J628" s="53"/>
      <c r="K628" s="53"/>
      <c r="L628" s="11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30" x14ac:dyDescent="0.4">
      <c r="A629" s="53"/>
      <c r="B629" s="151"/>
      <c r="C629" s="53"/>
      <c r="D629" s="53"/>
      <c r="E629" s="53"/>
      <c r="F629" s="53"/>
      <c r="G629" s="53"/>
      <c r="H629" s="53"/>
      <c r="I629" s="53"/>
      <c r="J629" s="53"/>
      <c r="K629" s="53"/>
      <c r="L629" s="11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30" x14ac:dyDescent="0.4">
      <c r="A630" s="53"/>
      <c r="B630" s="151"/>
      <c r="C630" s="53"/>
      <c r="D630" s="53"/>
      <c r="E630" s="53"/>
      <c r="F630" s="53"/>
      <c r="G630" s="53"/>
      <c r="H630" s="53"/>
      <c r="I630" s="53"/>
      <c r="J630" s="53"/>
      <c r="K630" s="53"/>
      <c r="L630" s="11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30" x14ac:dyDescent="0.4">
      <c r="A631" s="53"/>
      <c r="B631" s="151"/>
      <c r="C631" s="53"/>
      <c r="D631" s="53"/>
      <c r="E631" s="53"/>
      <c r="F631" s="53"/>
      <c r="G631" s="53"/>
      <c r="H631" s="53"/>
      <c r="I631" s="53"/>
      <c r="J631" s="53"/>
      <c r="K631" s="53"/>
      <c r="L631" s="11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30" x14ac:dyDescent="0.4">
      <c r="A632" s="53"/>
      <c r="B632" s="151"/>
      <c r="C632" s="53"/>
      <c r="D632" s="53"/>
      <c r="E632" s="53"/>
      <c r="F632" s="53"/>
      <c r="G632" s="53"/>
      <c r="H632" s="53"/>
      <c r="I632" s="53"/>
      <c r="J632" s="53"/>
      <c r="K632" s="53"/>
      <c r="L632" s="11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30" x14ac:dyDescent="0.4">
      <c r="A633" s="53"/>
      <c r="B633" s="151"/>
      <c r="C633" s="53"/>
      <c r="D633" s="53"/>
      <c r="E633" s="53"/>
      <c r="F633" s="53"/>
      <c r="G633" s="53"/>
      <c r="H633" s="53"/>
      <c r="I633" s="53"/>
      <c r="J633" s="53"/>
      <c r="K633" s="53"/>
      <c r="L633" s="11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30" x14ac:dyDescent="0.4">
      <c r="A634" s="53"/>
      <c r="B634" s="151"/>
      <c r="C634" s="53"/>
      <c r="D634" s="53"/>
      <c r="E634" s="53"/>
      <c r="F634" s="53"/>
      <c r="G634" s="53"/>
      <c r="H634" s="53"/>
      <c r="I634" s="53"/>
      <c r="J634" s="53"/>
      <c r="K634" s="53"/>
      <c r="L634" s="11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30" x14ac:dyDescent="0.4">
      <c r="A635" s="53"/>
      <c r="B635" s="151"/>
      <c r="C635" s="53"/>
      <c r="D635" s="53"/>
      <c r="E635" s="53"/>
      <c r="F635" s="53"/>
      <c r="G635" s="53"/>
      <c r="H635" s="53"/>
      <c r="I635" s="53"/>
      <c r="J635" s="53"/>
      <c r="K635" s="53"/>
      <c r="L635" s="11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30" x14ac:dyDescent="0.4">
      <c r="A636" s="53"/>
      <c r="B636" s="151"/>
      <c r="C636" s="53"/>
      <c r="D636" s="53"/>
      <c r="E636" s="53"/>
      <c r="F636" s="53"/>
      <c r="G636" s="53"/>
      <c r="H636" s="53"/>
      <c r="I636" s="53"/>
      <c r="J636" s="53"/>
      <c r="K636" s="53"/>
      <c r="L636" s="11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30" x14ac:dyDescent="0.4">
      <c r="A637" s="53"/>
      <c r="B637" s="151"/>
      <c r="C637" s="53"/>
      <c r="D637" s="53"/>
      <c r="E637" s="53"/>
      <c r="F637" s="53"/>
      <c r="G637" s="53"/>
      <c r="H637" s="53"/>
      <c r="I637" s="53"/>
      <c r="J637" s="53"/>
      <c r="K637" s="53"/>
      <c r="L637" s="11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30" x14ac:dyDescent="0.4">
      <c r="A638" s="53"/>
      <c r="B638" s="151"/>
      <c r="C638" s="53"/>
      <c r="D638" s="53"/>
      <c r="E638" s="53"/>
      <c r="F638" s="53"/>
      <c r="G638" s="53"/>
      <c r="H638" s="53"/>
      <c r="I638" s="53"/>
      <c r="J638" s="53"/>
      <c r="K638" s="53"/>
      <c r="L638" s="11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30" x14ac:dyDescent="0.4">
      <c r="A639" s="53"/>
      <c r="B639" s="151"/>
      <c r="C639" s="53"/>
      <c r="D639" s="53"/>
      <c r="E639" s="53"/>
      <c r="F639" s="53"/>
      <c r="G639" s="53"/>
      <c r="H639" s="53"/>
      <c r="I639" s="53"/>
      <c r="J639" s="53"/>
      <c r="K639" s="53"/>
      <c r="L639" s="11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30" x14ac:dyDescent="0.4">
      <c r="A640" s="53"/>
      <c r="B640" s="151"/>
      <c r="C640" s="53"/>
      <c r="D640" s="53"/>
      <c r="E640" s="53"/>
      <c r="F640" s="53"/>
      <c r="G640" s="53"/>
      <c r="H640" s="53"/>
      <c r="I640" s="53"/>
      <c r="J640" s="53"/>
      <c r="K640" s="53"/>
      <c r="L640" s="11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30" x14ac:dyDescent="0.4">
      <c r="A641" s="53"/>
      <c r="B641" s="151"/>
      <c r="C641" s="53"/>
      <c r="D641" s="53"/>
      <c r="E641" s="53"/>
      <c r="F641" s="53"/>
      <c r="G641" s="53"/>
      <c r="H641" s="53"/>
      <c r="I641" s="53"/>
      <c r="J641" s="53"/>
      <c r="K641" s="53"/>
      <c r="L641" s="11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30" x14ac:dyDescent="0.4">
      <c r="A642" s="53"/>
      <c r="B642" s="151"/>
      <c r="C642" s="53"/>
      <c r="D642" s="53"/>
      <c r="E642" s="53"/>
      <c r="F642" s="53"/>
      <c r="G642" s="53"/>
      <c r="H642" s="53"/>
      <c r="I642" s="53"/>
      <c r="J642" s="53"/>
      <c r="K642" s="53"/>
      <c r="L642" s="11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30" x14ac:dyDescent="0.4">
      <c r="A643" s="53"/>
      <c r="B643" s="151"/>
      <c r="C643" s="53"/>
      <c r="D643" s="53"/>
      <c r="E643" s="53"/>
      <c r="F643" s="53"/>
      <c r="G643" s="53"/>
      <c r="H643" s="53"/>
      <c r="I643" s="53"/>
      <c r="J643" s="53"/>
      <c r="K643" s="53"/>
      <c r="L643" s="11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30" x14ac:dyDescent="0.4">
      <c r="A644" s="53"/>
      <c r="B644" s="151"/>
      <c r="C644" s="53"/>
      <c r="D644" s="53"/>
      <c r="E644" s="53"/>
      <c r="F644" s="53"/>
      <c r="G644" s="53"/>
      <c r="H644" s="53"/>
      <c r="I644" s="53"/>
      <c r="J644" s="53"/>
      <c r="K644" s="53"/>
      <c r="L644" s="11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30" x14ac:dyDescent="0.4">
      <c r="A645" s="53"/>
      <c r="B645" s="151"/>
      <c r="C645" s="53"/>
      <c r="D645" s="53"/>
      <c r="E645" s="53"/>
      <c r="F645" s="53"/>
      <c r="G645" s="53"/>
      <c r="H645" s="53"/>
      <c r="I645" s="53"/>
      <c r="J645" s="53"/>
      <c r="K645" s="53"/>
      <c r="L645" s="11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30" x14ac:dyDescent="0.4">
      <c r="A646" s="53"/>
      <c r="B646" s="151"/>
      <c r="C646" s="53"/>
      <c r="D646" s="53"/>
      <c r="E646" s="53"/>
      <c r="F646" s="53"/>
      <c r="G646" s="53"/>
      <c r="H646" s="53"/>
      <c r="I646" s="53"/>
      <c r="J646" s="53"/>
      <c r="K646" s="53"/>
      <c r="L646" s="11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30" x14ac:dyDescent="0.4">
      <c r="A647" s="53"/>
      <c r="B647" s="151"/>
      <c r="C647" s="53"/>
      <c r="D647" s="53"/>
      <c r="E647" s="53"/>
      <c r="F647" s="53"/>
      <c r="G647" s="53"/>
      <c r="H647" s="53"/>
      <c r="I647" s="53"/>
      <c r="J647" s="53"/>
      <c r="K647" s="53"/>
      <c r="L647" s="11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30" x14ac:dyDescent="0.4">
      <c r="A648" s="53"/>
      <c r="B648" s="151"/>
      <c r="C648" s="53"/>
      <c r="D648" s="53"/>
      <c r="E648" s="53"/>
      <c r="F648" s="53"/>
      <c r="G648" s="53"/>
      <c r="H648" s="53"/>
      <c r="I648" s="53"/>
      <c r="J648" s="53"/>
      <c r="K648" s="53"/>
      <c r="L648" s="11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30" x14ac:dyDescent="0.4">
      <c r="A649" s="53"/>
      <c r="B649" s="151"/>
      <c r="C649" s="53"/>
      <c r="D649" s="53"/>
      <c r="E649" s="53"/>
      <c r="F649" s="53"/>
      <c r="G649" s="53"/>
      <c r="H649" s="53"/>
      <c r="I649" s="53"/>
      <c r="J649" s="53"/>
      <c r="K649" s="53"/>
      <c r="L649" s="11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30" x14ac:dyDescent="0.4">
      <c r="A650" s="53"/>
      <c r="B650" s="151"/>
      <c r="C650" s="53"/>
      <c r="D650" s="53"/>
      <c r="E650" s="53"/>
      <c r="F650" s="53"/>
      <c r="G650" s="53"/>
      <c r="H650" s="53"/>
      <c r="I650" s="53"/>
      <c r="J650" s="53"/>
      <c r="K650" s="53"/>
      <c r="L650" s="11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30" x14ac:dyDescent="0.4">
      <c r="A651" s="53"/>
      <c r="B651" s="151"/>
      <c r="C651" s="53"/>
      <c r="D651" s="53"/>
      <c r="E651" s="53"/>
      <c r="F651" s="53"/>
      <c r="G651" s="53"/>
      <c r="H651" s="53"/>
      <c r="I651" s="53"/>
      <c r="J651" s="53"/>
      <c r="K651" s="53"/>
      <c r="L651" s="11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30" x14ac:dyDescent="0.4">
      <c r="A652" s="53"/>
      <c r="B652" s="151"/>
      <c r="C652" s="53"/>
      <c r="D652" s="53"/>
      <c r="E652" s="53"/>
      <c r="F652" s="53"/>
      <c r="G652" s="53"/>
      <c r="H652" s="53"/>
      <c r="I652" s="53"/>
      <c r="J652" s="53"/>
      <c r="K652" s="53"/>
      <c r="L652" s="11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30" x14ac:dyDescent="0.4">
      <c r="A653" s="53"/>
      <c r="B653" s="151"/>
      <c r="C653" s="53"/>
      <c r="D653" s="53"/>
      <c r="E653" s="53"/>
      <c r="F653" s="53"/>
      <c r="G653" s="53"/>
      <c r="H653" s="53"/>
      <c r="I653" s="53"/>
      <c r="J653" s="53"/>
      <c r="K653" s="53"/>
      <c r="L653" s="11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30" x14ac:dyDescent="0.4">
      <c r="A654" s="53"/>
      <c r="B654" s="151"/>
      <c r="C654" s="53"/>
      <c r="D654" s="53"/>
      <c r="E654" s="53"/>
      <c r="F654" s="53"/>
      <c r="G654" s="53"/>
      <c r="H654" s="53"/>
      <c r="I654" s="53"/>
      <c r="J654" s="53"/>
      <c r="K654" s="53"/>
      <c r="L654" s="11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30" x14ac:dyDescent="0.4">
      <c r="A655" s="53"/>
      <c r="B655" s="151"/>
      <c r="C655" s="53"/>
      <c r="D655" s="53"/>
      <c r="E655" s="53"/>
      <c r="F655" s="53"/>
      <c r="G655" s="53"/>
      <c r="H655" s="53"/>
      <c r="I655" s="53"/>
      <c r="J655" s="53"/>
      <c r="K655" s="53"/>
      <c r="L655" s="11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30" x14ac:dyDescent="0.4">
      <c r="A656" s="53"/>
      <c r="B656" s="151"/>
      <c r="C656" s="53"/>
      <c r="D656" s="53"/>
      <c r="E656" s="53"/>
      <c r="F656" s="53"/>
      <c r="G656" s="53"/>
      <c r="H656" s="53"/>
      <c r="I656" s="53"/>
      <c r="J656" s="53"/>
      <c r="K656" s="53"/>
      <c r="L656" s="11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30" x14ac:dyDescent="0.4">
      <c r="A657" s="53"/>
      <c r="B657" s="151"/>
      <c r="C657" s="53"/>
      <c r="D657" s="53"/>
      <c r="E657" s="53"/>
      <c r="F657" s="53"/>
      <c r="G657" s="53"/>
      <c r="H657" s="53"/>
      <c r="I657" s="53"/>
      <c r="J657" s="53"/>
      <c r="K657" s="53"/>
      <c r="L657" s="11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30" x14ac:dyDescent="0.4">
      <c r="A658" s="53"/>
      <c r="B658" s="151"/>
      <c r="C658" s="53"/>
      <c r="D658" s="53"/>
      <c r="E658" s="53"/>
      <c r="F658" s="53"/>
      <c r="G658" s="53"/>
      <c r="H658" s="53"/>
      <c r="I658" s="53"/>
      <c r="J658" s="53"/>
      <c r="K658" s="53"/>
      <c r="L658" s="11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30" x14ac:dyDescent="0.4">
      <c r="A659" s="53"/>
      <c r="B659" s="151"/>
      <c r="C659" s="53"/>
      <c r="D659" s="53"/>
      <c r="E659" s="53"/>
      <c r="F659" s="53"/>
      <c r="G659" s="53"/>
      <c r="H659" s="53"/>
      <c r="I659" s="53"/>
      <c r="J659" s="53"/>
      <c r="K659" s="53"/>
      <c r="L659" s="11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30" x14ac:dyDescent="0.4">
      <c r="A660" s="53"/>
      <c r="B660" s="151"/>
      <c r="C660" s="53"/>
      <c r="D660" s="53"/>
      <c r="E660" s="53"/>
      <c r="F660" s="53"/>
      <c r="G660" s="53"/>
      <c r="H660" s="53"/>
      <c r="I660" s="53"/>
      <c r="J660" s="53"/>
      <c r="K660" s="53"/>
      <c r="L660" s="11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30" x14ac:dyDescent="0.4">
      <c r="A661" s="53"/>
      <c r="B661" s="151"/>
      <c r="C661" s="53"/>
      <c r="D661" s="53"/>
      <c r="E661" s="53"/>
      <c r="F661" s="53"/>
      <c r="G661" s="53"/>
      <c r="H661" s="53"/>
      <c r="I661" s="53"/>
      <c r="J661" s="53"/>
      <c r="K661" s="53"/>
      <c r="L661" s="11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30" x14ac:dyDescent="0.4">
      <c r="A662" s="53"/>
      <c r="B662" s="151"/>
      <c r="C662" s="53"/>
      <c r="D662" s="53"/>
      <c r="E662" s="53"/>
      <c r="F662" s="53"/>
      <c r="G662" s="53"/>
      <c r="H662" s="53"/>
      <c r="I662" s="53"/>
      <c r="J662" s="53"/>
      <c r="K662" s="53"/>
      <c r="L662" s="11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30" x14ac:dyDescent="0.4">
      <c r="A663" s="53"/>
      <c r="B663" s="151"/>
      <c r="C663" s="53"/>
      <c r="D663" s="53"/>
      <c r="E663" s="53"/>
      <c r="F663" s="53"/>
      <c r="G663" s="53"/>
      <c r="H663" s="53"/>
      <c r="I663" s="53"/>
      <c r="J663" s="53"/>
      <c r="K663" s="53"/>
      <c r="L663" s="11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30" x14ac:dyDescent="0.4">
      <c r="A664" s="53"/>
      <c r="B664" s="151"/>
      <c r="C664" s="53"/>
      <c r="D664" s="53"/>
      <c r="E664" s="53"/>
      <c r="F664" s="53"/>
      <c r="G664" s="53"/>
      <c r="H664" s="53"/>
      <c r="I664" s="53"/>
      <c r="J664" s="53"/>
      <c r="K664" s="53"/>
      <c r="L664" s="11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30" x14ac:dyDescent="0.4">
      <c r="A665" s="53"/>
      <c r="B665" s="151"/>
      <c r="C665" s="53"/>
      <c r="D665" s="53"/>
      <c r="E665" s="53"/>
      <c r="F665" s="53"/>
      <c r="G665" s="53"/>
      <c r="H665" s="53"/>
      <c r="I665" s="53"/>
      <c r="J665" s="53"/>
      <c r="K665" s="53"/>
      <c r="L665" s="11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30" x14ac:dyDescent="0.4">
      <c r="A666" s="53"/>
      <c r="B666" s="151"/>
      <c r="C666" s="53"/>
      <c r="D666" s="53"/>
      <c r="E666" s="53"/>
      <c r="F666" s="53"/>
      <c r="G666" s="53"/>
      <c r="H666" s="53"/>
      <c r="I666" s="53"/>
      <c r="J666" s="53"/>
      <c r="K666" s="53"/>
      <c r="L666" s="11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30" x14ac:dyDescent="0.4">
      <c r="A667" s="53"/>
      <c r="B667" s="151"/>
      <c r="C667" s="53"/>
      <c r="D667" s="53"/>
      <c r="E667" s="53"/>
      <c r="F667" s="53"/>
      <c r="G667" s="53"/>
      <c r="H667" s="53"/>
      <c r="I667" s="53"/>
      <c r="J667" s="53"/>
      <c r="K667" s="53"/>
      <c r="L667" s="11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30" x14ac:dyDescent="0.4">
      <c r="A668" s="53"/>
      <c r="B668" s="151"/>
      <c r="C668" s="53"/>
      <c r="D668" s="53"/>
      <c r="E668" s="53"/>
      <c r="F668" s="53"/>
      <c r="G668" s="53"/>
      <c r="H668" s="53"/>
      <c r="I668" s="53"/>
      <c r="J668" s="53"/>
      <c r="K668" s="53"/>
      <c r="L668" s="11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30" x14ac:dyDescent="0.4">
      <c r="A669" s="53"/>
      <c r="B669" s="151"/>
      <c r="C669" s="53"/>
      <c r="D669" s="53"/>
      <c r="E669" s="53"/>
      <c r="F669" s="53"/>
      <c r="G669" s="53"/>
      <c r="H669" s="53"/>
      <c r="I669" s="53"/>
      <c r="J669" s="53"/>
      <c r="K669" s="53"/>
      <c r="L669" s="11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30" x14ac:dyDescent="0.4">
      <c r="A670" s="53"/>
      <c r="B670" s="151"/>
      <c r="C670" s="53"/>
      <c r="D670" s="53"/>
      <c r="E670" s="53"/>
      <c r="F670" s="53"/>
      <c r="G670" s="53"/>
      <c r="H670" s="53"/>
      <c r="I670" s="53"/>
      <c r="J670" s="53"/>
      <c r="K670" s="53"/>
      <c r="L670" s="11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30" x14ac:dyDescent="0.4">
      <c r="A671" s="53"/>
      <c r="B671" s="151"/>
      <c r="C671" s="53"/>
      <c r="D671" s="53"/>
      <c r="E671" s="53"/>
      <c r="F671" s="53"/>
      <c r="G671" s="53"/>
      <c r="H671" s="53"/>
      <c r="I671" s="53"/>
      <c r="J671" s="53"/>
      <c r="K671" s="53"/>
      <c r="L671" s="11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30" x14ac:dyDescent="0.4">
      <c r="A672" s="53"/>
      <c r="B672" s="151"/>
      <c r="C672" s="53"/>
      <c r="D672" s="53"/>
      <c r="E672" s="53"/>
      <c r="F672" s="53"/>
      <c r="G672" s="53"/>
      <c r="H672" s="53"/>
      <c r="I672" s="53"/>
      <c r="J672" s="53"/>
      <c r="K672" s="53"/>
      <c r="L672" s="11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30" x14ac:dyDescent="0.4">
      <c r="A673" s="53"/>
      <c r="B673" s="151"/>
      <c r="C673" s="53"/>
      <c r="D673" s="53"/>
      <c r="E673" s="53"/>
      <c r="F673" s="53"/>
      <c r="G673" s="53"/>
      <c r="H673" s="53"/>
      <c r="I673" s="53"/>
      <c r="J673" s="53"/>
      <c r="K673" s="53"/>
      <c r="L673" s="11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30" x14ac:dyDescent="0.4">
      <c r="A674" s="53"/>
      <c r="B674" s="151"/>
      <c r="C674" s="53"/>
      <c r="D674" s="53"/>
      <c r="E674" s="53"/>
      <c r="F674" s="53"/>
      <c r="G674" s="53"/>
      <c r="H674" s="53"/>
      <c r="I674" s="53"/>
      <c r="J674" s="53"/>
      <c r="K674" s="53"/>
      <c r="L674" s="11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30" x14ac:dyDescent="0.4">
      <c r="A675" s="53"/>
      <c r="B675" s="151"/>
      <c r="C675" s="53"/>
      <c r="D675" s="53"/>
      <c r="E675" s="53"/>
      <c r="F675" s="53"/>
      <c r="G675" s="53"/>
      <c r="H675" s="53"/>
      <c r="I675" s="53"/>
      <c r="J675" s="53"/>
      <c r="K675" s="53"/>
      <c r="L675" s="11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30" x14ac:dyDescent="0.4">
      <c r="A676" s="53"/>
      <c r="B676" s="151"/>
      <c r="C676" s="53"/>
      <c r="D676" s="53"/>
      <c r="E676" s="53"/>
      <c r="F676" s="53"/>
      <c r="G676" s="53"/>
      <c r="H676" s="53"/>
      <c r="I676" s="53"/>
      <c r="J676" s="53"/>
      <c r="K676" s="53"/>
      <c r="L676" s="11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30" x14ac:dyDescent="0.4">
      <c r="A677" s="53"/>
      <c r="B677" s="151"/>
      <c r="C677" s="53"/>
      <c r="D677" s="53"/>
      <c r="E677" s="53"/>
      <c r="F677" s="53"/>
      <c r="G677" s="53"/>
      <c r="H677" s="53"/>
      <c r="I677" s="53"/>
      <c r="J677" s="53"/>
      <c r="K677" s="53"/>
      <c r="L677" s="11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30" x14ac:dyDescent="0.4">
      <c r="A678" s="53"/>
      <c r="B678" s="151"/>
      <c r="C678" s="53"/>
      <c r="D678" s="53"/>
      <c r="E678" s="53"/>
      <c r="F678" s="53"/>
      <c r="G678" s="53"/>
      <c r="H678" s="53"/>
      <c r="I678" s="53"/>
      <c r="J678" s="53"/>
      <c r="K678" s="53"/>
      <c r="L678" s="11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30" x14ac:dyDescent="0.4">
      <c r="A679" s="53"/>
      <c r="B679" s="151"/>
      <c r="C679" s="53"/>
      <c r="D679" s="53"/>
      <c r="E679" s="53"/>
      <c r="F679" s="53"/>
      <c r="G679" s="53"/>
      <c r="H679" s="53"/>
      <c r="I679" s="53"/>
      <c r="J679" s="53"/>
      <c r="K679" s="53"/>
      <c r="L679" s="11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30" x14ac:dyDescent="0.4">
      <c r="A680" s="53"/>
      <c r="B680" s="151"/>
      <c r="C680" s="53"/>
      <c r="D680" s="53"/>
      <c r="E680" s="53"/>
      <c r="F680" s="53"/>
      <c r="G680" s="53"/>
      <c r="H680" s="53"/>
      <c r="I680" s="53"/>
      <c r="J680" s="53"/>
      <c r="K680" s="53"/>
      <c r="L680" s="11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30" x14ac:dyDescent="0.4">
      <c r="A681" s="53"/>
      <c r="B681" s="151"/>
      <c r="C681" s="53"/>
      <c r="D681" s="53"/>
      <c r="E681" s="53"/>
      <c r="F681" s="53"/>
      <c r="G681" s="53"/>
      <c r="H681" s="53"/>
      <c r="I681" s="53"/>
      <c r="J681" s="53"/>
      <c r="K681" s="53"/>
      <c r="L681" s="11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30" x14ac:dyDescent="0.4">
      <c r="A682" s="53"/>
      <c r="B682" s="151"/>
      <c r="C682" s="53"/>
      <c r="D682" s="53"/>
      <c r="E682" s="53"/>
      <c r="F682" s="53"/>
      <c r="G682" s="53"/>
      <c r="H682" s="53"/>
      <c r="I682" s="53"/>
      <c r="J682" s="53"/>
      <c r="K682" s="53"/>
      <c r="L682" s="11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30" x14ac:dyDescent="0.4">
      <c r="A683" s="53"/>
      <c r="B683" s="151"/>
      <c r="C683" s="53"/>
      <c r="D683" s="53"/>
      <c r="E683" s="53"/>
      <c r="F683" s="53"/>
      <c r="G683" s="53"/>
      <c r="H683" s="53"/>
      <c r="I683" s="53"/>
      <c r="J683" s="53"/>
      <c r="K683" s="53"/>
      <c r="L683" s="11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30" x14ac:dyDescent="0.4">
      <c r="A684" s="53"/>
      <c r="B684" s="151"/>
      <c r="C684" s="53"/>
      <c r="D684" s="53"/>
      <c r="E684" s="53"/>
      <c r="F684" s="53"/>
      <c r="G684" s="53"/>
      <c r="H684" s="53"/>
      <c r="I684" s="53"/>
      <c r="J684" s="53"/>
      <c r="K684" s="53"/>
      <c r="L684" s="11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30" x14ac:dyDescent="0.4">
      <c r="A685" s="53"/>
      <c r="B685" s="151"/>
      <c r="C685" s="53"/>
      <c r="D685" s="53"/>
      <c r="E685" s="53"/>
      <c r="F685" s="53"/>
      <c r="G685" s="53"/>
      <c r="H685" s="53"/>
      <c r="I685" s="53"/>
      <c r="J685" s="53"/>
      <c r="K685" s="53"/>
      <c r="L685" s="11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30" x14ac:dyDescent="0.4">
      <c r="A686" s="53"/>
      <c r="B686" s="151"/>
      <c r="C686" s="53"/>
      <c r="D686" s="53"/>
      <c r="E686" s="53"/>
      <c r="F686" s="53"/>
      <c r="G686" s="53"/>
      <c r="H686" s="53"/>
      <c r="I686" s="53"/>
      <c r="J686" s="53"/>
      <c r="K686" s="53"/>
      <c r="L686" s="11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30" x14ac:dyDescent="0.4">
      <c r="A687" s="53"/>
      <c r="B687" s="151"/>
      <c r="C687" s="53"/>
      <c r="D687" s="53"/>
      <c r="E687" s="53"/>
      <c r="F687" s="53"/>
      <c r="G687" s="53"/>
      <c r="H687" s="53"/>
      <c r="I687" s="53"/>
      <c r="J687" s="53"/>
      <c r="K687" s="53"/>
      <c r="L687" s="11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30" x14ac:dyDescent="0.4">
      <c r="A688" s="53"/>
      <c r="B688" s="151"/>
      <c r="C688" s="53"/>
      <c r="D688" s="53"/>
      <c r="E688" s="53"/>
      <c r="F688" s="53"/>
      <c r="G688" s="53"/>
      <c r="H688" s="53"/>
      <c r="I688" s="53"/>
      <c r="J688" s="53"/>
      <c r="K688" s="53"/>
      <c r="L688" s="11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30" x14ac:dyDescent="0.4">
      <c r="A689" s="53"/>
      <c r="B689" s="151"/>
      <c r="C689" s="53"/>
      <c r="D689" s="53"/>
      <c r="E689" s="53"/>
      <c r="F689" s="53"/>
      <c r="G689" s="53"/>
      <c r="H689" s="53"/>
      <c r="I689" s="53"/>
      <c r="J689" s="53"/>
      <c r="K689" s="53"/>
      <c r="L689" s="11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30" x14ac:dyDescent="0.4">
      <c r="A690" s="53"/>
      <c r="B690" s="151"/>
      <c r="C690" s="53"/>
      <c r="D690" s="53"/>
      <c r="E690" s="53"/>
      <c r="F690" s="53"/>
      <c r="G690" s="53"/>
      <c r="H690" s="53"/>
      <c r="I690" s="53"/>
      <c r="J690" s="53"/>
      <c r="K690" s="53"/>
      <c r="L690" s="11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30" x14ac:dyDescent="0.4">
      <c r="A691" s="53"/>
      <c r="B691" s="151"/>
      <c r="C691" s="53"/>
      <c r="D691" s="53"/>
      <c r="E691" s="53"/>
      <c r="F691" s="53"/>
      <c r="G691" s="53"/>
      <c r="H691" s="53"/>
      <c r="I691" s="53"/>
      <c r="J691" s="53"/>
      <c r="K691" s="53"/>
      <c r="L691" s="11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30" x14ac:dyDescent="0.4">
      <c r="A692" s="53"/>
      <c r="B692" s="151"/>
      <c r="C692" s="53"/>
      <c r="D692" s="53"/>
      <c r="E692" s="53"/>
      <c r="F692" s="53"/>
      <c r="G692" s="53"/>
      <c r="H692" s="53"/>
      <c r="I692" s="53"/>
      <c r="J692" s="53"/>
      <c r="K692" s="53"/>
      <c r="L692" s="11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30" x14ac:dyDescent="0.4">
      <c r="A693" s="53"/>
      <c r="B693" s="151"/>
      <c r="C693" s="53"/>
      <c r="D693" s="53"/>
      <c r="E693" s="53"/>
      <c r="F693" s="53"/>
      <c r="G693" s="53"/>
      <c r="H693" s="53"/>
      <c r="I693" s="53"/>
      <c r="J693" s="53"/>
      <c r="K693" s="53"/>
      <c r="L693" s="11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30" x14ac:dyDescent="0.4">
      <c r="A694" s="53"/>
      <c r="B694" s="151"/>
      <c r="C694" s="53"/>
      <c r="D694" s="53"/>
      <c r="E694" s="53"/>
      <c r="F694" s="53"/>
      <c r="G694" s="53"/>
      <c r="H694" s="53"/>
      <c r="I694" s="53"/>
      <c r="J694" s="53"/>
      <c r="K694" s="53"/>
      <c r="L694" s="11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30" x14ac:dyDescent="0.4">
      <c r="A695" s="53"/>
      <c r="B695" s="151"/>
      <c r="C695" s="53"/>
      <c r="D695" s="53"/>
      <c r="E695" s="53"/>
      <c r="F695" s="53"/>
      <c r="G695" s="53"/>
      <c r="H695" s="53"/>
      <c r="I695" s="53"/>
      <c r="J695" s="53"/>
      <c r="K695" s="53"/>
      <c r="L695" s="11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30" x14ac:dyDescent="0.4">
      <c r="A696" s="53"/>
      <c r="B696" s="151"/>
      <c r="C696" s="53"/>
      <c r="D696" s="53"/>
      <c r="E696" s="53"/>
      <c r="F696" s="53"/>
      <c r="G696" s="53"/>
      <c r="H696" s="53"/>
      <c r="I696" s="53"/>
      <c r="J696" s="53"/>
      <c r="K696" s="53"/>
      <c r="L696" s="11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30" x14ac:dyDescent="0.4">
      <c r="A697" s="53"/>
      <c r="B697" s="151"/>
      <c r="C697" s="53"/>
      <c r="D697" s="53"/>
      <c r="E697" s="53"/>
      <c r="F697" s="53"/>
      <c r="G697" s="53"/>
      <c r="H697" s="53"/>
      <c r="I697" s="53"/>
      <c r="J697" s="53"/>
      <c r="K697" s="53"/>
      <c r="L697" s="11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30" x14ac:dyDescent="0.4">
      <c r="A698" s="53"/>
      <c r="B698" s="151"/>
      <c r="C698" s="53"/>
      <c r="D698" s="53"/>
      <c r="E698" s="53"/>
      <c r="F698" s="53"/>
      <c r="G698" s="53"/>
      <c r="H698" s="53"/>
      <c r="I698" s="53"/>
      <c r="J698" s="53"/>
      <c r="K698" s="53"/>
      <c r="L698" s="11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30" x14ac:dyDescent="0.4">
      <c r="A699" s="53"/>
      <c r="B699" s="151"/>
      <c r="C699" s="53"/>
      <c r="D699" s="53"/>
      <c r="E699" s="53"/>
      <c r="F699" s="53"/>
      <c r="G699" s="53"/>
      <c r="H699" s="53"/>
      <c r="I699" s="53"/>
      <c r="J699" s="53"/>
      <c r="K699" s="53"/>
      <c r="L699" s="11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30" x14ac:dyDescent="0.4">
      <c r="A700" s="53"/>
      <c r="B700" s="151"/>
      <c r="C700" s="53"/>
      <c r="D700" s="53"/>
      <c r="E700" s="53"/>
      <c r="F700" s="53"/>
      <c r="G700" s="53"/>
      <c r="H700" s="53"/>
      <c r="I700" s="53"/>
      <c r="J700" s="53"/>
      <c r="K700" s="53"/>
      <c r="L700" s="11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30" x14ac:dyDescent="0.4">
      <c r="A701" s="53"/>
      <c r="B701" s="151"/>
      <c r="C701" s="53"/>
      <c r="D701" s="53"/>
      <c r="E701" s="53"/>
      <c r="F701" s="53"/>
      <c r="G701" s="53"/>
      <c r="H701" s="53"/>
      <c r="I701" s="53"/>
      <c r="J701" s="53"/>
      <c r="K701" s="53"/>
      <c r="L701" s="11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30" x14ac:dyDescent="0.4">
      <c r="A702" s="53"/>
      <c r="B702" s="151"/>
      <c r="C702" s="53"/>
      <c r="D702" s="53"/>
      <c r="E702" s="53"/>
      <c r="F702" s="53"/>
      <c r="G702" s="53"/>
      <c r="H702" s="53"/>
      <c r="I702" s="53"/>
      <c r="J702" s="53"/>
      <c r="K702" s="53"/>
      <c r="L702" s="11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30" x14ac:dyDescent="0.4">
      <c r="A703" s="53"/>
      <c r="B703" s="151"/>
      <c r="C703" s="53"/>
      <c r="D703" s="53"/>
      <c r="E703" s="53"/>
      <c r="F703" s="53"/>
      <c r="G703" s="53"/>
      <c r="H703" s="53"/>
      <c r="I703" s="53"/>
      <c r="J703" s="53"/>
      <c r="K703" s="53"/>
      <c r="L703" s="11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30" x14ac:dyDescent="0.4">
      <c r="A704" s="53"/>
      <c r="B704" s="151"/>
      <c r="C704" s="53"/>
      <c r="D704" s="53"/>
      <c r="E704" s="53"/>
      <c r="F704" s="53"/>
      <c r="G704" s="53"/>
      <c r="H704" s="53"/>
      <c r="I704" s="53"/>
      <c r="J704" s="53"/>
      <c r="K704" s="53"/>
      <c r="L704" s="11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30" x14ac:dyDescent="0.4">
      <c r="A705" s="53"/>
      <c r="B705" s="151"/>
      <c r="C705" s="53"/>
      <c r="D705" s="53"/>
      <c r="E705" s="53"/>
      <c r="F705" s="53"/>
      <c r="G705" s="53"/>
      <c r="H705" s="53"/>
      <c r="I705" s="53"/>
      <c r="J705" s="53"/>
      <c r="K705" s="53"/>
      <c r="L705" s="11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30" x14ac:dyDescent="0.4">
      <c r="A706" s="53"/>
      <c r="B706" s="151"/>
      <c r="C706" s="53"/>
      <c r="D706" s="53"/>
      <c r="E706" s="53"/>
      <c r="F706" s="53"/>
      <c r="G706" s="53"/>
      <c r="H706" s="53"/>
      <c r="I706" s="53"/>
      <c r="J706" s="53"/>
      <c r="K706" s="53"/>
      <c r="L706" s="11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30" x14ac:dyDescent="0.4">
      <c r="A707" s="53"/>
      <c r="B707" s="151"/>
      <c r="C707" s="53"/>
      <c r="D707" s="53"/>
      <c r="E707" s="53"/>
      <c r="F707" s="53"/>
      <c r="G707" s="53"/>
      <c r="H707" s="53"/>
      <c r="I707" s="53"/>
      <c r="J707" s="53"/>
      <c r="K707" s="53"/>
      <c r="L707" s="11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30" x14ac:dyDescent="0.4">
      <c r="A708" s="53"/>
      <c r="B708" s="151"/>
      <c r="C708" s="53"/>
      <c r="D708" s="53"/>
      <c r="E708" s="53"/>
      <c r="F708" s="53"/>
      <c r="G708" s="53"/>
      <c r="H708" s="53"/>
      <c r="I708" s="53"/>
      <c r="J708" s="53"/>
      <c r="K708" s="53"/>
      <c r="L708" s="11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30" x14ac:dyDescent="0.4">
      <c r="A709" s="53"/>
      <c r="B709" s="151"/>
      <c r="C709" s="53"/>
      <c r="D709" s="53"/>
      <c r="E709" s="53"/>
      <c r="F709" s="53"/>
      <c r="G709" s="53"/>
      <c r="H709" s="53"/>
      <c r="I709" s="53"/>
      <c r="J709" s="53"/>
      <c r="K709" s="53"/>
      <c r="L709" s="11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30" x14ac:dyDescent="0.4">
      <c r="A710" s="53"/>
      <c r="B710" s="151"/>
      <c r="C710" s="53"/>
      <c r="D710" s="53"/>
      <c r="E710" s="53"/>
      <c r="F710" s="53"/>
      <c r="G710" s="53"/>
      <c r="H710" s="53"/>
      <c r="I710" s="53"/>
      <c r="J710" s="53"/>
      <c r="K710" s="53"/>
      <c r="L710" s="11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30" x14ac:dyDescent="0.4">
      <c r="A711" s="53"/>
      <c r="B711" s="151"/>
      <c r="C711" s="53"/>
      <c r="D711" s="53"/>
      <c r="E711" s="53"/>
      <c r="F711" s="53"/>
      <c r="G711" s="53"/>
      <c r="H711" s="53"/>
      <c r="I711" s="53"/>
      <c r="J711" s="53"/>
      <c r="K711" s="53"/>
      <c r="L711" s="11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30" x14ac:dyDescent="0.4">
      <c r="A712" s="53"/>
      <c r="B712" s="151"/>
      <c r="C712" s="53"/>
      <c r="D712" s="53"/>
      <c r="E712" s="53"/>
      <c r="F712" s="53"/>
      <c r="G712" s="53"/>
      <c r="H712" s="53"/>
      <c r="I712" s="53"/>
      <c r="J712" s="53"/>
      <c r="K712" s="53"/>
      <c r="L712" s="11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30" x14ac:dyDescent="0.4">
      <c r="A713" s="53"/>
      <c r="B713" s="151"/>
      <c r="C713" s="53"/>
      <c r="D713" s="53"/>
      <c r="E713" s="53"/>
      <c r="F713" s="53"/>
      <c r="G713" s="53"/>
      <c r="H713" s="53"/>
      <c r="I713" s="53"/>
      <c r="J713" s="53"/>
      <c r="K713" s="53"/>
      <c r="L713" s="11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30" x14ac:dyDescent="0.4">
      <c r="A714" s="53"/>
      <c r="B714" s="151"/>
      <c r="C714" s="53"/>
      <c r="D714" s="53"/>
      <c r="E714" s="53"/>
      <c r="F714" s="53"/>
      <c r="G714" s="53"/>
      <c r="H714" s="53"/>
      <c r="I714" s="53"/>
      <c r="J714" s="53"/>
      <c r="K714" s="53"/>
      <c r="L714" s="11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30" x14ac:dyDescent="0.4">
      <c r="A715" s="53"/>
      <c r="B715" s="151"/>
      <c r="C715" s="53"/>
      <c r="D715" s="53"/>
      <c r="E715" s="53"/>
      <c r="F715" s="53"/>
      <c r="G715" s="53"/>
      <c r="H715" s="53"/>
      <c r="I715" s="53"/>
      <c r="J715" s="53"/>
      <c r="K715" s="53"/>
      <c r="L715" s="11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30" x14ac:dyDescent="0.4">
      <c r="A716" s="53"/>
      <c r="B716" s="151"/>
      <c r="C716" s="53"/>
      <c r="D716" s="53"/>
      <c r="E716" s="53"/>
      <c r="F716" s="53"/>
      <c r="G716" s="53"/>
      <c r="H716" s="53"/>
      <c r="I716" s="53"/>
      <c r="J716" s="53"/>
      <c r="K716" s="53"/>
      <c r="L716" s="11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30" x14ac:dyDescent="0.4">
      <c r="A717" s="53"/>
      <c r="B717" s="151"/>
      <c r="C717" s="53"/>
      <c r="D717" s="53"/>
      <c r="E717" s="53"/>
      <c r="F717" s="53"/>
      <c r="G717" s="53"/>
      <c r="H717" s="53"/>
      <c r="I717" s="53"/>
      <c r="J717" s="53"/>
      <c r="K717" s="53"/>
      <c r="L717" s="11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30" x14ac:dyDescent="0.4">
      <c r="A718" s="53"/>
      <c r="B718" s="151"/>
      <c r="C718" s="53"/>
      <c r="D718" s="53"/>
      <c r="E718" s="53"/>
      <c r="F718" s="53"/>
      <c r="G718" s="53"/>
      <c r="H718" s="53"/>
      <c r="I718" s="53"/>
      <c r="J718" s="53"/>
      <c r="K718" s="53"/>
      <c r="L718" s="11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30" x14ac:dyDescent="0.4">
      <c r="A719" s="53"/>
      <c r="B719" s="151"/>
      <c r="C719" s="53"/>
      <c r="D719" s="53"/>
      <c r="E719" s="53"/>
      <c r="F719" s="53"/>
      <c r="G719" s="53"/>
      <c r="H719" s="53"/>
      <c r="I719" s="53"/>
      <c r="J719" s="53"/>
      <c r="K719" s="53"/>
      <c r="L719" s="11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30" x14ac:dyDescent="0.4">
      <c r="A720" s="53"/>
      <c r="B720" s="151"/>
      <c r="C720" s="53"/>
      <c r="D720" s="53"/>
      <c r="E720" s="53"/>
      <c r="F720" s="53"/>
      <c r="G720" s="53"/>
      <c r="H720" s="53"/>
      <c r="I720" s="53"/>
      <c r="J720" s="53"/>
      <c r="K720" s="53"/>
      <c r="L720" s="11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30" x14ac:dyDescent="0.4">
      <c r="A721" s="53"/>
      <c r="B721" s="151"/>
      <c r="C721" s="53"/>
      <c r="D721" s="53"/>
      <c r="E721" s="53"/>
      <c r="F721" s="53"/>
      <c r="G721" s="53"/>
      <c r="H721" s="53"/>
      <c r="I721" s="53"/>
      <c r="J721" s="53"/>
      <c r="K721" s="53"/>
      <c r="L721" s="11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30" x14ac:dyDescent="0.4">
      <c r="A722" s="53"/>
      <c r="B722" s="151"/>
      <c r="C722" s="53"/>
      <c r="D722" s="53"/>
      <c r="E722" s="53"/>
      <c r="F722" s="53"/>
      <c r="G722" s="53"/>
      <c r="H722" s="53"/>
      <c r="I722" s="53"/>
      <c r="J722" s="53"/>
      <c r="K722" s="53"/>
      <c r="L722" s="11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30" x14ac:dyDescent="0.4">
      <c r="A723" s="53"/>
      <c r="B723" s="151"/>
      <c r="C723" s="53"/>
      <c r="D723" s="53"/>
      <c r="E723" s="53"/>
      <c r="F723" s="53"/>
      <c r="G723" s="53"/>
      <c r="H723" s="53"/>
      <c r="I723" s="53"/>
      <c r="J723" s="53"/>
      <c r="K723" s="53"/>
      <c r="L723" s="11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30" x14ac:dyDescent="0.4">
      <c r="A724" s="53"/>
      <c r="B724" s="151"/>
      <c r="C724" s="53"/>
      <c r="D724" s="53"/>
      <c r="E724" s="53"/>
      <c r="F724" s="53"/>
      <c r="G724" s="53"/>
      <c r="H724" s="53"/>
      <c r="I724" s="53"/>
      <c r="J724" s="53"/>
      <c r="K724" s="53"/>
      <c r="L724" s="11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30" x14ac:dyDescent="0.4">
      <c r="A725" s="53"/>
      <c r="B725" s="151"/>
      <c r="C725" s="53"/>
      <c r="D725" s="53"/>
      <c r="E725" s="53"/>
      <c r="F725" s="53"/>
      <c r="G725" s="53"/>
      <c r="H725" s="53"/>
      <c r="I725" s="53"/>
      <c r="J725" s="53"/>
      <c r="K725" s="53"/>
      <c r="L725" s="11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30" x14ac:dyDescent="0.4">
      <c r="A726" s="53"/>
      <c r="B726" s="151"/>
      <c r="C726" s="53"/>
      <c r="D726" s="53"/>
      <c r="E726" s="53"/>
      <c r="F726" s="53"/>
      <c r="G726" s="53"/>
      <c r="H726" s="53"/>
      <c r="I726" s="53"/>
      <c r="J726" s="53"/>
      <c r="K726" s="53"/>
      <c r="L726" s="11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30" x14ac:dyDescent="0.4">
      <c r="A727" s="53"/>
      <c r="B727" s="151"/>
      <c r="C727" s="53"/>
      <c r="D727" s="53"/>
      <c r="E727" s="53"/>
      <c r="F727" s="53"/>
      <c r="G727" s="53"/>
      <c r="H727" s="53"/>
      <c r="I727" s="53"/>
      <c r="J727" s="53"/>
      <c r="K727" s="53"/>
      <c r="L727" s="11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30" x14ac:dyDescent="0.4">
      <c r="A728" s="53"/>
      <c r="B728" s="151"/>
      <c r="C728" s="53"/>
      <c r="D728" s="53"/>
      <c r="E728" s="53"/>
      <c r="F728" s="53"/>
      <c r="G728" s="53"/>
      <c r="H728" s="53"/>
      <c r="I728" s="53"/>
      <c r="J728" s="53"/>
      <c r="K728" s="53"/>
      <c r="L728" s="11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30" x14ac:dyDescent="0.4">
      <c r="A729" s="53"/>
      <c r="B729" s="151"/>
      <c r="C729" s="53"/>
      <c r="D729" s="53"/>
      <c r="E729" s="53"/>
      <c r="F729" s="53"/>
      <c r="G729" s="53"/>
      <c r="H729" s="53"/>
      <c r="I729" s="53"/>
      <c r="J729" s="53"/>
      <c r="K729" s="53"/>
      <c r="L729" s="11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30" x14ac:dyDescent="0.4">
      <c r="A730" s="53"/>
      <c r="B730" s="151"/>
      <c r="C730" s="53"/>
      <c r="D730" s="53"/>
      <c r="E730" s="53"/>
      <c r="F730" s="53"/>
      <c r="G730" s="53"/>
      <c r="H730" s="53"/>
      <c r="I730" s="53"/>
      <c r="J730" s="53"/>
      <c r="K730" s="53"/>
      <c r="L730" s="11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30" x14ac:dyDescent="0.4">
      <c r="A731" s="53"/>
      <c r="B731" s="151"/>
      <c r="C731" s="53"/>
      <c r="D731" s="53"/>
      <c r="E731" s="53"/>
      <c r="F731" s="53"/>
      <c r="G731" s="53"/>
      <c r="H731" s="53"/>
      <c r="I731" s="53"/>
      <c r="J731" s="53"/>
      <c r="K731" s="53"/>
      <c r="L731" s="11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30" x14ac:dyDescent="0.4">
      <c r="A732" s="53"/>
      <c r="B732" s="151"/>
      <c r="C732" s="53"/>
      <c r="D732" s="53"/>
      <c r="E732" s="53"/>
      <c r="F732" s="53"/>
      <c r="G732" s="53"/>
      <c r="H732" s="53"/>
      <c r="I732" s="53"/>
      <c r="J732" s="53"/>
      <c r="K732" s="53"/>
      <c r="L732" s="11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30" x14ac:dyDescent="0.4">
      <c r="A733" s="53"/>
      <c r="B733" s="151"/>
      <c r="C733" s="53"/>
      <c r="D733" s="53"/>
      <c r="E733" s="53"/>
      <c r="F733" s="53"/>
      <c r="G733" s="53"/>
      <c r="H733" s="53"/>
      <c r="I733" s="53"/>
      <c r="J733" s="53"/>
      <c r="K733" s="53"/>
      <c r="L733" s="11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30" x14ac:dyDescent="0.4">
      <c r="A734" s="53"/>
      <c r="B734" s="151"/>
      <c r="C734" s="53"/>
      <c r="D734" s="53"/>
      <c r="E734" s="53"/>
      <c r="F734" s="53"/>
      <c r="G734" s="53"/>
      <c r="H734" s="53"/>
      <c r="I734" s="53"/>
      <c r="J734" s="53"/>
      <c r="K734" s="53"/>
      <c r="L734" s="11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30" x14ac:dyDescent="0.4">
      <c r="A735" s="53"/>
      <c r="B735" s="151"/>
      <c r="C735" s="53"/>
      <c r="D735" s="53"/>
      <c r="E735" s="53"/>
      <c r="F735" s="53"/>
      <c r="G735" s="53"/>
      <c r="H735" s="53"/>
      <c r="I735" s="53"/>
      <c r="J735" s="53"/>
      <c r="K735" s="53"/>
      <c r="L735" s="11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30" x14ac:dyDescent="0.4">
      <c r="A736" s="53"/>
      <c r="B736" s="151"/>
      <c r="C736" s="53"/>
      <c r="D736" s="53"/>
      <c r="E736" s="53"/>
      <c r="F736" s="53"/>
      <c r="G736" s="53"/>
      <c r="H736" s="53"/>
      <c r="I736" s="53"/>
      <c r="J736" s="53"/>
      <c r="K736" s="53"/>
      <c r="L736" s="11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30" x14ac:dyDescent="0.4">
      <c r="A737" s="53"/>
      <c r="B737" s="151"/>
      <c r="C737" s="53"/>
      <c r="D737" s="53"/>
      <c r="E737" s="53"/>
      <c r="F737" s="53"/>
      <c r="G737" s="53"/>
      <c r="H737" s="53"/>
      <c r="I737" s="53"/>
      <c r="J737" s="53"/>
      <c r="K737" s="53"/>
      <c r="L737" s="11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30" x14ac:dyDescent="0.4">
      <c r="A738" s="53"/>
      <c r="B738" s="151"/>
      <c r="C738" s="53"/>
      <c r="D738" s="53"/>
      <c r="E738" s="53"/>
      <c r="F738" s="53"/>
      <c r="G738" s="53"/>
      <c r="H738" s="53"/>
      <c r="I738" s="53"/>
      <c r="J738" s="53"/>
      <c r="K738" s="53"/>
      <c r="L738" s="11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30" x14ac:dyDescent="0.4">
      <c r="A739" s="53"/>
      <c r="B739" s="151"/>
      <c r="C739" s="53"/>
      <c r="D739" s="53"/>
      <c r="E739" s="53"/>
      <c r="F739" s="53"/>
      <c r="G739" s="53"/>
      <c r="H739" s="53"/>
      <c r="I739" s="53"/>
      <c r="J739" s="53"/>
      <c r="K739" s="53"/>
      <c r="L739" s="11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30" x14ac:dyDescent="0.4">
      <c r="A740" s="53"/>
      <c r="B740" s="151"/>
      <c r="C740" s="53"/>
      <c r="D740" s="53"/>
      <c r="E740" s="53"/>
      <c r="F740" s="53"/>
      <c r="G740" s="53"/>
      <c r="H740" s="53"/>
      <c r="I740" s="53"/>
      <c r="J740" s="53"/>
      <c r="K740" s="53"/>
      <c r="L740" s="11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30" x14ac:dyDescent="0.4">
      <c r="A741" s="53"/>
      <c r="B741" s="151"/>
      <c r="C741" s="53"/>
      <c r="D741" s="53"/>
      <c r="E741" s="53"/>
      <c r="F741" s="53"/>
      <c r="G741" s="53"/>
      <c r="H741" s="53"/>
      <c r="I741" s="53"/>
      <c r="J741" s="53"/>
      <c r="K741" s="53"/>
      <c r="L741" s="11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30" x14ac:dyDescent="0.4">
      <c r="A742" s="53"/>
      <c r="B742" s="151"/>
      <c r="C742" s="53"/>
      <c r="D742" s="53"/>
      <c r="E742" s="53"/>
      <c r="F742" s="53"/>
      <c r="G742" s="53"/>
      <c r="H742" s="53"/>
      <c r="I742" s="53"/>
      <c r="J742" s="53"/>
      <c r="K742" s="53"/>
      <c r="L742" s="11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30" x14ac:dyDescent="0.4">
      <c r="A743" s="53"/>
      <c r="B743" s="151"/>
      <c r="C743" s="53"/>
      <c r="D743" s="53"/>
      <c r="E743" s="53"/>
      <c r="F743" s="53"/>
      <c r="G743" s="53"/>
      <c r="H743" s="53"/>
      <c r="I743" s="53"/>
      <c r="J743" s="53"/>
      <c r="K743" s="53"/>
      <c r="L743" s="11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30" x14ac:dyDescent="0.4">
      <c r="A744" s="53"/>
      <c r="B744" s="151"/>
      <c r="C744" s="53"/>
      <c r="D744" s="53"/>
      <c r="E744" s="53"/>
      <c r="F744" s="53"/>
      <c r="G744" s="53"/>
      <c r="H744" s="53"/>
      <c r="I744" s="53"/>
      <c r="J744" s="53"/>
      <c r="K744" s="53"/>
      <c r="L744" s="11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30" x14ac:dyDescent="0.4">
      <c r="A745" s="53"/>
      <c r="B745" s="151"/>
      <c r="C745" s="53"/>
      <c r="D745" s="53"/>
      <c r="E745" s="53"/>
      <c r="F745" s="53"/>
      <c r="G745" s="53"/>
      <c r="H745" s="53"/>
      <c r="I745" s="53"/>
      <c r="J745" s="53"/>
      <c r="K745" s="53"/>
      <c r="L745" s="11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30" x14ac:dyDescent="0.4">
      <c r="A746" s="53"/>
      <c r="B746" s="151"/>
      <c r="C746" s="53"/>
      <c r="D746" s="53"/>
      <c r="E746" s="53"/>
      <c r="F746" s="53"/>
      <c r="G746" s="53"/>
      <c r="H746" s="53"/>
      <c r="I746" s="53"/>
      <c r="J746" s="53"/>
      <c r="K746" s="53"/>
      <c r="L746" s="11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30" x14ac:dyDescent="0.4">
      <c r="A747" s="53"/>
      <c r="B747" s="151"/>
      <c r="C747" s="53"/>
      <c r="D747" s="53"/>
      <c r="E747" s="53"/>
      <c r="F747" s="53"/>
      <c r="G747" s="53"/>
      <c r="H747" s="53"/>
      <c r="I747" s="53"/>
      <c r="J747" s="53"/>
      <c r="K747" s="53"/>
      <c r="L747" s="11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30" x14ac:dyDescent="0.4">
      <c r="A748" s="53"/>
      <c r="B748" s="151"/>
      <c r="C748" s="53"/>
      <c r="D748" s="53"/>
      <c r="E748" s="53"/>
      <c r="F748" s="53"/>
      <c r="G748" s="53"/>
      <c r="H748" s="53"/>
      <c r="I748" s="53"/>
      <c r="J748" s="53"/>
      <c r="K748" s="53"/>
      <c r="L748" s="11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30" x14ac:dyDescent="0.4">
      <c r="A749" s="53"/>
      <c r="B749" s="151"/>
      <c r="C749" s="53"/>
      <c r="D749" s="53"/>
      <c r="E749" s="53"/>
      <c r="F749" s="53"/>
      <c r="G749" s="53"/>
      <c r="H749" s="53"/>
      <c r="I749" s="53"/>
      <c r="J749" s="53"/>
      <c r="K749" s="53"/>
      <c r="L749" s="11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30" x14ac:dyDescent="0.4">
      <c r="A750" s="53"/>
      <c r="B750" s="151"/>
      <c r="C750" s="53"/>
      <c r="D750" s="53"/>
      <c r="E750" s="53"/>
      <c r="F750" s="53"/>
      <c r="G750" s="53"/>
      <c r="H750" s="53"/>
      <c r="I750" s="53"/>
      <c r="J750" s="53"/>
      <c r="K750" s="53"/>
      <c r="L750" s="11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30" x14ac:dyDescent="0.4">
      <c r="A751" s="53"/>
      <c r="B751" s="151"/>
      <c r="C751" s="53"/>
      <c r="D751" s="53"/>
      <c r="E751" s="53"/>
      <c r="F751" s="53"/>
      <c r="G751" s="53"/>
      <c r="H751" s="53"/>
      <c r="I751" s="53"/>
      <c r="J751" s="53"/>
      <c r="K751" s="53"/>
      <c r="L751" s="11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30" x14ac:dyDescent="0.4">
      <c r="A752" s="53"/>
      <c r="B752" s="151"/>
      <c r="C752" s="53"/>
      <c r="D752" s="53"/>
      <c r="E752" s="53"/>
      <c r="F752" s="53"/>
      <c r="G752" s="53"/>
      <c r="H752" s="53"/>
      <c r="I752" s="53"/>
      <c r="J752" s="53"/>
      <c r="K752" s="53"/>
      <c r="L752" s="11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30" x14ac:dyDescent="0.4">
      <c r="A753" s="53"/>
      <c r="B753" s="151"/>
      <c r="C753" s="53"/>
      <c r="D753" s="53"/>
      <c r="E753" s="53"/>
      <c r="F753" s="53"/>
      <c r="G753" s="53"/>
      <c r="H753" s="53"/>
      <c r="I753" s="53"/>
      <c r="J753" s="53"/>
      <c r="K753" s="53"/>
      <c r="L753" s="11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30" x14ac:dyDescent="0.4">
      <c r="A754" s="53"/>
      <c r="B754" s="151"/>
      <c r="C754" s="53"/>
      <c r="D754" s="53"/>
      <c r="E754" s="53"/>
      <c r="F754" s="53"/>
      <c r="G754" s="53"/>
      <c r="H754" s="53"/>
      <c r="I754" s="53"/>
      <c r="J754" s="53"/>
      <c r="K754" s="53"/>
      <c r="L754" s="11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30" x14ac:dyDescent="0.4">
      <c r="A755" s="53"/>
      <c r="B755" s="151"/>
      <c r="C755" s="53"/>
      <c r="D755" s="53"/>
      <c r="E755" s="53"/>
      <c r="F755" s="53"/>
      <c r="G755" s="53"/>
      <c r="H755" s="53"/>
      <c r="I755" s="53"/>
      <c r="J755" s="53"/>
      <c r="K755" s="53"/>
      <c r="L755" s="11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30" x14ac:dyDescent="0.4">
      <c r="A756" s="53"/>
      <c r="B756" s="151"/>
      <c r="C756" s="53"/>
      <c r="D756" s="53"/>
      <c r="E756" s="53"/>
      <c r="F756" s="53"/>
      <c r="G756" s="53"/>
      <c r="H756" s="53"/>
      <c r="I756" s="53"/>
      <c r="J756" s="53"/>
      <c r="K756" s="53"/>
      <c r="L756" s="11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30" x14ac:dyDescent="0.4">
      <c r="A757" s="53"/>
      <c r="B757" s="151"/>
      <c r="C757" s="53"/>
      <c r="D757" s="53"/>
      <c r="E757" s="53"/>
      <c r="F757" s="53"/>
      <c r="G757" s="53"/>
      <c r="H757" s="53"/>
      <c r="I757" s="53"/>
      <c r="J757" s="53"/>
      <c r="K757" s="53"/>
      <c r="L757" s="11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30" x14ac:dyDescent="0.4">
      <c r="A758" s="53"/>
      <c r="B758" s="151"/>
      <c r="C758" s="53"/>
      <c r="D758" s="53"/>
      <c r="E758" s="53"/>
      <c r="F758" s="53"/>
      <c r="G758" s="53"/>
      <c r="H758" s="53"/>
      <c r="I758" s="53"/>
      <c r="J758" s="53"/>
      <c r="K758" s="53"/>
      <c r="L758" s="11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30" x14ac:dyDescent="0.4">
      <c r="A759" s="53"/>
      <c r="B759" s="151"/>
      <c r="C759" s="53"/>
      <c r="D759" s="53"/>
      <c r="E759" s="53"/>
      <c r="F759" s="53"/>
      <c r="G759" s="53"/>
      <c r="H759" s="53"/>
      <c r="I759" s="53"/>
      <c r="J759" s="53"/>
      <c r="K759" s="53"/>
      <c r="L759" s="11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30" x14ac:dyDescent="0.4">
      <c r="A760" s="53"/>
      <c r="B760" s="151"/>
      <c r="C760" s="53"/>
      <c r="D760" s="53"/>
      <c r="E760" s="53"/>
      <c r="F760" s="53"/>
      <c r="G760" s="53"/>
      <c r="H760" s="53"/>
      <c r="I760" s="53"/>
      <c r="J760" s="53"/>
      <c r="K760" s="53"/>
      <c r="L760" s="11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30" x14ac:dyDescent="0.4">
      <c r="A761" s="53"/>
      <c r="B761" s="151"/>
      <c r="C761" s="53"/>
      <c r="D761" s="53"/>
      <c r="E761" s="53"/>
      <c r="F761" s="53"/>
      <c r="G761" s="53"/>
      <c r="H761" s="53"/>
      <c r="I761" s="53"/>
      <c r="J761" s="53"/>
      <c r="K761" s="53"/>
      <c r="L761" s="11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30" x14ac:dyDescent="0.4">
      <c r="A762" s="53"/>
      <c r="B762" s="151"/>
      <c r="C762" s="53"/>
      <c r="D762" s="53"/>
      <c r="E762" s="53"/>
      <c r="F762" s="53"/>
      <c r="G762" s="53"/>
      <c r="H762" s="53"/>
      <c r="I762" s="53"/>
      <c r="J762" s="53"/>
      <c r="K762" s="53"/>
      <c r="L762" s="11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30" x14ac:dyDescent="0.4">
      <c r="A763" s="53"/>
      <c r="B763" s="151"/>
      <c r="C763" s="53"/>
      <c r="D763" s="53"/>
      <c r="E763" s="53"/>
      <c r="F763" s="53"/>
      <c r="G763" s="53"/>
      <c r="H763" s="53"/>
      <c r="I763" s="53"/>
      <c r="J763" s="53"/>
      <c r="K763" s="53"/>
      <c r="L763" s="11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30" x14ac:dyDescent="0.4">
      <c r="A764" s="53"/>
      <c r="B764" s="151"/>
      <c r="C764" s="53"/>
      <c r="D764" s="53"/>
      <c r="E764" s="53"/>
      <c r="F764" s="53"/>
      <c r="G764" s="53"/>
      <c r="H764" s="53"/>
      <c r="I764" s="53"/>
      <c r="J764" s="53"/>
      <c r="K764" s="53"/>
      <c r="L764" s="11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30" x14ac:dyDescent="0.4">
      <c r="A765" s="53"/>
      <c r="B765" s="151"/>
      <c r="C765" s="53"/>
      <c r="D765" s="53"/>
      <c r="E765" s="53"/>
      <c r="F765" s="53"/>
      <c r="G765" s="53"/>
      <c r="H765" s="53"/>
      <c r="I765" s="53"/>
      <c r="J765" s="53"/>
      <c r="K765" s="53"/>
      <c r="L765" s="11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30" x14ac:dyDescent="0.4">
      <c r="A766" s="53"/>
      <c r="B766" s="151"/>
      <c r="C766" s="53"/>
      <c r="D766" s="53"/>
      <c r="E766" s="53"/>
      <c r="F766" s="53"/>
      <c r="G766" s="53"/>
      <c r="H766" s="53"/>
      <c r="I766" s="53"/>
      <c r="J766" s="53"/>
      <c r="K766" s="53"/>
      <c r="L766" s="11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30" x14ac:dyDescent="0.4">
      <c r="A767" s="53"/>
      <c r="B767" s="151"/>
      <c r="C767" s="53"/>
      <c r="D767" s="53"/>
      <c r="E767" s="53"/>
      <c r="F767" s="53"/>
      <c r="G767" s="53"/>
      <c r="H767" s="53"/>
      <c r="I767" s="53"/>
      <c r="J767" s="53"/>
      <c r="K767" s="53"/>
      <c r="L767" s="11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30" x14ac:dyDescent="0.4">
      <c r="A768" s="53"/>
      <c r="B768" s="151"/>
      <c r="C768" s="53"/>
      <c r="D768" s="53"/>
      <c r="E768" s="53"/>
      <c r="F768" s="53"/>
      <c r="G768" s="53"/>
      <c r="H768" s="53"/>
      <c r="I768" s="53"/>
      <c r="J768" s="53"/>
      <c r="K768" s="53"/>
      <c r="L768" s="11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30" x14ac:dyDescent="0.4">
      <c r="A769" s="53"/>
      <c r="B769" s="151"/>
      <c r="C769" s="53"/>
      <c r="D769" s="53"/>
      <c r="E769" s="53"/>
      <c r="F769" s="53"/>
      <c r="G769" s="53"/>
      <c r="H769" s="53"/>
      <c r="I769" s="53"/>
      <c r="J769" s="53"/>
      <c r="K769" s="53"/>
      <c r="L769" s="11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30" x14ac:dyDescent="0.4">
      <c r="A770" s="53"/>
      <c r="B770" s="151"/>
      <c r="C770" s="53"/>
      <c r="D770" s="53"/>
      <c r="E770" s="53"/>
      <c r="F770" s="53"/>
      <c r="G770" s="53"/>
      <c r="H770" s="53"/>
      <c r="I770" s="53"/>
      <c r="J770" s="53"/>
      <c r="K770" s="53"/>
      <c r="L770" s="11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30" x14ac:dyDescent="0.4">
      <c r="A771" s="53"/>
      <c r="B771" s="151"/>
      <c r="C771" s="53"/>
      <c r="D771" s="53"/>
      <c r="E771" s="53"/>
      <c r="F771" s="53"/>
      <c r="G771" s="53"/>
      <c r="H771" s="53"/>
      <c r="I771" s="53"/>
      <c r="J771" s="53"/>
      <c r="K771" s="53"/>
      <c r="L771" s="11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30" x14ac:dyDescent="0.4">
      <c r="A772" s="53"/>
      <c r="B772" s="151"/>
      <c r="C772" s="53"/>
      <c r="D772" s="53"/>
      <c r="E772" s="53"/>
      <c r="F772" s="53"/>
      <c r="G772" s="53"/>
      <c r="H772" s="53"/>
      <c r="I772" s="53"/>
      <c r="J772" s="53"/>
      <c r="K772" s="53"/>
      <c r="L772" s="11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30" x14ac:dyDescent="0.4">
      <c r="A773" s="53"/>
      <c r="B773" s="151"/>
      <c r="C773" s="53"/>
      <c r="D773" s="53"/>
      <c r="E773" s="53"/>
      <c r="F773" s="53"/>
      <c r="G773" s="53"/>
      <c r="H773" s="53"/>
      <c r="I773" s="53"/>
      <c r="J773" s="53"/>
      <c r="K773" s="53"/>
      <c r="L773" s="11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30" x14ac:dyDescent="0.4">
      <c r="A774" s="53"/>
      <c r="B774" s="151"/>
      <c r="C774" s="53"/>
      <c r="D774" s="53"/>
      <c r="E774" s="53"/>
      <c r="F774" s="53"/>
      <c r="G774" s="53"/>
      <c r="H774" s="53"/>
      <c r="I774" s="53"/>
      <c r="J774" s="53"/>
      <c r="K774" s="53"/>
      <c r="L774" s="11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30" x14ac:dyDescent="0.4">
      <c r="A775" s="53"/>
      <c r="B775" s="151"/>
      <c r="C775" s="53"/>
      <c r="D775" s="53"/>
      <c r="E775" s="53"/>
      <c r="F775" s="53"/>
      <c r="G775" s="53"/>
      <c r="H775" s="53"/>
      <c r="I775" s="53"/>
      <c r="J775" s="53"/>
      <c r="K775" s="53"/>
      <c r="L775" s="11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30" x14ac:dyDescent="0.4">
      <c r="A776" s="53"/>
      <c r="B776" s="151"/>
      <c r="C776" s="53"/>
      <c r="D776" s="53"/>
      <c r="E776" s="53"/>
      <c r="F776" s="53"/>
      <c r="G776" s="53"/>
      <c r="H776" s="53"/>
      <c r="I776" s="53"/>
      <c r="J776" s="53"/>
      <c r="K776" s="53"/>
      <c r="L776" s="11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30" x14ac:dyDescent="0.4">
      <c r="A777" s="53"/>
      <c r="B777" s="151"/>
      <c r="C777" s="53"/>
      <c r="D777" s="53"/>
      <c r="E777" s="53"/>
      <c r="F777" s="53"/>
      <c r="G777" s="53"/>
      <c r="H777" s="53"/>
      <c r="I777" s="53"/>
      <c r="J777" s="53"/>
      <c r="K777" s="53"/>
      <c r="L777" s="11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30" x14ac:dyDescent="0.4">
      <c r="A778" s="53"/>
      <c r="B778" s="151"/>
      <c r="C778" s="53"/>
      <c r="D778" s="53"/>
      <c r="E778" s="53"/>
      <c r="F778" s="53"/>
      <c r="G778" s="53"/>
      <c r="H778" s="53"/>
      <c r="I778" s="53"/>
      <c r="J778" s="53"/>
      <c r="K778" s="53"/>
      <c r="L778" s="11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30" x14ac:dyDescent="0.4">
      <c r="A779" s="53"/>
      <c r="B779" s="151"/>
      <c r="C779" s="53"/>
      <c r="D779" s="53"/>
      <c r="E779" s="53"/>
      <c r="F779" s="53"/>
      <c r="G779" s="53"/>
      <c r="H779" s="53"/>
      <c r="I779" s="53"/>
      <c r="J779" s="53"/>
      <c r="K779" s="53"/>
      <c r="L779" s="11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30" x14ac:dyDescent="0.4">
      <c r="A780" s="53"/>
      <c r="B780" s="151"/>
      <c r="C780" s="53"/>
      <c r="D780" s="53"/>
      <c r="E780" s="53"/>
      <c r="F780" s="53"/>
      <c r="G780" s="53"/>
      <c r="H780" s="53"/>
      <c r="I780" s="53"/>
      <c r="J780" s="53"/>
      <c r="K780" s="53"/>
      <c r="L780" s="11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30" x14ac:dyDescent="0.4">
      <c r="A781" s="53"/>
      <c r="B781" s="151"/>
      <c r="C781" s="53"/>
      <c r="D781" s="53"/>
      <c r="E781" s="53"/>
      <c r="F781" s="53"/>
      <c r="G781" s="53"/>
      <c r="H781" s="53"/>
      <c r="I781" s="53"/>
      <c r="J781" s="53"/>
      <c r="K781" s="53"/>
      <c r="L781" s="11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30" x14ac:dyDescent="0.4">
      <c r="A782" s="53"/>
      <c r="B782" s="151"/>
      <c r="C782" s="53"/>
      <c r="D782" s="53"/>
      <c r="E782" s="53"/>
      <c r="F782" s="53"/>
      <c r="G782" s="53"/>
      <c r="H782" s="53"/>
      <c r="I782" s="53"/>
      <c r="J782" s="53"/>
      <c r="K782" s="53"/>
      <c r="L782" s="11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30" x14ac:dyDescent="0.4">
      <c r="A783" s="53"/>
      <c r="B783" s="151"/>
      <c r="C783" s="53"/>
      <c r="D783" s="53"/>
      <c r="E783" s="53"/>
      <c r="F783" s="53"/>
      <c r="G783" s="53"/>
      <c r="H783" s="53"/>
      <c r="I783" s="53"/>
      <c r="J783" s="53"/>
      <c r="K783" s="53"/>
      <c r="L783" s="11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30" x14ac:dyDescent="0.4">
      <c r="A784" s="53"/>
      <c r="B784" s="151"/>
      <c r="C784" s="53"/>
      <c r="D784" s="53"/>
      <c r="E784" s="53"/>
      <c r="F784" s="53"/>
      <c r="G784" s="53"/>
      <c r="H784" s="53"/>
      <c r="I784" s="53"/>
      <c r="J784" s="53"/>
      <c r="K784" s="53"/>
      <c r="L784" s="11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30" x14ac:dyDescent="0.4">
      <c r="A785" s="53"/>
      <c r="B785" s="151"/>
      <c r="C785" s="53"/>
      <c r="D785" s="53"/>
      <c r="E785" s="53"/>
      <c r="F785" s="53"/>
      <c r="G785" s="53"/>
      <c r="H785" s="53"/>
      <c r="I785" s="53"/>
      <c r="J785" s="53"/>
      <c r="K785" s="53"/>
      <c r="L785" s="11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30" x14ac:dyDescent="0.4">
      <c r="A786" s="53"/>
      <c r="B786" s="151"/>
      <c r="C786" s="53"/>
      <c r="D786" s="53"/>
      <c r="E786" s="53"/>
      <c r="F786" s="53"/>
      <c r="G786" s="53"/>
      <c r="H786" s="53"/>
      <c r="I786" s="53"/>
      <c r="J786" s="53"/>
      <c r="K786" s="53"/>
      <c r="L786" s="11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30" x14ac:dyDescent="0.4">
      <c r="A787" s="53"/>
      <c r="B787" s="151"/>
      <c r="C787" s="53"/>
      <c r="D787" s="53"/>
      <c r="E787" s="53"/>
      <c r="F787" s="53"/>
      <c r="G787" s="53"/>
      <c r="H787" s="53"/>
      <c r="I787" s="53"/>
      <c r="J787" s="53"/>
      <c r="K787" s="53"/>
      <c r="L787" s="11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30" x14ac:dyDescent="0.4">
      <c r="A788" s="53"/>
      <c r="B788" s="151"/>
      <c r="C788" s="53"/>
      <c r="D788" s="53"/>
      <c r="E788" s="53"/>
      <c r="F788" s="53"/>
      <c r="G788" s="53"/>
      <c r="H788" s="53"/>
      <c r="I788" s="53"/>
      <c r="J788" s="53"/>
      <c r="K788" s="53"/>
      <c r="L788" s="11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30" x14ac:dyDescent="0.4">
      <c r="A789" s="53"/>
      <c r="B789" s="151"/>
      <c r="C789" s="53"/>
      <c r="D789" s="53"/>
      <c r="E789" s="53"/>
      <c r="F789" s="53"/>
      <c r="G789" s="53"/>
      <c r="H789" s="53"/>
      <c r="I789" s="53"/>
      <c r="J789" s="53"/>
      <c r="K789" s="53"/>
      <c r="L789" s="11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30" x14ac:dyDescent="0.4">
      <c r="A790" s="53"/>
      <c r="B790" s="151"/>
      <c r="C790" s="53"/>
      <c r="D790" s="53"/>
      <c r="E790" s="53"/>
      <c r="F790" s="53"/>
      <c r="G790" s="53"/>
      <c r="H790" s="53"/>
      <c r="I790" s="53"/>
      <c r="J790" s="53"/>
      <c r="K790" s="53"/>
      <c r="L790" s="11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30" x14ac:dyDescent="0.4">
      <c r="A791" s="53"/>
      <c r="B791" s="151"/>
      <c r="C791" s="53"/>
      <c r="D791" s="53"/>
      <c r="E791" s="53"/>
      <c r="F791" s="53"/>
      <c r="G791" s="53"/>
      <c r="H791" s="53"/>
      <c r="I791" s="53"/>
      <c r="J791" s="53"/>
      <c r="K791" s="53"/>
      <c r="L791" s="11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30" x14ac:dyDescent="0.4">
      <c r="A792" s="53"/>
      <c r="B792" s="151"/>
      <c r="C792" s="53"/>
      <c r="D792" s="53"/>
      <c r="E792" s="53"/>
      <c r="F792" s="53"/>
      <c r="G792" s="53"/>
      <c r="H792" s="53"/>
      <c r="I792" s="53"/>
      <c r="J792" s="53"/>
      <c r="K792" s="53"/>
      <c r="L792" s="11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30" x14ac:dyDescent="0.4">
      <c r="A793" s="53"/>
      <c r="B793" s="151"/>
      <c r="C793" s="53"/>
      <c r="D793" s="53"/>
      <c r="E793" s="53"/>
      <c r="F793" s="53"/>
      <c r="G793" s="53"/>
      <c r="H793" s="53"/>
      <c r="I793" s="53"/>
      <c r="J793" s="53"/>
      <c r="K793" s="53"/>
      <c r="L793" s="11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30" x14ac:dyDescent="0.4">
      <c r="A794" s="53"/>
      <c r="B794" s="151"/>
      <c r="C794" s="53"/>
      <c r="D794" s="53"/>
      <c r="E794" s="53"/>
      <c r="F794" s="53"/>
      <c r="G794" s="53"/>
      <c r="H794" s="53"/>
      <c r="I794" s="53"/>
      <c r="J794" s="53"/>
      <c r="K794" s="53"/>
      <c r="L794" s="11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30" x14ac:dyDescent="0.4">
      <c r="A795" s="53"/>
      <c r="B795" s="151"/>
      <c r="C795" s="53"/>
      <c r="D795" s="53"/>
      <c r="E795" s="53"/>
      <c r="F795" s="53"/>
      <c r="G795" s="53"/>
      <c r="H795" s="53"/>
      <c r="I795" s="53"/>
      <c r="J795" s="53"/>
      <c r="K795" s="53"/>
      <c r="L795" s="11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30" x14ac:dyDescent="0.4">
      <c r="A796" s="53"/>
      <c r="B796" s="151"/>
      <c r="C796" s="53"/>
      <c r="D796" s="53"/>
      <c r="E796" s="53"/>
      <c r="F796" s="53"/>
      <c r="G796" s="53"/>
      <c r="H796" s="53"/>
      <c r="I796" s="53"/>
      <c r="J796" s="53"/>
      <c r="K796" s="53"/>
      <c r="L796" s="11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30" x14ac:dyDescent="0.4">
      <c r="A797" s="53"/>
      <c r="B797" s="151"/>
      <c r="C797" s="53"/>
      <c r="D797" s="53"/>
      <c r="E797" s="53"/>
      <c r="F797" s="53"/>
      <c r="G797" s="53"/>
      <c r="H797" s="53"/>
      <c r="I797" s="53"/>
      <c r="J797" s="53"/>
      <c r="K797" s="53"/>
      <c r="L797" s="11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30" x14ac:dyDescent="0.4">
      <c r="A798" s="53"/>
      <c r="B798" s="151"/>
      <c r="C798" s="53"/>
      <c r="D798" s="53"/>
      <c r="E798" s="53"/>
      <c r="F798" s="53"/>
      <c r="G798" s="53"/>
      <c r="H798" s="53"/>
      <c r="I798" s="53"/>
      <c r="J798" s="53"/>
      <c r="K798" s="53"/>
      <c r="L798" s="11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30" x14ac:dyDescent="0.4">
      <c r="A799" s="53"/>
      <c r="B799" s="151"/>
      <c r="C799" s="53"/>
      <c r="D799" s="53"/>
      <c r="E799" s="53"/>
      <c r="F799" s="53"/>
      <c r="G799" s="53"/>
      <c r="H799" s="53"/>
      <c r="I799" s="53"/>
      <c r="J799" s="53"/>
      <c r="K799" s="53"/>
      <c r="L799" s="11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30" x14ac:dyDescent="0.4">
      <c r="A800" s="53"/>
      <c r="B800" s="151"/>
      <c r="C800" s="53"/>
      <c r="D800" s="53"/>
      <c r="E800" s="53"/>
      <c r="F800" s="53"/>
      <c r="G800" s="53"/>
      <c r="H800" s="53"/>
      <c r="I800" s="53"/>
      <c r="J800" s="53"/>
      <c r="K800" s="53"/>
      <c r="L800" s="11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30" x14ac:dyDescent="0.4">
      <c r="A801" s="53"/>
      <c r="B801" s="151"/>
      <c r="C801" s="53"/>
      <c r="D801" s="53"/>
      <c r="E801" s="53"/>
      <c r="F801" s="53"/>
      <c r="G801" s="53"/>
      <c r="H801" s="53"/>
      <c r="I801" s="53"/>
      <c r="J801" s="53"/>
      <c r="K801" s="53"/>
      <c r="L801" s="11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30" x14ac:dyDescent="0.4">
      <c r="A802" s="53"/>
      <c r="B802" s="151"/>
      <c r="C802" s="53"/>
      <c r="D802" s="53"/>
      <c r="E802" s="53"/>
      <c r="F802" s="53"/>
      <c r="G802" s="53"/>
      <c r="H802" s="53"/>
      <c r="I802" s="53"/>
      <c r="J802" s="53"/>
      <c r="K802" s="53"/>
      <c r="L802" s="11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30" x14ac:dyDescent="0.4">
      <c r="A803" s="53"/>
      <c r="B803" s="151"/>
      <c r="C803" s="53"/>
      <c r="D803" s="53"/>
      <c r="E803" s="53"/>
      <c r="F803" s="53"/>
      <c r="G803" s="53"/>
      <c r="H803" s="53"/>
      <c r="I803" s="53"/>
      <c r="J803" s="53"/>
      <c r="K803" s="53"/>
      <c r="L803" s="11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30" x14ac:dyDescent="0.4">
      <c r="A804" s="53"/>
      <c r="B804" s="151"/>
      <c r="C804" s="53"/>
      <c r="D804" s="53"/>
      <c r="E804" s="53"/>
      <c r="F804" s="53"/>
      <c r="G804" s="53"/>
      <c r="H804" s="53"/>
      <c r="I804" s="53"/>
      <c r="J804" s="53"/>
      <c r="K804" s="53"/>
      <c r="L804" s="11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30" x14ac:dyDescent="0.4">
      <c r="A805" s="53"/>
      <c r="B805" s="151"/>
      <c r="C805" s="53"/>
      <c r="D805" s="53"/>
      <c r="E805" s="53"/>
      <c r="F805" s="53"/>
      <c r="G805" s="53"/>
      <c r="H805" s="53"/>
      <c r="I805" s="53"/>
      <c r="J805" s="53"/>
      <c r="K805" s="53"/>
      <c r="L805" s="11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30" x14ac:dyDescent="0.4">
      <c r="A806" s="53"/>
      <c r="B806" s="151"/>
      <c r="C806" s="53"/>
      <c r="D806" s="53"/>
      <c r="E806" s="53"/>
      <c r="F806" s="53"/>
      <c r="G806" s="53"/>
      <c r="H806" s="53"/>
      <c r="I806" s="53"/>
      <c r="J806" s="53"/>
      <c r="K806" s="53"/>
      <c r="L806" s="11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30" x14ac:dyDescent="0.4">
      <c r="A807" s="53"/>
      <c r="B807" s="151"/>
      <c r="C807" s="53"/>
      <c r="D807" s="53"/>
      <c r="E807" s="53"/>
      <c r="F807" s="53"/>
      <c r="G807" s="53"/>
      <c r="H807" s="53"/>
      <c r="I807" s="53"/>
      <c r="J807" s="53"/>
      <c r="K807" s="53"/>
      <c r="L807" s="11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30" x14ac:dyDescent="0.4">
      <c r="A808" s="53"/>
      <c r="B808" s="151"/>
      <c r="C808" s="53"/>
      <c r="D808" s="53"/>
      <c r="E808" s="53"/>
      <c r="F808" s="53"/>
      <c r="G808" s="53"/>
      <c r="H808" s="53"/>
      <c r="I808" s="53"/>
      <c r="J808" s="53"/>
      <c r="K808" s="53"/>
      <c r="L808" s="11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30" x14ac:dyDescent="0.4">
      <c r="A809" s="53"/>
      <c r="B809" s="151"/>
      <c r="C809" s="53"/>
      <c r="D809" s="53"/>
      <c r="E809" s="53"/>
      <c r="F809" s="53"/>
      <c r="G809" s="53"/>
      <c r="H809" s="53"/>
      <c r="I809" s="53"/>
      <c r="J809" s="53"/>
      <c r="K809" s="53"/>
      <c r="L809" s="11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30" x14ac:dyDescent="0.4">
      <c r="A810" s="53"/>
      <c r="B810" s="151"/>
      <c r="C810" s="53"/>
      <c r="D810" s="53"/>
      <c r="E810" s="53"/>
      <c r="F810" s="53"/>
      <c r="G810" s="53"/>
      <c r="H810" s="53"/>
      <c r="I810" s="53"/>
      <c r="J810" s="53"/>
      <c r="K810" s="53"/>
      <c r="L810" s="11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30" x14ac:dyDescent="0.4">
      <c r="A811" s="53"/>
      <c r="B811" s="151"/>
      <c r="C811" s="53"/>
      <c r="D811" s="53"/>
      <c r="E811" s="53"/>
      <c r="F811" s="53"/>
      <c r="G811" s="53"/>
      <c r="H811" s="53"/>
      <c r="I811" s="53"/>
      <c r="J811" s="53"/>
      <c r="K811" s="53"/>
      <c r="L811" s="11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30" x14ac:dyDescent="0.4">
      <c r="A812" s="53"/>
      <c r="B812" s="151"/>
      <c r="C812" s="53"/>
      <c r="D812" s="53"/>
      <c r="E812" s="53"/>
      <c r="F812" s="53"/>
      <c r="G812" s="53"/>
      <c r="H812" s="53"/>
      <c r="I812" s="53"/>
      <c r="J812" s="53"/>
      <c r="K812" s="53"/>
      <c r="L812" s="11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30" x14ac:dyDescent="0.4">
      <c r="A813" s="53"/>
      <c r="B813" s="151"/>
      <c r="C813" s="53"/>
      <c r="D813" s="53"/>
      <c r="E813" s="53"/>
      <c r="F813" s="53"/>
      <c r="G813" s="53"/>
      <c r="H813" s="53"/>
      <c r="I813" s="53"/>
      <c r="J813" s="53"/>
      <c r="K813" s="53"/>
      <c r="L813" s="11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30" x14ac:dyDescent="0.4">
      <c r="A814" s="53"/>
      <c r="B814" s="151"/>
      <c r="C814" s="53"/>
      <c r="D814" s="53"/>
      <c r="E814" s="53"/>
      <c r="F814" s="53"/>
      <c r="G814" s="53"/>
      <c r="H814" s="53"/>
      <c r="I814" s="53"/>
      <c r="J814" s="53"/>
      <c r="K814" s="53"/>
      <c r="L814" s="11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30" x14ac:dyDescent="0.4">
      <c r="A815" s="53"/>
      <c r="B815" s="151"/>
      <c r="C815" s="53"/>
      <c r="D815" s="53"/>
      <c r="E815" s="53"/>
      <c r="F815" s="53"/>
      <c r="G815" s="53"/>
      <c r="H815" s="53"/>
      <c r="I815" s="53"/>
      <c r="J815" s="53"/>
      <c r="K815" s="53"/>
      <c r="L815" s="11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30" x14ac:dyDescent="0.4">
      <c r="A816" s="53"/>
      <c r="B816" s="151"/>
      <c r="C816" s="53"/>
      <c r="D816" s="53"/>
      <c r="E816" s="53"/>
      <c r="F816" s="53"/>
      <c r="G816" s="53"/>
      <c r="H816" s="53"/>
      <c r="I816" s="53"/>
      <c r="J816" s="53"/>
      <c r="K816" s="53"/>
      <c r="L816" s="11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30" x14ac:dyDescent="0.4">
      <c r="A817" s="53"/>
      <c r="B817" s="151"/>
      <c r="C817" s="53"/>
      <c r="D817" s="53"/>
      <c r="E817" s="53"/>
      <c r="F817" s="53"/>
      <c r="G817" s="53"/>
      <c r="H817" s="53"/>
      <c r="I817" s="53"/>
      <c r="J817" s="53"/>
      <c r="K817" s="53"/>
      <c r="L817" s="11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30" x14ac:dyDescent="0.4">
      <c r="A818" s="53"/>
      <c r="B818" s="151"/>
      <c r="C818" s="53"/>
      <c r="D818" s="53"/>
      <c r="E818" s="53"/>
      <c r="F818" s="53"/>
      <c r="G818" s="53"/>
      <c r="H818" s="53"/>
      <c r="I818" s="53"/>
      <c r="J818" s="53"/>
      <c r="K818" s="53"/>
      <c r="L818" s="11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30" x14ac:dyDescent="0.4">
      <c r="A819" s="53"/>
      <c r="B819" s="151"/>
      <c r="C819" s="53"/>
      <c r="D819" s="53"/>
      <c r="E819" s="53"/>
      <c r="F819" s="53"/>
      <c r="G819" s="53"/>
      <c r="H819" s="53"/>
      <c r="I819" s="53"/>
      <c r="J819" s="53"/>
      <c r="K819" s="53"/>
      <c r="L819" s="11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30" x14ac:dyDescent="0.4">
      <c r="A820" s="53"/>
      <c r="B820" s="151"/>
      <c r="C820" s="53"/>
      <c r="D820" s="53"/>
      <c r="E820" s="53"/>
      <c r="F820" s="53"/>
      <c r="G820" s="53"/>
      <c r="H820" s="53"/>
      <c r="I820" s="53"/>
      <c r="J820" s="53"/>
      <c r="K820" s="53"/>
      <c r="L820" s="11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30" x14ac:dyDescent="0.4">
      <c r="A821" s="53"/>
      <c r="B821" s="151"/>
      <c r="C821" s="53"/>
      <c r="D821" s="53"/>
      <c r="E821" s="53"/>
      <c r="F821" s="53"/>
      <c r="G821" s="53"/>
      <c r="H821" s="53"/>
      <c r="I821" s="53"/>
      <c r="J821" s="53"/>
      <c r="K821" s="53"/>
      <c r="L821" s="11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30" x14ac:dyDescent="0.4">
      <c r="A822" s="53"/>
      <c r="B822" s="151"/>
      <c r="C822" s="53"/>
      <c r="D822" s="53"/>
      <c r="E822" s="53"/>
      <c r="F822" s="53"/>
      <c r="G822" s="53"/>
      <c r="H822" s="53"/>
      <c r="I822" s="53"/>
      <c r="J822" s="53"/>
      <c r="K822" s="53"/>
      <c r="L822" s="11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30" x14ac:dyDescent="0.4">
      <c r="A823" s="53"/>
      <c r="B823" s="151"/>
      <c r="C823" s="53"/>
      <c r="D823" s="53"/>
      <c r="E823" s="53"/>
      <c r="F823" s="53"/>
      <c r="G823" s="53"/>
      <c r="H823" s="53"/>
      <c r="I823" s="53"/>
      <c r="J823" s="53"/>
      <c r="K823" s="53"/>
      <c r="L823" s="11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30" x14ac:dyDescent="0.4">
      <c r="A824" s="53"/>
      <c r="B824" s="151"/>
      <c r="C824" s="53"/>
      <c r="D824" s="53"/>
      <c r="E824" s="53"/>
      <c r="F824" s="53"/>
      <c r="G824" s="53"/>
      <c r="H824" s="53"/>
      <c r="I824" s="53"/>
      <c r="J824" s="53"/>
      <c r="K824" s="53"/>
      <c r="L824" s="11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30" x14ac:dyDescent="0.4">
      <c r="A825" s="53"/>
      <c r="B825" s="151"/>
      <c r="C825" s="53"/>
      <c r="D825" s="53"/>
      <c r="E825" s="53"/>
      <c r="F825" s="53"/>
      <c r="G825" s="53"/>
      <c r="H825" s="53"/>
      <c r="I825" s="53"/>
      <c r="J825" s="53"/>
      <c r="K825" s="53"/>
      <c r="L825" s="11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30" x14ac:dyDescent="0.4">
      <c r="A826" s="53"/>
      <c r="B826" s="151"/>
      <c r="C826" s="53"/>
      <c r="D826" s="53"/>
      <c r="E826" s="53"/>
      <c r="F826" s="53"/>
      <c r="G826" s="53"/>
      <c r="H826" s="53"/>
      <c r="I826" s="53"/>
      <c r="J826" s="53"/>
      <c r="K826" s="53"/>
      <c r="L826" s="11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30" x14ac:dyDescent="0.4">
      <c r="A827" s="53"/>
      <c r="B827" s="151"/>
      <c r="C827" s="53"/>
      <c r="D827" s="53"/>
      <c r="E827" s="53"/>
      <c r="F827" s="53"/>
      <c r="G827" s="53"/>
      <c r="H827" s="53"/>
      <c r="I827" s="53"/>
      <c r="J827" s="53"/>
      <c r="K827" s="53"/>
      <c r="L827" s="11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30" x14ac:dyDescent="0.4">
      <c r="A828" s="53"/>
      <c r="B828" s="151"/>
      <c r="C828" s="53"/>
      <c r="D828" s="53"/>
      <c r="E828" s="53"/>
      <c r="F828" s="53"/>
      <c r="G828" s="53"/>
      <c r="H828" s="53"/>
      <c r="I828" s="53"/>
      <c r="J828" s="53"/>
      <c r="K828" s="53"/>
      <c r="L828" s="11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30" x14ac:dyDescent="0.4">
      <c r="A829" s="53"/>
      <c r="B829" s="151"/>
      <c r="C829" s="53"/>
      <c r="D829" s="53"/>
      <c r="E829" s="53"/>
      <c r="F829" s="53"/>
      <c r="G829" s="53"/>
      <c r="H829" s="53"/>
      <c r="I829" s="53"/>
      <c r="J829" s="53"/>
      <c r="K829" s="53"/>
      <c r="L829" s="11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30" x14ac:dyDescent="0.4">
      <c r="A830" s="53"/>
      <c r="B830" s="151"/>
      <c r="C830" s="53"/>
      <c r="D830" s="53"/>
      <c r="E830" s="53"/>
      <c r="F830" s="53"/>
      <c r="G830" s="53"/>
      <c r="H830" s="53"/>
      <c r="I830" s="53"/>
      <c r="J830" s="53"/>
      <c r="K830" s="53"/>
      <c r="L830" s="11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30" x14ac:dyDescent="0.4">
      <c r="A831" s="53"/>
      <c r="B831" s="151"/>
      <c r="C831" s="53"/>
      <c r="D831" s="53"/>
      <c r="E831" s="53"/>
      <c r="F831" s="53"/>
      <c r="G831" s="53"/>
      <c r="H831" s="53"/>
      <c r="I831" s="53"/>
      <c r="J831" s="53"/>
      <c r="K831" s="53"/>
      <c r="L831" s="11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30" x14ac:dyDescent="0.4">
      <c r="A832" s="53"/>
      <c r="B832" s="151"/>
      <c r="C832" s="53"/>
      <c r="D832" s="53"/>
      <c r="E832" s="53"/>
      <c r="F832" s="53"/>
      <c r="G832" s="53"/>
      <c r="H832" s="53"/>
      <c r="I832" s="53"/>
      <c r="J832" s="53"/>
      <c r="K832" s="53"/>
      <c r="L832" s="11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30" x14ac:dyDescent="0.4">
      <c r="A833" s="53"/>
      <c r="B833" s="151"/>
      <c r="C833" s="53"/>
      <c r="D833" s="53"/>
      <c r="E833" s="53"/>
      <c r="F833" s="53"/>
      <c r="G833" s="53"/>
      <c r="H833" s="53"/>
      <c r="I833" s="53"/>
      <c r="J833" s="53"/>
      <c r="K833" s="53"/>
      <c r="L833" s="11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30" x14ac:dyDescent="0.4">
      <c r="A834" s="53"/>
      <c r="B834" s="151"/>
      <c r="C834" s="53"/>
      <c r="D834" s="53"/>
      <c r="E834" s="53"/>
      <c r="F834" s="53"/>
      <c r="G834" s="53"/>
      <c r="H834" s="53"/>
      <c r="I834" s="53"/>
      <c r="J834" s="53"/>
      <c r="K834" s="53"/>
      <c r="L834" s="11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30" x14ac:dyDescent="0.4">
      <c r="A835" s="53"/>
      <c r="B835" s="151"/>
      <c r="C835" s="53"/>
      <c r="D835" s="53"/>
      <c r="E835" s="53"/>
      <c r="F835" s="53"/>
      <c r="G835" s="53"/>
      <c r="H835" s="53"/>
      <c r="I835" s="53"/>
      <c r="J835" s="53"/>
      <c r="K835" s="53"/>
      <c r="L835" s="11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30" x14ac:dyDescent="0.4">
      <c r="A836" s="53"/>
      <c r="B836" s="151"/>
      <c r="C836" s="53"/>
      <c r="D836" s="53"/>
      <c r="E836" s="53"/>
      <c r="F836" s="53"/>
      <c r="G836" s="53"/>
      <c r="H836" s="53"/>
      <c r="I836" s="53"/>
      <c r="J836" s="53"/>
      <c r="K836" s="53"/>
      <c r="L836" s="11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30" x14ac:dyDescent="0.4">
      <c r="A837" s="53"/>
      <c r="B837" s="151"/>
      <c r="C837" s="53"/>
      <c r="D837" s="53"/>
      <c r="E837" s="53"/>
      <c r="F837" s="53"/>
      <c r="G837" s="53"/>
      <c r="H837" s="53"/>
      <c r="I837" s="53"/>
      <c r="J837" s="53"/>
      <c r="K837" s="53"/>
      <c r="L837" s="11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30" x14ac:dyDescent="0.4">
      <c r="A838" s="53"/>
      <c r="B838" s="151"/>
      <c r="C838" s="53"/>
      <c r="D838" s="53"/>
      <c r="E838" s="53"/>
      <c r="F838" s="53"/>
      <c r="G838" s="53"/>
      <c r="H838" s="53"/>
      <c r="I838" s="53"/>
      <c r="J838" s="53"/>
      <c r="K838" s="53"/>
      <c r="L838" s="11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30" x14ac:dyDescent="0.4">
      <c r="A839" s="53"/>
      <c r="B839" s="151"/>
      <c r="C839" s="53"/>
      <c r="D839" s="53"/>
      <c r="E839" s="53"/>
      <c r="F839" s="53"/>
      <c r="G839" s="53"/>
      <c r="H839" s="53"/>
      <c r="I839" s="53"/>
      <c r="J839" s="53"/>
      <c r="K839" s="53"/>
      <c r="L839" s="11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30" x14ac:dyDescent="0.4">
      <c r="A840" s="53"/>
      <c r="B840" s="151"/>
      <c r="C840" s="53"/>
      <c r="D840" s="53"/>
      <c r="E840" s="53"/>
      <c r="F840" s="53"/>
      <c r="G840" s="53"/>
      <c r="H840" s="53"/>
      <c r="I840" s="53"/>
      <c r="J840" s="53"/>
      <c r="K840" s="53"/>
      <c r="L840" s="11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30" x14ac:dyDescent="0.4">
      <c r="A841" s="53"/>
      <c r="B841" s="151"/>
      <c r="C841" s="53"/>
      <c r="D841" s="53"/>
      <c r="E841" s="53"/>
      <c r="F841" s="53"/>
      <c r="G841" s="53"/>
      <c r="H841" s="53"/>
      <c r="I841" s="53"/>
      <c r="J841" s="53"/>
      <c r="K841" s="53"/>
      <c r="L841" s="11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30" x14ac:dyDescent="0.4">
      <c r="A842" s="53"/>
      <c r="B842" s="151"/>
      <c r="C842" s="53"/>
      <c r="D842" s="53"/>
      <c r="E842" s="53"/>
      <c r="F842" s="53"/>
      <c r="G842" s="53"/>
      <c r="H842" s="53"/>
      <c r="I842" s="53"/>
      <c r="J842" s="53"/>
      <c r="K842" s="53"/>
      <c r="L842" s="11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30" x14ac:dyDescent="0.4">
      <c r="A843" s="53"/>
      <c r="B843" s="151"/>
      <c r="C843" s="53"/>
      <c r="D843" s="53"/>
      <c r="E843" s="53"/>
      <c r="F843" s="53"/>
      <c r="G843" s="53"/>
      <c r="H843" s="53"/>
      <c r="I843" s="53"/>
      <c r="J843" s="53"/>
      <c r="K843" s="53"/>
      <c r="L843" s="11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30" x14ac:dyDescent="0.4">
      <c r="A844" s="53"/>
      <c r="B844" s="151"/>
      <c r="C844" s="53"/>
      <c r="D844" s="53"/>
      <c r="E844" s="53"/>
      <c r="F844" s="53"/>
      <c r="G844" s="53"/>
      <c r="H844" s="53"/>
      <c r="I844" s="53"/>
      <c r="J844" s="53"/>
      <c r="K844" s="53"/>
      <c r="L844" s="11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30" x14ac:dyDescent="0.4">
      <c r="A845" s="53"/>
      <c r="B845" s="151"/>
      <c r="C845" s="53"/>
      <c r="D845" s="53"/>
      <c r="E845" s="53"/>
      <c r="F845" s="53"/>
      <c r="G845" s="53"/>
      <c r="H845" s="53"/>
      <c r="I845" s="53"/>
      <c r="J845" s="53"/>
      <c r="K845" s="53"/>
      <c r="L845" s="11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30" x14ac:dyDescent="0.4">
      <c r="A846" s="53"/>
      <c r="B846" s="151"/>
      <c r="C846" s="53"/>
      <c r="D846" s="53"/>
      <c r="E846" s="53"/>
      <c r="F846" s="53"/>
      <c r="G846" s="53"/>
      <c r="H846" s="53"/>
      <c r="I846" s="53"/>
      <c r="J846" s="53"/>
      <c r="K846" s="53"/>
      <c r="L846" s="11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30" x14ac:dyDescent="0.4">
      <c r="A847" s="53"/>
      <c r="B847" s="151"/>
      <c r="C847" s="53"/>
      <c r="D847" s="53"/>
      <c r="E847" s="53"/>
      <c r="F847" s="53"/>
      <c r="G847" s="53"/>
      <c r="H847" s="53"/>
      <c r="I847" s="53"/>
      <c r="J847" s="53"/>
      <c r="K847" s="53"/>
      <c r="L847" s="11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30" x14ac:dyDescent="0.4">
      <c r="A848" s="53"/>
      <c r="B848" s="151"/>
      <c r="C848" s="53"/>
      <c r="D848" s="53"/>
      <c r="E848" s="53"/>
      <c r="F848" s="53"/>
      <c r="G848" s="53"/>
      <c r="H848" s="53"/>
      <c r="I848" s="53"/>
      <c r="J848" s="53"/>
      <c r="K848" s="53"/>
      <c r="L848" s="11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30" x14ac:dyDescent="0.4">
      <c r="A849" s="53"/>
      <c r="B849" s="151"/>
      <c r="C849" s="53"/>
      <c r="D849" s="53"/>
      <c r="E849" s="53"/>
      <c r="F849" s="53"/>
      <c r="G849" s="53"/>
      <c r="H849" s="53"/>
      <c r="I849" s="53"/>
      <c r="J849" s="53"/>
      <c r="K849" s="53"/>
      <c r="L849" s="11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30" x14ac:dyDescent="0.4">
      <c r="A850" s="53"/>
      <c r="B850" s="151"/>
      <c r="C850" s="53"/>
      <c r="D850" s="53"/>
      <c r="E850" s="53"/>
      <c r="F850" s="53"/>
      <c r="G850" s="53"/>
      <c r="H850" s="53"/>
      <c r="I850" s="53"/>
      <c r="J850" s="53"/>
      <c r="K850" s="53"/>
      <c r="L850" s="11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30" x14ac:dyDescent="0.4">
      <c r="A851" s="53"/>
      <c r="B851" s="151"/>
      <c r="C851" s="53"/>
      <c r="D851" s="53"/>
      <c r="E851" s="53"/>
      <c r="F851" s="53"/>
      <c r="G851" s="53"/>
      <c r="H851" s="53"/>
      <c r="I851" s="53"/>
      <c r="J851" s="53"/>
      <c r="K851" s="53"/>
      <c r="L851" s="11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30" x14ac:dyDescent="0.4">
      <c r="A852" s="53"/>
      <c r="B852" s="151"/>
      <c r="C852" s="53"/>
      <c r="D852" s="53"/>
      <c r="E852" s="53"/>
      <c r="F852" s="53"/>
      <c r="G852" s="53"/>
      <c r="H852" s="53"/>
      <c r="I852" s="53"/>
      <c r="J852" s="53"/>
      <c r="K852" s="53"/>
      <c r="L852" s="11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30" x14ac:dyDescent="0.4">
      <c r="A853" s="53"/>
      <c r="B853" s="151"/>
      <c r="C853" s="53"/>
      <c r="D853" s="53"/>
      <c r="E853" s="53"/>
      <c r="F853" s="53"/>
      <c r="G853" s="53"/>
      <c r="H853" s="53"/>
      <c r="I853" s="53"/>
      <c r="J853" s="53"/>
      <c r="K853" s="53"/>
      <c r="L853" s="11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30" x14ac:dyDescent="0.4">
      <c r="A854" s="53"/>
      <c r="B854" s="151"/>
      <c r="C854" s="53"/>
      <c r="D854" s="53"/>
      <c r="E854" s="53"/>
      <c r="F854" s="53"/>
      <c r="G854" s="53"/>
      <c r="H854" s="53"/>
      <c r="I854" s="53"/>
      <c r="J854" s="53"/>
      <c r="K854" s="53"/>
      <c r="L854" s="11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30" x14ac:dyDescent="0.4">
      <c r="A855" s="53"/>
      <c r="B855" s="151"/>
      <c r="C855" s="53"/>
      <c r="D855" s="53"/>
      <c r="E855" s="53"/>
      <c r="F855" s="53"/>
      <c r="G855" s="53"/>
      <c r="H855" s="53"/>
      <c r="I855" s="53"/>
      <c r="J855" s="53"/>
      <c r="K855" s="53"/>
      <c r="L855" s="11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30" x14ac:dyDescent="0.4">
      <c r="A856" s="53"/>
      <c r="B856" s="151"/>
      <c r="C856" s="53"/>
      <c r="D856" s="53"/>
      <c r="E856" s="53"/>
      <c r="F856" s="53"/>
      <c r="G856" s="53"/>
      <c r="H856" s="53"/>
      <c r="I856" s="53"/>
      <c r="J856" s="53"/>
      <c r="K856" s="53"/>
      <c r="L856" s="11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30" x14ac:dyDescent="0.4">
      <c r="A857" s="53"/>
      <c r="B857" s="151"/>
      <c r="C857" s="53"/>
      <c r="D857" s="53"/>
      <c r="E857" s="53"/>
      <c r="F857" s="53"/>
      <c r="G857" s="53"/>
      <c r="H857" s="53"/>
      <c r="I857" s="53"/>
      <c r="J857" s="53"/>
      <c r="K857" s="53"/>
      <c r="L857" s="11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30" x14ac:dyDescent="0.4">
      <c r="A858" s="53"/>
      <c r="B858" s="151"/>
      <c r="C858" s="53"/>
      <c r="D858" s="53"/>
      <c r="E858" s="53"/>
      <c r="F858" s="53"/>
      <c r="G858" s="53"/>
      <c r="H858" s="53"/>
      <c r="I858" s="53"/>
      <c r="J858" s="53"/>
      <c r="K858" s="53"/>
      <c r="L858" s="11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30" x14ac:dyDescent="0.4">
      <c r="A859" s="53"/>
      <c r="B859" s="151"/>
      <c r="C859" s="53"/>
      <c r="D859" s="53"/>
      <c r="E859" s="53"/>
      <c r="F859" s="53"/>
      <c r="G859" s="53"/>
      <c r="H859" s="53"/>
      <c r="I859" s="53"/>
      <c r="J859" s="53"/>
      <c r="K859" s="53"/>
      <c r="L859" s="11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30" x14ac:dyDescent="0.4">
      <c r="A860" s="53"/>
      <c r="B860" s="151"/>
      <c r="C860" s="53"/>
      <c r="D860" s="53"/>
      <c r="E860" s="53"/>
      <c r="F860" s="53"/>
      <c r="G860" s="53"/>
      <c r="H860" s="53"/>
      <c r="I860" s="53"/>
      <c r="J860" s="53"/>
      <c r="K860" s="53"/>
      <c r="L860" s="11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30" x14ac:dyDescent="0.4">
      <c r="A861" s="53"/>
      <c r="B861" s="151"/>
      <c r="C861" s="53"/>
      <c r="D861" s="53"/>
      <c r="E861" s="53"/>
      <c r="F861" s="53"/>
      <c r="G861" s="53"/>
      <c r="H861" s="53"/>
      <c r="I861" s="53"/>
      <c r="J861" s="53"/>
      <c r="K861" s="53"/>
      <c r="L861" s="11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30" x14ac:dyDescent="0.4">
      <c r="A862" s="53"/>
      <c r="B862" s="151"/>
      <c r="C862" s="53"/>
      <c r="D862" s="53"/>
      <c r="E862" s="53"/>
      <c r="F862" s="53"/>
      <c r="G862" s="53"/>
      <c r="H862" s="53"/>
      <c r="I862" s="53"/>
      <c r="J862" s="53"/>
      <c r="K862" s="53"/>
      <c r="L862" s="11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30" x14ac:dyDescent="0.4">
      <c r="A863" s="53"/>
      <c r="B863" s="151"/>
      <c r="C863" s="53"/>
      <c r="D863" s="53"/>
      <c r="E863" s="53"/>
      <c r="F863" s="53"/>
      <c r="G863" s="53"/>
      <c r="H863" s="53"/>
      <c r="I863" s="53"/>
      <c r="J863" s="53"/>
      <c r="K863" s="53"/>
      <c r="L863" s="11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30" x14ac:dyDescent="0.4">
      <c r="A864" s="53"/>
      <c r="B864" s="151"/>
      <c r="C864" s="53"/>
      <c r="D864" s="53"/>
      <c r="E864" s="53"/>
      <c r="F864" s="53"/>
      <c r="G864" s="53"/>
      <c r="H864" s="53"/>
      <c r="I864" s="53"/>
      <c r="J864" s="53"/>
      <c r="K864" s="53"/>
      <c r="L864" s="11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30" x14ac:dyDescent="0.4">
      <c r="A865" s="53"/>
      <c r="B865" s="151"/>
      <c r="C865" s="53"/>
      <c r="D865" s="53"/>
      <c r="E865" s="53"/>
      <c r="F865" s="53"/>
      <c r="G865" s="53"/>
      <c r="H865" s="53"/>
      <c r="I865" s="53"/>
      <c r="J865" s="53"/>
      <c r="K865" s="53"/>
      <c r="L865" s="11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30" x14ac:dyDescent="0.4">
      <c r="A866" s="53"/>
      <c r="B866" s="151"/>
      <c r="C866" s="53"/>
      <c r="D866" s="53"/>
      <c r="E866" s="53"/>
      <c r="F866" s="53"/>
      <c r="G866" s="53"/>
      <c r="H866" s="53"/>
      <c r="I866" s="53"/>
      <c r="J866" s="53"/>
      <c r="K866" s="53"/>
      <c r="L866" s="11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30" x14ac:dyDescent="0.4">
      <c r="A867" s="53"/>
      <c r="B867" s="151"/>
      <c r="C867" s="53"/>
      <c r="D867" s="53"/>
      <c r="E867" s="53"/>
      <c r="F867" s="53"/>
      <c r="G867" s="53"/>
      <c r="H867" s="53"/>
      <c r="I867" s="53"/>
      <c r="J867" s="53"/>
      <c r="K867" s="53"/>
      <c r="L867" s="11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30" x14ac:dyDescent="0.4">
      <c r="A868" s="53"/>
      <c r="B868" s="151"/>
      <c r="C868" s="53"/>
      <c r="D868" s="53"/>
      <c r="E868" s="53"/>
      <c r="F868" s="53"/>
      <c r="G868" s="53"/>
      <c r="H868" s="53"/>
      <c r="I868" s="53"/>
      <c r="J868" s="53"/>
      <c r="K868" s="53"/>
      <c r="L868" s="11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30" x14ac:dyDescent="0.4">
      <c r="A869" s="53"/>
      <c r="B869" s="151"/>
      <c r="C869" s="53"/>
      <c r="D869" s="53"/>
      <c r="E869" s="53"/>
      <c r="F869" s="53"/>
      <c r="G869" s="53"/>
      <c r="H869" s="53"/>
      <c r="I869" s="53"/>
      <c r="J869" s="53"/>
      <c r="K869" s="53"/>
      <c r="L869" s="11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30" x14ac:dyDescent="0.4">
      <c r="A870" s="53"/>
      <c r="B870" s="151"/>
      <c r="C870" s="53"/>
      <c r="D870" s="53"/>
      <c r="E870" s="53"/>
      <c r="F870" s="53"/>
      <c r="G870" s="53"/>
      <c r="H870" s="53"/>
      <c r="I870" s="53"/>
      <c r="J870" s="53"/>
      <c r="K870" s="53"/>
      <c r="L870" s="11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30" x14ac:dyDescent="0.4">
      <c r="A871" s="53"/>
      <c r="B871" s="151"/>
      <c r="C871" s="53"/>
      <c r="D871" s="53"/>
      <c r="E871" s="53"/>
      <c r="F871" s="53"/>
      <c r="G871" s="53"/>
      <c r="H871" s="53"/>
      <c r="I871" s="53"/>
      <c r="J871" s="53"/>
      <c r="K871" s="53"/>
      <c r="L871" s="11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30" x14ac:dyDescent="0.4">
      <c r="A872" s="53"/>
      <c r="B872" s="151"/>
      <c r="C872" s="53"/>
      <c r="D872" s="53"/>
      <c r="E872" s="53"/>
      <c r="F872" s="53"/>
      <c r="G872" s="53"/>
      <c r="H872" s="53"/>
      <c r="I872" s="53"/>
      <c r="J872" s="53"/>
      <c r="K872" s="53"/>
      <c r="L872" s="11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30" x14ac:dyDescent="0.4">
      <c r="A873" s="53"/>
      <c r="B873" s="151"/>
      <c r="C873" s="53"/>
      <c r="D873" s="53"/>
      <c r="E873" s="53"/>
      <c r="F873" s="53"/>
      <c r="G873" s="53"/>
      <c r="H873" s="53"/>
      <c r="I873" s="53"/>
      <c r="J873" s="53"/>
      <c r="K873" s="53"/>
      <c r="L873" s="11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30" x14ac:dyDescent="0.4">
      <c r="A874" s="53"/>
      <c r="B874" s="151"/>
      <c r="C874" s="53"/>
      <c r="D874" s="53"/>
      <c r="E874" s="53"/>
      <c r="F874" s="53"/>
      <c r="G874" s="53"/>
      <c r="H874" s="53"/>
      <c r="I874" s="53"/>
      <c r="J874" s="53"/>
      <c r="K874" s="53"/>
      <c r="L874" s="11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30" x14ac:dyDescent="0.4">
      <c r="A875" s="53"/>
      <c r="B875" s="151"/>
      <c r="C875" s="53"/>
      <c r="D875" s="53"/>
      <c r="E875" s="53"/>
      <c r="F875" s="53"/>
      <c r="G875" s="53"/>
      <c r="H875" s="53"/>
      <c r="I875" s="53"/>
      <c r="J875" s="53"/>
      <c r="K875" s="53"/>
      <c r="L875" s="11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30" x14ac:dyDescent="0.4">
      <c r="A876" s="53"/>
      <c r="B876" s="151"/>
      <c r="C876" s="53"/>
      <c r="D876" s="53"/>
      <c r="E876" s="53"/>
      <c r="F876" s="53"/>
      <c r="G876" s="53"/>
      <c r="H876" s="53"/>
      <c r="I876" s="53"/>
      <c r="J876" s="53"/>
      <c r="K876" s="53"/>
      <c r="L876" s="11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30" x14ac:dyDescent="0.4">
      <c r="A877" s="53"/>
      <c r="B877" s="151"/>
      <c r="C877" s="53"/>
      <c r="D877" s="53"/>
      <c r="E877" s="53"/>
      <c r="F877" s="53"/>
      <c r="G877" s="53"/>
      <c r="H877" s="53"/>
      <c r="I877" s="53"/>
      <c r="J877" s="53"/>
      <c r="K877" s="53"/>
      <c r="L877" s="11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30" x14ac:dyDescent="0.4">
      <c r="A878" s="53"/>
      <c r="B878" s="151"/>
      <c r="C878" s="53"/>
      <c r="D878" s="53"/>
      <c r="E878" s="53"/>
      <c r="F878" s="53"/>
      <c r="G878" s="53"/>
      <c r="H878" s="53"/>
      <c r="I878" s="53"/>
      <c r="J878" s="53"/>
      <c r="K878" s="53"/>
      <c r="L878" s="11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30" x14ac:dyDescent="0.4">
      <c r="A879" s="53"/>
      <c r="B879" s="151"/>
      <c r="C879" s="53"/>
      <c r="D879" s="53"/>
      <c r="E879" s="53"/>
      <c r="F879" s="53"/>
      <c r="G879" s="53"/>
      <c r="H879" s="53"/>
      <c r="I879" s="53"/>
      <c r="J879" s="53"/>
      <c r="K879" s="53"/>
      <c r="L879" s="11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30" x14ac:dyDescent="0.4">
      <c r="A880" s="53"/>
      <c r="B880" s="151"/>
      <c r="C880" s="53"/>
      <c r="D880" s="53"/>
      <c r="E880" s="53"/>
      <c r="F880" s="53"/>
      <c r="G880" s="53"/>
      <c r="H880" s="53"/>
      <c r="I880" s="53"/>
      <c r="J880" s="53"/>
      <c r="K880" s="53"/>
      <c r="L880" s="11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30" x14ac:dyDescent="0.4">
      <c r="A881" s="53"/>
      <c r="B881" s="151"/>
      <c r="C881" s="53"/>
      <c r="D881" s="53"/>
      <c r="E881" s="53"/>
      <c r="F881" s="53"/>
      <c r="G881" s="53"/>
      <c r="H881" s="53"/>
      <c r="I881" s="53"/>
      <c r="J881" s="53"/>
      <c r="K881" s="53"/>
      <c r="L881" s="11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30" x14ac:dyDescent="0.4">
      <c r="A882" s="53"/>
      <c r="B882" s="151"/>
      <c r="C882" s="53"/>
      <c r="D882" s="53"/>
      <c r="E882" s="53"/>
      <c r="F882" s="53"/>
      <c r="G882" s="53"/>
      <c r="H882" s="53"/>
      <c r="I882" s="53"/>
      <c r="J882" s="53"/>
      <c r="K882" s="53"/>
      <c r="L882" s="11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30" x14ac:dyDescent="0.4">
      <c r="A883" s="53"/>
      <c r="B883" s="151"/>
      <c r="C883" s="53"/>
      <c r="D883" s="53"/>
      <c r="E883" s="53"/>
      <c r="F883" s="53"/>
      <c r="G883" s="53"/>
      <c r="H883" s="53"/>
      <c r="I883" s="53"/>
      <c r="J883" s="53"/>
      <c r="K883" s="53"/>
      <c r="L883" s="11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30" x14ac:dyDescent="0.4">
      <c r="A884" s="53"/>
      <c r="B884" s="151"/>
      <c r="C884" s="53"/>
      <c r="D884" s="53"/>
      <c r="E884" s="53"/>
      <c r="F884" s="53"/>
      <c r="G884" s="53"/>
      <c r="H884" s="53"/>
      <c r="I884" s="53"/>
      <c r="J884" s="53"/>
      <c r="K884" s="53"/>
      <c r="L884" s="11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30" x14ac:dyDescent="0.4">
      <c r="A885" s="53"/>
      <c r="B885" s="151"/>
      <c r="C885" s="53"/>
      <c r="D885" s="53"/>
      <c r="E885" s="53"/>
      <c r="F885" s="53"/>
      <c r="G885" s="53"/>
      <c r="H885" s="53"/>
      <c r="I885" s="53"/>
      <c r="J885" s="53"/>
      <c r="K885" s="53"/>
      <c r="L885" s="11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30" x14ac:dyDescent="0.4">
      <c r="A886" s="53"/>
      <c r="B886" s="151"/>
      <c r="C886" s="53"/>
      <c r="D886" s="53"/>
      <c r="E886" s="53"/>
      <c r="F886" s="53"/>
      <c r="G886" s="53"/>
      <c r="H886" s="53"/>
      <c r="I886" s="53"/>
      <c r="J886" s="53"/>
      <c r="K886" s="53"/>
      <c r="L886" s="11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30" x14ac:dyDescent="0.4">
      <c r="A887" s="53"/>
      <c r="B887" s="151"/>
      <c r="C887" s="53"/>
      <c r="D887" s="53"/>
      <c r="E887" s="53"/>
      <c r="F887" s="53"/>
      <c r="G887" s="53"/>
      <c r="H887" s="53"/>
      <c r="I887" s="53"/>
      <c r="J887" s="53"/>
      <c r="K887" s="53"/>
      <c r="L887" s="11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30" x14ac:dyDescent="0.4">
      <c r="A888" s="53"/>
      <c r="B888" s="151"/>
      <c r="C888" s="53"/>
      <c r="D888" s="53"/>
      <c r="E888" s="53"/>
      <c r="F888" s="53"/>
      <c r="G888" s="53"/>
      <c r="H888" s="53"/>
      <c r="I888" s="53"/>
      <c r="J888" s="53"/>
      <c r="K888" s="53"/>
      <c r="L888" s="11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30" x14ac:dyDescent="0.4">
      <c r="A889" s="53"/>
      <c r="B889" s="151"/>
      <c r="C889" s="53"/>
      <c r="D889" s="53"/>
      <c r="E889" s="53"/>
      <c r="F889" s="53"/>
      <c r="G889" s="53"/>
      <c r="H889" s="53"/>
      <c r="I889" s="53"/>
      <c r="J889" s="53"/>
      <c r="K889" s="53"/>
      <c r="L889" s="11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30" x14ac:dyDescent="0.4">
      <c r="A890" s="53"/>
      <c r="B890" s="151"/>
      <c r="C890" s="53"/>
      <c r="D890" s="53"/>
      <c r="E890" s="53"/>
      <c r="F890" s="53"/>
      <c r="G890" s="53"/>
      <c r="H890" s="53"/>
      <c r="I890" s="53"/>
      <c r="J890" s="53"/>
      <c r="K890" s="53"/>
      <c r="L890" s="11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30" x14ac:dyDescent="0.4">
      <c r="A891" s="53"/>
      <c r="B891" s="151"/>
      <c r="C891" s="53"/>
      <c r="D891" s="53"/>
      <c r="E891" s="53"/>
      <c r="F891" s="53"/>
      <c r="G891" s="53"/>
      <c r="H891" s="53"/>
      <c r="I891" s="53"/>
      <c r="J891" s="53"/>
      <c r="K891" s="53"/>
      <c r="L891" s="11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30" x14ac:dyDescent="0.4">
      <c r="A892" s="53"/>
      <c r="B892" s="151"/>
      <c r="C892" s="53"/>
      <c r="D892" s="53"/>
      <c r="E892" s="53"/>
      <c r="F892" s="53"/>
      <c r="G892" s="53"/>
      <c r="H892" s="53"/>
      <c r="I892" s="53"/>
      <c r="J892" s="53"/>
      <c r="K892" s="53"/>
      <c r="L892" s="11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30" x14ac:dyDescent="0.4">
      <c r="A893" s="53"/>
      <c r="B893" s="151"/>
      <c r="C893" s="53"/>
      <c r="D893" s="53"/>
      <c r="E893" s="53"/>
      <c r="F893" s="53"/>
      <c r="G893" s="53"/>
      <c r="H893" s="53"/>
      <c r="I893" s="53"/>
      <c r="J893" s="53"/>
      <c r="K893" s="53"/>
      <c r="L893" s="11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30" x14ac:dyDescent="0.4">
      <c r="A894" s="53"/>
      <c r="B894" s="151"/>
      <c r="C894" s="53"/>
      <c r="D894" s="53"/>
      <c r="E894" s="53"/>
      <c r="F894" s="53"/>
      <c r="G894" s="53"/>
      <c r="H894" s="53"/>
      <c r="I894" s="53"/>
      <c r="J894" s="53"/>
      <c r="K894" s="53"/>
      <c r="L894" s="11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30" x14ac:dyDescent="0.4">
      <c r="A895" s="53"/>
      <c r="B895" s="151"/>
      <c r="C895" s="53"/>
      <c r="D895" s="53"/>
      <c r="E895" s="53"/>
      <c r="F895" s="53"/>
      <c r="G895" s="53"/>
      <c r="H895" s="53"/>
      <c r="I895" s="53"/>
      <c r="J895" s="53"/>
      <c r="K895" s="53"/>
      <c r="L895" s="11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30" x14ac:dyDescent="0.4">
      <c r="A896" s="53"/>
      <c r="B896" s="151"/>
      <c r="C896" s="53"/>
      <c r="D896" s="53"/>
      <c r="E896" s="53"/>
      <c r="F896" s="53"/>
      <c r="G896" s="53"/>
      <c r="H896" s="53"/>
      <c r="I896" s="53"/>
      <c r="J896" s="53"/>
      <c r="K896" s="53"/>
      <c r="L896" s="11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30" x14ac:dyDescent="0.4">
      <c r="A897" s="53"/>
      <c r="B897" s="151"/>
      <c r="C897" s="53"/>
      <c r="D897" s="53"/>
      <c r="E897" s="53"/>
      <c r="F897" s="53"/>
      <c r="G897" s="53"/>
      <c r="H897" s="53"/>
      <c r="I897" s="53"/>
      <c r="J897" s="53"/>
      <c r="K897" s="53"/>
      <c r="L897" s="11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30" x14ac:dyDescent="0.4">
      <c r="A898" s="53"/>
      <c r="B898" s="151"/>
      <c r="C898" s="53"/>
      <c r="D898" s="53"/>
      <c r="E898" s="53"/>
      <c r="F898" s="53"/>
      <c r="G898" s="53"/>
      <c r="H898" s="53"/>
      <c r="I898" s="53"/>
      <c r="J898" s="53"/>
      <c r="K898" s="53"/>
      <c r="L898" s="11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30" x14ac:dyDescent="0.4">
      <c r="A899" s="53"/>
      <c r="B899" s="151"/>
      <c r="C899" s="53"/>
      <c r="D899" s="53"/>
      <c r="E899" s="53"/>
      <c r="F899" s="53"/>
      <c r="G899" s="53"/>
      <c r="H899" s="53"/>
      <c r="I899" s="53"/>
      <c r="J899" s="53"/>
      <c r="K899" s="53"/>
      <c r="L899" s="11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30" x14ac:dyDescent="0.4">
      <c r="A900" s="53"/>
      <c r="B900" s="151"/>
      <c r="C900" s="53"/>
      <c r="D900" s="53"/>
      <c r="E900" s="53"/>
      <c r="F900" s="53"/>
      <c r="G900" s="53"/>
      <c r="H900" s="53"/>
      <c r="I900" s="53"/>
      <c r="J900" s="53"/>
      <c r="K900" s="53"/>
      <c r="L900" s="11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30" x14ac:dyDescent="0.4">
      <c r="A901" s="53"/>
      <c r="B901" s="151"/>
      <c r="C901" s="53"/>
      <c r="D901" s="53"/>
      <c r="E901" s="53"/>
      <c r="F901" s="53"/>
      <c r="G901" s="53"/>
      <c r="H901" s="53"/>
      <c r="I901" s="53"/>
      <c r="J901" s="53"/>
      <c r="K901" s="53"/>
      <c r="L901" s="11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30" x14ac:dyDescent="0.4">
      <c r="A902" s="53"/>
      <c r="B902" s="151"/>
      <c r="C902" s="53"/>
      <c r="D902" s="53"/>
      <c r="E902" s="53"/>
      <c r="F902" s="53"/>
      <c r="G902" s="53"/>
      <c r="H902" s="53"/>
      <c r="I902" s="53"/>
      <c r="J902" s="53"/>
      <c r="K902" s="53"/>
      <c r="L902" s="11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30" x14ac:dyDescent="0.4">
      <c r="A903" s="53"/>
      <c r="B903" s="151"/>
      <c r="C903" s="53"/>
      <c r="D903" s="53"/>
      <c r="E903" s="53"/>
      <c r="F903" s="53"/>
      <c r="G903" s="53"/>
      <c r="H903" s="53"/>
      <c r="I903" s="53"/>
      <c r="J903" s="53"/>
      <c r="K903" s="53"/>
      <c r="L903" s="11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30" x14ac:dyDescent="0.4">
      <c r="A904" s="53"/>
      <c r="B904" s="151"/>
      <c r="C904" s="53"/>
      <c r="D904" s="53"/>
      <c r="E904" s="53"/>
      <c r="F904" s="53"/>
      <c r="G904" s="53"/>
      <c r="H904" s="53"/>
      <c r="I904" s="53"/>
      <c r="J904" s="53"/>
      <c r="K904" s="53"/>
      <c r="L904" s="11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30" x14ac:dyDescent="0.4">
      <c r="A905" s="53"/>
      <c r="B905" s="151"/>
      <c r="C905" s="53"/>
      <c r="D905" s="53"/>
      <c r="E905" s="53"/>
      <c r="F905" s="53"/>
      <c r="G905" s="53"/>
      <c r="H905" s="53"/>
      <c r="I905" s="53"/>
      <c r="J905" s="53"/>
      <c r="K905" s="53"/>
      <c r="L905" s="11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30" x14ac:dyDescent="0.4">
      <c r="A906" s="53"/>
      <c r="B906" s="151"/>
      <c r="C906" s="53"/>
      <c r="D906" s="53"/>
      <c r="E906" s="53"/>
      <c r="F906" s="53"/>
      <c r="G906" s="53"/>
      <c r="H906" s="53"/>
      <c r="I906" s="53"/>
      <c r="J906" s="53"/>
      <c r="K906" s="53"/>
      <c r="L906" s="11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30" x14ac:dyDescent="0.4">
      <c r="A907" s="53"/>
      <c r="B907" s="151"/>
      <c r="C907" s="53"/>
      <c r="D907" s="53"/>
      <c r="E907" s="53"/>
      <c r="F907" s="53"/>
      <c r="G907" s="53"/>
      <c r="H907" s="53"/>
      <c r="I907" s="53"/>
      <c r="J907" s="53"/>
      <c r="K907" s="53"/>
      <c r="L907" s="11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30" x14ac:dyDescent="0.4">
      <c r="A908" s="53"/>
      <c r="B908" s="151"/>
      <c r="C908" s="53"/>
      <c r="D908" s="53"/>
      <c r="E908" s="53"/>
      <c r="F908" s="53"/>
      <c r="G908" s="53"/>
      <c r="H908" s="53"/>
      <c r="I908" s="53"/>
      <c r="J908" s="53"/>
      <c r="K908" s="53"/>
      <c r="L908" s="11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30" x14ac:dyDescent="0.4">
      <c r="A909" s="53"/>
      <c r="B909" s="151"/>
      <c r="C909" s="53"/>
      <c r="D909" s="53"/>
      <c r="E909" s="53"/>
      <c r="F909" s="53"/>
      <c r="G909" s="53"/>
      <c r="H909" s="53"/>
      <c r="I909" s="53"/>
      <c r="J909" s="53"/>
      <c r="K909" s="53"/>
      <c r="L909" s="11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30" x14ac:dyDescent="0.4">
      <c r="A910" s="53"/>
      <c r="B910" s="151"/>
      <c r="C910" s="53"/>
      <c r="D910" s="53"/>
      <c r="E910" s="53"/>
      <c r="F910" s="53"/>
      <c r="G910" s="53"/>
      <c r="H910" s="53"/>
      <c r="I910" s="53"/>
      <c r="J910" s="53"/>
      <c r="K910" s="53"/>
      <c r="L910" s="11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30" x14ac:dyDescent="0.4">
      <c r="A911" s="53"/>
      <c r="B911" s="151"/>
      <c r="C911" s="53"/>
      <c r="D911" s="53"/>
      <c r="E911" s="53"/>
      <c r="F911" s="53"/>
      <c r="G911" s="53"/>
      <c r="H911" s="53"/>
      <c r="I911" s="53"/>
      <c r="J911" s="53"/>
      <c r="K911" s="53"/>
      <c r="L911" s="11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30" x14ac:dyDescent="0.4">
      <c r="A912" s="53"/>
      <c r="B912" s="151"/>
      <c r="C912" s="53"/>
      <c r="D912" s="53"/>
      <c r="E912" s="53"/>
      <c r="F912" s="53"/>
      <c r="G912" s="53"/>
      <c r="H912" s="53"/>
      <c r="I912" s="53"/>
      <c r="J912" s="53"/>
      <c r="K912" s="53"/>
      <c r="L912" s="11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30" x14ac:dyDescent="0.4">
      <c r="A913" s="53"/>
      <c r="B913" s="151"/>
      <c r="C913" s="53"/>
      <c r="D913" s="53"/>
      <c r="E913" s="53"/>
      <c r="F913" s="53"/>
      <c r="G913" s="53"/>
      <c r="H913" s="53"/>
      <c r="I913" s="53"/>
      <c r="J913" s="53"/>
      <c r="K913" s="53"/>
      <c r="L913" s="11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30" x14ac:dyDescent="0.4">
      <c r="A914" s="53"/>
      <c r="B914" s="151"/>
      <c r="C914" s="53"/>
      <c r="D914" s="53"/>
      <c r="E914" s="53"/>
      <c r="F914" s="53"/>
      <c r="G914" s="53"/>
      <c r="H914" s="53"/>
      <c r="I914" s="53"/>
      <c r="J914" s="53"/>
      <c r="K914" s="53"/>
      <c r="L914" s="11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30" x14ac:dyDescent="0.4">
      <c r="A915" s="53"/>
      <c r="B915" s="151"/>
      <c r="C915" s="53"/>
      <c r="D915" s="53"/>
      <c r="E915" s="53"/>
      <c r="F915" s="53"/>
      <c r="G915" s="53"/>
      <c r="H915" s="53"/>
      <c r="I915" s="53"/>
      <c r="J915" s="53"/>
      <c r="K915" s="53"/>
      <c r="L915" s="11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30" x14ac:dyDescent="0.4">
      <c r="A916" s="53"/>
      <c r="B916" s="151"/>
      <c r="C916" s="53"/>
      <c r="D916" s="53"/>
      <c r="E916" s="53"/>
      <c r="F916" s="53"/>
      <c r="G916" s="53"/>
      <c r="H916" s="53"/>
      <c r="I916" s="53"/>
      <c r="J916" s="53"/>
      <c r="K916" s="53"/>
      <c r="L916" s="11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30" x14ac:dyDescent="0.4">
      <c r="A917" s="53"/>
      <c r="B917" s="151"/>
      <c r="C917" s="53"/>
      <c r="D917" s="53"/>
      <c r="E917" s="53"/>
      <c r="F917" s="53"/>
      <c r="G917" s="53"/>
      <c r="H917" s="53"/>
      <c r="I917" s="53"/>
      <c r="J917" s="53"/>
      <c r="K917" s="53"/>
      <c r="L917" s="11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30" x14ac:dyDescent="0.4">
      <c r="A918" s="53"/>
      <c r="B918" s="151"/>
      <c r="C918" s="53"/>
      <c r="D918" s="53"/>
      <c r="E918" s="53"/>
      <c r="F918" s="53"/>
      <c r="G918" s="53"/>
      <c r="H918" s="53"/>
      <c r="I918" s="53"/>
      <c r="J918" s="53"/>
      <c r="K918" s="53"/>
      <c r="L918" s="11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30" x14ac:dyDescent="0.4">
      <c r="A919" s="53"/>
      <c r="B919" s="151"/>
      <c r="C919" s="53"/>
      <c r="D919" s="53"/>
      <c r="E919" s="53"/>
      <c r="F919" s="53"/>
      <c r="G919" s="53"/>
      <c r="H919" s="53"/>
      <c r="I919" s="53"/>
      <c r="J919" s="53"/>
      <c r="K919" s="53"/>
      <c r="L919" s="11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30" x14ac:dyDescent="0.4">
      <c r="A920" s="53"/>
      <c r="B920" s="151"/>
      <c r="C920" s="53"/>
      <c r="D920" s="53"/>
      <c r="E920" s="53"/>
      <c r="F920" s="53"/>
      <c r="G920" s="53"/>
      <c r="H920" s="53"/>
      <c r="I920" s="53"/>
      <c r="J920" s="53"/>
      <c r="K920" s="53"/>
      <c r="L920" s="11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30" x14ac:dyDescent="0.4">
      <c r="A921" s="53"/>
      <c r="B921" s="151"/>
      <c r="C921" s="53"/>
      <c r="D921" s="53"/>
      <c r="E921" s="53"/>
      <c r="F921" s="53"/>
      <c r="G921" s="53"/>
      <c r="H921" s="53"/>
      <c r="I921" s="53"/>
      <c r="J921" s="53"/>
      <c r="K921" s="53"/>
      <c r="L921" s="11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30" x14ac:dyDescent="0.4">
      <c r="A922" s="53"/>
      <c r="B922" s="151"/>
      <c r="C922" s="53"/>
      <c r="D922" s="53"/>
      <c r="E922" s="53"/>
      <c r="F922" s="53"/>
      <c r="G922" s="53"/>
      <c r="H922" s="53"/>
      <c r="I922" s="53"/>
      <c r="J922" s="53"/>
      <c r="K922" s="53"/>
      <c r="L922" s="11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30" x14ac:dyDescent="0.4">
      <c r="A923" s="53"/>
      <c r="B923" s="151"/>
      <c r="C923" s="53"/>
      <c r="D923" s="53"/>
      <c r="E923" s="53"/>
      <c r="F923" s="53"/>
      <c r="G923" s="53"/>
      <c r="H923" s="53"/>
      <c r="I923" s="53"/>
      <c r="J923" s="53"/>
      <c r="K923" s="53"/>
      <c r="L923" s="11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30" x14ac:dyDescent="0.4">
      <c r="A924" s="53"/>
      <c r="B924" s="151"/>
      <c r="C924" s="53"/>
      <c r="D924" s="53"/>
      <c r="E924" s="53"/>
      <c r="F924" s="53"/>
      <c r="G924" s="53"/>
      <c r="H924" s="53"/>
      <c r="I924" s="53"/>
      <c r="J924" s="53"/>
      <c r="K924" s="53"/>
      <c r="L924" s="11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30" x14ac:dyDescent="0.4">
      <c r="A925" s="53"/>
      <c r="B925" s="151"/>
      <c r="C925" s="53"/>
      <c r="D925" s="53"/>
      <c r="E925" s="53"/>
      <c r="F925" s="53"/>
      <c r="G925" s="53"/>
      <c r="H925" s="53"/>
      <c r="I925" s="53"/>
      <c r="J925" s="53"/>
      <c r="K925" s="53"/>
      <c r="L925" s="11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30" x14ac:dyDescent="0.4">
      <c r="A926" s="53"/>
      <c r="B926" s="151"/>
      <c r="C926" s="53"/>
      <c r="D926" s="53"/>
      <c r="E926" s="53"/>
      <c r="F926" s="53"/>
      <c r="G926" s="53"/>
      <c r="H926" s="53"/>
      <c r="I926" s="53"/>
      <c r="J926" s="53"/>
      <c r="K926" s="53"/>
      <c r="L926" s="11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30" x14ac:dyDescent="0.4">
      <c r="A927" s="53"/>
      <c r="B927" s="151"/>
      <c r="C927" s="53"/>
      <c r="D927" s="53"/>
      <c r="E927" s="53"/>
      <c r="F927" s="53"/>
      <c r="G927" s="53"/>
      <c r="H927" s="53"/>
      <c r="I927" s="53"/>
      <c r="J927" s="53"/>
      <c r="K927" s="53"/>
      <c r="L927" s="11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30" x14ac:dyDescent="0.4">
      <c r="A928" s="53"/>
      <c r="B928" s="151"/>
      <c r="C928" s="53"/>
      <c r="D928" s="53"/>
      <c r="E928" s="53"/>
      <c r="F928" s="53"/>
      <c r="G928" s="53"/>
      <c r="H928" s="53"/>
      <c r="I928" s="53"/>
      <c r="J928" s="53"/>
      <c r="K928" s="53"/>
      <c r="L928" s="11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30" x14ac:dyDescent="0.4">
      <c r="A929" s="53"/>
      <c r="B929" s="151"/>
      <c r="C929" s="53"/>
      <c r="D929" s="53"/>
      <c r="E929" s="53"/>
      <c r="F929" s="53"/>
      <c r="G929" s="53"/>
      <c r="H929" s="53"/>
      <c r="I929" s="53"/>
      <c r="J929" s="53"/>
      <c r="K929" s="53"/>
      <c r="L929" s="11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30" x14ac:dyDescent="0.4">
      <c r="A930" s="53"/>
      <c r="B930" s="151"/>
      <c r="C930" s="53"/>
      <c r="D930" s="53"/>
      <c r="E930" s="53"/>
      <c r="F930" s="53"/>
      <c r="G930" s="53"/>
      <c r="H930" s="53"/>
      <c r="I930" s="53"/>
      <c r="J930" s="53"/>
      <c r="K930" s="53"/>
      <c r="L930" s="11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30" x14ac:dyDescent="0.4">
      <c r="A931" s="53"/>
      <c r="B931" s="151"/>
      <c r="C931" s="53"/>
      <c r="D931" s="53"/>
      <c r="E931" s="53"/>
      <c r="F931" s="53"/>
      <c r="G931" s="53"/>
      <c r="H931" s="53"/>
      <c r="I931" s="53"/>
      <c r="J931" s="53"/>
      <c r="K931" s="53"/>
      <c r="L931" s="11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30" x14ac:dyDescent="0.4">
      <c r="A932" s="53"/>
      <c r="B932" s="151"/>
      <c r="C932" s="53"/>
      <c r="D932" s="53"/>
      <c r="E932" s="53"/>
      <c r="F932" s="53"/>
      <c r="G932" s="53"/>
      <c r="H932" s="53"/>
      <c r="I932" s="53"/>
      <c r="J932" s="53"/>
      <c r="K932" s="53"/>
      <c r="L932" s="11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30" x14ac:dyDescent="0.4">
      <c r="A933" s="53"/>
      <c r="B933" s="151"/>
      <c r="C933" s="53"/>
      <c r="D933" s="53"/>
      <c r="E933" s="53"/>
      <c r="F933" s="53"/>
      <c r="G933" s="53"/>
      <c r="H933" s="53"/>
      <c r="I933" s="53"/>
      <c r="J933" s="53"/>
      <c r="K933" s="53"/>
      <c r="L933" s="11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30" x14ac:dyDescent="0.4">
      <c r="A934" s="53"/>
      <c r="B934" s="151"/>
      <c r="C934" s="53"/>
      <c r="D934" s="53"/>
      <c r="E934" s="53"/>
      <c r="F934" s="53"/>
      <c r="G934" s="53"/>
      <c r="H934" s="53"/>
      <c r="I934" s="53"/>
      <c r="J934" s="53"/>
      <c r="K934" s="53"/>
      <c r="L934" s="11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30" x14ac:dyDescent="0.4">
      <c r="A935" s="53"/>
      <c r="B935" s="151"/>
      <c r="C935" s="53"/>
      <c r="D935" s="53"/>
      <c r="E935" s="53"/>
      <c r="F935" s="53"/>
      <c r="G935" s="53"/>
      <c r="H935" s="53"/>
      <c r="I935" s="53"/>
      <c r="J935" s="53"/>
      <c r="K935" s="53"/>
      <c r="L935" s="11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30" x14ac:dyDescent="0.4">
      <c r="A936" s="53"/>
      <c r="B936" s="151"/>
      <c r="C936" s="53"/>
      <c r="D936" s="53"/>
      <c r="E936" s="53"/>
      <c r="F936" s="53"/>
      <c r="G936" s="53"/>
      <c r="H936" s="53"/>
      <c r="I936" s="53"/>
      <c r="J936" s="53"/>
      <c r="K936" s="53"/>
      <c r="L936" s="11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30" x14ac:dyDescent="0.4">
      <c r="A937" s="53"/>
      <c r="B937" s="151"/>
      <c r="C937" s="53"/>
      <c r="D937" s="53"/>
      <c r="E937" s="53"/>
      <c r="F937" s="53"/>
      <c r="G937" s="53"/>
      <c r="H937" s="53"/>
      <c r="I937" s="53"/>
      <c r="J937" s="53"/>
      <c r="K937" s="53"/>
      <c r="L937" s="11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30" x14ac:dyDescent="0.4">
      <c r="A938" s="53"/>
      <c r="B938" s="151"/>
      <c r="C938" s="53"/>
      <c r="D938" s="53"/>
      <c r="E938" s="53"/>
      <c r="F938" s="53"/>
      <c r="G938" s="53"/>
      <c r="H938" s="53"/>
      <c r="I938" s="53"/>
      <c r="J938" s="53"/>
      <c r="K938" s="53"/>
      <c r="L938" s="11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30" x14ac:dyDescent="0.4">
      <c r="A939" s="53"/>
      <c r="B939" s="151"/>
      <c r="C939" s="53"/>
      <c r="D939" s="53"/>
      <c r="E939" s="53"/>
      <c r="F939" s="53"/>
      <c r="G939" s="53"/>
      <c r="H939" s="53"/>
      <c r="I939" s="53"/>
      <c r="J939" s="53"/>
      <c r="K939" s="53"/>
      <c r="L939" s="11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30" x14ac:dyDescent="0.4">
      <c r="A940" s="53"/>
      <c r="B940" s="151"/>
      <c r="C940" s="53"/>
      <c r="D940" s="53"/>
      <c r="E940" s="53"/>
      <c r="F940" s="53"/>
      <c r="G940" s="53"/>
      <c r="H940" s="53"/>
      <c r="I940" s="53"/>
      <c r="J940" s="53"/>
      <c r="K940" s="53"/>
      <c r="L940" s="11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30" x14ac:dyDescent="0.4">
      <c r="A941" s="53"/>
      <c r="B941" s="151"/>
      <c r="C941" s="53"/>
      <c r="D941" s="53"/>
      <c r="E941" s="53"/>
      <c r="F941" s="53"/>
      <c r="G941" s="53"/>
      <c r="H941" s="53"/>
      <c r="I941" s="53"/>
      <c r="J941" s="53"/>
      <c r="K941" s="53"/>
      <c r="L941" s="11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30" x14ac:dyDescent="0.4">
      <c r="A942" s="53"/>
      <c r="B942" s="151"/>
      <c r="C942" s="53"/>
      <c r="D942" s="53"/>
      <c r="E942" s="53"/>
      <c r="F942" s="53"/>
      <c r="G942" s="53"/>
      <c r="H942" s="53"/>
      <c r="I942" s="53"/>
      <c r="J942" s="53"/>
      <c r="K942" s="53"/>
      <c r="L942" s="11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30" x14ac:dyDescent="0.4">
      <c r="A943" s="53"/>
      <c r="B943" s="151"/>
      <c r="C943" s="53"/>
      <c r="D943" s="53"/>
      <c r="E943" s="53"/>
      <c r="F943" s="53"/>
      <c r="G943" s="53"/>
      <c r="H943" s="53"/>
      <c r="I943" s="53"/>
      <c r="J943" s="53"/>
      <c r="K943" s="53"/>
      <c r="L943" s="11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30" x14ac:dyDescent="0.4">
      <c r="A944" s="53"/>
      <c r="B944" s="151"/>
      <c r="C944" s="53"/>
      <c r="D944" s="53"/>
      <c r="E944" s="53"/>
      <c r="F944" s="53"/>
      <c r="G944" s="53"/>
      <c r="H944" s="53"/>
      <c r="I944" s="53"/>
      <c r="J944" s="53"/>
      <c r="K944" s="53"/>
      <c r="L944" s="11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30" x14ac:dyDescent="0.4">
      <c r="A945" s="53"/>
      <c r="B945" s="151"/>
      <c r="C945" s="53"/>
      <c r="D945" s="53"/>
      <c r="E945" s="53"/>
      <c r="F945" s="53"/>
      <c r="G945" s="53"/>
      <c r="H945" s="53"/>
      <c r="I945" s="53"/>
      <c r="J945" s="53"/>
      <c r="K945" s="53"/>
      <c r="L945" s="11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30" x14ac:dyDescent="0.4">
      <c r="A946" s="53"/>
      <c r="B946" s="151"/>
      <c r="C946" s="53"/>
      <c r="D946" s="53"/>
      <c r="E946" s="53"/>
      <c r="F946" s="53"/>
      <c r="G946" s="53"/>
      <c r="H946" s="53"/>
      <c r="I946" s="53"/>
      <c r="J946" s="53"/>
      <c r="K946" s="53"/>
      <c r="L946" s="11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30" x14ac:dyDescent="0.4">
      <c r="A947" s="53"/>
      <c r="B947" s="151"/>
      <c r="C947" s="53"/>
      <c r="D947" s="53"/>
      <c r="E947" s="53"/>
      <c r="F947" s="53"/>
      <c r="G947" s="53"/>
      <c r="H947" s="53"/>
      <c r="I947" s="53"/>
      <c r="J947" s="53"/>
      <c r="K947" s="53"/>
      <c r="L947" s="11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30" x14ac:dyDescent="0.4">
      <c r="A948" s="53"/>
      <c r="B948" s="151"/>
      <c r="C948" s="53"/>
      <c r="D948" s="53"/>
      <c r="E948" s="53"/>
      <c r="F948" s="53"/>
      <c r="G948" s="53"/>
      <c r="H948" s="53"/>
      <c r="I948" s="53"/>
      <c r="J948" s="53"/>
      <c r="K948" s="53"/>
      <c r="L948" s="11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30" x14ac:dyDescent="0.4">
      <c r="A949" s="53"/>
      <c r="B949" s="151"/>
      <c r="C949" s="53"/>
      <c r="D949" s="53"/>
      <c r="E949" s="53"/>
      <c r="F949" s="53"/>
      <c r="G949" s="53"/>
      <c r="H949" s="53"/>
      <c r="I949" s="53"/>
      <c r="J949" s="53"/>
      <c r="K949" s="53"/>
      <c r="L949" s="11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30" x14ac:dyDescent="0.4">
      <c r="A950" s="53"/>
      <c r="B950" s="151"/>
      <c r="C950" s="53"/>
      <c r="D950" s="53"/>
      <c r="E950" s="53"/>
      <c r="F950" s="53"/>
      <c r="G950" s="53"/>
      <c r="H950" s="53"/>
      <c r="I950" s="53"/>
      <c r="J950" s="53"/>
      <c r="K950" s="53"/>
      <c r="L950" s="11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30" x14ac:dyDescent="0.4">
      <c r="A951" s="53"/>
      <c r="B951" s="151"/>
      <c r="C951" s="53"/>
      <c r="D951" s="53"/>
      <c r="E951" s="53"/>
      <c r="F951" s="53"/>
      <c r="G951" s="53"/>
      <c r="H951" s="53"/>
      <c r="I951" s="53"/>
      <c r="J951" s="53"/>
      <c r="K951" s="53"/>
      <c r="L951" s="11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30" x14ac:dyDescent="0.4">
      <c r="A952" s="53"/>
      <c r="B952" s="151"/>
      <c r="C952" s="53"/>
      <c r="D952" s="53"/>
      <c r="E952" s="53"/>
      <c r="F952" s="53"/>
      <c r="G952" s="53"/>
      <c r="H952" s="53"/>
      <c r="I952" s="53"/>
      <c r="J952" s="53"/>
      <c r="K952" s="53"/>
      <c r="L952" s="11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30" x14ac:dyDescent="0.4">
      <c r="A953" s="53"/>
      <c r="B953" s="151"/>
      <c r="C953" s="53"/>
      <c r="D953" s="53"/>
      <c r="E953" s="53"/>
      <c r="F953" s="53"/>
      <c r="G953" s="53"/>
      <c r="H953" s="53"/>
      <c r="I953" s="53"/>
      <c r="J953" s="53"/>
      <c r="K953" s="53"/>
      <c r="L953" s="11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30" x14ac:dyDescent="0.4">
      <c r="A954" s="53"/>
      <c r="B954" s="151"/>
      <c r="C954" s="53"/>
      <c r="D954" s="53"/>
      <c r="E954" s="53"/>
      <c r="F954" s="53"/>
      <c r="G954" s="53"/>
      <c r="H954" s="53"/>
      <c r="I954" s="53"/>
      <c r="J954" s="53"/>
      <c r="K954" s="53"/>
      <c r="L954" s="11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30" x14ac:dyDescent="0.4">
      <c r="A955" s="53"/>
      <c r="B955" s="151"/>
      <c r="C955" s="53"/>
      <c r="D955" s="53"/>
      <c r="E955" s="53"/>
      <c r="F955" s="53"/>
      <c r="G955" s="53"/>
      <c r="H955" s="53"/>
      <c r="I955" s="53"/>
      <c r="J955" s="53"/>
      <c r="K955" s="53"/>
      <c r="L955" s="11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30" x14ac:dyDescent="0.4">
      <c r="A956" s="53"/>
      <c r="B956" s="151"/>
      <c r="C956" s="53"/>
      <c r="D956" s="53"/>
      <c r="E956" s="53"/>
      <c r="F956" s="53"/>
      <c r="G956" s="53"/>
      <c r="H956" s="53"/>
      <c r="I956" s="53"/>
      <c r="J956" s="53"/>
      <c r="K956" s="53"/>
      <c r="L956" s="11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30" x14ac:dyDescent="0.4">
      <c r="A957" s="53"/>
      <c r="B957" s="151"/>
      <c r="C957" s="53"/>
      <c r="D957" s="53"/>
      <c r="E957" s="53"/>
      <c r="F957" s="53"/>
      <c r="G957" s="53"/>
      <c r="H957" s="53"/>
      <c r="I957" s="53"/>
      <c r="J957" s="53"/>
      <c r="K957" s="53"/>
      <c r="L957" s="11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30" x14ac:dyDescent="0.4">
      <c r="A958" s="53"/>
      <c r="B958" s="151"/>
      <c r="C958" s="53"/>
      <c r="D958" s="53"/>
      <c r="E958" s="53"/>
      <c r="F958" s="53"/>
      <c r="G958" s="53"/>
      <c r="H958" s="53"/>
      <c r="I958" s="53"/>
      <c r="J958" s="53"/>
      <c r="K958" s="53"/>
      <c r="L958" s="11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30" x14ac:dyDescent="0.4">
      <c r="A959" s="53"/>
      <c r="B959" s="151"/>
      <c r="C959" s="53"/>
      <c r="D959" s="53"/>
      <c r="E959" s="53"/>
      <c r="F959" s="53"/>
      <c r="G959" s="53"/>
      <c r="H959" s="53"/>
      <c r="I959" s="53"/>
      <c r="J959" s="53"/>
      <c r="K959" s="53"/>
      <c r="L959" s="11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30" x14ac:dyDescent="0.4">
      <c r="A960" s="53"/>
      <c r="B960" s="151"/>
      <c r="C960" s="53"/>
      <c r="D960" s="53"/>
      <c r="E960" s="53"/>
      <c r="F960" s="53"/>
      <c r="G960" s="53"/>
      <c r="H960" s="53"/>
      <c r="I960" s="53"/>
      <c r="J960" s="53"/>
      <c r="K960" s="53"/>
      <c r="L960" s="11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30" x14ac:dyDescent="0.4">
      <c r="A961" s="53"/>
      <c r="B961" s="151"/>
      <c r="C961" s="53"/>
      <c r="D961" s="53"/>
      <c r="E961" s="53"/>
      <c r="F961" s="53"/>
      <c r="G961" s="53"/>
      <c r="H961" s="53"/>
      <c r="I961" s="53"/>
      <c r="J961" s="53"/>
      <c r="K961" s="53"/>
      <c r="L961" s="11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30" x14ac:dyDescent="0.4">
      <c r="A962" s="53"/>
      <c r="B962" s="151"/>
      <c r="C962" s="53"/>
      <c r="D962" s="53"/>
      <c r="E962" s="53"/>
      <c r="F962" s="53"/>
      <c r="G962" s="53"/>
      <c r="H962" s="53"/>
      <c r="I962" s="53"/>
      <c r="J962" s="53"/>
      <c r="K962" s="53"/>
      <c r="L962" s="11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30" x14ac:dyDescent="0.4">
      <c r="A963" s="53"/>
      <c r="B963" s="151"/>
      <c r="C963" s="53"/>
      <c r="D963" s="53"/>
      <c r="E963" s="53"/>
      <c r="F963" s="53"/>
      <c r="G963" s="53"/>
      <c r="H963" s="53"/>
      <c r="I963" s="53"/>
      <c r="J963" s="53"/>
      <c r="K963" s="53"/>
      <c r="L963" s="11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30" x14ac:dyDescent="0.4">
      <c r="A964" s="53"/>
      <c r="B964" s="151"/>
      <c r="C964" s="53"/>
      <c r="D964" s="53"/>
      <c r="E964" s="53"/>
      <c r="F964" s="53"/>
      <c r="G964" s="53"/>
      <c r="H964" s="53"/>
      <c r="I964" s="53"/>
      <c r="J964" s="53"/>
      <c r="K964" s="53"/>
      <c r="L964" s="11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30" x14ac:dyDescent="0.4">
      <c r="A965" s="53"/>
      <c r="B965" s="151"/>
      <c r="C965" s="53"/>
      <c r="D965" s="53"/>
      <c r="E965" s="53"/>
      <c r="F965" s="53"/>
      <c r="G965" s="53"/>
      <c r="H965" s="53"/>
      <c r="I965" s="53"/>
      <c r="J965" s="53"/>
      <c r="K965" s="53"/>
      <c r="L965" s="11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30" x14ac:dyDescent="0.4">
      <c r="A966" s="53"/>
      <c r="B966" s="151"/>
      <c r="C966" s="53"/>
      <c r="D966" s="53"/>
      <c r="E966" s="53"/>
      <c r="F966" s="53"/>
      <c r="G966" s="53"/>
      <c r="H966" s="53"/>
      <c r="I966" s="53"/>
      <c r="J966" s="53"/>
      <c r="K966" s="53"/>
      <c r="L966" s="11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30" x14ac:dyDescent="0.4">
      <c r="A967" s="53"/>
      <c r="B967" s="151"/>
      <c r="C967" s="53"/>
      <c r="D967" s="53"/>
      <c r="E967" s="53"/>
      <c r="F967" s="53"/>
      <c r="G967" s="53"/>
      <c r="H967" s="53"/>
      <c r="I967" s="53"/>
      <c r="J967" s="53"/>
      <c r="K967" s="53"/>
      <c r="L967" s="11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30" x14ac:dyDescent="0.4">
      <c r="A968" s="53"/>
      <c r="B968" s="151"/>
      <c r="C968" s="53"/>
      <c r="D968" s="53"/>
      <c r="E968" s="53"/>
      <c r="F968" s="53"/>
      <c r="G968" s="53"/>
      <c r="H968" s="53"/>
      <c r="I968" s="53"/>
      <c r="J968" s="53"/>
      <c r="K968" s="53"/>
      <c r="L968" s="11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30" x14ac:dyDescent="0.4">
      <c r="A969" s="53"/>
      <c r="B969" s="151"/>
      <c r="C969" s="53"/>
      <c r="D969" s="53"/>
      <c r="E969" s="53"/>
      <c r="F969" s="53"/>
      <c r="G969" s="53"/>
      <c r="H969" s="53"/>
      <c r="I969" s="53"/>
      <c r="J969" s="53"/>
      <c r="K969" s="53"/>
      <c r="L969" s="11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30" x14ac:dyDescent="0.4">
      <c r="A970" s="53"/>
      <c r="B970" s="151"/>
      <c r="C970" s="53"/>
      <c r="D970" s="53"/>
      <c r="E970" s="53"/>
      <c r="F970" s="53"/>
      <c r="G970" s="53"/>
      <c r="H970" s="53"/>
      <c r="I970" s="53"/>
      <c r="J970" s="53"/>
      <c r="K970" s="53"/>
      <c r="L970" s="11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30" x14ac:dyDescent="0.4">
      <c r="A971" s="53"/>
      <c r="B971" s="151"/>
      <c r="C971" s="53"/>
      <c r="D971" s="53"/>
      <c r="E971" s="53"/>
      <c r="F971" s="53"/>
      <c r="G971" s="53"/>
      <c r="H971" s="53"/>
      <c r="I971" s="53"/>
      <c r="J971" s="53"/>
      <c r="K971" s="53"/>
      <c r="L971" s="11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30" x14ac:dyDescent="0.4">
      <c r="A972" s="53"/>
      <c r="B972" s="151"/>
      <c r="C972" s="53"/>
      <c r="D972" s="53"/>
      <c r="E972" s="53"/>
      <c r="F972" s="53"/>
      <c r="G972" s="53"/>
      <c r="H972" s="53"/>
      <c r="I972" s="53"/>
      <c r="J972" s="53"/>
      <c r="K972" s="53"/>
      <c r="L972" s="11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30" x14ac:dyDescent="0.4">
      <c r="A973" s="53"/>
      <c r="B973" s="151"/>
      <c r="C973" s="53"/>
      <c r="D973" s="53"/>
      <c r="E973" s="53"/>
      <c r="F973" s="53"/>
      <c r="G973" s="53"/>
      <c r="H973" s="53"/>
      <c r="I973" s="53"/>
      <c r="J973" s="53"/>
      <c r="K973" s="53"/>
      <c r="L973" s="11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30" x14ac:dyDescent="0.4">
      <c r="A974" s="53"/>
      <c r="B974" s="151"/>
      <c r="C974" s="53"/>
      <c r="D974" s="53"/>
      <c r="E974" s="53"/>
      <c r="F974" s="53"/>
      <c r="G974" s="53"/>
      <c r="H974" s="53"/>
      <c r="I974" s="53"/>
      <c r="J974" s="53"/>
      <c r="K974" s="53"/>
      <c r="L974" s="11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30" x14ac:dyDescent="0.4">
      <c r="A975" s="53"/>
      <c r="B975" s="151"/>
      <c r="C975" s="53"/>
      <c r="D975" s="53"/>
      <c r="E975" s="53"/>
      <c r="F975" s="53"/>
      <c r="G975" s="53"/>
      <c r="H975" s="53"/>
      <c r="I975" s="53"/>
      <c r="J975" s="53"/>
      <c r="K975" s="53"/>
      <c r="L975" s="11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30" x14ac:dyDescent="0.4">
      <c r="A976" s="53"/>
      <c r="B976" s="151"/>
      <c r="C976" s="53"/>
      <c r="D976" s="53"/>
      <c r="E976" s="53"/>
      <c r="F976" s="53"/>
      <c r="G976" s="53"/>
      <c r="H976" s="53"/>
      <c r="I976" s="53"/>
      <c r="J976" s="53"/>
      <c r="K976" s="53"/>
      <c r="L976" s="11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30" x14ac:dyDescent="0.4">
      <c r="A977" s="53"/>
      <c r="B977" s="151"/>
      <c r="C977" s="53"/>
      <c r="D977" s="53"/>
      <c r="E977" s="53"/>
      <c r="F977" s="53"/>
      <c r="G977" s="53"/>
      <c r="H977" s="53"/>
      <c r="I977" s="53"/>
      <c r="J977" s="53"/>
      <c r="K977" s="53"/>
      <c r="L977" s="11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30" x14ac:dyDescent="0.4">
      <c r="A978" s="53"/>
      <c r="B978" s="151"/>
      <c r="C978" s="53"/>
      <c r="D978" s="53"/>
      <c r="E978" s="53"/>
      <c r="F978" s="53"/>
      <c r="G978" s="53"/>
      <c r="H978" s="53"/>
      <c r="I978" s="53"/>
      <c r="J978" s="53"/>
      <c r="K978" s="53"/>
      <c r="L978" s="11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30" x14ac:dyDescent="0.4">
      <c r="A979" s="53"/>
      <c r="B979" s="151"/>
      <c r="C979" s="53"/>
      <c r="D979" s="53"/>
      <c r="E979" s="53"/>
      <c r="F979" s="53"/>
      <c r="G979" s="53"/>
      <c r="H979" s="53"/>
      <c r="I979" s="53"/>
      <c r="J979" s="53"/>
      <c r="K979" s="53"/>
      <c r="L979" s="11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30" x14ac:dyDescent="0.4">
      <c r="A980" s="53"/>
      <c r="B980" s="151"/>
      <c r="C980" s="53"/>
      <c r="D980" s="53"/>
      <c r="E980" s="53"/>
      <c r="F980" s="53"/>
      <c r="G980" s="53"/>
      <c r="H980" s="53"/>
      <c r="I980" s="53"/>
      <c r="J980" s="53"/>
      <c r="K980" s="53"/>
      <c r="L980" s="11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30" x14ac:dyDescent="0.4">
      <c r="A981" s="53"/>
      <c r="B981" s="151"/>
      <c r="C981" s="53"/>
      <c r="D981" s="53"/>
      <c r="E981" s="53"/>
      <c r="F981" s="53"/>
      <c r="G981" s="53"/>
      <c r="H981" s="53"/>
      <c r="I981" s="53"/>
      <c r="J981" s="53"/>
      <c r="K981" s="53"/>
      <c r="L981" s="11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30" x14ac:dyDescent="0.4">
      <c r="A982" s="53"/>
      <c r="B982" s="151"/>
      <c r="C982" s="53"/>
      <c r="D982" s="53"/>
      <c r="E982" s="53"/>
      <c r="F982" s="53"/>
      <c r="G982" s="53"/>
      <c r="H982" s="53"/>
      <c r="I982" s="53"/>
      <c r="J982" s="53"/>
      <c r="K982" s="53"/>
      <c r="L982" s="11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30" x14ac:dyDescent="0.4">
      <c r="A983" s="53"/>
      <c r="B983" s="151"/>
      <c r="C983" s="53"/>
      <c r="D983" s="53"/>
      <c r="E983" s="53"/>
      <c r="F983" s="53"/>
      <c r="G983" s="53"/>
      <c r="H983" s="53"/>
      <c r="I983" s="53"/>
      <c r="J983" s="53"/>
      <c r="K983" s="53"/>
      <c r="L983" s="11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30" x14ac:dyDescent="0.4">
      <c r="A984" s="53"/>
      <c r="B984" s="151"/>
      <c r="C984" s="53"/>
      <c r="D984" s="53"/>
      <c r="E984" s="53"/>
      <c r="F984" s="53"/>
      <c r="G984" s="53"/>
      <c r="H984" s="53"/>
      <c r="I984" s="53"/>
      <c r="J984" s="53"/>
      <c r="K984" s="53"/>
      <c r="L984" s="11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30" x14ac:dyDescent="0.4">
      <c r="A985" s="53"/>
      <c r="B985" s="151"/>
      <c r="C985" s="53"/>
      <c r="D985" s="53"/>
      <c r="E985" s="53"/>
      <c r="F985" s="53"/>
      <c r="G985" s="53"/>
      <c r="H985" s="53"/>
      <c r="I985" s="53"/>
      <c r="J985" s="53"/>
      <c r="K985" s="53"/>
      <c r="L985" s="11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30" x14ac:dyDescent="0.4">
      <c r="A986" s="53"/>
      <c r="B986" s="151"/>
      <c r="C986" s="53"/>
      <c r="D986" s="53"/>
      <c r="E986" s="53"/>
      <c r="F986" s="53"/>
      <c r="G986" s="53"/>
      <c r="H986" s="53"/>
      <c r="I986" s="53"/>
      <c r="J986" s="53"/>
      <c r="K986" s="53"/>
      <c r="L986" s="11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30" x14ac:dyDescent="0.4">
      <c r="A987" s="53"/>
      <c r="B987" s="151"/>
      <c r="C987" s="53"/>
      <c r="D987" s="53"/>
      <c r="E987" s="53"/>
      <c r="F987" s="53"/>
      <c r="G987" s="53"/>
      <c r="H987" s="53"/>
      <c r="I987" s="53"/>
      <c r="J987" s="53"/>
      <c r="K987" s="53"/>
      <c r="L987" s="11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30" x14ac:dyDescent="0.4">
      <c r="A988" s="53"/>
      <c r="B988" s="151"/>
      <c r="C988" s="53"/>
      <c r="D988" s="53"/>
      <c r="E988" s="53"/>
      <c r="F988" s="53"/>
      <c r="G988" s="53"/>
      <c r="H988" s="53"/>
      <c r="I988" s="53"/>
      <c r="J988" s="53"/>
      <c r="K988" s="53"/>
      <c r="L988" s="11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30" x14ac:dyDescent="0.4">
      <c r="A989" s="53"/>
      <c r="B989" s="151"/>
      <c r="C989" s="53"/>
      <c r="D989" s="53"/>
      <c r="E989" s="53"/>
      <c r="F989" s="53"/>
      <c r="G989" s="53"/>
      <c r="H989" s="53"/>
      <c r="I989" s="53"/>
      <c r="J989" s="53"/>
      <c r="K989" s="53"/>
      <c r="L989" s="11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30" x14ac:dyDescent="0.4">
      <c r="A990" s="53"/>
      <c r="B990" s="151"/>
      <c r="C990" s="53"/>
      <c r="D990" s="53"/>
      <c r="E990" s="53"/>
      <c r="F990" s="53"/>
      <c r="G990" s="53"/>
      <c r="H990" s="53"/>
      <c r="I990" s="53"/>
      <c r="J990" s="53"/>
      <c r="K990" s="53"/>
      <c r="L990" s="11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30" x14ac:dyDescent="0.4">
      <c r="A991" s="53"/>
      <c r="B991" s="151"/>
      <c r="C991" s="53"/>
      <c r="D991" s="53"/>
      <c r="E991" s="53"/>
      <c r="F991" s="53"/>
      <c r="G991" s="53"/>
      <c r="H991" s="53"/>
      <c r="I991" s="53"/>
      <c r="J991" s="53"/>
      <c r="K991" s="53"/>
      <c r="L991" s="11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30" x14ac:dyDescent="0.4">
      <c r="A992" s="53"/>
      <c r="B992" s="151"/>
      <c r="C992" s="53"/>
      <c r="D992" s="53"/>
      <c r="E992" s="53"/>
      <c r="F992" s="53"/>
      <c r="G992" s="53"/>
      <c r="H992" s="53"/>
      <c r="I992" s="53"/>
      <c r="J992" s="53"/>
      <c r="K992" s="53"/>
      <c r="L992" s="11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30" x14ac:dyDescent="0.4">
      <c r="A993" s="53"/>
      <c r="B993" s="151"/>
      <c r="C993" s="53"/>
      <c r="D993" s="53"/>
      <c r="E993" s="53"/>
      <c r="F993" s="53"/>
      <c r="G993" s="53"/>
      <c r="H993" s="53"/>
      <c r="I993" s="53"/>
      <c r="J993" s="53"/>
      <c r="K993" s="53"/>
      <c r="L993" s="11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30" x14ac:dyDescent="0.4">
      <c r="A994" s="53"/>
      <c r="B994" s="151"/>
      <c r="C994" s="53"/>
      <c r="D994" s="53"/>
      <c r="E994" s="53"/>
      <c r="F994" s="53"/>
      <c r="G994" s="53"/>
      <c r="H994" s="53"/>
      <c r="I994" s="53"/>
      <c r="J994" s="53"/>
      <c r="K994" s="53"/>
      <c r="L994" s="11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30" x14ac:dyDescent="0.4">
      <c r="A995" s="53"/>
      <c r="B995" s="151"/>
      <c r="C995" s="53"/>
      <c r="D995" s="53"/>
      <c r="E995" s="53"/>
      <c r="F995" s="53"/>
      <c r="G995" s="53"/>
      <c r="H995" s="53"/>
      <c r="I995" s="53"/>
      <c r="J995" s="53"/>
      <c r="K995" s="53"/>
      <c r="L995" s="11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30" x14ac:dyDescent="0.4">
      <c r="A996" s="53"/>
      <c r="B996" s="151"/>
      <c r="C996" s="53"/>
      <c r="D996" s="53"/>
      <c r="E996" s="53"/>
      <c r="F996" s="53"/>
      <c r="G996" s="53"/>
      <c r="H996" s="53"/>
      <c r="I996" s="53"/>
      <c r="J996" s="53"/>
      <c r="K996" s="53"/>
      <c r="L996" s="11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30" x14ac:dyDescent="0.4">
      <c r="A997" s="53"/>
      <c r="B997" s="151"/>
      <c r="C997" s="53"/>
      <c r="D997" s="53"/>
      <c r="E997" s="53"/>
      <c r="F997" s="53"/>
      <c r="G997" s="53"/>
      <c r="H997" s="53"/>
      <c r="I997" s="53"/>
      <c r="J997" s="53"/>
      <c r="K997" s="53"/>
      <c r="L997" s="11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30" x14ac:dyDescent="0.4">
      <c r="A998" s="53"/>
      <c r="B998" s="151"/>
      <c r="C998" s="53"/>
      <c r="D998" s="53"/>
      <c r="E998" s="53"/>
      <c r="F998" s="53"/>
      <c r="G998" s="53"/>
      <c r="H998" s="53"/>
      <c r="I998" s="53"/>
      <c r="J998" s="53"/>
      <c r="K998" s="53"/>
      <c r="L998" s="11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30" x14ac:dyDescent="0.4">
      <c r="A999" s="53"/>
      <c r="B999" s="151"/>
      <c r="C999" s="53"/>
      <c r="D999" s="53"/>
      <c r="E999" s="53"/>
      <c r="F999" s="53"/>
      <c r="G999" s="53"/>
      <c r="H999" s="53"/>
      <c r="I999" s="53"/>
      <c r="J999" s="53"/>
      <c r="K999" s="53"/>
      <c r="L999" s="11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30" x14ac:dyDescent="0.4">
      <c r="A1000" s="53"/>
      <c r="B1000" s="151"/>
      <c r="C1000" s="53"/>
      <c r="D1000" s="53"/>
      <c r="E1000" s="53"/>
      <c r="F1000" s="53"/>
      <c r="G1000" s="53"/>
      <c r="H1000" s="53"/>
      <c r="I1000" s="53"/>
      <c r="J1000" s="53"/>
      <c r="K1000" s="53"/>
      <c r="L1000" s="11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25" right="0.25" top="0.75" bottom="0.75" header="0.3" footer="0.3"/>
  <pageSetup paperSize="9" scale="83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85" zoomScaleNormal="85" workbookViewId="0">
      <selection activeCell="D35" sqref="D35"/>
    </sheetView>
  </sheetViews>
  <sheetFormatPr baseColWidth="10" defaultRowHeight="12.75" x14ac:dyDescent="0.2"/>
  <cols>
    <col min="1" max="1" width="24.85546875" bestFit="1" customWidth="1"/>
    <col min="2" max="2" width="19.5703125" bestFit="1" customWidth="1"/>
    <col min="3" max="3" width="13.5703125" bestFit="1" customWidth="1"/>
    <col min="4" max="4" width="11.85546875" bestFit="1" customWidth="1"/>
    <col min="5" max="5" width="12.140625" customWidth="1"/>
    <col min="6" max="6" width="37.5703125" bestFit="1" customWidth="1"/>
    <col min="7" max="7" width="31.7109375" bestFit="1" customWidth="1"/>
    <col min="10" max="10" width="18.42578125" bestFit="1" customWidth="1"/>
    <col min="11" max="11" width="12.85546875" bestFit="1" customWidth="1"/>
  </cols>
  <sheetData>
    <row r="1" spans="1:11" x14ac:dyDescent="0.2">
      <c r="A1" s="140" t="s">
        <v>772</v>
      </c>
      <c r="B1" s="60" t="s">
        <v>781</v>
      </c>
      <c r="C1" s="139">
        <v>0</v>
      </c>
      <c r="D1" s="60"/>
      <c r="E1" s="60" t="s">
        <v>775</v>
      </c>
      <c r="F1" s="60" t="s">
        <v>776</v>
      </c>
      <c r="G1" s="133" t="s">
        <v>785</v>
      </c>
      <c r="J1" s="136" t="s">
        <v>799</v>
      </c>
      <c r="K1" s="60"/>
    </row>
    <row r="2" spans="1:11" x14ac:dyDescent="0.2">
      <c r="A2" s="60" t="s">
        <v>774</v>
      </c>
      <c r="B2" s="60" t="s">
        <v>773</v>
      </c>
      <c r="C2" s="60" t="s">
        <v>780</v>
      </c>
      <c r="D2" s="60" t="s">
        <v>778</v>
      </c>
      <c r="E2" s="60" t="s">
        <v>5</v>
      </c>
      <c r="F2" s="60" t="s">
        <v>779</v>
      </c>
      <c r="G2" s="141" t="s">
        <v>786</v>
      </c>
      <c r="J2" s="136" t="s">
        <v>800</v>
      </c>
      <c r="K2" s="128">
        <f>B3</f>
        <v>162381.48000000001</v>
      </c>
    </row>
    <row r="3" spans="1:11" x14ac:dyDescent="0.2">
      <c r="A3" s="130">
        <v>150000</v>
      </c>
      <c r="B3" s="143">
        <v>162381.48000000001</v>
      </c>
      <c r="C3" s="130">
        <v>50000</v>
      </c>
      <c r="D3" s="131">
        <v>43958</v>
      </c>
      <c r="E3" s="60" t="s">
        <v>22</v>
      </c>
      <c r="F3" s="131">
        <v>43990</v>
      </c>
      <c r="G3" s="138"/>
      <c r="J3" s="136" t="s">
        <v>801</v>
      </c>
      <c r="K3" s="128">
        <f>C23</f>
        <v>109116.99369999999</v>
      </c>
    </row>
    <row r="4" spans="1:11" x14ac:dyDescent="0.2">
      <c r="C4" s="135">
        <v>50000</v>
      </c>
      <c r="D4" s="131">
        <v>43993</v>
      </c>
      <c r="E4" s="136" t="s">
        <v>22</v>
      </c>
      <c r="F4" s="131">
        <v>44020</v>
      </c>
      <c r="J4" s="136" t="s">
        <v>802</v>
      </c>
      <c r="K4" s="128">
        <f>C41</f>
        <v>64060.553699999989</v>
      </c>
    </row>
    <row r="5" spans="1:11" x14ac:dyDescent="0.2">
      <c r="A5" s="136" t="s">
        <v>784</v>
      </c>
      <c r="B5" s="128">
        <f>B3/12</f>
        <v>13531.79</v>
      </c>
      <c r="C5" s="130">
        <v>50000</v>
      </c>
      <c r="D5" s="134">
        <v>44020</v>
      </c>
      <c r="E5" s="60" t="s">
        <v>22</v>
      </c>
      <c r="F5" s="131">
        <v>44051</v>
      </c>
      <c r="J5" s="136" t="s">
        <v>803</v>
      </c>
      <c r="K5" s="144">
        <f>SUM(K2:K4)</f>
        <v>335559.02739999996</v>
      </c>
    </row>
    <row r="6" spans="1:11" x14ac:dyDescent="0.2">
      <c r="A6" s="60" t="s">
        <v>783</v>
      </c>
      <c r="B6" s="65" t="s">
        <v>777</v>
      </c>
      <c r="C6" s="132" t="s">
        <v>782</v>
      </c>
    </row>
    <row r="7" spans="1:11" x14ac:dyDescent="0.2">
      <c r="A7" s="203">
        <v>44166</v>
      </c>
      <c r="B7" s="158">
        <v>1</v>
      </c>
      <c r="C7" s="160">
        <f>$B$5</f>
        <v>13531.79</v>
      </c>
      <c r="D7" s="167" t="s">
        <v>868</v>
      </c>
    </row>
    <row r="8" spans="1:11" x14ac:dyDescent="0.2">
      <c r="A8" s="203">
        <v>44197</v>
      </c>
      <c r="B8" s="158">
        <v>2</v>
      </c>
      <c r="C8" s="160">
        <f t="shared" ref="C8:C18" si="0">$B$5</f>
        <v>13531.79</v>
      </c>
      <c r="D8" s="167" t="s">
        <v>868</v>
      </c>
    </row>
    <row r="9" spans="1:11" x14ac:dyDescent="0.2">
      <c r="A9" s="203">
        <v>44228</v>
      </c>
      <c r="B9" s="158">
        <v>3</v>
      </c>
      <c r="C9" s="160">
        <f t="shared" si="0"/>
        <v>13531.79</v>
      </c>
      <c r="D9" s="167" t="s">
        <v>868</v>
      </c>
    </row>
    <row r="10" spans="1:11" x14ac:dyDescent="0.2">
      <c r="A10" s="203">
        <v>44256</v>
      </c>
      <c r="B10" s="158">
        <v>4</v>
      </c>
      <c r="C10" s="160">
        <f t="shared" si="0"/>
        <v>13531.79</v>
      </c>
      <c r="D10" s="167" t="s">
        <v>868</v>
      </c>
    </row>
    <row r="11" spans="1:11" ht="17.25" customHeight="1" x14ac:dyDescent="0.2">
      <c r="A11" s="203">
        <v>44287</v>
      </c>
      <c r="B11" s="158">
        <v>5</v>
      </c>
      <c r="C11" s="160">
        <f t="shared" si="0"/>
        <v>13531.79</v>
      </c>
      <c r="D11" s="167" t="s">
        <v>868</v>
      </c>
    </row>
    <row r="12" spans="1:11" x14ac:dyDescent="0.2">
      <c r="A12" s="203">
        <v>44317</v>
      </c>
      <c r="B12" s="158">
        <v>6</v>
      </c>
      <c r="C12" s="160">
        <f t="shared" si="0"/>
        <v>13531.79</v>
      </c>
      <c r="D12" s="167" t="s">
        <v>868</v>
      </c>
    </row>
    <row r="13" spans="1:11" x14ac:dyDescent="0.2">
      <c r="A13" s="203">
        <v>44348</v>
      </c>
      <c r="B13" s="158">
        <v>7</v>
      </c>
      <c r="C13" s="160">
        <f t="shared" si="0"/>
        <v>13531.79</v>
      </c>
      <c r="D13" s="167" t="s">
        <v>868</v>
      </c>
    </row>
    <row r="14" spans="1:11" x14ac:dyDescent="0.2">
      <c r="A14" s="203">
        <v>44378</v>
      </c>
      <c r="B14" s="158">
        <v>8</v>
      </c>
      <c r="C14" s="160">
        <f t="shared" si="0"/>
        <v>13531.79</v>
      </c>
      <c r="D14" s="167" t="s">
        <v>868</v>
      </c>
    </row>
    <row r="15" spans="1:11" x14ac:dyDescent="0.2">
      <c r="A15" s="203">
        <v>44409</v>
      </c>
      <c r="B15" s="158">
        <v>9</v>
      </c>
      <c r="C15" s="160">
        <f t="shared" si="0"/>
        <v>13531.79</v>
      </c>
      <c r="D15" s="167" t="s">
        <v>868</v>
      </c>
    </row>
    <row r="16" spans="1:11" x14ac:dyDescent="0.2">
      <c r="A16" s="203">
        <v>44440</v>
      </c>
      <c r="B16" s="158">
        <v>10</v>
      </c>
      <c r="C16" s="160">
        <f t="shared" si="0"/>
        <v>13531.79</v>
      </c>
      <c r="D16" s="167" t="s">
        <v>868</v>
      </c>
    </row>
    <row r="17" spans="1:9" x14ac:dyDescent="0.2">
      <c r="A17" s="137">
        <v>44470</v>
      </c>
      <c r="B17" s="60">
        <v>11</v>
      </c>
      <c r="C17" s="128">
        <f t="shared" si="0"/>
        <v>13531.79</v>
      </c>
    </row>
    <row r="18" spans="1:9" x14ac:dyDescent="0.2">
      <c r="A18" s="137">
        <v>44501</v>
      </c>
      <c r="B18" s="60">
        <v>12</v>
      </c>
      <c r="C18" s="128">
        <f t="shared" si="0"/>
        <v>13531.79</v>
      </c>
    </row>
    <row r="19" spans="1:9" ht="7.5" customHeight="1" x14ac:dyDescent="0.2"/>
    <row r="20" spans="1:9" ht="7.5" customHeight="1" x14ac:dyDescent="0.2"/>
    <row r="21" spans="1:9" x14ac:dyDescent="0.2">
      <c r="A21" s="146" t="s">
        <v>792</v>
      </c>
      <c r="B21" s="136" t="s">
        <v>781</v>
      </c>
      <c r="C21" s="139">
        <v>0.43</v>
      </c>
      <c r="D21" s="60"/>
      <c r="E21" s="136" t="s">
        <v>775</v>
      </c>
      <c r="F21" s="136" t="s">
        <v>787</v>
      </c>
      <c r="G21" s="133" t="s">
        <v>789</v>
      </c>
    </row>
    <row r="22" spans="1:9" x14ac:dyDescent="0.2">
      <c r="A22" s="136" t="s">
        <v>788</v>
      </c>
      <c r="B22" s="136" t="s">
        <v>790</v>
      </c>
      <c r="C22" s="136" t="s">
        <v>791</v>
      </c>
      <c r="D22" s="238" t="s">
        <v>793</v>
      </c>
      <c r="E22" s="238"/>
      <c r="F22" s="136" t="s">
        <v>794</v>
      </c>
      <c r="H22" s="133"/>
      <c r="I22" s="129"/>
    </row>
    <row r="23" spans="1:9" x14ac:dyDescent="0.2">
      <c r="A23" s="130">
        <v>76305.59</v>
      </c>
      <c r="B23" s="128">
        <f>A23*C21</f>
        <v>32811.403699999995</v>
      </c>
      <c r="C23" s="144">
        <f>A23+B23</f>
        <v>109116.99369999999</v>
      </c>
      <c r="D23" s="239">
        <v>43958</v>
      </c>
      <c r="E23" s="240"/>
      <c r="F23" s="142" t="s">
        <v>795</v>
      </c>
      <c r="I23" s="129"/>
    </row>
    <row r="24" spans="1:9" s="147" customFormat="1" x14ac:dyDescent="0.2">
      <c r="A24" s="130"/>
      <c r="B24" s="128"/>
      <c r="C24" s="128"/>
      <c r="D24" s="241"/>
      <c r="E24" s="242"/>
      <c r="F24" s="148"/>
      <c r="I24" s="129"/>
    </row>
    <row r="25" spans="1:9" s="147" customFormat="1" x14ac:dyDescent="0.2">
      <c r="A25" s="130"/>
      <c r="B25" s="128"/>
      <c r="C25" s="128"/>
      <c r="D25" s="241"/>
      <c r="E25" s="242"/>
      <c r="F25" s="136"/>
      <c r="I25" s="129"/>
    </row>
    <row r="26" spans="1:9" x14ac:dyDescent="0.2">
      <c r="A26" s="65" t="s">
        <v>777</v>
      </c>
      <c r="B26" s="136" t="s">
        <v>796</v>
      </c>
      <c r="C26" s="60"/>
      <c r="D26" s="136" t="s">
        <v>777</v>
      </c>
      <c r="E26" s="128">
        <f>C23/9</f>
        <v>12124.110411111111</v>
      </c>
      <c r="I26" s="129"/>
    </row>
    <row r="27" spans="1:9" x14ac:dyDescent="0.2">
      <c r="A27" s="158">
        <v>1</v>
      </c>
      <c r="B27" s="159">
        <v>44019</v>
      </c>
      <c r="C27" s="160">
        <v>10045.86</v>
      </c>
      <c r="D27" t="s">
        <v>868</v>
      </c>
      <c r="I27" s="129"/>
    </row>
    <row r="28" spans="1:9" x14ac:dyDescent="0.2">
      <c r="A28" s="158">
        <v>2</v>
      </c>
      <c r="B28" s="159">
        <v>44050</v>
      </c>
      <c r="C28" s="160">
        <v>11114.6</v>
      </c>
      <c r="D28" t="s">
        <v>868</v>
      </c>
      <c r="I28" s="129"/>
    </row>
    <row r="29" spans="1:9" x14ac:dyDescent="0.2">
      <c r="A29" s="158">
        <v>3</v>
      </c>
      <c r="B29" s="159">
        <v>44081</v>
      </c>
      <c r="C29" s="160">
        <v>11114.6</v>
      </c>
      <c r="D29" s="174" t="s">
        <v>868</v>
      </c>
      <c r="I29" s="129"/>
    </row>
    <row r="30" spans="1:9" x14ac:dyDescent="0.2">
      <c r="A30" s="158">
        <v>4</v>
      </c>
      <c r="B30" s="159">
        <v>44111</v>
      </c>
      <c r="C30" s="160">
        <v>11114.6</v>
      </c>
      <c r="D30" s="188" t="s">
        <v>868</v>
      </c>
      <c r="I30" s="129"/>
    </row>
    <row r="31" spans="1:9" x14ac:dyDescent="0.2">
      <c r="A31" s="158">
        <v>5</v>
      </c>
      <c r="B31" s="159">
        <v>44142</v>
      </c>
      <c r="C31" s="160">
        <v>11114.6</v>
      </c>
      <c r="D31" s="186" t="s">
        <v>868</v>
      </c>
      <c r="E31">
        <v>1037.8800000000001</v>
      </c>
      <c r="I31" s="129"/>
    </row>
    <row r="32" spans="1:9" x14ac:dyDescent="0.2">
      <c r="A32" s="158">
        <v>6</v>
      </c>
      <c r="B32" s="159">
        <v>44172</v>
      </c>
      <c r="C32" s="160">
        <v>11114.6</v>
      </c>
      <c r="D32" s="186" t="s">
        <v>868</v>
      </c>
      <c r="E32" s="87">
        <f>+E31+C31</f>
        <v>12152.48</v>
      </c>
      <c r="I32" s="129"/>
    </row>
    <row r="33" spans="1:9" x14ac:dyDescent="0.2">
      <c r="A33" s="158">
        <v>7</v>
      </c>
      <c r="B33" s="159">
        <v>44203</v>
      </c>
      <c r="C33" s="160">
        <v>11114.6</v>
      </c>
      <c r="D33" s="186" t="s">
        <v>868</v>
      </c>
      <c r="I33" s="129"/>
    </row>
    <row r="34" spans="1:9" x14ac:dyDescent="0.2">
      <c r="A34" s="158">
        <v>8</v>
      </c>
      <c r="B34" s="159">
        <v>44234</v>
      </c>
      <c r="C34" s="160">
        <v>11114.6</v>
      </c>
      <c r="D34" s="186" t="s">
        <v>868</v>
      </c>
      <c r="E34" s="87"/>
      <c r="I34" s="129"/>
    </row>
    <row r="35" spans="1:9" x14ac:dyDescent="0.2">
      <c r="A35" s="158">
        <v>9</v>
      </c>
      <c r="B35" s="159">
        <v>44262</v>
      </c>
      <c r="C35" s="160">
        <v>11114.6</v>
      </c>
      <c r="D35" s="186" t="s">
        <v>868</v>
      </c>
      <c r="I35" s="129"/>
    </row>
    <row r="36" spans="1:9" x14ac:dyDescent="0.2">
      <c r="C36" s="87">
        <f>+SUM(C27:C35)</f>
        <v>98962.660000000018</v>
      </c>
      <c r="D36" s="87">
        <f>+C36-A23</f>
        <v>22657.070000000022</v>
      </c>
      <c r="E36" s="207">
        <f>+D36/A23</f>
        <v>0.29692542839915165</v>
      </c>
      <c r="I36" s="129"/>
    </row>
    <row r="37" spans="1:9" ht="54" customHeight="1" x14ac:dyDescent="0.2"/>
    <row r="38" spans="1:9" s="127" customFormat="1" ht="20.25" customHeight="1" x14ac:dyDescent="0.2"/>
    <row r="39" spans="1:9" x14ac:dyDescent="0.2">
      <c r="A39" s="146" t="s">
        <v>797</v>
      </c>
      <c r="B39" s="136" t="s">
        <v>781</v>
      </c>
      <c r="C39" s="139">
        <v>0.43</v>
      </c>
      <c r="D39" s="60"/>
      <c r="E39" s="136" t="s">
        <v>775</v>
      </c>
      <c r="F39" s="136" t="s">
        <v>787</v>
      </c>
    </row>
    <row r="40" spans="1:9" x14ac:dyDescent="0.2">
      <c r="A40" s="136" t="s">
        <v>788</v>
      </c>
      <c r="B40" s="136" t="s">
        <v>790</v>
      </c>
      <c r="C40" s="136" t="s">
        <v>791</v>
      </c>
      <c r="D40" s="238" t="s">
        <v>793</v>
      </c>
      <c r="E40" s="238"/>
      <c r="F40" s="136" t="s">
        <v>794</v>
      </c>
    </row>
    <row r="41" spans="1:9" x14ac:dyDescent="0.2">
      <c r="A41" s="130">
        <v>44797.59</v>
      </c>
      <c r="B41" s="128">
        <f>A41*C39</f>
        <v>19262.963699999997</v>
      </c>
      <c r="C41" s="144">
        <f>A41+B41</f>
        <v>64060.553699999989</v>
      </c>
      <c r="D41" s="239">
        <v>43941</v>
      </c>
      <c r="E41" s="240"/>
      <c r="F41" s="142" t="s">
        <v>798</v>
      </c>
    </row>
    <row r="42" spans="1:9" x14ac:dyDescent="0.2">
      <c r="A42" s="65" t="s">
        <v>777</v>
      </c>
      <c r="B42" s="136" t="s">
        <v>796</v>
      </c>
      <c r="C42" s="60"/>
      <c r="D42" s="136" t="s">
        <v>777</v>
      </c>
      <c r="E42" s="128">
        <f>C41/9</f>
        <v>7117.8392999999987</v>
      </c>
      <c r="F42" s="126"/>
    </row>
    <row r="43" spans="1:9" x14ac:dyDescent="0.2">
      <c r="A43" s="158">
        <v>1</v>
      </c>
      <c r="B43" s="159">
        <v>44019</v>
      </c>
      <c r="C43" s="160">
        <v>6484.13</v>
      </c>
      <c r="D43" s="167" t="s">
        <v>868</v>
      </c>
      <c r="E43" s="126"/>
      <c r="F43" s="160">
        <f>C43*9</f>
        <v>58357.17</v>
      </c>
      <c r="G43" s="158" t="s">
        <v>888</v>
      </c>
    </row>
    <row r="44" spans="1:9" x14ac:dyDescent="0.2">
      <c r="A44" s="158">
        <v>2</v>
      </c>
      <c r="B44" s="159">
        <v>44050</v>
      </c>
      <c r="C44" s="160">
        <v>6484.13</v>
      </c>
      <c r="D44" s="167" t="s">
        <v>868</v>
      </c>
      <c r="E44" s="126"/>
      <c r="F44" s="160">
        <f>F43-A41</f>
        <v>13559.580000000002</v>
      </c>
      <c r="G44" s="158" t="s">
        <v>790</v>
      </c>
    </row>
    <row r="45" spans="1:9" x14ac:dyDescent="0.2">
      <c r="A45" s="158">
        <v>3</v>
      </c>
      <c r="B45" s="159">
        <v>44081</v>
      </c>
      <c r="C45" s="160">
        <v>6484.13</v>
      </c>
      <c r="D45" s="167" t="s">
        <v>868</v>
      </c>
      <c r="E45" s="126"/>
      <c r="F45" s="168">
        <f>F44/F43</f>
        <v>0.23235499596707657</v>
      </c>
      <c r="G45" s="158" t="s">
        <v>889</v>
      </c>
    </row>
    <row r="46" spans="1:9" x14ac:dyDescent="0.2">
      <c r="A46" s="158">
        <v>4</v>
      </c>
      <c r="B46" s="159">
        <v>44111</v>
      </c>
      <c r="C46" s="160">
        <v>6484.13</v>
      </c>
      <c r="D46" s="186" t="s">
        <v>868</v>
      </c>
      <c r="E46" s="126"/>
      <c r="F46" s="126"/>
    </row>
    <row r="47" spans="1:9" x14ac:dyDescent="0.2">
      <c r="A47" s="158">
        <v>5</v>
      </c>
      <c r="B47" s="159">
        <v>44142</v>
      </c>
      <c r="C47" s="160">
        <v>6485.13</v>
      </c>
      <c r="D47" s="186" t="s">
        <v>868</v>
      </c>
      <c r="E47" s="126"/>
      <c r="F47" s="126"/>
    </row>
    <row r="48" spans="1:9" x14ac:dyDescent="0.2">
      <c r="A48" s="158">
        <v>6</v>
      </c>
      <c r="B48" s="159">
        <v>44172</v>
      </c>
      <c r="C48" s="160">
        <v>6484.13</v>
      </c>
      <c r="D48" s="186" t="s">
        <v>868</v>
      </c>
      <c r="E48" s="126"/>
      <c r="F48" s="126"/>
    </row>
    <row r="49" spans="1:6" x14ac:dyDescent="0.2">
      <c r="A49" s="158">
        <v>7</v>
      </c>
      <c r="B49" s="159">
        <v>44203</v>
      </c>
      <c r="C49" s="160">
        <v>6484.13</v>
      </c>
      <c r="D49" s="186" t="s">
        <v>868</v>
      </c>
      <c r="E49" s="126"/>
      <c r="F49" s="126"/>
    </row>
    <row r="50" spans="1:6" x14ac:dyDescent="0.2">
      <c r="A50" s="158">
        <v>8</v>
      </c>
      <c r="B50" s="159">
        <v>44234</v>
      </c>
      <c r="C50" s="160">
        <v>6484.13</v>
      </c>
      <c r="D50" s="186" t="s">
        <v>868</v>
      </c>
      <c r="E50" s="126"/>
      <c r="F50" s="126"/>
    </row>
    <row r="51" spans="1:6" x14ac:dyDescent="0.2">
      <c r="A51" s="158">
        <v>9</v>
      </c>
      <c r="B51" s="159">
        <v>44262</v>
      </c>
      <c r="C51" s="160">
        <v>6484.13</v>
      </c>
      <c r="D51" s="186" t="s">
        <v>868</v>
      </c>
      <c r="E51" s="126"/>
      <c r="F51" s="126"/>
    </row>
    <row r="52" spans="1:6" x14ac:dyDescent="0.2">
      <c r="C52" s="87">
        <f>+SUM(C43:C51)</f>
        <v>58358.169999999991</v>
      </c>
      <c r="D52" s="87">
        <f>+C52-A41</f>
        <v>13560.579999999994</v>
      </c>
      <c r="E52" s="207">
        <f>+D52/A41</f>
        <v>0.30270780191523688</v>
      </c>
    </row>
    <row r="56" spans="1:6" x14ac:dyDescent="0.2">
      <c r="B56" s="60" t="s">
        <v>799</v>
      </c>
      <c r="C56" s="60"/>
    </row>
    <row r="57" spans="1:6" x14ac:dyDescent="0.2">
      <c r="B57" s="60" t="s">
        <v>800</v>
      </c>
      <c r="C57" s="130">
        <v>162381.48000000001</v>
      </c>
    </row>
    <row r="58" spans="1:6" x14ac:dyDescent="0.2">
      <c r="B58" s="60" t="s">
        <v>801</v>
      </c>
      <c r="C58" s="130">
        <v>109116.99369999999</v>
      </c>
    </row>
    <row r="59" spans="1:6" x14ac:dyDescent="0.2">
      <c r="B59" s="60" t="s">
        <v>802</v>
      </c>
      <c r="C59" s="130">
        <v>64060.553699999989</v>
      </c>
    </row>
    <row r="60" spans="1:6" x14ac:dyDescent="0.2">
      <c r="B60" s="60" t="s">
        <v>803</v>
      </c>
      <c r="C60" s="145">
        <v>335559.02739999996</v>
      </c>
    </row>
    <row r="78" spans="3:3" x14ac:dyDescent="0.2">
      <c r="C78" s="191"/>
    </row>
  </sheetData>
  <mergeCells count="6">
    <mergeCell ref="D22:E22"/>
    <mergeCell ref="D23:E23"/>
    <mergeCell ref="D40:E40"/>
    <mergeCell ref="D41:E41"/>
    <mergeCell ref="D24:E24"/>
    <mergeCell ref="D25:E25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B38"/>
  <sheetViews>
    <sheetView zoomScale="85" zoomScaleNormal="85" workbookViewId="0">
      <selection activeCell="F15" sqref="F15"/>
    </sheetView>
  </sheetViews>
  <sheetFormatPr baseColWidth="10" defaultColWidth="10.85546875" defaultRowHeight="12.75" x14ac:dyDescent="0.2"/>
  <cols>
    <col min="1" max="1" width="18.42578125" customWidth="1"/>
    <col min="2" max="2" width="23.85546875" bestFit="1" customWidth="1"/>
    <col min="3" max="3" width="11" customWidth="1"/>
    <col min="4" max="4" width="12.7109375" bestFit="1" customWidth="1"/>
    <col min="5" max="5" width="12.140625" customWidth="1"/>
    <col min="6" max="6" width="13.140625" customWidth="1"/>
    <col min="7" max="7" width="12.140625" customWidth="1"/>
    <col min="8" max="8" width="13.140625" customWidth="1"/>
    <col min="9" max="9" width="13.28515625" bestFit="1" customWidth="1"/>
    <col min="10" max="10" width="13.140625" bestFit="1" customWidth="1"/>
    <col min="11" max="11" width="13.28515625" bestFit="1" customWidth="1"/>
  </cols>
  <sheetData>
    <row r="1" spans="1:28" ht="18" x14ac:dyDescent="0.25">
      <c r="A1" s="1"/>
      <c r="B1" s="243" t="s">
        <v>1</v>
      </c>
      <c r="C1" s="244"/>
      <c r="D1" s="244"/>
      <c r="E1" s="244"/>
      <c r="F1" s="244"/>
      <c r="G1" s="244"/>
      <c r="H1" s="245"/>
      <c r="I1" s="3"/>
      <c r="J1" s="1"/>
    </row>
    <row r="2" spans="1:28" ht="18" x14ac:dyDescent="0.25">
      <c r="A2" s="1"/>
      <c r="B2" s="49" t="s">
        <v>7</v>
      </c>
      <c r="C2" s="8" t="s">
        <v>8</v>
      </c>
      <c r="D2" s="85" t="s">
        <v>11</v>
      </c>
      <c r="E2" s="8" t="s">
        <v>14</v>
      </c>
      <c r="F2" s="93" t="s">
        <v>16</v>
      </c>
      <c r="G2" s="49" t="s">
        <v>17</v>
      </c>
      <c r="H2" s="86" t="s">
        <v>19</v>
      </c>
      <c r="I2" s="12" t="s">
        <v>20</v>
      </c>
      <c r="J2" s="1"/>
    </row>
    <row r="3" spans="1:28" ht="14.25" x14ac:dyDescent="0.2">
      <c r="A3" s="49" t="s">
        <v>21</v>
      </c>
      <c r="B3" s="14">
        <f ca="1">SUMIFS(Monto_de_cobro,Estado_del_cheque_de_cobro,"A Depositar",Fecha_de_deposito,"&lt;"&amp;TODAY()+1,Fecha_de_deposito,"&gt;"&amp;TODAY()-31)</f>
        <v>0</v>
      </c>
      <c r="C3" s="17">
        <f ca="1">SUMIFS(Monto_de_cobro,Estado_del_cheque_de_cobro,"A Depositar",Fecha_de_deposito,"&lt;"&amp;TODAY()+8,Fecha_de_deposito,"&gt;="&amp;TODAY()+1)</f>
        <v>110000</v>
      </c>
      <c r="D3" s="19">
        <f ca="1">SUMIFS(Monto_de_cobro,Estado_del_cheque_de_cobro,"A Depositar",Fecha_de_deposito,"&lt;"&amp;TODAY()+31,Fecha_de_deposito,"&gt;="&amp;TODAY()+7)</f>
        <v>140076</v>
      </c>
      <c r="E3" s="20">
        <f ca="1">SUMIFS(Monto_de_cobro,Estado_del_cheque_de_cobro,"A Depositar",Fecha_de_deposito,"&lt;"&amp;TODAY()+61,Fecha_de_deposito,"&gt;="&amp;TODAY()+30)</f>
        <v>83576</v>
      </c>
      <c r="F3" s="95">
        <f ca="1">SUMIFS(Monto_de_cobro,Estado_del_cheque_de_cobro,"A Depositar",Fecha_de_deposito,"&lt;"&amp;TODAY()+91,Fecha_de_deposito,"&gt;="&amp;TODAY()+60)</f>
        <v>53259</v>
      </c>
      <c r="G3" s="20">
        <f ca="1">SUMIFS(Monto_de_cobro,Estado_del_cheque_de_cobro,"A Depositar",Fecha_de_deposito,"&lt;"&amp;TODAY()+121,Fecha_de_deposito,"&gt;="&amp;TODAY()+90)</f>
        <v>0</v>
      </c>
      <c r="H3" s="19">
        <f ca="1">SUMIFS(Monto_de_cobro,Estado_del_cheque_de_cobro,"A Depositar",Fecha_de_deposito,"&gt;"&amp;TODAY()+120)</f>
        <v>0</v>
      </c>
      <c r="I3" s="21">
        <f ca="1">SUM(B3:H3)</f>
        <v>386911</v>
      </c>
      <c r="J3" s="1"/>
      <c r="O3" s="200"/>
      <c r="P3" s="200"/>
    </row>
    <row r="4" spans="1:28" ht="14.25" x14ac:dyDescent="0.2">
      <c r="A4" s="49" t="s">
        <v>26</v>
      </c>
      <c r="B4" s="22">
        <f ca="1">COUNTIFS(Estado_del_cheque_de_cobro,"A Depositar",Fecha_de_deposito,"&lt;"&amp;TODAY()+1,Fecha_de_deposito,"&gt;"&amp;TODAY()-61)</f>
        <v>0</v>
      </c>
      <c r="C4" s="23">
        <f ca="1">COUNTIFS(Estado_del_cheque_de_cobro,"A Depositar",Fecha_de_deposito,"&lt;"&amp;TODAY()+8,Fecha_de_deposito,"&gt;="&amp;TODAY()+1)</f>
        <v>2</v>
      </c>
      <c r="D4" s="23">
        <f ca="1">COUNTIFS(Estado_del_cheque_de_cobro,"A Depositar",Fecha_de_deposito,"&lt;"&amp;TODAY()+31,Fecha_de_deposito,"&gt;"&amp;TODAY()+7)</f>
        <v>7</v>
      </c>
      <c r="E4" s="24">
        <f ca="1">COUNTIFS(Estado_del_cheque_de_cobro,"A Depositar",Fecha_de_deposito,"&lt;"&amp;TODAY()+61,Fecha_de_deposito,"&gt;"&amp;TODAY()+30)</f>
        <v>3</v>
      </c>
      <c r="F4" s="94">
        <f ca="1">COUNTIFS(Estado_del_cheque_de_cobro,"A Depositar",Fecha_de_deposito,"&lt;"&amp;TODAY()+91,Fecha_de_deposito,"&gt;"&amp;TODAY()+60)</f>
        <v>2</v>
      </c>
      <c r="G4" s="24">
        <f ca="1">COUNTIFS(Estado_del_cheque_de_cobro,"A Depositar",Fecha_de_deposito,"&lt;"&amp;TODAY()+121,Fecha_de_deposito,"&gt;"&amp;TODAY()+90)</f>
        <v>0</v>
      </c>
      <c r="H4" s="24">
        <f ca="1">COUNTIFS(Estado_del_cheque_de_cobro,"A Depositar",Fecha_de_deposito,"&gt;"&amp;TODAY()+120)</f>
        <v>0</v>
      </c>
      <c r="I4" s="25">
        <f ca="1">SUM(B4:H4)</f>
        <v>14</v>
      </c>
      <c r="J4" s="1"/>
      <c r="N4" s="200"/>
      <c r="O4" s="200"/>
    </row>
    <row r="5" spans="1:28" x14ac:dyDescent="0.2">
      <c r="A5" s="1"/>
      <c r="B5" s="26"/>
      <c r="C5" s="27"/>
      <c r="D5" s="27"/>
      <c r="E5" s="27"/>
      <c r="F5" s="27"/>
      <c r="G5" s="27"/>
      <c r="H5" s="28"/>
      <c r="I5" s="27"/>
      <c r="J5" s="1"/>
    </row>
    <row r="6" spans="1:28" x14ac:dyDescent="0.2">
      <c r="A6" s="49" t="s">
        <v>29</v>
      </c>
      <c r="B6" s="38">
        <f ca="1">TODAY()</f>
        <v>44490</v>
      </c>
      <c r="C6" s="38">
        <f ca="1">B6+7</f>
        <v>44497</v>
      </c>
      <c r="D6" s="38">
        <f ca="1">B6+30</f>
        <v>44520</v>
      </c>
      <c r="E6" s="38">
        <f ca="1">B6+50</f>
        <v>44540</v>
      </c>
      <c r="F6" s="38">
        <f ca="1">B6+90</f>
        <v>44580</v>
      </c>
      <c r="G6" s="38">
        <f ca="1">B6+120</f>
        <v>44610</v>
      </c>
      <c r="H6" s="28"/>
      <c r="I6" s="27"/>
      <c r="J6" s="27"/>
    </row>
    <row r="8" spans="1:28" x14ac:dyDescent="0.2">
      <c r="A8" s="89" t="s">
        <v>5</v>
      </c>
      <c r="B8" s="226" t="s">
        <v>767</v>
      </c>
      <c r="C8" s="79"/>
    </row>
    <row r="9" spans="1:28" x14ac:dyDescent="0.2">
      <c r="A9" s="79"/>
      <c r="B9" s="79"/>
      <c r="C9" s="79"/>
      <c r="D9" s="79"/>
      <c r="E9" s="79"/>
      <c r="F9" s="79"/>
      <c r="G9" s="79"/>
      <c r="H9" s="79"/>
      <c r="I9" s="79"/>
    </row>
    <row r="10" spans="1:28" x14ac:dyDescent="0.2">
      <c r="A10" s="89" t="s">
        <v>753</v>
      </c>
      <c r="B10" s="89" t="s">
        <v>751</v>
      </c>
    </row>
    <row r="11" spans="1:28" x14ac:dyDescent="0.2">
      <c r="A11" s="89" t="s">
        <v>752</v>
      </c>
      <c r="B11" s="226">
        <v>5</v>
      </c>
      <c r="C11" s="226">
        <v>6</v>
      </c>
      <c r="D11" s="226">
        <v>10</v>
      </c>
      <c r="E11" s="226">
        <v>20</v>
      </c>
      <c r="F11" s="226">
        <v>23</v>
      </c>
      <c r="G11" s="226">
        <v>30</v>
      </c>
      <c r="H11" s="226">
        <v>31</v>
      </c>
      <c r="I11" s="226" t="s">
        <v>739</v>
      </c>
    </row>
    <row r="12" spans="1:28" x14ac:dyDescent="0.2">
      <c r="A12" s="90">
        <v>2021</v>
      </c>
      <c r="B12" s="87"/>
      <c r="C12" s="87"/>
      <c r="D12" s="87"/>
      <c r="E12" s="87"/>
      <c r="F12" s="87"/>
      <c r="G12" s="87"/>
      <c r="H12" s="87"/>
      <c r="I12" s="87"/>
    </row>
    <row r="13" spans="1:28" s="153" customFormat="1" ht="27" customHeight="1" x14ac:dyDescent="0.2">
      <c r="A13" s="189">
        <v>10</v>
      </c>
      <c r="B13" s="87"/>
      <c r="C13" s="87"/>
      <c r="D13" s="87"/>
      <c r="E13" s="87"/>
      <c r="F13" s="87">
        <v>110000</v>
      </c>
      <c r="G13" s="87"/>
      <c r="H13" s="87">
        <v>80000</v>
      </c>
      <c r="I13" s="87">
        <v>190000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92" customFormat="1" ht="36.75" customHeight="1" x14ac:dyDescent="0.2">
      <c r="A14" s="189">
        <v>11</v>
      </c>
      <c r="B14" s="87">
        <v>26700</v>
      </c>
      <c r="C14" s="87">
        <v>9800</v>
      </c>
      <c r="D14" s="87"/>
      <c r="E14" s="87">
        <v>23576</v>
      </c>
      <c r="F14" s="87"/>
      <c r="G14" s="87">
        <v>20000</v>
      </c>
      <c r="H14" s="87"/>
      <c r="I14" s="87">
        <v>80076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92" customFormat="1" ht="36.75" customHeight="1" x14ac:dyDescent="0.2">
      <c r="A15" s="189">
        <v>12</v>
      </c>
      <c r="B15" s="87"/>
      <c r="C15" s="87"/>
      <c r="D15" s="87">
        <v>20000</v>
      </c>
      <c r="E15" s="87">
        <v>20000</v>
      </c>
      <c r="F15" s="87"/>
      <c r="G15" s="87"/>
      <c r="H15" s="87">
        <v>33259</v>
      </c>
      <c r="I15" s="87">
        <v>73259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187"/>
      <c r="AA15" s="187"/>
      <c r="AB15" s="187"/>
    </row>
    <row r="16" spans="1:28" s="153" customFormat="1" ht="27" customHeight="1" x14ac:dyDescent="0.2">
      <c r="A16" s="162" t="s">
        <v>739</v>
      </c>
      <c r="B16" s="128">
        <v>26700</v>
      </c>
      <c r="C16" s="128">
        <v>9800</v>
      </c>
      <c r="D16" s="128">
        <v>20000</v>
      </c>
      <c r="E16" s="128">
        <v>43576</v>
      </c>
      <c r="F16" s="128">
        <v>110000</v>
      </c>
      <c r="G16" s="128">
        <v>20000</v>
      </c>
      <c r="H16" s="128">
        <v>113259</v>
      </c>
      <c r="I16" s="128">
        <v>343335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187"/>
      <c r="AA16" s="187"/>
      <c r="AB16" s="187"/>
    </row>
    <row r="17" spans="1:28" s="92" customFormat="1" ht="36.7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187"/>
      <c r="AA17" s="187"/>
      <c r="AB17" s="187"/>
    </row>
    <row r="18" spans="1:28" s="92" customFormat="1" ht="36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87"/>
      <c r="W18" s="187"/>
      <c r="X18" s="187"/>
      <c r="Y18" s="187"/>
      <c r="Z18" s="187"/>
      <c r="AA18" s="187"/>
      <c r="AB18" s="187"/>
    </row>
    <row r="20" spans="1:28" s="205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28" s="205" customFormat="1" x14ac:dyDescent="0.2">
      <c r="A21" s="206"/>
      <c r="B21" s="138"/>
      <c r="C21" s="138"/>
      <c r="D21" s="138"/>
      <c r="E21" s="138"/>
      <c r="F21" s="138"/>
      <c r="G21" s="212"/>
      <c r="H21" s="138"/>
      <c r="I21" s="138"/>
      <c r="J21" s="138"/>
      <c r="K21" s="138"/>
      <c r="L21" s="138"/>
      <c r="M21" s="138"/>
      <c r="N21" s="138"/>
      <c r="O21" s="138"/>
      <c r="Q21" s="224"/>
    </row>
    <row r="22" spans="1:28" s="205" customFormat="1" x14ac:dyDescent="0.2">
      <c r="A22" s="206"/>
      <c r="B22" s="138"/>
      <c r="C22" s="138"/>
      <c r="D22" s="138"/>
      <c r="E22" s="138"/>
      <c r="F22" s="138"/>
      <c r="G22" s="212"/>
      <c r="H22" s="138"/>
      <c r="I22" s="138"/>
      <c r="J22" s="138"/>
      <c r="K22" s="138"/>
      <c r="L22" s="138"/>
      <c r="M22" s="138"/>
      <c r="N22" s="138"/>
      <c r="O22" s="138"/>
      <c r="Q22" s="224"/>
    </row>
    <row r="23" spans="1:28" s="205" customFormat="1" x14ac:dyDescent="0.2">
      <c r="A23" s="206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Q23" s="224"/>
    </row>
    <row r="24" spans="1:28" s="205" customFormat="1" x14ac:dyDescent="0.2">
      <c r="A24" s="206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Q24" s="224"/>
    </row>
    <row r="25" spans="1:28" s="205" customFormat="1" x14ac:dyDescent="0.2">
      <c r="A25" s="206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Q25" s="224"/>
    </row>
    <row r="26" spans="1:28" s="205" customFormat="1" x14ac:dyDescent="0.2">
      <c r="A26" s="206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Q26" s="224"/>
    </row>
    <row r="27" spans="1:28" s="205" customFormat="1" x14ac:dyDescent="0.2">
      <c r="A27" s="206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</row>
    <row r="28" spans="1:28" s="205" customFormat="1" x14ac:dyDescent="0.2">
      <c r="A28" s="206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</row>
    <row r="29" spans="1:28" s="205" customFormat="1" x14ac:dyDescent="0.2">
      <c r="A29" s="206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</row>
    <row r="30" spans="1:28" s="205" customFormat="1" x14ac:dyDescent="0.2">
      <c r="A30" s="206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</row>
    <row r="31" spans="1:28" s="205" customFormat="1" x14ac:dyDescent="0.2">
      <c r="A31" s="206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</row>
    <row r="32" spans="1:28" x14ac:dyDescent="0.2">
      <c r="A32" s="89" t="s">
        <v>5</v>
      </c>
      <c r="B32" s="226" t="s">
        <v>767</v>
      </c>
      <c r="J32" s="225"/>
      <c r="K32" s="87"/>
      <c r="M32" s="87"/>
      <c r="N32" s="87"/>
    </row>
    <row r="33" spans="1:9" x14ac:dyDescent="0.2">
      <c r="A33" s="87"/>
    </row>
    <row r="34" spans="1:9" x14ac:dyDescent="0.2">
      <c r="A34" s="89" t="s">
        <v>753</v>
      </c>
      <c r="B34" s="89" t="s">
        <v>751</v>
      </c>
    </row>
    <row r="35" spans="1:9" x14ac:dyDescent="0.2">
      <c r="A35" s="89" t="s">
        <v>752</v>
      </c>
      <c r="B35" s="226">
        <v>5</v>
      </c>
      <c r="C35" s="226">
        <v>6</v>
      </c>
      <c r="D35" s="226">
        <v>10</v>
      </c>
      <c r="E35" s="226">
        <v>20</v>
      </c>
      <c r="F35" s="226">
        <v>23</v>
      </c>
      <c r="G35" s="226">
        <v>30</v>
      </c>
      <c r="H35" s="226">
        <v>31</v>
      </c>
      <c r="I35" s="226" t="s">
        <v>739</v>
      </c>
    </row>
    <row r="36" spans="1:9" x14ac:dyDescent="0.2">
      <c r="A36" s="90">
        <v>2021</v>
      </c>
      <c r="B36" s="169">
        <v>26700</v>
      </c>
      <c r="C36" s="169">
        <v>9800</v>
      </c>
      <c r="D36" s="169">
        <v>20000</v>
      </c>
      <c r="E36" s="169">
        <v>43576</v>
      </c>
      <c r="F36" s="169">
        <v>110000</v>
      </c>
      <c r="G36" s="169">
        <v>20000</v>
      </c>
      <c r="H36" s="169">
        <v>113259</v>
      </c>
      <c r="I36" s="169">
        <v>343335</v>
      </c>
    </row>
    <row r="37" spans="1:9" x14ac:dyDescent="0.2">
      <c r="A37" s="189" t="s">
        <v>1135</v>
      </c>
      <c r="B37" s="169">
        <v>26700</v>
      </c>
      <c r="C37" s="169">
        <v>9800</v>
      </c>
      <c r="D37" s="169">
        <v>20000</v>
      </c>
      <c r="E37" s="169">
        <v>43576</v>
      </c>
      <c r="F37" s="169">
        <v>110000</v>
      </c>
      <c r="G37" s="169">
        <v>20000</v>
      </c>
      <c r="H37" s="169">
        <v>113259</v>
      </c>
      <c r="I37" s="169">
        <v>343335</v>
      </c>
    </row>
    <row r="38" spans="1:9" x14ac:dyDescent="0.2">
      <c r="A38" s="90" t="s">
        <v>739</v>
      </c>
      <c r="B38" s="169">
        <v>26700</v>
      </c>
      <c r="C38" s="169">
        <v>9800</v>
      </c>
      <c r="D38" s="169">
        <v>20000</v>
      </c>
      <c r="E38" s="169">
        <v>43576</v>
      </c>
      <c r="F38" s="169">
        <v>110000</v>
      </c>
      <c r="G38" s="169">
        <v>20000</v>
      </c>
      <c r="H38" s="169">
        <v>113259</v>
      </c>
      <c r="I38" s="169">
        <v>343335</v>
      </c>
    </row>
  </sheetData>
  <mergeCells count="1">
    <mergeCell ref="B1:H1"/>
  </mergeCells>
  <pageMargins left="0.25" right="0.25" top="0.75" bottom="0.75" header="0.3" footer="0.3"/>
  <pageSetup paperSize="9" scale="77" fitToWidth="0"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S1003"/>
  <sheetViews>
    <sheetView zoomScaleNormal="100" workbookViewId="0">
      <pane ySplit="1" topLeftCell="A919" activePane="bottomLeft" state="frozen"/>
      <selection pane="bottomLeft" activeCell="C948" sqref="C948"/>
    </sheetView>
  </sheetViews>
  <sheetFormatPr baseColWidth="10" defaultRowHeight="12.75" x14ac:dyDescent="0.2"/>
  <cols>
    <col min="1" max="1" width="15.28515625" style="60" bestFit="1" customWidth="1"/>
    <col min="2" max="2" width="27.140625" style="60" bestFit="1" customWidth="1"/>
    <col min="3" max="3" width="5.5703125" style="72" customWidth="1"/>
    <col min="4" max="4" width="16.7109375" style="51" bestFit="1" customWidth="1"/>
    <col min="5" max="5" width="21.42578125" style="60" customWidth="1"/>
    <col min="6" max="6" width="18.7109375" style="60" bestFit="1" customWidth="1"/>
    <col min="7" max="7" width="27.5703125" style="60" bestFit="1" customWidth="1"/>
    <col min="8" max="8" width="11.140625" style="51" bestFit="1" customWidth="1"/>
    <col min="9" max="9" width="13.28515625" style="51" bestFit="1" customWidth="1"/>
    <col min="10" max="10" width="14.5703125" style="60" bestFit="1" customWidth="1"/>
    <col min="11" max="11" width="7.42578125" style="60" bestFit="1" customWidth="1"/>
    <col min="12" max="12" width="10.28515625" style="60" bestFit="1" customWidth="1"/>
    <col min="13" max="13" width="15.85546875" style="60" bestFit="1" customWidth="1"/>
    <col min="14" max="14" width="19.7109375" style="60" bestFit="1" customWidth="1"/>
    <col min="15" max="15" width="9.28515625" style="60" customWidth="1"/>
    <col min="16" max="17" width="12.28515625" style="60" bestFit="1" customWidth="1"/>
    <col min="18" max="18" width="13.85546875" style="101" bestFit="1" customWidth="1"/>
  </cols>
  <sheetData>
    <row r="1" spans="1:18" s="78" customFormat="1" ht="21.75" customHeight="1" x14ac:dyDescent="0.25">
      <c r="A1" s="76" t="s">
        <v>30</v>
      </c>
      <c r="B1" s="76" t="s">
        <v>31</v>
      </c>
      <c r="C1" s="76" t="s">
        <v>741</v>
      </c>
      <c r="D1" s="76" t="s">
        <v>32</v>
      </c>
      <c r="E1" s="76" t="s">
        <v>33</v>
      </c>
      <c r="F1" s="76" t="s">
        <v>3</v>
      </c>
      <c r="G1" s="76" t="s">
        <v>34</v>
      </c>
      <c r="H1" s="77" t="s">
        <v>4</v>
      </c>
      <c r="I1" s="76" t="s">
        <v>5</v>
      </c>
      <c r="J1" s="76" t="s">
        <v>35</v>
      </c>
      <c r="K1" s="76" t="s">
        <v>36</v>
      </c>
      <c r="L1" s="76" t="s">
        <v>37</v>
      </c>
      <c r="M1" s="76" t="s">
        <v>38</v>
      </c>
      <c r="N1" s="76" t="s">
        <v>39</v>
      </c>
      <c r="O1" s="76" t="s">
        <v>9</v>
      </c>
      <c r="P1" s="76" t="s">
        <v>40</v>
      </c>
      <c r="Q1" s="76" t="s">
        <v>41</v>
      </c>
      <c r="R1" s="99" t="s">
        <v>750</v>
      </c>
    </row>
    <row r="2" spans="1:18" x14ac:dyDescent="0.2">
      <c r="A2" s="69">
        <v>43664</v>
      </c>
      <c r="B2" s="61" t="s">
        <v>439</v>
      </c>
      <c r="C2" s="71" t="s">
        <v>567</v>
      </c>
      <c r="D2" s="74">
        <v>43689</v>
      </c>
      <c r="E2" s="61" t="s">
        <v>43</v>
      </c>
      <c r="F2" s="61">
        <v>96991980</v>
      </c>
      <c r="G2" s="61" t="s">
        <v>562</v>
      </c>
      <c r="H2" s="75">
        <v>17550.830000000002</v>
      </c>
      <c r="I2" s="52" t="s">
        <v>49</v>
      </c>
      <c r="J2" s="223" t="s">
        <v>568</v>
      </c>
      <c r="K2" s="62">
        <v>62</v>
      </c>
      <c r="L2" s="61" t="s">
        <v>548</v>
      </c>
      <c r="M2" s="61"/>
      <c r="N2" s="61"/>
      <c r="O2" s="70" t="s">
        <v>569</v>
      </c>
      <c r="P2" s="61">
        <f t="shared" ref="P2:P65" si="0">MONTH(D2)</f>
        <v>8</v>
      </c>
      <c r="Q2" s="61">
        <f t="shared" ref="Q2:Q65" si="1">YEAR(D2)</f>
        <v>2019</v>
      </c>
      <c r="R2" s="100">
        <f>DAY(D2)</f>
        <v>12</v>
      </c>
    </row>
    <row r="3" spans="1:18" x14ac:dyDescent="0.2">
      <c r="A3" s="69">
        <v>43664</v>
      </c>
      <c r="B3" s="61" t="s">
        <v>439</v>
      </c>
      <c r="C3" s="71" t="s">
        <v>567</v>
      </c>
      <c r="D3" s="74">
        <v>43686</v>
      </c>
      <c r="E3" s="61" t="s">
        <v>43</v>
      </c>
      <c r="F3" s="61">
        <v>96991979</v>
      </c>
      <c r="G3" s="61" t="s">
        <v>562</v>
      </c>
      <c r="H3" s="75">
        <v>17500</v>
      </c>
      <c r="I3" s="52" t="s">
        <v>49</v>
      </c>
      <c r="J3" s="223" t="s">
        <v>568</v>
      </c>
      <c r="K3" s="62">
        <v>63</v>
      </c>
      <c r="L3" s="61" t="s">
        <v>548</v>
      </c>
      <c r="M3" s="61"/>
      <c r="N3" s="61"/>
      <c r="O3" s="70" t="s">
        <v>569</v>
      </c>
      <c r="P3" s="61">
        <f t="shared" si="0"/>
        <v>8</v>
      </c>
      <c r="Q3" s="61">
        <f t="shared" si="1"/>
        <v>2019</v>
      </c>
      <c r="R3" s="100">
        <f t="shared" ref="R3:R66" si="2">DAY(D3)</f>
        <v>9</v>
      </c>
    </row>
    <row r="4" spans="1:18" x14ac:dyDescent="0.2">
      <c r="A4" s="69">
        <v>43665</v>
      </c>
      <c r="B4" s="61" t="s">
        <v>368</v>
      </c>
      <c r="C4" s="71"/>
      <c r="D4" s="73">
        <v>43768</v>
      </c>
      <c r="E4" s="61" t="s">
        <v>367</v>
      </c>
      <c r="F4" s="61">
        <v>49776016</v>
      </c>
      <c r="G4" s="61" t="s">
        <v>564</v>
      </c>
      <c r="H4" s="75">
        <v>10000</v>
      </c>
      <c r="I4" s="52" t="s">
        <v>49</v>
      </c>
      <c r="J4" s="223" t="s">
        <v>565</v>
      </c>
      <c r="K4" s="62">
        <v>64</v>
      </c>
      <c r="L4" s="61" t="s">
        <v>548</v>
      </c>
      <c r="M4" s="61"/>
      <c r="N4" s="61"/>
      <c r="O4" s="61" t="s">
        <v>566</v>
      </c>
      <c r="P4" s="61">
        <f t="shared" si="0"/>
        <v>10</v>
      </c>
      <c r="Q4" s="61">
        <f t="shared" si="1"/>
        <v>2019</v>
      </c>
      <c r="R4" s="100">
        <f t="shared" si="2"/>
        <v>30</v>
      </c>
    </row>
    <row r="5" spans="1:18" x14ac:dyDescent="0.2">
      <c r="A5" s="69">
        <v>43665</v>
      </c>
      <c r="B5" s="61" t="s">
        <v>368</v>
      </c>
      <c r="C5" s="71" t="s">
        <v>18</v>
      </c>
      <c r="D5" s="73">
        <v>43769</v>
      </c>
      <c r="E5" s="61" t="s">
        <v>367</v>
      </c>
      <c r="F5" s="61">
        <v>49776017</v>
      </c>
      <c r="G5" s="61" t="s">
        <v>564</v>
      </c>
      <c r="H5" s="75">
        <v>10000</v>
      </c>
      <c r="I5" s="52" t="s">
        <v>97</v>
      </c>
      <c r="J5" s="223" t="s">
        <v>565</v>
      </c>
      <c r="K5" s="62">
        <v>65</v>
      </c>
      <c r="L5" s="61" t="s">
        <v>548</v>
      </c>
      <c r="M5" s="64">
        <v>43671</v>
      </c>
      <c r="N5" s="61" t="s">
        <v>132</v>
      </c>
      <c r="O5" s="61"/>
      <c r="P5" s="61">
        <f t="shared" si="0"/>
        <v>10</v>
      </c>
      <c r="Q5" s="61">
        <f t="shared" si="1"/>
        <v>2019</v>
      </c>
      <c r="R5" s="100">
        <f t="shared" si="2"/>
        <v>31</v>
      </c>
    </row>
    <row r="6" spans="1:18" x14ac:dyDescent="0.2">
      <c r="A6" s="69">
        <v>43665</v>
      </c>
      <c r="B6" s="61" t="s">
        <v>368</v>
      </c>
      <c r="C6" s="71" t="s">
        <v>18</v>
      </c>
      <c r="D6" s="73">
        <v>43797</v>
      </c>
      <c r="E6" s="61" t="s">
        <v>367</v>
      </c>
      <c r="F6" s="61">
        <v>49776018</v>
      </c>
      <c r="G6" s="61" t="s">
        <v>564</v>
      </c>
      <c r="H6" s="75">
        <v>10000</v>
      </c>
      <c r="I6" s="52" t="s">
        <v>49</v>
      </c>
      <c r="J6" s="223" t="s">
        <v>565</v>
      </c>
      <c r="K6" s="62">
        <v>66</v>
      </c>
      <c r="L6" s="61" t="s">
        <v>548</v>
      </c>
      <c r="M6" s="61"/>
      <c r="N6" s="61"/>
      <c r="O6" s="61"/>
      <c r="P6" s="61">
        <f t="shared" si="0"/>
        <v>11</v>
      </c>
      <c r="Q6" s="61">
        <f t="shared" si="1"/>
        <v>2019</v>
      </c>
      <c r="R6" s="100">
        <f t="shared" si="2"/>
        <v>28</v>
      </c>
    </row>
    <row r="7" spans="1:18" x14ac:dyDescent="0.2">
      <c r="A7" s="69">
        <v>43665</v>
      </c>
      <c r="B7" s="61" t="s">
        <v>368</v>
      </c>
      <c r="C7" s="71" t="s">
        <v>18</v>
      </c>
      <c r="D7" s="73">
        <v>43798</v>
      </c>
      <c r="E7" s="61" t="s">
        <v>367</v>
      </c>
      <c r="F7" s="61">
        <v>49776019</v>
      </c>
      <c r="G7" s="61" t="s">
        <v>564</v>
      </c>
      <c r="H7" s="75">
        <v>10000</v>
      </c>
      <c r="I7" s="52" t="s">
        <v>97</v>
      </c>
      <c r="J7" s="223" t="s">
        <v>565</v>
      </c>
      <c r="K7" s="62">
        <v>67</v>
      </c>
      <c r="L7" s="61" t="s">
        <v>548</v>
      </c>
      <c r="M7" s="64">
        <v>43671</v>
      </c>
      <c r="N7" s="61" t="s">
        <v>132</v>
      </c>
      <c r="O7" s="61"/>
      <c r="P7" s="61">
        <f t="shared" si="0"/>
        <v>11</v>
      </c>
      <c r="Q7" s="61">
        <f t="shared" si="1"/>
        <v>2019</v>
      </c>
      <c r="R7" s="100">
        <f t="shared" si="2"/>
        <v>29</v>
      </c>
    </row>
    <row r="8" spans="1:18" x14ac:dyDescent="0.2">
      <c r="A8" s="69">
        <v>43665</v>
      </c>
      <c r="B8" s="61" t="s">
        <v>368</v>
      </c>
      <c r="C8" s="71" t="s">
        <v>18</v>
      </c>
      <c r="D8" s="73">
        <v>43799</v>
      </c>
      <c r="E8" s="61" t="s">
        <v>367</v>
      </c>
      <c r="F8" s="61">
        <v>49776020</v>
      </c>
      <c r="G8" s="61" t="s">
        <v>564</v>
      </c>
      <c r="H8" s="75">
        <v>10000</v>
      </c>
      <c r="I8" s="52" t="s">
        <v>49</v>
      </c>
      <c r="J8" s="223" t="s">
        <v>565</v>
      </c>
      <c r="K8" s="62">
        <v>68</v>
      </c>
      <c r="L8" s="61" t="s">
        <v>548</v>
      </c>
      <c r="M8" s="61"/>
      <c r="N8" s="61"/>
      <c r="O8" s="61"/>
      <c r="P8" s="61">
        <f t="shared" si="0"/>
        <v>11</v>
      </c>
      <c r="Q8" s="61">
        <f t="shared" si="1"/>
        <v>2019</v>
      </c>
      <c r="R8" s="100">
        <f t="shared" si="2"/>
        <v>30</v>
      </c>
    </row>
    <row r="9" spans="1:18" x14ac:dyDescent="0.2">
      <c r="A9" s="69">
        <v>43665</v>
      </c>
      <c r="B9" s="61" t="s">
        <v>368</v>
      </c>
      <c r="C9" s="71" t="s">
        <v>18</v>
      </c>
      <c r="D9" s="73">
        <v>43797</v>
      </c>
      <c r="E9" s="61" t="s">
        <v>367</v>
      </c>
      <c r="F9" s="61">
        <v>49776021</v>
      </c>
      <c r="G9" s="61" t="s">
        <v>564</v>
      </c>
      <c r="H9" s="75">
        <v>10000</v>
      </c>
      <c r="I9" s="52" t="s">
        <v>49</v>
      </c>
      <c r="J9" s="223" t="s">
        <v>565</v>
      </c>
      <c r="K9" s="62">
        <v>69</v>
      </c>
      <c r="L9" s="61" t="s">
        <v>548</v>
      </c>
      <c r="M9" s="61"/>
      <c r="N9" s="61"/>
      <c r="O9" s="61"/>
      <c r="P9" s="61">
        <f t="shared" si="0"/>
        <v>11</v>
      </c>
      <c r="Q9" s="61">
        <f t="shared" si="1"/>
        <v>2019</v>
      </c>
      <c r="R9" s="100">
        <f t="shared" si="2"/>
        <v>28</v>
      </c>
    </row>
    <row r="10" spans="1:18" x14ac:dyDescent="0.2">
      <c r="A10" s="69">
        <v>43665</v>
      </c>
      <c r="B10" s="61" t="s">
        <v>368</v>
      </c>
      <c r="C10" s="71" t="s">
        <v>18</v>
      </c>
      <c r="D10" s="73">
        <v>43828</v>
      </c>
      <c r="E10" s="61" t="s">
        <v>367</v>
      </c>
      <c r="F10" s="61">
        <v>49776022</v>
      </c>
      <c r="G10" s="61" t="s">
        <v>564</v>
      </c>
      <c r="H10" s="75">
        <v>10000</v>
      </c>
      <c r="I10" s="52" t="s">
        <v>97</v>
      </c>
      <c r="J10" s="223" t="s">
        <v>565</v>
      </c>
      <c r="K10" s="62">
        <v>70</v>
      </c>
      <c r="L10" s="61" t="s">
        <v>548</v>
      </c>
      <c r="M10" s="64">
        <v>43671</v>
      </c>
      <c r="N10" s="61" t="s">
        <v>132</v>
      </c>
      <c r="O10" s="61"/>
      <c r="P10" s="61">
        <f t="shared" si="0"/>
        <v>12</v>
      </c>
      <c r="Q10" s="61">
        <f t="shared" si="1"/>
        <v>2019</v>
      </c>
      <c r="R10" s="100">
        <f t="shared" si="2"/>
        <v>29</v>
      </c>
    </row>
    <row r="11" spans="1:18" x14ac:dyDescent="0.2">
      <c r="A11" s="69">
        <v>43665</v>
      </c>
      <c r="B11" s="61" t="s">
        <v>368</v>
      </c>
      <c r="C11" s="71" t="s">
        <v>18</v>
      </c>
      <c r="D11" s="73">
        <v>43829</v>
      </c>
      <c r="E11" s="61" t="s">
        <v>367</v>
      </c>
      <c r="F11" s="61">
        <v>49776023</v>
      </c>
      <c r="G11" s="61" t="s">
        <v>564</v>
      </c>
      <c r="H11" s="75">
        <v>10000</v>
      </c>
      <c r="I11" s="52" t="s">
        <v>97</v>
      </c>
      <c r="J11" s="223" t="s">
        <v>565</v>
      </c>
      <c r="K11" s="62">
        <v>71</v>
      </c>
      <c r="L11" s="61" t="s">
        <v>548</v>
      </c>
      <c r="M11" s="61"/>
      <c r="N11" s="61"/>
      <c r="O11" s="61"/>
      <c r="P11" s="61">
        <f t="shared" si="0"/>
        <v>12</v>
      </c>
      <c r="Q11" s="61">
        <f t="shared" si="1"/>
        <v>2019</v>
      </c>
      <c r="R11" s="100">
        <f t="shared" si="2"/>
        <v>30</v>
      </c>
    </row>
    <row r="12" spans="1:18" x14ac:dyDescent="0.2">
      <c r="A12" s="69">
        <v>43665</v>
      </c>
      <c r="B12" s="61" t="s">
        <v>368</v>
      </c>
      <c r="C12" s="71" t="s">
        <v>18</v>
      </c>
      <c r="D12" s="73">
        <v>43830</v>
      </c>
      <c r="E12" s="61" t="s">
        <v>367</v>
      </c>
      <c r="F12" s="61">
        <v>49776024</v>
      </c>
      <c r="G12" s="61" t="s">
        <v>564</v>
      </c>
      <c r="H12" s="75">
        <v>7895</v>
      </c>
      <c r="I12" s="52" t="s">
        <v>49</v>
      </c>
      <c r="J12" s="223" t="s">
        <v>565</v>
      </c>
      <c r="K12" s="62">
        <v>72</v>
      </c>
      <c r="L12" s="61" t="s">
        <v>548</v>
      </c>
      <c r="M12" s="61"/>
      <c r="N12" s="61"/>
      <c r="O12" s="61"/>
      <c r="P12" s="61">
        <f t="shared" si="0"/>
        <v>12</v>
      </c>
      <c r="Q12" s="61">
        <f t="shared" si="1"/>
        <v>2019</v>
      </c>
      <c r="R12" s="100">
        <f t="shared" si="2"/>
        <v>31</v>
      </c>
    </row>
    <row r="13" spans="1:18" x14ac:dyDescent="0.2">
      <c r="A13" s="69">
        <v>43675</v>
      </c>
      <c r="B13" s="61" t="s">
        <v>180</v>
      </c>
      <c r="C13" s="71" t="s">
        <v>18</v>
      </c>
      <c r="D13" s="73">
        <v>43768</v>
      </c>
      <c r="E13" s="61" t="s">
        <v>367</v>
      </c>
      <c r="F13" s="61">
        <v>20622413</v>
      </c>
      <c r="G13" s="61" t="s">
        <v>180</v>
      </c>
      <c r="H13" s="75">
        <v>8500</v>
      </c>
      <c r="I13" s="52" t="s">
        <v>49</v>
      </c>
      <c r="J13" s="223" t="s">
        <v>200</v>
      </c>
      <c r="K13" s="62">
        <v>73</v>
      </c>
      <c r="L13" s="61" t="s">
        <v>548</v>
      </c>
      <c r="M13" s="61"/>
      <c r="N13" s="61"/>
      <c r="O13" s="61"/>
      <c r="P13" s="61">
        <f t="shared" si="0"/>
        <v>10</v>
      </c>
      <c r="Q13" s="61">
        <f t="shared" si="1"/>
        <v>2019</v>
      </c>
      <c r="R13" s="100">
        <f t="shared" si="2"/>
        <v>30</v>
      </c>
    </row>
    <row r="14" spans="1:18" x14ac:dyDescent="0.2">
      <c r="A14" s="69">
        <v>43675</v>
      </c>
      <c r="B14" s="61" t="s">
        <v>180</v>
      </c>
      <c r="C14" s="71" t="s">
        <v>18</v>
      </c>
      <c r="D14" s="73">
        <v>43769</v>
      </c>
      <c r="E14" s="61" t="s">
        <v>367</v>
      </c>
      <c r="F14" s="61">
        <v>20622414</v>
      </c>
      <c r="G14" s="61" t="s">
        <v>180</v>
      </c>
      <c r="H14" s="75">
        <v>8500</v>
      </c>
      <c r="I14" s="52" t="s">
        <v>49</v>
      </c>
      <c r="J14" s="223" t="s">
        <v>200</v>
      </c>
      <c r="K14" s="62">
        <v>74</v>
      </c>
      <c r="L14" s="61" t="s">
        <v>548</v>
      </c>
      <c r="M14" s="61"/>
      <c r="N14" s="61"/>
      <c r="O14" s="61"/>
      <c r="P14" s="61">
        <f t="shared" si="0"/>
        <v>10</v>
      </c>
      <c r="Q14" s="61">
        <f t="shared" si="1"/>
        <v>2019</v>
      </c>
      <c r="R14" s="100">
        <f t="shared" si="2"/>
        <v>31</v>
      </c>
    </row>
    <row r="15" spans="1:18" x14ac:dyDescent="0.2">
      <c r="A15" s="69">
        <v>43675</v>
      </c>
      <c r="B15" s="61" t="s">
        <v>180</v>
      </c>
      <c r="C15" s="71" t="s">
        <v>18</v>
      </c>
      <c r="D15" s="73">
        <v>43798</v>
      </c>
      <c r="E15" s="61" t="s">
        <v>367</v>
      </c>
      <c r="F15" s="61">
        <v>20622415</v>
      </c>
      <c r="G15" s="61" t="s">
        <v>180</v>
      </c>
      <c r="H15" s="75">
        <v>8500</v>
      </c>
      <c r="I15" s="52" t="s">
        <v>97</v>
      </c>
      <c r="J15" s="223" t="s">
        <v>200</v>
      </c>
      <c r="K15" s="62">
        <v>75</v>
      </c>
      <c r="L15" s="61" t="s">
        <v>548</v>
      </c>
      <c r="M15" s="63">
        <v>43689</v>
      </c>
      <c r="N15" s="61" t="s">
        <v>530</v>
      </c>
      <c r="O15" s="61"/>
      <c r="P15" s="61">
        <f t="shared" si="0"/>
        <v>11</v>
      </c>
      <c r="Q15" s="61">
        <f t="shared" si="1"/>
        <v>2019</v>
      </c>
      <c r="R15" s="100">
        <f t="shared" si="2"/>
        <v>29</v>
      </c>
    </row>
    <row r="16" spans="1:18" x14ac:dyDescent="0.2">
      <c r="A16" s="69">
        <v>43675</v>
      </c>
      <c r="B16" s="61" t="s">
        <v>180</v>
      </c>
      <c r="C16" s="71" t="s">
        <v>18</v>
      </c>
      <c r="D16" s="73">
        <v>43799</v>
      </c>
      <c r="E16" s="61" t="s">
        <v>367</v>
      </c>
      <c r="F16" s="61">
        <v>20622416</v>
      </c>
      <c r="G16" s="61" t="s">
        <v>180</v>
      </c>
      <c r="H16" s="75">
        <v>8500</v>
      </c>
      <c r="I16" s="52" t="s">
        <v>49</v>
      </c>
      <c r="J16" s="223" t="s">
        <v>200</v>
      </c>
      <c r="K16" s="62">
        <v>76</v>
      </c>
      <c r="L16" s="61" t="s">
        <v>548</v>
      </c>
      <c r="M16" s="61"/>
      <c r="N16" s="61"/>
      <c r="O16" s="61"/>
      <c r="P16" s="61">
        <f t="shared" si="0"/>
        <v>11</v>
      </c>
      <c r="Q16" s="61">
        <f t="shared" si="1"/>
        <v>2019</v>
      </c>
      <c r="R16" s="100">
        <f t="shared" si="2"/>
        <v>30</v>
      </c>
    </row>
    <row r="17" spans="1:18" x14ac:dyDescent="0.2">
      <c r="A17" s="69">
        <v>43675</v>
      </c>
      <c r="B17" s="61" t="s">
        <v>180</v>
      </c>
      <c r="C17" s="71" t="s">
        <v>18</v>
      </c>
      <c r="D17" s="73">
        <v>43823</v>
      </c>
      <c r="E17" s="61" t="s">
        <v>367</v>
      </c>
      <c r="F17" s="61">
        <v>20622417</v>
      </c>
      <c r="G17" s="61" t="s">
        <v>180</v>
      </c>
      <c r="H17" s="75">
        <v>8500</v>
      </c>
      <c r="I17" s="52" t="s">
        <v>97</v>
      </c>
      <c r="J17" s="223" t="s">
        <v>200</v>
      </c>
      <c r="K17" s="62">
        <v>77</v>
      </c>
      <c r="L17" s="61" t="s">
        <v>548</v>
      </c>
      <c r="M17" s="63">
        <v>43689</v>
      </c>
      <c r="N17" s="61" t="s">
        <v>97</v>
      </c>
      <c r="O17" s="61"/>
      <c r="P17" s="61">
        <f t="shared" si="0"/>
        <v>12</v>
      </c>
      <c r="Q17" s="61">
        <f t="shared" si="1"/>
        <v>2019</v>
      </c>
      <c r="R17" s="100">
        <f t="shared" si="2"/>
        <v>24</v>
      </c>
    </row>
    <row r="18" spans="1:18" x14ac:dyDescent="0.2">
      <c r="A18" s="69">
        <v>43675</v>
      </c>
      <c r="B18" s="61" t="s">
        <v>180</v>
      </c>
      <c r="C18" s="71" t="s">
        <v>18</v>
      </c>
      <c r="D18" s="73">
        <v>43829</v>
      </c>
      <c r="E18" s="61" t="s">
        <v>367</v>
      </c>
      <c r="F18" s="61">
        <v>20622418</v>
      </c>
      <c r="G18" s="61" t="s">
        <v>180</v>
      </c>
      <c r="H18" s="75">
        <v>8500</v>
      </c>
      <c r="I18" s="52" t="s">
        <v>97</v>
      </c>
      <c r="J18" s="223" t="s">
        <v>200</v>
      </c>
      <c r="K18" s="62">
        <v>78</v>
      </c>
      <c r="L18" s="61" t="s">
        <v>548</v>
      </c>
      <c r="M18" s="63">
        <v>43689</v>
      </c>
      <c r="N18" s="61" t="s">
        <v>530</v>
      </c>
      <c r="O18" s="61"/>
      <c r="P18" s="61">
        <f t="shared" si="0"/>
        <v>12</v>
      </c>
      <c r="Q18" s="61">
        <f t="shared" si="1"/>
        <v>2019</v>
      </c>
      <c r="R18" s="100">
        <f t="shared" si="2"/>
        <v>30</v>
      </c>
    </row>
    <row r="19" spans="1:18" x14ac:dyDescent="0.2">
      <c r="A19" s="69">
        <v>43675</v>
      </c>
      <c r="B19" s="61" t="s">
        <v>180</v>
      </c>
      <c r="C19" s="71" t="s">
        <v>18</v>
      </c>
      <c r="D19" s="73">
        <v>43830</v>
      </c>
      <c r="E19" s="61" t="s">
        <v>367</v>
      </c>
      <c r="F19" s="61">
        <v>20622419</v>
      </c>
      <c r="G19" s="61" t="s">
        <v>180</v>
      </c>
      <c r="H19" s="75">
        <v>9814</v>
      </c>
      <c r="I19" s="52" t="s">
        <v>49</v>
      </c>
      <c r="J19" s="223" t="s">
        <v>200</v>
      </c>
      <c r="K19" s="62">
        <v>79</v>
      </c>
      <c r="L19" s="61" t="s">
        <v>548</v>
      </c>
      <c r="M19" s="61"/>
      <c r="N19" s="61"/>
      <c r="O19" s="61"/>
      <c r="P19" s="61">
        <f t="shared" si="0"/>
        <v>12</v>
      </c>
      <c r="Q19" s="61">
        <f t="shared" si="1"/>
        <v>2019</v>
      </c>
      <c r="R19" s="100">
        <f t="shared" si="2"/>
        <v>31</v>
      </c>
    </row>
    <row r="20" spans="1:18" x14ac:dyDescent="0.2">
      <c r="A20" s="69">
        <v>43675</v>
      </c>
      <c r="B20" s="61" t="s">
        <v>439</v>
      </c>
      <c r="C20" s="71" t="s">
        <v>18</v>
      </c>
      <c r="D20" s="74">
        <v>43677</v>
      </c>
      <c r="E20" s="61" t="s">
        <v>170</v>
      </c>
      <c r="F20" s="61">
        <v>91138017</v>
      </c>
      <c r="G20" s="61" t="s">
        <v>562</v>
      </c>
      <c r="H20" s="75">
        <v>20000</v>
      </c>
      <c r="I20" s="52" t="s">
        <v>49</v>
      </c>
      <c r="J20" s="223" t="s">
        <v>563</v>
      </c>
      <c r="K20" s="62">
        <v>80</v>
      </c>
      <c r="L20" s="61" t="s">
        <v>548</v>
      </c>
      <c r="M20" s="61"/>
      <c r="N20" s="61"/>
      <c r="O20" s="61"/>
      <c r="P20" s="61">
        <f t="shared" si="0"/>
        <v>7</v>
      </c>
      <c r="Q20" s="61">
        <f t="shared" si="1"/>
        <v>2019</v>
      </c>
      <c r="R20" s="100">
        <f t="shared" si="2"/>
        <v>31</v>
      </c>
    </row>
    <row r="21" spans="1:18" x14ac:dyDescent="0.2">
      <c r="A21" s="69">
        <v>43675</v>
      </c>
      <c r="B21" s="61" t="s">
        <v>103</v>
      </c>
      <c r="C21" s="71" t="s">
        <v>18</v>
      </c>
      <c r="D21" s="73">
        <v>43677</v>
      </c>
      <c r="E21" s="61" t="s">
        <v>53</v>
      </c>
      <c r="F21" s="61">
        <v>2100</v>
      </c>
      <c r="G21" s="61" t="s">
        <v>559</v>
      </c>
      <c r="H21" s="75">
        <v>8000</v>
      </c>
      <c r="I21" s="52" t="s">
        <v>49</v>
      </c>
      <c r="J21" s="223" t="s">
        <v>560</v>
      </c>
      <c r="K21" s="62">
        <v>81</v>
      </c>
      <c r="L21" s="61" t="s">
        <v>561</v>
      </c>
      <c r="M21" s="61"/>
      <c r="N21" s="61"/>
      <c r="O21" s="61"/>
      <c r="P21" s="61">
        <f t="shared" si="0"/>
        <v>7</v>
      </c>
      <c r="Q21" s="61">
        <f t="shared" si="1"/>
        <v>2019</v>
      </c>
      <c r="R21" s="100">
        <f t="shared" si="2"/>
        <v>31</v>
      </c>
    </row>
    <row r="22" spans="1:18" x14ac:dyDescent="0.2">
      <c r="A22" s="69">
        <v>43731</v>
      </c>
      <c r="B22" s="61" t="s">
        <v>439</v>
      </c>
      <c r="C22" s="71" t="s">
        <v>18</v>
      </c>
      <c r="D22" s="73">
        <v>43721</v>
      </c>
      <c r="E22" s="61" t="s">
        <v>47</v>
      </c>
      <c r="F22" s="61">
        <v>69553502</v>
      </c>
      <c r="G22" s="61" t="s">
        <v>558</v>
      </c>
      <c r="H22" s="75">
        <v>7919.93</v>
      </c>
      <c r="I22" s="52" t="s">
        <v>49</v>
      </c>
      <c r="J22" s="223" t="s">
        <v>255</v>
      </c>
      <c r="K22" s="62">
        <v>82</v>
      </c>
      <c r="L22" s="61" t="s">
        <v>18</v>
      </c>
      <c r="M22" s="63">
        <v>43731</v>
      </c>
      <c r="N22" s="61"/>
      <c r="O22" s="61"/>
      <c r="P22" s="61">
        <f t="shared" si="0"/>
        <v>9</v>
      </c>
      <c r="Q22" s="61">
        <f t="shared" si="1"/>
        <v>2019</v>
      </c>
      <c r="R22" s="100">
        <f t="shared" si="2"/>
        <v>13</v>
      </c>
    </row>
    <row r="23" spans="1:18" x14ac:dyDescent="0.2">
      <c r="A23" s="69">
        <v>43731</v>
      </c>
      <c r="B23" s="61" t="s">
        <v>555</v>
      </c>
      <c r="C23" s="71" t="s">
        <v>18</v>
      </c>
      <c r="D23" s="73">
        <v>43737</v>
      </c>
      <c r="E23" s="61" t="s">
        <v>57</v>
      </c>
      <c r="F23" s="61">
        <v>83</v>
      </c>
      <c r="G23" s="61" t="s">
        <v>556</v>
      </c>
      <c r="H23" s="75">
        <v>2180</v>
      </c>
      <c r="I23" s="52" t="s">
        <v>49</v>
      </c>
      <c r="J23" s="223" t="s">
        <v>557</v>
      </c>
      <c r="K23" s="62">
        <v>83</v>
      </c>
      <c r="L23" s="61" t="s">
        <v>18</v>
      </c>
      <c r="M23" s="68">
        <v>43738</v>
      </c>
      <c r="N23" s="61"/>
      <c r="O23" s="61"/>
      <c r="P23" s="61">
        <f t="shared" si="0"/>
        <v>9</v>
      </c>
      <c r="Q23" s="61">
        <f t="shared" si="1"/>
        <v>2019</v>
      </c>
      <c r="R23" s="100">
        <f t="shared" si="2"/>
        <v>29</v>
      </c>
    </row>
    <row r="24" spans="1:18" x14ac:dyDescent="0.2">
      <c r="A24" s="69">
        <v>43731</v>
      </c>
      <c r="B24" s="61" t="s">
        <v>438</v>
      </c>
      <c r="C24" s="71" t="s">
        <v>18</v>
      </c>
      <c r="D24" s="73">
        <v>43782</v>
      </c>
      <c r="E24" s="61" t="s">
        <v>185</v>
      </c>
      <c r="F24" s="61">
        <v>509226</v>
      </c>
      <c r="G24" s="61" t="s">
        <v>438</v>
      </c>
      <c r="H24" s="75">
        <v>30000</v>
      </c>
      <c r="I24" s="52" t="s">
        <v>49</v>
      </c>
      <c r="J24" s="223" t="s">
        <v>211</v>
      </c>
      <c r="K24" s="62">
        <v>84</v>
      </c>
      <c r="L24" s="61" t="s">
        <v>18</v>
      </c>
      <c r="M24" s="61"/>
      <c r="N24" s="61"/>
      <c r="O24" s="61"/>
      <c r="P24" s="61">
        <f t="shared" si="0"/>
        <v>11</v>
      </c>
      <c r="Q24" s="61">
        <f t="shared" si="1"/>
        <v>2019</v>
      </c>
      <c r="R24" s="100">
        <f t="shared" si="2"/>
        <v>13</v>
      </c>
    </row>
    <row r="25" spans="1:18" x14ac:dyDescent="0.2">
      <c r="A25" s="69">
        <v>43731</v>
      </c>
      <c r="B25" s="61" t="s">
        <v>438</v>
      </c>
      <c r="C25" s="71" t="s">
        <v>18</v>
      </c>
      <c r="D25" s="73">
        <v>43825</v>
      </c>
      <c r="E25" s="61" t="s">
        <v>185</v>
      </c>
      <c r="F25" s="61">
        <v>509227</v>
      </c>
      <c r="G25" s="61" t="s">
        <v>438</v>
      </c>
      <c r="H25" s="75">
        <v>30000</v>
      </c>
      <c r="I25" s="52" t="s">
        <v>49</v>
      </c>
      <c r="J25" s="223" t="s">
        <v>211</v>
      </c>
      <c r="K25" s="62">
        <v>85</v>
      </c>
      <c r="L25" s="61" t="s">
        <v>18</v>
      </c>
      <c r="M25" s="61"/>
      <c r="N25" s="61"/>
      <c r="O25" s="61"/>
      <c r="P25" s="61">
        <f t="shared" si="0"/>
        <v>12</v>
      </c>
      <c r="Q25" s="61">
        <f t="shared" si="1"/>
        <v>2019</v>
      </c>
      <c r="R25" s="100">
        <f t="shared" si="2"/>
        <v>26</v>
      </c>
    </row>
    <row r="26" spans="1:18" x14ac:dyDescent="0.2">
      <c r="A26" s="69">
        <v>43731</v>
      </c>
      <c r="B26" s="61" t="s">
        <v>42</v>
      </c>
      <c r="C26" s="71" t="s">
        <v>18</v>
      </c>
      <c r="D26" s="73">
        <v>43726</v>
      </c>
      <c r="E26" s="61" t="s">
        <v>79</v>
      </c>
      <c r="F26" s="61">
        <v>32777643</v>
      </c>
      <c r="G26" s="61" t="s">
        <v>553</v>
      </c>
      <c r="H26" s="75">
        <v>2743</v>
      </c>
      <c r="I26" s="52" t="s">
        <v>49</v>
      </c>
      <c r="J26" s="223" t="s">
        <v>554</v>
      </c>
      <c r="K26" s="62">
        <v>86</v>
      </c>
      <c r="L26" s="61" t="s">
        <v>18</v>
      </c>
      <c r="M26" s="61"/>
      <c r="N26" s="61"/>
      <c r="O26" s="61"/>
      <c r="P26" s="61">
        <f t="shared" si="0"/>
        <v>9</v>
      </c>
      <c r="Q26" s="61">
        <f t="shared" si="1"/>
        <v>2019</v>
      </c>
      <c r="R26" s="100">
        <f t="shared" si="2"/>
        <v>18</v>
      </c>
    </row>
    <row r="27" spans="1:18" x14ac:dyDescent="0.2">
      <c r="A27" s="69">
        <v>43731</v>
      </c>
      <c r="B27" s="61" t="s">
        <v>180</v>
      </c>
      <c r="C27" s="71" t="s">
        <v>18</v>
      </c>
      <c r="D27" s="73">
        <v>43830</v>
      </c>
      <c r="E27" s="61" t="s">
        <v>65</v>
      </c>
      <c r="F27" s="61">
        <v>20655891</v>
      </c>
      <c r="G27" s="61" t="s">
        <v>180</v>
      </c>
      <c r="H27" s="75">
        <v>7088</v>
      </c>
      <c r="I27" s="52" t="s">
        <v>97</v>
      </c>
      <c r="J27" s="223" t="s">
        <v>200</v>
      </c>
      <c r="K27" s="62">
        <v>87</v>
      </c>
      <c r="L27" s="61" t="s">
        <v>548</v>
      </c>
      <c r="M27" s="63">
        <v>43833</v>
      </c>
      <c r="N27" s="61" t="s">
        <v>212</v>
      </c>
      <c r="O27" s="61"/>
      <c r="P27" s="61">
        <f t="shared" si="0"/>
        <v>12</v>
      </c>
      <c r="Q27" s="61">
        <f t="shared" si="1"/>
        <v>2019</v>
      </c>
      <c r="R27" s="100">
        <f t="shared" si="2"/>
        <v>31</v>
      </c>
    </row>
    <row r="28" spans="1:18" x14ac:dyDescent="0.2">
      <c r="A28" s="69">
        <v>43731</v>
      </c>
      <c r="B28" s="61" t="s">
        <v>180</v>
      </c>
      <c r="C28" s="71" t="s">
        <v>18</v>
      </c>
      <c r="D28" s="73">
        <v>43830</v>
      </c>
      <c r="E28" s="61" t="s">
        <v>65</v>
      </c>
      <c r="F28" s="61">
        <v>20655890</v>
      </c>
      <c r="G28" s="61" t="s">
        <v>180</v>
      </c>
      <c r="H28" s="75">
        <v>6700</v>
      </c>
      <c r="I28" s="52" t="s">
        <v>49</v>
      </c>
      <c r="J28" s="223" t="s">
        <v>200</v>
      </c>
      <c r="K28" s="62">
        <v>88</v>
      </c>
      <c r="L28" s="61" t="s">
        <v>548</v>
      </c>
      <c r="M28" s="61"/>
      <c r="N28" s="61"/>
      <c r="O28" s="61"/>
      <c r="P28" s="61">
        <f t="shared" si="0"/>
        <v>12</v>
      </c>
      <c r="Q28" s="61">
        <f t="shared" si="1"/>
        <v>2019</v>
      </c>
      <c r="R28" s="100">
        <f t="shared" si="2"/>
        <v>31</v>
      </c>
    </row>
    <row r="29" spans="1:18" x14ac:dyDescent="0.2">
      <c r="A29" s="69">
        <v>43731</v>
      </c>
      <c r="B29" s="61" t="s">
        <v>180</v>
      </c>
      <c r="C29" s="71" t="s">
        <v>18</v>
      </c>
      <c r="D29" s="73">
        <v>43830</v>
      </c>
      <c r="E29" s="61" t="s">
        <v>65</v>
      </c>
      <c r="F29" s="61">
        <v>20655889</v>
      </c>
      <c r="G29" s="61" t="s">
        <v>180</v>
      </c>
      <c r="H29" s="75">
        <v>6700</v>
      </c>
      <c r="I29" s="52" t="s">
        <v>97</v>
      </c>
      <c r="J29" s="223" t="s">
        <v>200</v>
      </c>
      <c r="K29" s="62">
        <v>89</v>
      </c>
      <c r="L29" s="61" t="s">
        <v>548</v>
      </c>
      <c r="M29" s="61"/>
      <c r="N29" s="61" t="s">
        <v>94</v>
      </c>
      <c r="O29" s="61"/>
      <c r="P29" s="61">
        <f t="shared" si="0"/>
        <v>12</v>
      </c>
      <c r="Q29" s="61">
        <f t="shared" si="1"/>
        <v>2019</v>
      </c>
      <c r="R29" s="100">
        <f t="shared" si="2"/>
        <v>31</v>
      </c>
    </row>
    <row r="30" spans="1:18" x14ac:dyDescent="0.2">
      <c r="A30" s="69">
        <v>43731</v>
      </c>
      <c r="B30" s="61" t="s">
        <v>180</v>
      </c>
      <c r="C30" s="71" t="s">
        <v>18</v>
      </c>
      <c r="D30" s="73">
        <v>43830</v>
      </c>
      <c r="E30" s="61" t="s">
        <v>65</v>
      </c>
      <c r="F30" s="61">
        <v>20655888</v>
      </c>
      <c r="G30" s="61" t="s">
        <v>180</v>
      </c>
      <c r="H30" s="75">
        <v>6700</v>
      </c>
      <c r="I30" s="52" t="s">
        <v>97</v>
      </c>
      <c r="J30" s="223" t="s">
        <v>200</v>
      </c>
      <c r="K30" s="62">
        <v>90</v>
      </c>
      <c r="L30" s="61" t="s">
        <v>548</v>
      </c>
      <c r="M30" s="63">
        <v>43833</v>
      </c>
      <c r="N30" s="61" t="s">
        <v>212</v>
      </c>
      <c r="O30" s="61"/>
      <c r="P30" s="61">
        <f t="shared" si="0"/>
        <v>12</v>
      </c>
      <c r="Q30" s="61">
        <f t="shared" si="1"/>
        <v>2019</v>
      </c>
      <c r="R30" s="100">
        <f t="shared" si="2"/>
        <v>31</v>
      </c>
    </row>
    <row r="31" spans="1:18" x14ac:dyDescent="0.2">
      <c r="A31" s="69">
        <v>43731</v>
      </c>
      <c r="B31" s="61" t="s">
        <v>543</v>
      </c>
      <c r="C31" s="71" t="s">
        <v>18</v>
      </c>
      <c r="D31" s="73">
        <v>43794</v>
      </c>
      <c r="E31" s="61" t="s">
        <v>47</v>
      </c>
      <c r="F31" s="61">
        <v>65709560</v>
      </c>
      <c r="G31" s="61" t="s">
        <v>543</v>
      </c>
      <c r="H31" s="75">
        <v>5000</v>
      </c>
      <c r="I31" s="52" t="s">
        <v>49</v>
      </c>
      <c r="J31" s="223" t="s">
        <v>422</v>
      </c>
      <c r="K31" s="62">
        <v>91</v>
      </c>
      <c r="L31" s="61" t="s">
        <v>18</v>
      </c>
      <c r="M31" s="61"/>
      <c r="N31" s="61"/>
      <c r="O31" s="61"/>
      <c r="P31" s="61">
        <f t="shared" si="0"/>
        <v>11</v>
      </c>
      <c r="Q31" s="61">
        <f t="shared" si="1"/>
        <v>2019</v>
      </c>
      <c r="R31" s="100">
        <f t="shared" si="2"/>
        <v>25</v>
      </c>
    </row>
    <row r="32" spans="1:18" x14ac:dyDescent="0.2">
      <c r="A32" s="69">
        <v>43731</v>
      </c>
      <c r="B32" s="61" t="s">
        <v>552</v>
      </c>
      <c r="C32" s="71" t="s">
        <v>18</v>
      </c>
      <c r="D32" s="73">
        <v>43780</v>
      </c>
      <c r="E32" s="61" t="s">
        <v>47</v>
      </c>
      <c r="F32" s="61">
        <v>52679652</v>
      </c>
      <c r="G32" s="61" t="s">
        <v>552</v>
      </c>
      <c r="H32" s="75">
        <v>15000</v>
      </c>
      <c r="I32" s="52" t="s">
        <v>49</v>
      </c>
      <c r="J32" s="223" t="s">
        <v>179</v>
      </c>
      <c r="K32" s="62">
        <v>92</v>
      </c>
      <c r="L32" s="61" t="s">
        <v>18</v>
      </c>
      <c r="M32" s="61"/>
      <c r="N32" s="61"/>
      <c r="O32" s="61"/>
      <c r="P32" s="61">
        <f t="shared" si="0"/>
        <v>11</v>
      </c>
      <c r="Q32" s="61">
        <f t="shared" si="1"/>
        <v>2019</v>
      </c>
      <c r="R32" s="100">
        <f t="shared" si="2"/>
        <v>11</v>
      </c>
    </row>
    <row r="33" spans="1:18" x14ac:dyDescent="0.2">
      <c r="A33" s="69">
        <v>43731</v>
      </c>
      <c r="B33" s="61" t="s">
        <v>543</v>
      </c>
      <c r="C33" s="71" t="s">
        <v>18</v>
      </c>
      <c r="D33" s="73">
        <v>43798</v>
      </c>
      <c r="E33" s="61" t="s">
        <v>47</v>
      </c>
      <c r="F33" s="61">
        <v>65709561</v>
      </c>
      <c r="G33" s="61" t="s">
        <v>543</v>
      </c>
      <c r="H33" s="75">
        <v>6000</v>
      </c>
      <c r="I33" s="52" t="s">
        <v>49</v>
      </c>
      <c r="J33" s="223" t="s">
        <v>422</v>
      </c>
      <c r="K33" s="62">
        <v>93</v>
      </c>
      <c r="L33" s="61" t="s">
        <v>18</v>
      </c>
      <c r="M33" s="61"/>
      <c r="N33" s="61"/>
      <c r="O33" s="61"/>
      <c r="P33" s="61">
        <f t="shared" si="0"/>
        <v>11</v>
      </c>
      <c r="Q33" s="61">
        <f t="shared" si="1"/>
        <v>2019</v>
      </c>
      <c r="R33" s="100">
        <f t="shared" si="2"/>
        <v>29</v>
      </c>
    </row>
    <row r="34" spans="1:18" x14ac:dyDescent="0.2">
      <c r="A34" s="69">
        <v>43731</v>
      </c>
      <c r="B34" s="61" t="s">
        <v>543</v>
      </c>
      <c r="C34" s="71" t="s">
        <v>18</v>
      </c>
      <c r="D34" s="73">
        <v>43799</v>
      </c>
      <c r="E34" s="61" t="s">
        <v>47</v>
      </c>
      <c r="F34" s="61">
        <v>65709562</v>
      </c>
      <c r="G34" s="61" t="s">
        <v>543</v>
      </c>
      <c r="H34" s="75">
        <v>6900</v>
      </c>
      <c r="I34" s="52" t="s">
        <v>49</v>
      </c>
      <c r="J34" s="223" t="s">
        <v>422</v>
      </c>
      <c r="K34" s="62">
        <v>94</v>
      </c>
      <c r="L34" s="61" t="s">
        <v>18</v>
      </c>
      <c r="M34" s="61"/>
      <c r="N34" s="61"/>
      <c r="O34" s="61"/>
      <c r="P34" s="61">
        <f t="shared" si="0"/>
        <v>11</v>
      </c>
      <c r="Q34" s="61">
        <f t="shared" si="1"/>
        <v>2019</v>
      </c>
      <c r="R34" s="100">
        <f t="shared" si="2"/>
        <v>30</v>
      </c>
    </row>
    <row r="35" spans="1:18" x14ac:dyDescent="0.2">
      <c r="A35" s="69">
        <v>43731</v>
      </c>
      <c r="B35" s="61" t="s">
        <v>550</v>
      </c>
      <c r="C35" s="71" t="s">
        <v>18</v>
      </c>
      <c r="D35" s="73">
        <v>43750</v>
      </c>
      <c r="E35" s="61" t="s">
        <v>57</v>
      </c>
      <c r="F35" s="61">
        <v>893698</v>
      </c>
      <c r="G35" s="61" t="s">
        <v>550</v>
      </c>
      <c r="H35" s="75">
        <v>8376.7000000000007</v>
      </c>
      <c r="I35" s="52" t="s">
        <v>49</v>
      </c>
      <c r="J35" s="223" t="s">
        <v>551</v>
      </c>
      <c r="K35" s="62">
        <v>95</v>
      </c>
      <c r="L35" s="61" t="s">
        <v>18</v>
      </c>
      <c r="M35" s="61"/>
      <c r="N35" s="61"/>
      <c r="O35" s="61"/>
      <c r="P35" s="61">
        <f t="shared" si="0"/>
        <v>10</v>
      </c>
      <c r="Q35" s="61">
        <f t="shared" si="1"/>
        <v>2019</v>
      </c>
      <c r="R35" s="100">
        <f t="shared" si="2"/>
        <v>12</v>
      </c>
    </row>
    <row r="36" spans="1:18" x14ac:dyDescent="0.2">
      <c r="A36" s="69">
        <v>43731</v>
      </c>
      <c r="B36" s="61" t="s">
        <v>42</v>
      </c>
      <c r="C36" s="71" t="s">
        <v>18</v>
      </c>
      <c r="D36" s="73">
        <v>43756</v>
      </c>
      <c r="E36" s="61" t="s">
        <v>57</v>
      </c>
      <c r="F36" s="61">
        <v>70205</v>
      </c>
      <c r="G36" s="61" t="s">
        <v>411</v>
      </c>
      <c r="H36" s="75">
        <v>4580</v>
      </c>
      <c r="I36" s="52" t="s">
        <v>49</v>
      </c>
      <c r="J36" s="223" t="s">
        <v>412</v>
      </c>
      <c r="K36" s="62">
        <v>96</v>
      </c>
      <c r="L36" s="61" t="s">
        <v>18</v>
      </c>
      <c r="M36" s="61"/>
      <c r="N36" s="61"/>
      <c r="O36" s="61"/>
      <c r="P36" s="61">
        <f t="shared" si="0"/>
        <v>10</v>
      </c>
      <c r="Q36" s="61">
        <f t="shared" si="1"/>
        <v>2019</v>
      </c>
      <c r="R36" s="100">
        <f t="shared" si="2"/>
        <v>18</v>
      </c>
    </row>
    <row r="37" spans="1:18" x14ac:dyDescent="0.2">
      <c r="A37" s="69">
        <v>43731</v>
      </c>
      <c r="B37" s="61" t="s">
        <v>180</v>
      </c>
      <c r="C37" s="71" t="s">
        <v>18</v>
      </c>
      <c r="D37" s="73">
        <v>43830</v>
      </c>
      <c r="E37" s="61" t="s">
        <v>65</v>
      </c>
      <c r="F37" s="61">
        <v>20655893</v>
      </c>
      <c r="G37" s="61" t="s">
        <v>180</v>
      </c>
      <c r="H37" s="75">
        <v>5000</v>
      </c>
      <c r="I37" s="52" t="s">
        <v>97</v>
      </c>
      <c r="J37" s="223" t="s">
        <v>200</v>
      </c>
      <c r="K37" s="62">
        <v>97</v>
      </c>
      <c r="L37" s="61" t="s">
        <v>548</v>
      </c>
      <c r="M37" s="63">
        <v>43833</v>
      </c>
      <c r="N37" s="61" t="s">
        <v>212</v>
      </c>
      <c r="O37" s="61"/>
      <c r="P37" s="61">
        <f t="shared" si="0"/>
        <v>12</v>
      </c>
      <c r="Q37" s="61">
        <f t="shared" si="1"/>
        <v>2019</v>
      </c>
      <c r="R37" s="100">
        <f t="shared" si="2"/>
        <v>31</v>
      </c>
    </row>
    <row r="38" spans="1:18" x14ac:dyDescent="0.2">
      <c r="A38" s="69">
        <v>43731</v>
      </c>
      <c r="B38" s="61" t="s">
        <v>180</v>
      </c>
      <c r="C38" s="71" t="s">
        <v>18</v>
      </c>
      <c r="D38" s="73">
        <v>43830</v>
      </c>
      <c r="E38" s="61" t="s">
        <v>65</v>
      </c>
      <c r="F38" s="61">
        <v>20655892</v>
      </c>
      <c r="G38" s="61" t="s">
        <v>180</v>
      </c>
      <c r="H38" s="75">
        <v>5000</v>
      </c>
      <c r="I38" s="52" t="s">
        <v>49</v>
      </c>
      <c r="J38" s="223" t="s">
        <v>200</v>
      </c>
      <c r="K38" s="62">
        <v>98</v>
      </c>
      <c r="L38" s="61" t="s">
        <v>548</v>
      </c>
      <c r="M38" s="61"/>
      <c r="N38" s="61"/>
      <c r="O38" s="61"/>
      <c r="P38" s="61">
        <f t="shared" si="0"/>
        <v>12</v>
      </c>
      <c r="Q38" s="61">
        <f t="shared" si="1"/>
        <v>2019</v>
      </c>
      <c r="R38" s="100">
        <f t="shared" si="2"/>
        <v>31</v>
      </c>
    </row>
    <row r="39" spans="1:18" x14ac:dyDescent="0.2">
      <c r="A39" s="69">
        <v>43731</v>
      </c>
      <c r="B39" s="61" t="s">
        <v>180</v>
      </c>
      <c r="C39" s="71" t="s">
        <v>18</v>
      </c>
      <c r="D39" s="73">
        <v>43861</v>
      </c>
      <c r="E39" s="61" t="s">
        <v>65</v>
      </c>
      <c r="F39" s="61">
        <v>20655894</v>
      </c>
      <c r="G39" s="61" t="s">
        <v>180</v>
      </c>
      <c r="H39" s="75">
        <v>8000</v>
      </c>
      <c r="I39" s="52" t="s">
        <v>49</v>
      </c>
      <c r="J39" s="223" t="s">
        <v>200</v>
      </c>
      <c r="K39" s="62">
        <v>99</v>
      </c>
      <c r="L39" s="61" t="s">
        <v>548</v>
      </c>
      <c r="M39" s="63">
        <v>43861</v>
      </c>
      <c r="N39" s="61"/>
      <c r="O39" s="61"/>
      <c r="P39" s="61">
        <f t="shared" si="0"/>
        <v>1</v>
      </c>
      <c r="Q39" s="61">
        <f t="shared" si="1"/>
        <v>2020</v>
      </c>
      <c r="R39" s="100">
        <f t="shared" si="2"/>
        <v>31</v>
      </c>
    </row>
    <row r="40" spans="1:18" x14ac:dyDescent="0.2">
      <c r="A40" s="67">
        <v>43731</v>
      </c>
      <c r="B40" s="61" t="s">
        <v>180</v>
      </c>
      <c r="C40" s="71" t="s">
        <v>18</v>
      </c>
      <c r="D40" s="73">
        <v>43861</v>
      </c>
      <c r="E40" s="61" t="s">
        <v>65</v>
      </c>
      <c r="F40" s="61">
        <v>20655895</v>
      </c>
      <c r="G40" s="61" t="s">
        <v>180</v>
      </c>
      <c r="H40" s="75">
        <v>8000</v>
      </c>
      <c r="I40" s="52" t="s">
        <v>49</v>
      </c>
      <c r="J40" s="223" t="s">
        <v>200</v>
      </c>
      <c r="K40" s="62">
        <v>100</v>
      </c>
      <c r="L40" s="61" t="s">
        <v>548</v>
      </c>
      <c r="M40" s="61"/>
      <c r="N40" s="61"/>
      <c r="O40" s="61"/>
      <c r="P40" s="61">
        <f t="shared" si="0"/>
        <v>1</v>
      </c>
      <c r="Q40" s="61">
        <f t="shared" si="1"/>
        <v>2020</v>
      </c>
      <c r="R40" s="100">
        <f t="shared" si="2"/>
        <v>31</v>
      </c>
    </row>
    <row r="41" spans="1:18" x14ac:dyDescent="0.2">
      <c r="A41" s="67">
        <v>43731</v>
      </c>
      <c r="B41" s="61" t="s">
        <v>180</v>
      </c>
      <c r="C41" s="71" t="s">
        <v>18</v>
      </c>
      <c r="D41" s="73">
        <v>43861</v>
      </c>
      <c r="E41" s="61" t="s">
        <v>65</v>
      </c>
      <c r="F41" s="61">
        <v>20655896</v>
      </c>
      <c r="G41" s="61" t="s">
        <v>180</v>
      </c>
      <c r="H41" s="75">
        <v>8000</v>
      </c>
      <c r="I41" s="52" t="s">
        <v>97</v>
      </c>
      <c r="J41" s="223" t="s">
        <v>200</v>
      </c>
      <c r="K41" s="62">
        <v>101</v>
      </c>
      <c r="L41" s="61" t="s">
        <v>548</v>
      </c>
      <c r="M41" s="63">
        <v>43815</v>
      </c>
      <c r="N41" s="61" t="s">
        <v>261</v>
      </c>
      <c r="O41" s="61"/>
      <c r="P41" s="61">
        <f t="shared" si="0"/>
        <v>1</v>
      </c>
      <c r="Q41" s="61">
        <f t="shared" si="1"/>
        <v>2020</v>
      </c>
      <c r="R41" s="100">
        <f t="shared" si="2"/>
        <v>31</v>
      </c>
    </row>
    <row r="42" spans="1:18" x14ac:dyDescent="0.2">
      <c r="A42" s="67">
        <v>43731</v>
      </c>
      <c r="B42" s="61" t="s">
        <v>180</v>
      </c>
      <c r="C42" s="71" t="s">
        <v>18</v>
      </c>
      <c r="D42" s="73">
        <v>43861</v>
      </c>
      <c r="E42" s="61" t="s">
        <v>65</v>
      </c>
      <c r="F42" s="61">
        <v>20655897</v>
      </c>
      <c r="G42" s="61" t="s">
        <v>180</v>
      </c>
      <c r="H42" s="75">
        <v>6436</v>
      </c>
      <c r="I42" s="52" t="s">
        <v>97</v>
      </c>
      <c r="J42" s="223" t="s">
        <v>200</v>
      </c>
      <c r="K42" s="62">
        <v>102</v>
      </c>
      <c r="L42" s="61" t="s">
        <v>548</v>
      </c>
      <c r="M42" s="63">
        <v>43836</v>
      </c>
      <c r="N42" s="61" t="s">
        <v>94</v>
      </c>
      <c r="O42" s="61"/>
      <c r="P42" s="61">
        <f t="shared" si="0"/>
        <v>1</v>
      </c>
      <c r="Q42" s="61">
        <f t="shared" si="1"/>
        <v>2020</v>
      </c>
      <c r="R42" s="100">
        <f t="shared" si="2"/>
        <v>31</v>
      </c>
    </row>
    <row r="43" spans="1:18" x14ac:dyDescent="0.2">
      <c r="A43" s="67">
        <v>43742</v>
      </c>
      <c r="B43" s="61" t="s">
        <v>180</v>
      </c>
      <c r="C43" s="71" t="s">
        <v>18</v>
      </c>
      <c r="D43" s="73">
        <v>43830</v>
      </c>
      <c r="E43" s="61" t="s">
        <v>65</v>
      </c>
      <c r="F43" s="61">
        <v>21651029</v>
      </c>
      <c r="G43" s="61" t="s">
        <v>180</v>
      </c>
      <c r="H43" s="75">
        <v>5000</v>
      </c>
      <c r="I43" s="52" t="s">
        <v>49</v>
      </c>
      <c r="J43" s="223" t="s">
        <v>200</v>
      </c>
      <c r="K43" s="62">
        <v>103</v>
      </c>
      <c r="L43" s="61" t="s">
        <v>548</v>
      </c>
      <c r="M43" s="61"/>
      <c r="N43" s="61"/>
      <c r="O43" s="61"/>
      <c r="P43" s="61">
        <f t="shared" si="0"/>
        <v>12</v>
      </c>
      <c r="Q43" s="61">
        <f t="shared" si="1"/>
        <v>2019</v>
      </c>
      <c r="R43" s="100">
        <f t="shared" si="2"/>
        <v>31</v>
      </c>
    </row>
    <row r="44" spans="1:18" x14ac:dyDescent="0.2">
      <c r="A44" s="67">
        <v>43742</v>
      </c>
      <c r="B44" s="61" t="s">
        <v>180</v>
      </c>
      <c r="C44" s="71" t="s">
        <v>18</v>
      </c>
      <c r="D44" s="73">
        <v>43830</v>
      </c>
      <c r="E44" s="61" t="s">
        <v>65</v>
      </c>
      <c r="F44" s="61">
        <v>21651030</v>
      </c>
      <c r="G44" s="61" t="s">
        <v>180</v>
      </c>
      <c r="H44" s="75">
        <v>5000</v>
      </c>
      <c r="I44" s="52" t="s">
        <v>97</v>
      </c>
      <c r="J44" s="223" t="s">
        <v>200</v>
      </c>
      <c r="K44" s="62">
        <v>104</v>
      </c>
      <c r="L44" s="61" t="s">
        <v>548</v>
      </c>
      <c r="M44" s="63">
        <v>43804</v>
      </c>
      <c r="N44" s="61" t="s">
        <v>549</v>
      </c>
      <c r="O44" s="61"/>
      <c r="P44" s="61">
        <f t="shared" si="0"/>
        <v>12</v>
      </c>
      <c r="Q44" s="61">
        <f t="shared" si="1"/>
        <v>2019</v>
      </c>
      <c r="R44" s="100">
        <f t="shared" si="2"/>
        <v>31</v>
      </c>
    </row>
    <row r="45" spans="1:18" x14ac:dyDescent="0.2">
      <c r="A45" s="67">
        <v>43742</v>
      </c>
      <c r="B45" s="61" t="s">
        <v>278</v>
      </c>
      <c r="C45" s="71" t="s">
        <v>18</v>
      </c>
      <c r="D45" s="73">
        <v>43776</v>
      </c>
      <c r="E45" s="61" t="s">
        <v>47</v>
      </c>
      <c r="F45" s="61">
        <v>72748760</v>
      </c>
      <c r="G45" s="61" t="s">
        <v>281</v>
      </c>
      <c r="H45" s="75">
        <v>3820</v>
      </c>
      <c r="I45" s="52" t="s">
        <v>49</v>
      </c>
      <c r="J45" s="223" t="s">
        <v>282</v>
      </c>
      <c r="K45" s="62">
        <v>105</v>
      </c>
      <c r="L45" s="61"/>
      <c r="M45" s="63">
        <v>43776</v>
      </c>
      <c r="N45" s="61"/>
      <c r="O45" s="61"/>
      <c r="P45" s="61">
        <f t="shared" si="0"/>
        <v>11</v>
      </c>
      <c r="Q45" s="61">
        <f t="shared" si="1"/>
        <v>2019</v>
      </c>
      <c r="R45" s="100">
        <f t="shared" si="2"/>
        <v>7</v>
      </c>
    </row>
    <row r="46" spans="1:18" x14ac:dyDescent="0.2">
      <c r="A46" s="67">
        <v>43742</v>
      </c>
      <c r="B46" s="61" t="s">
        <v>278</v>
      </c>
      <c r="C46" s="71" t="s">
        <v>18</v>
      </c>
      <c r="D46" s="73">
        <v>43761</v>
      </c>
      <c r="E46" s="61" t="s">
        <v>47</v>
      </c>
      <c r="F46" s="61">
        <v>72748759</v>
      </c>
      <c r="G46" s="61" t="s">
        <v>281</v>
      </c>
      <c r="H46" s="75">
        <v>3700</v>
      </c>
      <c r="I46" s="52" t="s">
        <v>49</v>
      </c>
      <c r="J46" s="223" t="s">
        <v>282</v>
      </c>
      <c r="K46" s="62">
        <v>106</v>
      </c>
      <c r="L46" s="61"/>
      <c r="M46" s="68">
        <v>43761</v>
      </c>
      <c r="N46" s="61"/>
      <c r="O46" s="61"/>
      <c r="P46" s="61">
        <f t="shared" si="0"/>
        <v>10</v>
      </c>
      <c r="Q46" s="61">
        <f t="shared" si="1"/>
        <v>2019</v>
      </c>
      <c r="R46" s="100">
        <f t="shared" si="2"/>
        <v>23</v>
      </c>
    </row>
    <row r="47" spans="1:18" x14ac:dyDescent="0.2">
      <c r="A47" s="67">
        <v>43742</v>
      </c>
      <c r="B47" s="61" t="s">
        <v>195</v>
      </c>
      <c r="C47" s="71" t="s">
        <v>18</v>
      </c>
      <c r="D47" s="73">
        <v>43808</v>
      </c>
      <c r="E47" s="61" t="s">
        <v>53</v>
      </c>
      <c r="F47" s="61">
        <v>51100129</v>
      </c>
      <c r="G47" s="61" t="s">
        <v>546</v>
      </c>
      <c r="H47" s="75">
        <v>7000</v>
      </c>
      <c r="I47" s="52" t="s">
        <v>49</v>
      </c>
      <c r="J47" s="223" t="s">
        <v>547</v>
      </c>
      <c r="K47" s="62">
        <v>107</v>
      </c>
      <c r="L47" s="61"/>
      <c r="M47" s="61"/>
      <c r="N47" s="61"/>
      <c r="O47" s="61"/>
      <c r="P47" s="61">
        <f t="shared" si="0"/>
        <v>12</v>
      </c>
      <c r="Q47" s="61">
        <f t="shared" si="1"/>
        <v>2019</v>
      </c>
      <c r="R47" s="100">
        <f t="shared" si="2"/>
        <v>9</v>
      </c>
    </row>
    <row r="48" spans="1:18" x14ac:dyDescent="0.2">
      <c r="A48" s="67">
        <v>43742</v>
      </c>
      <c r="B48" s="61" t="s">
        <v>333</v>
      </c>
      <c r="C48" s="71" t="s">
        <v>18</v>
      </c>
      <c r="D48" s="73">
        <v>43762</v>
      </c>
      <c r="E48" s="61" t="s">
        <v>47</v>
      </c>
      <c r="F48" s="61">
        <v>70921744</v>
      </c>
      <c r="G48" s="61" t="s">
        <v>333</v>
      </c>
      <c r="H48" s="75">
        <v>3730</v>
      </c>
      <c r="I48" s="52" t="s">
        <v>49</v>
      </c>
      <c r="J48" s="223" t="s">
        <v>545</v>
      </c>
      <c r="K48" s="62">
        <v>108</v>
      </c>
      <c r="L48" s="61"/>
      <c r="M48" s="68">
        <v>43763</v>
      </c>
      <c r="N48" s="61"/>
      <c r="O48" s="61"/>
      <c r="P48" s="61">
        <f t="shared" si="0"/>
        <v>10</v>
      </c>
      <c r="Q48" s="61">
        <f t="shared" si="1"/>
        <v>2019</v>
      </c>
      <c r="R48" s="100">
        <f t="shared" si="2"/>
        <v>24</v>
      </c>
    </row>
    <row r="49" spans="1:18" x14ac:dyDescent="0.2">
      <c r="A49" s="67">
        <v>43742</v>
      </c>
      <c r="B49" s="61" t="s">
        <v>333</v>
      </c>
      <c r="C49" s="71" t="s">
        <v>18</v>
      </c>
      <c r="D49" s="73">
        <v>43784</v>
      </c>
      <c r="E49" s="61" t="s">
        <v>47</v>
      </c>
      <c r="F49" s="61">
        <v>70921745</v>
      </c>
      <c r="G49" s="61" t="s">
        <v>544</v>
      </c>
      <c r="H49" s="75">
        <v>3730</v>
      </c>
      <c r="I49" s="52" t="s">
        <v>49</v>
      </c>
      <c r="J49" s="223" t="s">
        <v>545</v>
      </c>
      <c r="K49" s="62">
        <v>109</v>
      </c>
      <c r="L49" s="61"/>
      <c r="M49" s="61"/>
      <c r="N49" s="61"/>
      <c r="O49" s="61"/>
      <c r="P49" s="61">
        <f t="shared" si="0"/>
        <v>11</v>
      </c>
      <c r="Q49" s="61">
        <f t="shared" si="1"/>
        <v>2019</v>
      </c>
      <c r="R49" s="100">
        <f t="shared" si="2"/>
        <v>15</v>
      </c>
    </row>
    <row r="50" spans="1:18" x14ac:dyDescent="0.2">
      <c r="A50" s="67">
        <v>43742</v>
      </c>
      <c r="B50" s="61" t="s">
        <v>176</v>
      </c>
      <c r="C50" s="71" t="s">
        <v>18</v>
      </c>
      <c r="D50" s="73">
        <v>43820</v>
      </c>
      <c r="E50" s="61" t="s">
        <v>65</v>
      </c>
      <c r="F50" s="61">
        <v>49893499</v>
      </c>
      <c r="G50" s="61" t="s">
        <v>176</v>
      </c>
      <c r="H50" s="75">
        <v>20000</v>
      </c>
      <c r="I50" s="52" t="s">
        <v>49</v>
      </c>
      <c r="J50" s="223" t="s">
        <v>177</v>
      </c>
      <c r="K50" s="62">
        <v>110</v>
      </c>
      <c r="L50" s="61"/>
      <c r="M50" s="61"/>
      <c r="N50" s="61"/>
      <c r="O50" s="61"/>
      <c r="P50" s="61">
        <f t="shared" si="0"/>
        <v>12</v>
      </c>
      <c r="Q50" s="61">
        <f t="shared" si="1"/>
        <v>2019</v>
      </c>
      <c r="R50" s="100">
        <f t="shared" si="2"/>
        <v>21</v>
      </c>
    </row>
    <row r="51" spans="1:18" x14ac:dyDescent="0.2">
      <c r="A51" s="67">
        <v>43742</v>
      </c>
      <c r="B51" s="61" t="s">
        <v>176</v>
      </c>
      <c r="C51" s="71" t="s">
        <v>18</v>
      </c>
      <c r="D51" s="73">
        <v>43820</v>
      </c>
      <c r="E51" s="61" t="s">
        <v>65</v>
      </c>
      <c r="F51" s="61">
        <v>49893500</v>
      </c>
      <c r="G51" s="61" t="s">
        <v>176</v>
      </c>
      <c r="H51" s="75">
        <v>20000</v>
      </c>
      <c r="I51" s="52" t="s">
        <v>49</v>
      </c>
      <c r="J51" s="223" t="s">
        <v>177</v>
      </c>
      <c r="K51" s="62">
        <v>111</v>
      </c>
      <c r="L51" s="61"/>
      <c r="M51" s="61"/>
      <c r="N51" s="61"/>
      <c r="O51" s="61"/>
      <c r="P51" s="61">
        <f t="shared" si="0"/>
        <v>12</v>
      </c>
      <c r="Q51" s="61">
        <f t="shared" si="1"/>
        <v>2019</v>
      </c>
      <c r="R51" s="100">
        <f t="shared" si="2"/>
        <v>21</v>
      </c>
    </row>
    <row r="52" spans="1:18" x14ac:dyDescent="0.2">
      <c r="A52" s="67">
        <v>43742</v>
      </c>
      <c r="B52" s="61" t="s">
        <v>543</v>
      </c>
      <c r="C52" s="71" t="s">
        <v>18</v>
      </c>
      <c r="D52" s="73">
        <v>43799</v>
      </c>
      <c r="E52" s="61" t="s">
        <v>47</v>
      </c>
      <c r="F52" s="61">
        <v>65709605</v>
      </c>
      <c r="G52" s="61" t="s">
        <v>543</v>
      </c>
      <c r="H52" s="75">
        <v>11000</v>
      </c>
      <c r="I52" s="52" t="s">
        <v>97</v>
      </c>
      <c r="J52" s="223" t="s">
        <v>422</v>
      </c>
      <c r="K52" s="62">
        <v>112</v>
      </c>
      <c r="L52" s="61"/>
      <c r="M52" s="61"/>
      <c r="N52" s="61" t="s">
        <v>94</v>
      </c>
      <c r="O52" s="61"/>
      <c r="P52" s="61">
        <f t="shared" si="0"/>
        <v>11</v>
      </c>
      <c r="Q52" s="61">
        <f t="shared" si="1"/>
        <v>2019</v>
      </c>
      <c r="R52" s="100">
        <f t="shared" si="2"/>
        <v>30</v>
      </c>
    </row>
    <row r="53" spans="1:18" x14ac:dyDescent="0.2">
      <c r="A53" s="67">
        <v>43742</v>
      </c>
      <c r="B53" s="61" t="s">
        <v>541</v>
      </c>
      <c r="C53" s="71" t="s">
        <v>18</v>
      </c>
      <c r="D53" s="73">
        <v>43806</v>
      </c>
      <c r="E53" s="61" t="s">
        <v>47</v>
      </c>
      <c r="F53" s="61">
        <v>65653388</v>
      </c>
      <c r="G53" s="61" t="s">
        <v>541</v>
      </c>
      <c r="H53" s="75">
        <v>9000</v>
      </c>
      <c r="I53" s="52" t="s">
        <v>327</v>
      </c>
      <c r="J53" s="223" t="s">
        <v>156</v>
      </c>
      <c r="K53" s="62">
        <v>113</v>
      </c>
      <c r="L53" s="61"/>
      <c r="M53" s="63">
        <v>43805</v>
      </c>
      <c r="N53" s="61"/>
      <c r="O53" s="61" t="s">
        <v>542</v>
      </c>
      <c r="P53" s="61">
        <f t="shared" si="0"/>
        <v>12</v>
      </c>
      <c r="Q53" s="61">
        <f t="shared" si="1"/>
        <v>2019</v>
      </c>
      <c r="R53" s="100">
        <f t="shared" si="2"/>
        <v>7</v>
      </c>
    </row>
    <row r="54" spans="1:18" x14ac:dyDescent="0.2">
      <c r="A54" s="67">
        <v>43742</v>
      </c>
      <c r="B54" s="61" t="s">
        <v>180</v>
      </c>
      <c r="C54" s="71" t="s">
        <v>18</v>
      </c>
      <c r="D54" s="73">
        <v>43889</v>
      </c>
      <c r="E54" s="61" t="s">
        <v>65</v>
      </c>
      <c r="F54" s="61">
        <v>21651037</v>
      </c>
      <c r="G54" s="61" t="s">
        <v>180</v>
      </c>
      <c r="H54" s="75">
        <v>5762</v>
      </c>
      <c r="I54" s="52" t="s">
        <v>97</v>
      </c>
      <c r="J54" s="223" t="s">
        <v>200</v>
      </c>
      <c r="K54" s="62">
        <v>114</v>
      </c>
      <c r="L54" s="61"/>
      <c r="M54" s="63">
        <v>43815</v>
      </c>
      <c r="N54" s="61" t="s">
        <v>261</v>
      </c>
      <c r="O54" s="61"/>
      <c r="P54" s="61">
        <f t="shared" si="0"/>
        <v>2</v>
      </c>
      <c r="Q54" s="61">
        <f t="shared" si="1"/>
        <v>2020</v>
      </c>
      <c r="R54" s="100">
        <f t="shared" si="2"/>
        <v>28</v>
      </c>
    </row>
    <row r="55" spans="1:18" x14ac:dyDescent="0.2">
      <c r="A55" s="67">
        <v>43742</v>
      </c>
      <c r="B55" s="61" t="s">
        <v>180</v>
      </c>
      <c r="C55" s="71" t="s">
        <v>18</v>
      </c>
      <c r="D55" s="73">
        <v>43889</v>
      </c>
      <c r="E55" s="61" t="s">
        <v>65</v>
      </c>
      <c r="F55" s="61">
        <v>21651036</v>
      </c>
      <c r="G55" s="61" t="s">
        <v>180</v>
      </c>
      <c r="H55" s="75">
        <v>5000</v>
      </c>
      <c r="I55" s="52" t="s">
        <v>97</v>
      </c>
      <c r="J55" s="223" t="s">
        <v>200</v>
      </c>
      <c r="K55" s="62">
        <v>115</v>
      </c>
      <c r="L55" s="61"/>
      <c r="M55" s="63">
        <v>43836</v>
      </c>
      <c r="N55" s="61" t="s">
        <v>94</v>
      </c>
      <c r="O55" s="61"/>
      <c r="P55" s="61">
        <f t="shared" si="0"/>
        <v>2</v>
      </c>
      <c r="Q55" s="61">
        <f t="shared" si="1"/>
        <v>2020</v>
      </c>
      <c r="R55" s="100">
        <f t="shared" si="2"/>
        <v>28</v>
      </c>
    </row>
    <row r="56" spans="1:18" x14ac:dyDescent="0.2">
      <c r="A56" s="67">
        <v>43742</v>
      </c>
      <c r="B56" s="61" t="s">
        <v>180</v>
      </c>
      <c r="C56" s="71" t="s">
        <v>18</v>
      </c>
      <c r="D56" s="73">
        <v>43889</v>
      </c>
      <c r="E56" s="61" t="s">
        <v>65</v>
      </c>
      <c r="F56" s="61">
        <v>21651035</v>
      </c>
      <c r="G56" s="61" t="s">
        <v>180</v>
      </c>
      <c r="H56" s="75">
        <v>5000</v>
      </c>
      <c r="I56" s="52" t="s">
        <v>49</v>
      </c>
      <c r="J56" s="223" t="s">
        <v>200</v>
      </c>
      <c r="K56" s="62">
        <v>116</v>
      </c>
      <c r="L56" s="61"/>
      <c r="M56" s="61"/>
      <c r="N56" s="61"/>
      <c r="O56" s="61"/>
      <c r="P56" s="61">
        <f t="shared" si="0"/>
        <v>2</v>
      </c>
      <c r="Q56" s="61">
        <f t="shared" si="1"/>
        <v>2020</v>
      </c>
      <c r="R56" s="100">
        <f t="shared" si="2"/>
        <v>28</v>
      </c>
    </row>
    <row r="57" spans="1:18" x14ac:dyDescent="0.2">
      <c r="A57" s="67">
        <v>43742</v>
      </c>
      <c r="B57" s="61" t="s">
        <v>180</v>
      </c>
      <c r="C57" s="71" t="s">
        <v>18</v>
      </c>
      <c r="D57" s="73">
        <v>43861</v>
      </c>
      <c r="E57" s="61" t="s">
        <v>65</v>
      </c>
      <c r="F57" s="61">
        <v>21651033</v>
      </c>
      <c r="G57" s="61" t="s">
        <v>180</v>
      </c>
      <c r="H57" s="75">
        <v>8000</v>
      </c>
      <c r="I57" s="52" t="s">
        <v>49</v>
      </c>
      <c r="J57" s="223" t="s">
        <v>200</v>
      </c>
      <c r="K57" s="62">
        <v>117</v>
      </c>
      <c r="L57" s="61"/>
      <c r="M57" s="61"/>
      <c r="N57" s="61"/>
      <c r="O57" s="61"/>
      <c r="P57" s="61">
        <f t="shared" si="0"/>
        <v>1</v>
      </c>
      <c r="Q57" s="61">
        <f t="shared" si="1"/>
        <v>2020</v>
      </c>
      <c r="R57" s="100">
        <f t="shared" si="2"/>
        <v>31</v>
      </c>
    </row>
    <row r="58" spans="1:18" x14ac:dyDescent="0.2">
      <c r="A58" s="67">
        <v>43742</v>
      </c>
      <c r="B58" s="61" t="s">
        <v>180</v>
      </c>
      <c r="C58" s="71" t="s">
        <v>18</v>
      </c>
      <c r="D58" s="73">
        <v>43861</v>
      </c>
      <c r="E58" s="61" t="s">
        <v>65</v>
      </c>
      <c r="F58" s="61">
        <v>21651032</v>
      </c>
      <c r="G58" s="61" t="s">
        <v>180</v>
      </c>
      <c r="H58" s="75">
        <v>8000</v>
      </c>
      <c r="I58" s="52" t="s">
        <v>49</v>
      </c>
      <c r="J58" s="223" t="s">
        <v>200</v>
      </c>
      <c r="K58" s="62">
        <v>118</v>
      </c>
      <c r="L58" s="61"/>
      <c r="M58" s="61"/>
      <c r="N58" s="61"/>
      <c r="O58" s="61"/>
      <c r="P58" s="61">
        <f t="shared" si="0"/>
        <v>1</v>
      </c>
      <c r="Q58" s="61">
        <f t="shared" si="1"/>
        <v>2020</v>
      </c>
      <c r="R58" s="100">
        <f t="shared" si="2"/>
        <v>31</v>
      </c>
    </row>
    <row r="59" spans="1:18" x14ac:dyDescent="0.2">
      <c r="A59" s="67">
        <v>43742</v>
      </c>
      <c r="B59" s="61" t="s">
        <v>180</v>
      </c>
      <c r="C59" s="71" t="s">
        <v>18</v>
      </c>
      <c r="D59" s="73">
        <v>43861</v>
      </c>
      <c r="E59" s="61" t="s">
        <v>65</v>
      </c>
      <c r="F59" s="61">
        <v>21651031</v>
      </c>
      <c r="G59" s="61" t="s">
        <v>180</v>
      </c>
      <c r="H59" s="75">
        <v>5000</v>
      </c>
      <c r="I59" s="52" t="s">
        <v>49</v>
      </c>
      <c r="J59" s="223" t="s">
        <v>200</v>
      </c>
      <c r="K59" s="62">
        <v>119</v>
      </c>
      <c r="L59" s="61"/>
      <c r="M59" s="61"/>
      <c r="N59" s="61"/>
      <c r="O59" s="61"/>
      <c r="P59" s="61">
        <f t="shared" si="0"/>
        <v>1</v>
      </c>
      <c r="Q59" s="61">
        <f t="shared" si="1"/>
        <v>2020</v>
      </c>
      <c r="R59" s="100">
        <f t="shared" si="2"/>
        <v>31</v>
      </c>
    </row>
    <row r="60" spans="1:18" x14ac:dyDescent="0.2">
      <c r="A60" s="67">
        <v>43747</v>
      </c>
      <c r="B60" s="61" t="s">
        <v>538</v>
      </c>
      <c r="C60" s="71" t="s">
        <v>18</v>
      </c>
      <c r="D60" s="73">
        <v>43813</v>
      </c>
      <c r="E60" s="61" t="s">
        <v>47</v>
      </c>
      <c r="F60" s="61">
        <v>72659126</v>
      </c>
      <c r="G60" s="61" t="s">
        <v>539</v>
      </c>
      <c r="H60" s="75">
        <v>26712.83</v>
      </c>
      <c r="I60" s="52" t="s">
        <v>150</v>
      </c>
      <c r="J60" s="223" t="s">
        <v>540</v>
      </c>
      <c r="K60" s="62">
        <v>120</v>
      </c>
      <c r="L60" s="61"/>
      <c r="M60" s="63">
        <v>43753</v>
      </c>
      <c r="N60" s="61"/>
      <c r="O60" s="61"/>
      <c r="P60" s="61">
        <f t="shared" si="0"/>
        <v>12</v>
      </c>
      <c r="Q60" s="61">
        <f t="shared" si="1"/>
        <v>2019</v>
      </c>
      <c r="R60" s="100">
        <f t="shared" si="2"/>
        <v>14</v>
      </c>
    </row>
    <row r="61" spans="1:18" x14ac:dyDescent="0.2">
      <c r="A61" s="67">
        <v>43754</v>
      </c>
      <c r="B61" s="61" t="s">
        <v>487</v>
      </c>
      <c r="C61" s="71" t="s">
        <v>18</v>
      </c>
      <c r="D61" s="73">
        <v>43799</v>
      </c>
      <c r="E61" s="61" t="s">
        <v>43</v>
      </c>
      <c r="F61" s="61">
        <v>99298615</v>
      </c>
      <c r="G61" s="61" t="s">
        <v>488</v>
      </c>
      <c r="H61" s="75">
        <v>25000</v>
      </c>
      <c r="I61" s="52" t="s">
        <v>150</v>
      </c>
      <c r="J61" s="223" t="s">
        <v>489</v>
      </c>
      <c r="K61" s="62">
        <v>121</v>
      </c>
      <c r="L61" s="61"/>
      <c r="M61" s="63">
        <v>43777</v>
      </c>
      <c r="N61" s="61"/>
      <c r="O61" s="61"/>
      <c r="P61" s="61">
        <f t="shared" si="0"/>
        <v>11</v>
      </c>
      <c r="Q61" s="61">
        <f t="shared" si="1"/>
        <v>2019</v>
      </c>
      <c r="R61" s="100">
        <f t="shared" si="2"/>
        <v>30</v>
      </c>
    </row>
    <row r="62" spans="1:18" x14ac:dyDescent="0.2">
      <c r="A62" s="67">
        <v>43754</v>
      </c>
      <c r="B62" s="61" t="s">
        <v>487</v>
      </c>
      <c r="C62" s="71" t="s">
        <v>18</v>
      </c>
      <c r="D62" s="73">
        <v>43814</v>
      </c>
      <c r="E62" s="61" t="s">
        <v>43</v>
      </c>
      <c r="F62" s="61">
        <v>99298614</v>
      </c>
      <c r="G62" s="61" t="s">
        <v>488</v>
      </c>
      <c r="H62" s="75">
        <v>20000</v>
      </c>
      <c r="I62" s="52" t="s">
        <v>49</v>
      </c>
      <c r="J62" s="223" t="s">
        <v>489</v>
      </c>
      <c r="K62" s="62">
        <v>122</v>
      </c>
      <c r="L62" s="61"/>
      <c r="M62" s="63"/>
      <c r="N62" s="61"/>
      <c r="O62" s="61"/>
      <c r="P62" s="61">
        <f t="shared" si="0"/>
        <v>12</v>
      </c>
      <c r="Q62" s="61">
        <f t="shared" si="1"/>
        <v>2019</v>
      </c>
      <c r="R62" s="100">
        <f t="shared" si="2"/>
        <v>15</v>
      </c>
    </row>
    <row r="63" spans="1:18" x14ac:dyDescent="0.2">
      <c r="A63" s="67">
        <v>43761</v>
      </c>
      <c r="B63" s="61" t="s">
        <v>439</v>
      </c>
      <c r="C63" s="71" t="s">
        <v>18</v>
      </c>
      <c r="D63" s="73">
        <v>43787</v>
      </c>
      <c r="E63" s="61" t="s">
        <v>53</v>
      </c>
      <c r="F63" s="61">
        <v>22169</v>
      </c>
      <c r="G63" s="61" t="s">
        <v>439</v>
      </c>
      <c r="H63" s="75">
        <v>36817.360000000001</v>
      </c>
      <c r="I63" s="52" t="s">
        <v>49</v>
      </c>
      <c r="J63" s="223"/>
      <c r="K63" s="62">
        <v>123</v>
      </c>
      <c r="L63" s="61"/>
      <c r="M63" s="63"/>
      <c r="N63" s="61"/>
      <c r="O63" s="61"/>
      <c r="P63" s="61">
        <f t="shared" si="0"/>
        <v>11</v>
      </c>
      <c r="Q63" s="61">
        <f t="shared" si="1"/>
        <v>2019</v>
      </c>
      <c r="R63" s="100">
        <f t="shared" si="2"/>
        <v>18</v>
      </c>
    </row>
    <row r="64" spans="1:18" x14ac:dyDescent="0.2">
      <c r="A64" s="67">
        <v>43761</v>
      </c>
      <c r="B64" s="61" t="s">
        <v>437</v>
      </c>
      <c r="C64" s="71" t="s">
        <v>18</v>
      </c>
      <c r="D64" s="73">
        <v>43840</v>
      </c>
      <c r="E64" s="61" t="s">
        <v>185</v>
      </c>
      <c r="F64" s="61">
        <v>509228</v>
      </c>
      <c r="G64" s="61" t="s">
        <v>438</v>
      </c>
      <c r="H64" s="75">
        <v>29200</v>
      </c>
      <c r="I64" s="52" t="s">
        <v>49</v>
      </c>
      <c r="J64" s="223" t="s">
        <v>211</v>
      </c>
      <c r="K64" s="62">
        <v>124</v>
      </c>
      <c r="L64" s="61"/>
      <c r="M64" s="63"/>
      <c r="N64" s="61"/>
      <c r="O64" s="61"/>
      <c r="P64" s="61">
        <f t="shared" si="0"/>
        <v>1</v>
      </c>
      <c r="Q64" s="61">
        <f t="shared" si="1"/>
        <v>2020</v>
      </c>
      <c r="R64" s="100">
        <f t="shared" si="2"/>
        <v>10</v>
      </c>
    </row>
    <row r="65" spans="1:18" x14ac:dyDescent="0.2">
      <c r="A65" s="67">
        <v>43762</v>
      </c>
      <c r="B65" s="61" t="s">
        <v>192</v>
      </c>
      <c r="C65" s="71" t="s">
        <v>18</v>
      </c>
      <c r="D65" s="73">
        <v>43795</v>
      </c>
      <c r="E65" s="61" t="s">
        <v>123</v>
      </c>
      <c r="F65" s="61">
        <v>60881418</v>
      </c>
      <c r="G65" s="61" t="s">
        <v>192</v>
      </c>
      <c r="H65" s="75">
        <v>13680</v>
      </c>
      <c r="I65" s="52" t="s">
        <v>49</v>
      </c>
      <c r="J65" s="223" t="s">
        <v>193</v>
      </c>
      <c r="K65" s="62">
        <v>125</v>
      </c>
      <c r="L65" s="61"/>
      <c r="M65" s="63"/>
      <c r="N65" s="61"/>
      <c r="O65" s="61"/>
      <c r="P65" s="61">
        <f t="shared" si="0"/>
        <v>11</v>
      </c>
      <c r="Q65" s="61">
        <f t="shared" si="1"/>
        <v>2019</v>
      </c>
      <c r="R65" s="100">
        <f t="shared" si="2"/>
        <v>26</v>
      </c>
    </row>
    <row r="66" spans="1:18" x14ac:dyDescent="0.2">
      <c r="A66" s="67">
        <v>43762</v>
      </c>
      <c r="B66" s="61" t="s">
        <v>435</v>
      </c>
      <c r="C66" s="71" t="s">
        <v>18</v>
      </c>
      <c r="D66" s="73">
        <v>43819</v>
      </c>
      <c r="E66" s="61" t="s">
        <v>65</v>
      </c>
      <c r="F66" s="61">
        <v>49706831</v>
      </c>
      <c r="G66" s="61" t="s">
        <v>435</v>
      </c>
      <c r="H66" s="75">
        <v>2000</v>
      </c>
      <c r="I66" s="52" t="s">
        <v>49</v>
      </c>
      <c r="J66" s="223" t="s">
        <v>436</v>
      </c>
      <c r="K66" s="62">
        <v>126</v>
      </c>
      <c r="L66" s="61"/>
      <c r="M66" s="63"/>
      <c r="N66" s="61"/>
      <c r="O66" s="61"/>
      <c r="P66" s="61">
        <f t="shared" ref="P66:P129" si="3">MONTH(D66)</f>
        <v>12</v>
      </c>
      <c r="Q66" s="61">
        <f t="shared" ref="Q66:Q129" si="4">YEAR(D66)</f>
        <v>2019</v>
      </c>
      <c r="R66" s="100">
        <f t="shared" si="2"/>
        <v>20</v>
      </c>
    </row>
    <row r="67" spans="1:18" x14ac:dyDescent="0.2">
      <c r="A67" s="67">
        <v>43762</v>
      </c>
      <c r="B67" s="61" t="s">
        <v>435</v>
      </c>
      <c r="C67" s="71" t="s">
        <v>18</v>
      </c>
      <c r="D67" s="73">
        <v>43830</v>
      </c>
      <c r="E67" s="61" t="s">
        <v>65</v>
      </c>
      <c r="F67" s="61">
        <v>49706832</v>
      </c>
      <c r="G67" s="61" t="s">
        <v>435</v>
      </c>
      <c r="H67" s="75">
        <v>2000</v>
      </c>
      <c r="I67" s="52" t="s">
        <v>49</v>
      </c>
      <c r="J67" s="223" t="s">
        <v>436</v>
      </c>
      <c r="K67" s="62">
        <v>127</v>
      </c>
      <c r="L67" s="61"/>
      <c r="M67" s="63"/>
      <c r="N67" s="61"/>
      <c r="O67" s="61"/>
      <c r="P67" s="61">
        <f t="shared" si="3"/>
        <v>12</v>
      </c>
      <c r="Q67" s="61">
        <f t="shared" si="4"/>
        <v>2019</v>
      </c>
      <c r="R67" s="100">
        <f t="shared" ref="R67:R130" si="5">DAY(D67)</f>
        <v>31</v>
      </c>
    </row>
    <row r="68" spans="1:18" x14ac:dyDescent="0.2">
      <c r="A68" s="67">
        <v>43762</v>
      </c>
      <c r="B68" s="61" t="s">
        <v>435</v>
      </c>
      <c r="C68" s="71" t="s">
        <v>18</v>
      </c>
      <c r="D68" s="73">
        <v>43841</v>
      </c>
      <c r="E68" s="61" t="s">
        <v>65</v>
      </c>
      <c r="F68" s="61">
        <v>49706833</v>
      </c>
      <c r="G68" s="61" t="s">
        <v>435</v>
      </c>
      <c r="H68" s="75">
        <v>2000</v>
      </c>
      <c r="I68" s="52" t="s">
        <v>49</v>
      </c>
      <c r="J68" s="223" t="s">
        <v>436</v>
      </c>
      <c r="K68" s="62">
        <v>128</v>
      </c>
      <c r="L68" s="61"/>
      <c r="M68" s="63"/>
      <c r="N68" s="61"/>
      <c r="O68" s="61"/>
      <c r="P68" s="61">
        <f t="shared" si="3"/>
        <v>1</v>
      </c>
      <c r="Q68" s="61">
        <f t="shared" si="4"/>
        <v>2020</v>
      </c>
      <c r="R68" s="100">
        <f t="shared" si="5"/>
        <v>11</v>
      </c>
    </row>
    <row r="69" spans="1:18" x14ac:dyDescent="0.2">
      <c r="A69" s="67">
        <v>43762</v>
      </c>
      <c r="B69" s="61" t="s">
        <v>435</v>
      </c>
      <c r="C69" s="71" t="s">
        <v>18</v>
      </c>
      <c r="D69" s="73">
        <v>43874</v>
      </c>
      <c r="E69" s="61" t="s">
        <v>65</v>
      </c>
      <c r="F69" s="61">
        <v>49706834</v>
      </c>
      <c r="G69" s="61" t="s">
        <v>435</v>
      </c>
      <c r="H69" s="75">
        <v>2000</v>
      </c>
      <c r="I69" s="52" t="s">
        <v>49</v>
      </c>
      <c r="J69" s="223" t="s">
        <v>436</v>
      </c>
      <c r="K69" s="62">
        <v>129</v>
      </c>
      <c r="L69" s="61"/>
      <c r="M69" s="63">
        <v>43875</v>
      </c>
      <c r="N69" s="61"/>
      <c r="O69" s="61"/>
      <c r="P69" s="61">
        <f t="shared" si="3"/>
        <v>2</v>
      </c>
      <c r="Q69" s="61">
        <f t="shared" si="4"/>
        <v>2020</v>
      </c>
      <c r="R69" s="100">
        <f t="shared" si="5"/>
        <v>13</v>
      </c>
    </row>
    <row r="70" spans="1:18" x14ac:dyDescent="0.2">
      <c r="A70" s="67">
        <v>43762</v>
      </c>
      <c r="B70" s="61" t="s">
        <v>435</v>
      </c>
      <c r="C70" s="71" t="s">
        <v>18</v>
      </c>
      <c r="D70" s="73">
        <v>43881</v>
      </c>
      <c r="E70" s="61" t="s">
        <v>65</v>
      </c>
      <c r="F70" s="61">
        <v>49706835</v>
      </c>
      <c r="G70" s="61" t="s">
        <v>435</v>
      </c>
      <c r="H70" s="75">
        <v>2000</v>
      </c>
      <c r="I70" s="52" t="s">
        <v>49</v>
      </c>
      <c r="J70" s="223" t="s">
        <v>436</v>
      </c>
      <c r="K70" s="62">
        <v>130</v>
      </c>
      <c r="L70" s="61"/>
      <c r="M70" s="63">
        <v>43881</v>
      </c>
      <c r="N70" s="61"/>
      <c r="O70" s="61"/>
      <c r="P70" s="61">
        <f t="shared" si="3"/>
        <v>2</v>
      </c>
      <c r="Q70" s="61">
        <f t="shared" si="4"/>
        <v>2020</v>
      </c>
      <c r="R70" s="100">
        <f t="shared" si="5"/>
        <v>20</v>
      </c>
    </row>
    <row r="71" spans="1:18" x14ac:dyDescent="0.2">
      <c r="A71" s="67">
        <v>43762</v>
      </c>
      <c r="B71" s="61" t="s">
        <v>435</v>
      </c>
      <c r="C71" s="71" t="s">
        <v>18</v>
      </c>
      <c r="D71" s="73">
        <v>43889</v>
      </c>
      <c r="E71" s="61" t="s">
        <v>65</v>
      </c>
      <c r="F71" s="61">
        <v>49706836</v>
      </c>
      <c r="G71" s="61" t="s">
        <v>435</v>
      </c>
      <c r="H71" s="75">
        <v>2000</v>
      </c>
      <c r="I71" s="52" t="s">
        <v>49</v>
      </c>
      <c r="J71" s="223" t="s">
        <v>436</v>
      </c>
      <c r="K71" s="62">
        <v>131</v>
      </c>
      <c r="L71" s="61"/>
      <c r="M71" s="63"/>
      <c r="N71" s="61"/>
      <c r="O71" s="61"/>
      <c r="P71" s="61">
        <f t="shared" si="3"/>
        <v>2</v>
      </c>
      <c r="Q71" s="61">
        <f t="shared" si="4"/>
        <v>2020</v>
      </c>
      <c r="R71" s="100">
        <f t="shared" si="5"/>
        <v>28</v>
      </c>
    </row>
    <row r="72" spans="1:18" x14ac:dyDescent="0.2">
      <c r="A72" s="67">
        <v>43762</v>
      </c>
      <c r="B72" s="61" t="s">
        <v>435</v>
      </c>
      <c r="C72" s="71" t="s">
        <v>18</v>
      </c>
      <c r="D72" s="73">
        <v>43899</v>
      </c>
      <c r="E72" s="61" t="s">
        <v>65</v>
      </c>
      <c r="F72" s="61">
        <v>49706837</v>
      </c>
      <c r="G72" s="61" t="s">
        <v>435</v>
      </c>
      <c r="H72" s="75">
        <v>2000</v>
      </c>
      <c r="I72" s="52" t="s">
        <v>97</v>
      </c>
      <c r="J72" s="223" t="s">
        <v>436</v>
      </c>
      <c r="K72" s="62">
        <v>132</v>
      </c>
      <c r="L72" s="61"/>
      <c r="M72" s="63">
        <v>43869</v>
      </c>
      <c r="N72" s="61" t="s">
        <v>190</v>
      </c>
      <c r="O72" s="61"/>
      <c r="P72" s="61">
        <f t="shared" si="3"/>
        <v>3</v>
      </c>
      <c r="Q72" s="61">
        <f t="shared" si="4"/>
        <v>2020</v>
      </c>
      <c r="R72" s="100">
        <f t="shared" si="5"/>
        <v>9</v>
      </c>
    </row>
    <row r="73" spans="1:18" x14ac:dyDescent="0.2">
      <c r="A73" s="67">
        <v>43762</v>
      </c>
      <c r="B73" s="61" t="s">
        <v>435</v>
      </c>
      <c r="C73" s="71" t="s">
        <v>18</v>
      </c>
      <c r="D73" s="73">
        <v>43911</v>
      </c>
      <c r="E73" s="61" t="s">
        <v>65</v>
      </c>
      <c r="F73" s="61">
        <v>49706838</v>
      </c>
      <c r="G73" s="61" t="s">
        <v>435</v>
      </c>
      <c r="H73" s="75">
        <v>2000</v>
      </c>
      <c r="I73" s="52" t="s">
        <v>49</v>
      </c>
      <c r="J73" s="223" t="s">
        <v>436</v>
      </c>
      <c r="K73" s="62">
        <v>133</v>
      </c>
      <c r="L73" s="61"/>
      <c r="M73" s="63">
        <v>43923</v>
      </c>
      <c r="N73" s="61"/>
      <c r="O73" s="61"/>
      <c r="P73" s="61">
        <f t="shared" si="3"/>
        <v>3</v>
      </c>
      <c r="Q73" s="61">
        <f t="shared" si="4"/>
        <v>2020</v>
      </c>
      <c r="R73" s="100">
        <f t="shared" si="5"/>
        <v>21</v>
      </c>
    </row>
    <row r="74" spans="1:18" x14ac:dyDescent="0.2">
      <c r="A74" s="67">
        <v>43762</v>
      </c>
      <c r="B74" s="61" t="s">
        <v>435</v>
      </c>
      <c r="C74" s="71" t="s">
        <v>18</v>
      </c>
      <c r="D74" s="73">
        <v>43920</v>
      </c>
      <c r="E74" s="61" t="s">
        <v>65</v>
      </c>
      <c r="F74" s="61">
        <v>49706839</v>
      </c>
      <c r="G74" s="61" t="s">
        <v>435</v>
      </c>
      <c r="H74" s="75">
        <v>2876</v>
      </c>
      <c r="I74" s="52" t="s">
        <v>49</v>
      </c>
      <c r="J74" s="223" t="s">
        <v>436</v>
      </c>
      <c r="K74" s="62">
        <v>134</v>
      </c>
      <c r="L74" s="61"/>
      <c r="M74" s="63">
        <v>43923</v>
      </c>
      <c r="N74" s="61"/>
      <c r="O74" s="61"/>
      <c r="P74" s="61">
        <f t="shared" si="3"/>
        <v>3</v>
      </c>
      <c r="Q74" s="61">
        <f t="shared" si="4"/>
        <v>2020</v>
      </c>
      <c r="R74" s="100">
        <f t="shared" si="5"/>
        <v>30</v>
      </c>
    </row>
    <row r="75" spans="1:18" x14ac:dyDescent="0.2">
      <c r="A75" s="67">
        <v>43762</v>
      </c>
      <c r="B75" s="61" t="s">
        <v>426</v>
      </c>
      <c r="C75" s="71" t="s">
        <v>18</v>
      </c>
      <c r="D75" s="73">
        <v>43778</v>
      </c>
      <c r="E75" s="61" t="s">
        <v>57</v>
      </c>
      <c r="F75" s="61">
        <v>1768</v>
      </c>
      <c r="G75" s="61" t="s">
        <v>281</v>
      </c>
      <c r="H75" s="75">
        <v>4000</v>
      </c>
      <c r="I75" s="52" t="s">
        <v>150</v>
      </c>
      <c r="J75" s="223" t="s">
        <v>282</v>
      </c>
      <c r="K75" s="62">
        <v>135</v>
      </c>
      <c r="L75" s="61"/>
      <c r="M75" s="63">
        <v>43777</v>
      </c>
      <c r="N75" s="61"/>
      <c r="O75" s="61"/>
      <c r="P75" s="61">
        <f t="shared" si="3"/>
        <v>11</v>
      </c>
      <c r="Q75" s="61">
        <f t="shared" si="4"/>
        <v>2019</v>
      </c>
      <c r="R75" s="100">
        <f t="shared" si="5"/>
        <v>9</v>
      </c>
    </row>
    <row r="76" spans="1:18" x14ac:dyDescent="0.2">
      <c r="A76" s="67">
        <v>43762</v>
      </c>
      <c r="B76" s="61" t="s">
        <v>426</v>
      </c>
      <c r="C76" s="71" t="s">
        <v>18</v>
      </c>
      <c r="D76" s="73">
        <v>43790</v>
      </c>
      <c r="E76" s="61" t="s">
        <v>57</v>
      </c>
      <c r="F76" s="61">
        <v>1769</v>
      </c>
      <c r="G76" s="61" t="s">
        <v>281</v>
      </c>
      <c r="H76" s="75">
        <v>4000</v>
      </c>
      <c r="I76" s="52" t="s">
        <v>49</v>
      </c>
      <c r="J76" s="223" t="s">
        <v>282</v>
      </c>
      <c r="K76" s="62">
        <v>136</v>
      </c>
      <c r="L76" s="61"/>
      <c r="M76" s="63"/>
      <c r="N76" s="61"/>
      <c r="O76" s="61"/>
      <c r="P76" s="61">
        <f t="shared" si="3"/>
        <v>11</v>
      </c>
      <c r="Q76" s="61">
        <f t="shared" si="4"/>
        <v>2019</v>
      </c>
      <c r="R76" s="100">
        <f t="shared" si="5"/>
        <v>21</v>
      </c>
    </row>
    <row r="77" spans="1:18" x14ac:dyDescent="0.2">
      <c r="A77" s="67">
        <v>43762</v>
      </c>
      <c r="B77" s="61" t="s">
        <v>426</v>
      </c>
      <c r="C77" s="71" t="s">
        <v>18</v>
      </c>
      <c r="D77" s="73">
        <v>43809</v>
      </c>
      <c r="E77" s="61" t="s">
        <v>47</v>
      </c>
      <c r="F77" s="61">
        <v>72748831</v>
      </c>
      <c r="G77" s="61" t="s">
        <v>281</v>
      </c>
      <c r="H77" s="75">
        <v>4850</v>
      </c>
      <c r="I77" s="52" t="s">
        <v>97</v>
      </c>
      <c r="J77" s="223" t="s">
        <v>282</v>
      </c>
      <c r="K77" s="62">
        <v>137</v>
      </c>
      <c r="L77" s="61"/>
      <c r="M77" s="63">
        <v>43808</v>
      </c>
      <c r="N77" s="61" t="s">
        <v>344</v>
      </c>
      <c r="O77" s="61"/>
      <c r="P77" s="61">
        <f t="shared" si="3"/>
        <v>12</v>
      </c>
      <c r="Q77" s="61">
        <f t="shared" si="4"/>
        <v>2019</v>
      </c>
      <c r="R77" s="100">
        <f t="shared" si="5"/>
        <v>10</v>
      </c>
    </row>
    <row r="78" spans="1:18" x14ac:dyDescent="0.2">
      <c r="A78" s="67">
        <v>43762</v>
      </c>
      <c r="B78" s="61" t="s">
        <v>426</v>
      </c>
      <c r="C78" s="71" t="s">
        <v>18</v>
      </c>
      <c r="D78" s="73">
        <v>43784</v>
      </c>
      <c r="E78" s="61" t="s">
        <v>47</v>
      </c>
      <c r="F78" s="61">
        <v>72748830</v>
      </c>
      <c r="G78" s="61" t="s">
        <v>281</v>
      </c>
      <c r="H78" s="75">
        <v>4800</v>
      </c>
      <c r="I78" s="52" t="s">
        <v>49</v>
      </c>
      <c r="J78" s="223" t="s">
        <v>282</v>
      </c>
      <c r="K78" s="62">
        <v>138</v>
      </c>
      <c r="L78" s="61"/>
      <c r="M78" s="63"/>
      <c r="N78" s="61"/>
      <c r="O78" s="61"/>
      <c r="P78" s="61">
        <f t="shared" si="3"/>
        <v>11</v>
      </c>
      <c r="Q78" s="61">
        <f t="shared" si="4"/>
        <v>2019</v>
      </c>
      <c r="R78" s="100">
        <f t="shared" si="5"/>
        <v>15</v>
      </c>
    </row>
    <row r="79" spans="1:18" x14ac:dyDescent="0.2">
      <c r="A79" s="67">
        <v>43768</v>
      </c>
      <c r="B79" s="61" t="s">
        <v>178</v>
      </c>
      <c r="C79" s="71" t="s">
        <v>18</v>
      </c>
      <c r="D79" s="73">
        <v>43860</v>
      </c>
      <c r="E79" s="61" t="s">
        <v>47</v>
      </c>
      <c r="F79" s="61">
        <v>52679616</v>
      </c>
      <c r="G79" s="61" t="s">
        <v>178</v>
      </c>
      <c r="H79" s="75">
        <v>10000</v>
      </c>
      <c r="I79" s="52" t="s">
        <v>49</v>
      </c>
      <c r="J79" s="223" t="s">
        <v>179</v>
      </c>
      <c r="K79" s="62">
        <v>139</v>
      </c>
      <c r="L79" s="61" t="s">
        <v>420</v>
      </c>
      <c r="M79" s="63"/>
      <c r="N79" s="61"/>
      <c r="O79" s="61"/>
      <c r="P79" s="61">
        <f t="shared" si="3"/>
        <v>1</v>
      </c>
      <c r="Q79" s="61">
        <f t="shared" si="4"/>
        <v>2020</v>
      </c>
      <c r="R79" s="100">
        <f t="shared" si="5"/>
        <v>30</v>
      </c>
    </row>
    <row r="80" spans="1:18" x14ac:dyDescent="0.2">
      <c r="A80" s="67">
        <v>43768</v>
      </c>
      <c r="B80" s="61" t="s">
        <v>178</v>
      </c>
      <c r="C80" s="71" t="s">
        <v>18</v>
      </c>
      <c r="D80" s="73">
        <v>43852</v>
      </c>
      <c r="E80" s="61" t="s">
        <v>47</v>
      </c>
      <c r="F80" s="61">
        <v>52679615</v>
      </c>
      <c r="G80" s="61" t="s">
        <v>178</v>
      </c>
      <c r="H80" s="75">
        <v>10000</v>
      </c>
      <c r="I80" s="52" t="s">
        <v>49</v>
      </c>
      <c r="J80" s="223" t="s">
        <v>179</v>
      </c>
      <c r="K80" s="62">
        <v>140</v>
      </c>
      <c r="L80" s="61" t="s">
        <v>420</v>
      </c>
      <c r="M80" s="63"/>
      <c r="N80" s="61"/>
      <c r="O80" s="61"/>
      <c r="P80" s="61">
        <f t="shared" si="3"/>
        <v>1</v>
      </c>
      <c r="Q80" s="61">
        <f t="shared" si="4"/>
        <v>2020</v>
      </c>
      <c r="R80" s="100">
        <f t="shared" si="5"/>
        <v>22</v>
      </c>
    </row>
    <row r="81" spans="1:18" x14ac:dyDescent="0.2">
      <c r="A81" s="67">
        <v>43768</v>
      </c>
      <c r="B81" s="61" t="s">
        <v>421</v>
      </c>
      <c r="C81" s="71" t="s">
        <v>18</v>
      </c>
      <c r="D81" s="73">
        <v>43837</v>
      </c>
      <c r="E81" s="61" t="s">
        <v>423</v>
      </c>
      <c r="F81" s="61">
        <v>65709573</v>
      </c>
      <c r="G81" s="61" t="s">
        <v>421</v>
      </c>
      <c r="H81" s="75">
        <v>11000</v>
      </c>
      <c r="I81" s="52" t="s">
        <v>150</v>
      </c>
      <c r="J81" s="223" t="s">
        <v>422</v>
      </c>
      <c r="K81" s="62">
        <v>141</v>
      </c>
      <c r="L81" s="61" t="s">
        <v>420</v>
      </c>
      <c r="M81" s="63">
        <v>43788</v>
      </c>
      <c r="N81" s="61"/>
      <c r="O81" s="61"/>
      <c r="P81" s="61">
        <f t="shared" si="3"/>
        <v>1</v>
      </c>
      <c r="Q81" s="61">
        <f t="shared" si="4"/>
        <v>2020</v>
      </c>
      <c r="R81" s="100">
        <f t="shared" si="5"/>
        <v>7</v>
      </c>
    </row>
    <row r="82" spans="1:18" x14ac:dyDescent="0.2">
      <c r="A82" s="67">
        <v>43768</v>
      </c>
      <c r="B82" s="61" t="s">
        <v>421</v>
      </c>
      <c r="C82" s="71" t="s">
        <v>18</v>
      </c>
      <c r="D82" s="73">
        <v>43820</v>
      </c>
      <c r="E82" s="61" t="s">
        <v>47</v>
      </c>
      <c r="F82" s="61">
        <v>65709572</v>
      </c>
      <c r="G82" s="61" t="s">
        <v>421</v>
      </c>
      <c r="H82" s="75">
        <v>12000</v>
      </c>
      <c r="I82" s="52" t="s">
        <v>97</v>
      </c>
      <c r="J82" s="223" t="s">
        <v>422</v>
      </c>
      <c r="K82" s="62">
        <v>142</v>
      </c>
      <c r="L82" s="61" t="s">
        <v>420</v>
      </c>
      <c r="M82" s="63">
        <v>43781</v>
      </c>
      <c r="N82" s="61" t="s">
        <v>190</v>
      </c>
      <c r="O82" s="61"/>
      <c r="P82" s="61">
        <f t="shared" si="3"/>
        <v>12</v>
      </c>
      <c r="Q82" s="61">
        <f t="shared" si="4"/>
        <v>2019</v>
      </c>
      <c r="R82" s="100">
        <f t="shared" si="5"/>
        <v>21</v>
      </c>
    </row>
    <row r="83" spans="1:18" x14ac:dyDescent="0.2">
      <c r="A83" s="67">
        <v>43768</v>
      </c>
      <c r="B83" s="61" t="s">
        <v>178</v>
      </c>
      <c r="C83" s="71" t="s">
        <v>18</v>
      </c>
      <c r="D83" s="73">
        <v>43810</v>
      </c>
      <c r="E83" s="61" t="s">
        <v>47</v>
      </c>
      <c r="F83" s="61">
        <v>52679613</v>
      </c>
      <c r="G83" s="61" t="s">
        <v>178</v>
      </c>
      <c r="H83" s="75">
        <v>11000</v>
      </c>
      <c r="I83" s="52" t="s">
        <v>97</v>
      </c>
      <c r="J83" s="223" t="s">
        <v>179</v>
      </c>
      <c r="K83" s="62">
        <v>143</v>
      </c>
      <c r="L83" s="61" t="s">
        <v>420</v>
      </c>
      <c r="M83" s="63">
        <v>43808</v>
      </c>
      <c r="N83" s="61" t="s">
        <v>344</v>
      </c>
      <c r="O83" s="61"/>
      <c r="P83" s="61">
        <f t="shared" si="3"/>
        <v>12</v>
      </c>
      <c r="Q83" s="61">
        <f t="shared" si="4"/>
        <v>2019</v>
      </c>
      <c r="R83" s="100">
        <f t="shared" si="5"/>
        <v>11</v>
      </c>
    </row>
    <row r="84" spans="1:18" x14ac:dyDescent="0.2">
      <c r="A84" s="67">
        <v>43768</v>
      </c>
      <c r="B84" s="61" t="s">
        <v>421</v>
      </c>
      <c r="C84" s="71" t="s">
        <v>18</v>
      </c>
      <c r="D84" s="73">
        <v>43799</v>
      </c>
      <c r="E84" s="61" t="s">
        <v>47</v>
      </c>
      <c r="F84" s="61">
        <v>65709571</v>
      </c>
      <c r="G84" s="61" t="s">
        <v>421</v>
      </c>
      <c r="H84" s="75">
        <v>6000</v>
      </c>
      <c r="I84" s="52" t="s">
        <v>49</v>
      </c>
      <c r="J84" s="223" t="s">
        <v>422</v>
      </c>
      <c r="K84" s="62">
        <v>144</v>
      </c>
      <c r="L84" s="61" t="s">
        <v>420</v>
      </c>
      <c r="M84" s="63"/>
      <c r="N84" s="61"/>
      <c r="O84" s="61"/>
      <c r="P84" s="61">
        <f t="shared" si="3"/>
        <v>11</v>
      </c>
      <c r="Q84" s="61">
        <f t="shared" si="4"/>
        <v>2019</v>
      </c>
      <c r="R84" s="100">
        <f t="shared" si="5"/>
        <v>30</v>
      </c>
    </row>
    <row r="85" spans="1:18" x14ac:dyDescent="0.2">
      <c r="A85" s="67">
        <v>43768</v>
      </c>
      <c r="B85" s="61" t="s">
        <v>178</v>
      </c>
      <c r="C85" s="71" t="s">
        <v>18</v>
      </c>
      <c r="D85" s="73">
        <v>43791</v>
      </c>
      <c r="E85" s="61" t="s">
        <v>419</v>
      </c>
      <c r="F85" s="61">
        <v>52679614</v>
      </c>
      <c r="G85" s="61" t="s">
        <v>178</v>
      </c>
      <c r="H85" s="75">
        <v>5000</v>
      </c>
      <c r="I85" s="52" t="s">
        <v>49</v>
      </c>
      <c r="J85" s="223" t="s">
        <v>179</v>
      </c>
      <c r="K85" s="62">
        <v>145</v>
      </c>
      <c r="L85" s="61" t="s">
        <v>420</v>
      </c>
      <c r="M85" s="63"/>
      <c r="N85" s="61"/>
      <c r="O85" s="61"/>
      <c r="P85" s="61">
        <f t="shared" si="3"/>
        <v>11</v>
      </c>
      <c r="Q85" s="61">
        <f t="shared" si="4"/>
        <v>2019</v>
      </c>
      <c r="R85" s="100">
        <f t="shared" si="5"/>
        <v>22</v>
      </c>
    </row>
    <row r="86" spans="1:18" x14ac:dyDescent="0.2">
      <c r="A86" s="67">
        <v>43768</v>
      </c>
      <c r="B86" s="61" t="s">
        <v>158</v>
      </c>
      <c r="C86" s="71" t="s">
        <v>18</v>
      </c>
      <c r="D86" s="73">
        <v>43807</v>
      </c>
      <c r="E86" s="61" t="s">
        <v>47</v>
      </c>
      <c r="F86" s="61">
        <v>71064504</v>
      </c>
      <c r="G86" s="61" t="s">
        <v>417</v>
      </c>
      <c r="H86" s="75">
        <v>4000</v>
      </c>
      <c r="I86" s="52" t="s">
        <v>295</v>
      </c>
      <c r="J86" s="223" t="s">
        <v>348</v>
      </c>
      <c r="K86" s="62">
        <v>146</v>
      </c>
      <c r="L86" s="61"/>
      <c r="M86" s="63">
        <v>43808</v>
      </c>
      <c r="N86" s="61" t="s">
        <v>344</v>
      </c>
      <c r="O86" s="61"/>
      <c r="P86" s="61">
        <f t="shared" si="3"/>
        <v>12</v>
      </c>
      <c r="Q86" s="61">
        <f t="shared" si="4"/>
        <v>2019</v>
      </c>
      <c r="R86" s="100">
        <f t="shared" si="5"/>
        <v>8</v>
      </c>
    </row>
    <row r="87" spans="1:18" x14ac:dyDescent="0.2">
      <c r="A87" s="67">
        <v>43768</v>
      </c>
      <c r="B87" s="61" t="s">
        <v>158</v>
      </c>
      <c r="C87" s="71" t="s">
        <v>18</v>
      </c>
      <c r="D87" s="73">
        <v>43799</v>
      </c>
      <c r="E87" s="61" t="s">
        <v>47</v>
      </c>
      <c r="F87" s="61">
        <v>70690012</v>
      </c>
      <c r="G87" s="61" t="s">
        <v>415</v>
      </c>
      <c r="H87" s="75">
        <v>13068</v>
      </c>
      <c r="I87" s="52" t="s">
        <v>49</v>
      </c>
      <c r="J87" s="223" t="s">
        <v>416</v>
      </c>
      <c r="K87" s="62">
        <v>147</v>
      </c>
      <c r="L87" s="61"/>
      <c r="M87" s="63"/>
      <c r="N87" s="61"/>
      <c r="O87" s="61"/>
      <c r="P87" s="61">
        <f t="shared" si="3"/>
        <v>11</v>
      </c>
      <c r="Q87" s="61">
        <f t="shared" si="4"/>
        <v>2019</v>
      </c>
      <c r="R87" s="100">
        <f t="shared" si="5"/>
        <v>30</v>
      </c>
    </row>
    <row r="88" spans="1:18" x14ac:dyDescent="0.2">
      <c r="A88" s="67">
        <v>43768</v>
      </c>
      <c r="B88" s="61" t="s">
        <v>158</v>
      </c>
      <c r="C88" s="71" t="s">
        <v>18</v>
      </c>
      <c r="D88" s="73">
        <v>43784</v>
      </c>
      <c r="E88" s="61" t="s">
        <v>47</v>
      </c>
      <c r="F88" s="61">
        <v>42839341</v>
      </c>
      <c r="G88" s="61" t="s">
        <v>413</v>
      </c>
      <c r="H88" s="75">
        <v>5000</v>
      </c>
      <c r="I88" s="52" t="s">
        <v>49</v>
      </c>
      <c r="J88" s="223" t="s">
        <v>414</v>
      </c>
      <c r="K88" s="62">
        <v>148</v>
      </c>
      <c r="L88" s="61"/>
      <c r="M88" s="63"/>
      <c r="N88" s="61"/>
      <c r="O88" s="61"/>
      <c r="P88" s="61">
        <f t="shared" si="3"/>
        <v>11</v>
      </c>
      <c r="Q88" s="61">
        <f t="shared" si="4"/>
        <v>2019</v>
      </c>
      <c r="R88" s="100">
        <f t="shared" si="5"/>
        <v>15</v>
      </c>
    </row>
    <row r="89" spans="1:18" x14ac:dyDescent="0.2">
      <c r="A89" s="67">
        <v>43768</v>
      </c>
      <c r="B89" s="61" t="s">
        <v>158</v>
      </c>
      <c r="C89" s="71" t="s">
        <v>18</v>
      </c>
      <c r="D89" s="73">
        <v>43769</v>
      </c>
      <c r="E89" s="61" t="s">
        <v>47</v>
      </c>
      <c r="F89" s="61">
        <v>70406</v>
      </c>
      <c r="G89" s="61" t="s">
        <v>411</v>
      </c>
      <c r="H89" s="75">
        <v>3158</v>
      </c>
      <c r="I89" s="52" t="s">
        <v>49</v>
      </c>
      <c r="J89" s="223" t="s">
        <v>412</v>
      </c>
      <c r="K89" s="62">
        <v>149</v>
      </c>
      <c r="L89" s="61"/>
      <c r="M89" s="63"/>
      <c r="N89" s="61"/>
      <c r="O89" s="61"/>
      <c r="P89" s="61">
        <f t="shared" si="3"/>
        <v>10</v>
      </c>
      <c r="Q89" s="61">
        <f t="shared" si="4"/>
        <v>2019</v>
      </c>
      <c r="R89" s="100">
        <f t="shared" si="5"/>
        <v>31</v>
      </c>
    </row>
    <row r="90" spans="1:18" x14ac:dyDescent="0.2">
      <c r="A90" s="67">
        <v>43770</v>
      </c>
      <c r="B90" s="61" t="s">
        <v>410</v>
      </c>
      <c r="C90" s="71" t="s">
        <v>18</v>
      </c>
      <c r="D90" s="73">
        <v>43824</v>
      </c>
      <c r="E90" s="61" t="s">
        <v>47</v>
      </c>
      <c r="F90" s="61">
        <v>71776702</v>
      </c>
      <c r="G90" s="61" t="s">
        <v>407</v>
      </c>
      <c r="H90" s="75">
        <v>9051</v>
      </c>
      <c r="I90" s="52" t="s">
        <v>97</v>
      </c>
      <c r="J90" s="223" t="s">
        <v>154</v>
      </c>
      <c r="K90" s="62">
        <v>150</v>
      </c>
      <c r="L90" s="61" t="s">
        <v>408</v>
      </c>
      <c r="M90" s="63">
        <v>43781</v>
      </c>
      <c r="N90" s="61" t="s">
        <v>190</v>
      </c>
      <c r="O90" s="61"/>
      <c r="P90" s="61">
        <f t="shared" si="3"/>
        <v>12</v>
      </c>
      <c r="Q90" s="61">
        <f t="shared" si="4"/>
        <v>2019</v>
      </c>
      <c r="R90" s="100">
        <f t="shared" si="5"/>
        <v>25</v>
      </c>
    </row>
    <row r="91" spans="1:18" x14ac:dyDescent="0.2">
      <c r="A91" s="67">
        <v>43774</v>
      </c>
      <c r="B91" s="61" t="s">
        <v>42</v>
      </c>
      <c r="C91" s="71" t="s">
        <v>18</v>
      </c>
      <c r="D91" s="73">
        <v>43889</v>
      </c>
      <c r="E91" s="61" t="s">
        <v>47</v>
      </c>
      <c r="F91" s="61">
        <v>71776704</v>
      </c>
      <c r="G91" s="61" t="s">
        <v>407</v>
      </c>
      <c r="H91" s="75">
        <v>9051</v>
      </c>
      <c r="I91" s="52" t="s">
        <v>316</v>
      </c>
      <c r="J91" s="223" t="s">
        <v>154</v>
      </c>
      <c r="K91" s="62">
        <v>151</v>
      </c>
      <c r="L91" s="61" t="s">
        <v>408</v>
      </c>
      <c r="M91" s="63"/>
      <c r="N91" s="61"/>
      <c r="O91" s="61" t="s">
        <v>409</v>
      </c>
      <c r="P91" s="61">
        <f t="shared" si="3"/>
        <v>2</v>
      </c>
      <c r="Q91" s="61">
        <f t="shared" si="4"/>
        <v>2020</v>
      </c>
      <c r="R91" s="100">
        <f t="shared" si="5"/>
        <v>28</v>
      </c>
    </row>
    <row r="92" spans="1:18" x14ac:dyDescent="0.2">
      <c r="A92" s="67">
        <v>43775</v>
      </c>
      <c r="B92" s="61" t="s">
        <v>404</v>
      </c>
      <c r="C92" s="71" t="s">
        <v>18</v>
      </c>
      <c r="D92" s="73">
        <v>43840</v>
      </c>
      <c r="E92" s="61" t="s">
        <v>53</v>
      </c>
      <c r="F92" s="61">
        <v>15200167</v>
      </c>
      <c r="G92" s="61" t="s">
        <v>405</v>
      </c>
      <c r="H92" s="75">
        <v>15000</v>
      </c>
      <c r="I92" s="52" t="s">
        <v>150</v>
      </c>
      <c r="J92" s="223" t="s">
        <v>406</v>
      </c>
      <c r="K92" s="62">
        <v>152</v>
      </c>
      <c r="L92" s="61" t="s">
        <v>349</v>
      </c>
      <c r="M92" s="63">
        <v>43776</v>
      </c>
      <c r="N92" s="61"/>
      <c r="O92" s="61"/>
      <c r="P92" s="61">
        <f t="shared" si="3"/>
        <v>1</v>
      </c>
      <c r="Q92" s="61">
        <f t="shared" si="4"/>
        <v>2020</v>
      </c>
      <c r="R92" s="100">
        <f t="shared" si="5"/>
        <v>10</v>
      </c>
    </row>
    <row r="93" spans="1:18" x14ac:dyDescent="0.2">
      <c r="A93" s="67">
        <v>43775</v>
      </c>
      <c r="B93" s="61" t="s">
        <v>400</v>
      </c>
      <c r="C93" s="71" t="s">
        <v>18</v>
      </c>
      <c r="D93" s="73">
        <v>43840</v>
      </c>
      <c r="E93" s="61" t="s">
        <v>401</v>
      </c>
      <c r="F93" s="61">
        <v>63134157</v>
      </c>
      <c r="G93" s="61" t="s">
        <v>402</v>
      </c>
      <c r="H93" s="75">
        <v>20000</v>
      </c>
      <c r="I93" s="52" t="s">
        <v>150</v>
      </c>
      <c r="J93" s="223" t="s">
        <v>394</v>
      </c>
      <c r="K93" s="62">
        <v>153</v>
      </c>
      <c r="L93" s="61" t="s">
        <v>403</v>
      </c>
      <c r="M93" s="63">
        <v>43776</v>
      </c>
      <c r="N93" s="61"/>
      <c r="O93" s="61"/>
      <c r="P93" s="61">
        <f t="shared" si="3"/>
        <v>1</v>
      </c>
      <c r="Q93" s="61">
        <f t="shared" si="4"/>
        <v>2020</v>
      </c>
      <c r="R93" s="100">
        <f t="shared" si="5"/>
        <v>10</v>
      </c>
    </row>
    <row r="94" spans="1:18" x14ac:dyDescent="0.2">
      <c r="A94" s="67">
        <v>43775</v>
      </c>
      <c r="B94" s="61" t="s">
        <v>397</v>
      </c>
      <c r="C94" s="71" t="s">
        <v>18</v>
      </c>
      <c r="D94" s="73">
        <v>43845</v>
      </c>
      <c r="E94" s="61" t="s">
        <v>346</v>
      </c>
      <c r="F94" s="61">
        <v>73554810</v>
      </c>
      <c r="G94" s="61" t="s">
        <v>398</v>
      </c>
      <c r="H94" s="75">
        <v>10000</v>
      </c>
      <c r="I94" s="52" t="s">
        <v>150</v>
      </c>
      <c r="J94" s="223" t="s">
        <v>399</v>
      </c>
      <c r="K94" s="62">
        <v>154</v>
      </c>
      <c r="L94" s="61" t="s">
        <v>349</v>
      </c>
      <c r="M94" s="63">
        <v>43776</v>
      </c>
      <c r="N94" s="61"/>
      <c r="O94" s="61"/>
      <c r="P94" s="61">
        <f t="shared" si="3"/>
        <v>1</v>
      </c>
      <c r="Q94" s="61">
        <f t="shared" si="4"/>
        <v>2020</v>
      </c>
      <c r="R94" s="100">
        <f t="shared" si="5"/>
        <v>15</v>
      </c>
    </row>
    <row r="95" spans="1:18" x14ac:dyDescent="0.2">
      <c r="A95" s="67">
        <v>43782</v>
      </c>
      <c r="B95" s="61" t="s">
        <v>176</v>
      </c>
      <c r="C95" s="71" t="s">
        <v>18</v>
      </c>
      <c r="D95" s="73">
        <v>43938</v>
      </c>
      <c r="E95" s="61" t="s">
        <v>65</v>
      </c>
      <c r="F95" s="61">
        <v>21851920</v>
      </c>
      <c r="G95" s="61" t="s">
        <v>176</v>
      </c>
      <c r="H95" s="75">
        <v>25000</v>
      </c>
      <c r="I95" s="52" t="s">
        <v>295</v>
      </c>
      <c r="J95" s="223" t="s">
        <v>177</v>
      </c>
      <c r="K95" s="62">
        <v>155</v>
      </c>
      <c r="L95" s="61"/>
      <c r="M95" s="63"/>
      <c r="N95" s="61" t="s">
        <v>760</v>
      </c>
      <c r="O95" s="61"/>
      <c r="P95" s="61">
        <f t="shared" si="3"/>
        <v>4</v>
      </c>
      <c r="Q95" s="61">
        <f t="shared" si="4"/>
        <v>2020</v>
      </c>
      <c r="R95" s="100">
        <f t="shared" si="5"/>
        <v>17</v>
      </c>
    </row>
    <row r="96" spans="1:18" x14ac:dyDescent="0.2">
      <c r="A96" s="67">
        <v>43782</v>
      </c>
      <c r="B96" s="61" t="s">
        <v>176</v>
      </c>
      <c r="C96" s="71" t="s">
        <v>18</v>
      </c>
      <c r="D96" s="73">
        <v>43951</v>
      </c>
      <c r="E96" s="61" t="s">
        <v>65</v>
      </c>
      <c r="F96" s="61">
        <v>21851922</v>
      </c>
      <c r="G96" s="61" t="s">
        <v>176</v>
      </c>
      <c r="H96" s="75">
        <v>15000</v>
      </c>
      <c r="I96" s="52" t="s">
        <v>150</v>
      </c>
      <c r="J96" s="223" t="s">
        <v>177</v>
      </c>
      <c r="K96" s="62">
        <v>156</v>
      </c>
      <c r="L96" s="61"/>
      <c r="M96" s="63">
        <v>43908</v>
      </c>
      <c r="N96" s="61"/>
      <c r="O96" s="61"/>
      <c r="P96" s="61">
        <f t="shared" si="3"/>
        <v>4</v>
      </c>
      <c r="Q96" s="61">
        <f t="shared" si="4"/>
        <v>2020</v>
      </c>
      <c r="R96" s="100">
        <f t="shared" si="5"/>
        <v>30</v>
      </c>
    </row>
    <row r="97" spans="1:18" x14ac:dyDescent="0.2">
      <c r="A97" s="67">
        <v>43782</v>
      </c>
      <c r="B97" s="61" t="s">
        <v>176</v>
      </c>
      <c r="C97" s="71" t="s">
        <v>18</v>
      </c>
      <c r="D97" s="73">
        <v>43921</v>
      </c>
      <c r="E97" s="61" t="s">
        <v>65</v>
      </c>
      <c r="F97" s="61">
        <v>21851918</v>
      </c>
      <c r="G97" s="61" t="s">
        <v>176</v>
      </c>
      <c r="H97" s="75">
        <v>15000</v>
      </c>
      <c r="I97" s="52" t="s">
        <v>295</v>
      </c>
      <c r="J97" s="223" t="s">
        <v>177</v>
      </c>
      <c r="K97" s="62">
        <v>157</v>
      </c>
      <c r="L97" s="61"/>
      <c r="M97" s="63">
        <v>43923</v>
      </c>
      <c r="N97" s="61" t="s">
        <v>760</v>
      </c>
      <c r="O97" s="61"/>
      <c r="P97" s="61">
        <f t="shared" si="3"/>
        <v>3</v>
      </c>
      <c r="Q97" s="61">
        <f t="shared" si="4"/>
        <v>2020</v>
      </c>
      <c r="R97" s="100">
        <f t="shared" si="5"/>
        <v>31</v>
      </c>
    </row>
    <row r="98" spans="1:18" x14ac:dyDescent="0.2">
      <c r="A98" s="67">
        <v>43782</v>
      </c>
      <c r="B98" s="61" t="s">
        <v>176</v>
      </c>
      <c r="C98" s="71" t="s">
        <v>18</v>
      </c>
      <c r="D98" s="73">
        <v>43910</v>
      </c>
      <c r="E98" s="61" t="s">
        <v>65</v>
      </c>
      <c r="F98" s="61">
        <v>21851916</v>
      </c>
      <c r="G98" s="61" t="s">
        <v>176</v>
      </c>
      <c r="H98" s="75">
        <v>15000</v>
      </c>
      <c r="I98" s="52" t="s">
        <v>295</v>
      </c>
      <c r="J98" s="223" t="s">
        <v>177</v>
      </c>
      <c r="K98" s="62">
        <v>158</v>
      </c>
      <c r="L98" s="61"/>
      <c r="M98" s="63"/>
      <c r="N98" s="61" t="s">
        <v>760</v>
      </c>
      <c r="O98" s="61"/>
      <c r="P98" s="61">
        <f t="shared" si="3"/>
        <v>3</v>
      </c>
      <c r="Q98" s="61">
        <f t="shared" si="4"/>
        <v>2020</v>
      </c>
      <c r="R98" s="100">
        <f t="shared" si="5"/>
        <v>20</v>
      </c>
    </row>
    <row r="99" spans="1:18" x14ac:dyDescent="0.2">
      <c r="A99" s="67">
        <v>43782</v>
      </c>
      <c r="B99" s="61" t="s">
        <v>176</v>
      </c>
      <c r="C99" s="71" t="s">
        <v>18</v>
      </c>
      <c r="D99" s="73">
        <v>43890</v>
      </c>
      <c r="E99" s="61" t="s">
        <v>65</v>
      </c>
      <c r="F99" s="61">
        <v>21851914</v>
      </c>
      <c r="G99" s="61" t="s">
        <v>176</v>
      </c>
      <c r="H99" s="75">
        <v>15000</v>
      </c>
      <c r="I99" s="52" t="s">
        <v>316</v>
      </c>
      <c r="J99" s="223" t="s">
        <v>177</v>
      </c>
      <c r="K99" s="62">
        <v>159</v>
      </c>
      <c r="L99" s="61"/>
      <c r="M99" s="63"/>
      <c r="N99" s="61"/>
      <c r="O99" s="61" t="s">
        <v>395</v>
      </c>
      <c r="P99" s="61">
        <f t="shared" si="3"/>
        <v>2</v>
      </c>
      <c r="Q99" s="61">
        <f t="shared" si="4"/>
        <v>2020</v>
      </c>
      <c r="R99" s="100">
        <f t="shared" si="5"/>
        <v>29</v>
      </c>
    </row>
    <row r="100" spans="1:18" x14ac:dyDescent="0.2">
      <c r="A100" s="67">
        <v>43783</v>
      </c>
      <c r="B100" s="61" t="s">
        <v>393</v>
      </c>
      <c r="C100" s="71" t="s">
        <v>18</v>
      </c>
      <c r="D100" s="73">
        <v>43842</v>
      </c>
      <c r="E100" s="61" t="s">
        <v>47</v>
      </c>
      <c r="F100" s="61">
        <v>63134158</v>
      </c>
      <c r="G100" s="61" t="s">
        <v>393</v>
      </c>
      <c r="H100" s="75">
        <v>25000</v>
      </c>
      <c r="I100" s="52" t="s">
        <v>150</v>
      </c>
      <c r="J100" s="223" t="s">
        <v>394</v>
      </c>
      <c r="K100" s="62">
        <v>160</v>
      </c>
      <c r="L100" s="61"/>
      <c r="M100" s="63">
        <v>43788</v>
      </c>
      <c r="N100" s="61"/>
      <c r="O100" s="61"/>
      <c r="P100" s="61">
        <f t="shared" si="3"/>
        <v>1</v>
      </c>
      <c r="Q100" s="61">
        <f t="shared" si="4"/>
        <v>2020</v>
      </c>
      <c r="R100" s="100">
        <f t="shared" si="5"/>
        <v>12</v>
      </c>
    </row>
    <row r="101" spans="1:18" x14ac:dyDescent="0.2">
      <c r="A101" s="67">
        <v>43788</v>
      </c>
      <c r="B101" s="61" t="s">
        <v>390</v>
      </c>
      <c r="C101" s="71"/>
      <c r="D101" s="73">
        <v>43791</v>
      </c>
      <c r="E101" s="61" t="s">
        <v>346</v>
      </c>
      <c r="F101" s="61">
        <v>73731506</v>
      </c>
      <c r="G101" s="61" t="s">
        <v>391</v>
      </c>
      <c r="H101" s="75">
        <v>2500</v>
      </c>
      <c r="I101" s="52" t="s">
        <v>49</v>
      </c>
      <c r="J101" s="223" t="s">
        <v>392</v>
      </c>
      <c r="K101" s="62">
        <v>161</v>
      </c>
      <c r="L101" s="61" t="s">
        <v>349</v>
      </c>
      <c r="M101" s="63"/>
      <c r="N101" s="61"/>
      <c r="O101" s="61"/>
      <c r="P101" s="61">
        <f t="shared" si="3"/>
        <v>11</v>
      </c>
      <c r="Q101" s="61">
        <f t="shared" si="4"/>
        <v>2019</v>
      </c>
      <c r="R101" s="100">
        <f t="shared" si="5"/>
        <v>22</v>
      </c>
    </row>
    <row r="102" spans="1:18" x14ac:dyDescent="0.2">
      <c r="A102" s="67">
        <v>43788</v>
      </c>
      <c r="B102" s="61" t="s">
        <v>383</v>
      </c>
      <c r="C102" s="71"/>
      <c r="D102" s="73">
        <v>43866</v>
      </c>
      <c r="E102" s="61" t="s">
        <v>384</v>
      </c>
      <c r="F102" s="61">
        <v>472674</v>
      </c>
      <c r="G102" s="61" t="s">
        <v>385</v>
      </c>
      <c r="H102" s="75">
        <v>18850</v>
      </c>
      <c r="I102" s="52" t="s">
        <v>49</v>
      </c>
      <c r="J102" s="223">
        <v>20228458105</v>
      </c>
      <c r="K102" s="62">
        <v>162</v>
      </c>
      <c r="L102" s="61"/>
      <c r="M102" s="63">
        <v>43867</v>
      </c>
      <c r="N102" s="61" t="s">
        <v>223</v>
      </c>
      <c r="O102" s="61"/>
      <c r="P102" s="61">
        <f t="shared" si="3"/>
        <v>2</v>
      </c>
      <c r="Q102" s="61">
        <f t="shared" si="4"/>
        <v>2020</v>
      </c>
      <c r="R102" s="100">
        <f t="shared" si="5"/>
        <v>5</v>
      </c>
    </row>
    <row r="103" spans="1:18" x14ac:dyDescent="0.2">
      <c r="A103" s="67">
        <v>43788</v>
      </c>
      <c r="B103" s="61" t="s">
        <v>386</v>
      </c>
      <c r="C103" s="71"/>
      <c r="D103" s="73">
        <v>43766</v>
      </c>
      <c r="E103" s="61" t="s">
        <v>346</v>
      </c>
      <c r="F103" s="61">
        <v>72052684</v>
      </c>
      <c r="G103" s="61" t="s">
        <v>387</v>
      </c>
      <c r="H103" s="75">
        <v>1669</v>
      </c>
      <c r="I103" s="52" t="s">
        <v>49</v>
      </c>
      <c r="J103" s="223" t="s">
        <v>388</v>
      </c>
      <c r="K103" s="62">
        <v>163</v>
      </c>
      <c r="L103" s="61" t="s">
        <v>374</v>
      </c>
      <c r="M103" s="63"/>
      <c r="N103" s="61"/>
      <c r="O103" s="61"/>
      <c r="P103" s="61">
        <f t="shared" si="3"/>
        <v>10</v>
      </c>
      <c r="Q103" s="61">
        <f t="shared" si="4"/>
        <v>2019</v>
      </c>
      <c r="R103" s="100">
        <f t="shared" si="5"/>
        <v>28</v>
      </c>
    </row>
    <row r="104" spans="1:18" x14ac:dyDescent="0.2">
      <c r="A104" s="67">
        <v>43788</v>
      </c>
      <c r="B104" s="61" t="s">
        <v>383</v>
      </c>
      <c r="C104" s="71"/>
      <c r="D104" s="73">
        <v>43853</v>
      </c>
      <c r="E104" s="61" t="s">
        <v>384</v>
      </c>
      <c r="F104" s="61">
        <v>472673</v>
      </c>
      <c r="G104" s="61" t="s">
        <v>385</v>
      </c>
      <c r="H104" s="75">
        <v>16000</v>
      </c>
      <c r="I104" s="62" t="s">
        <v>49</v>
      </c>
      <c r="J104" s="223" t="s">
        <v>215</v>
      </c>
      <c r="K104" s="62">
        <v>164</v>
      </c>
      <c r="L104" s="61" t="s">
        <v>374</v>
      </c>
      <c r="M104" s="63"/>
      <c r="N104" s="61"/>
      <c r="O104" s="61"/>
      <c r="P104" s="61">
        <f t="shared" si="3"/>
        <v>1</v>
      </c>
      <c r="Q104" s="61">
        <f t="shared" si="4"/>
        <v>2020</v>
      </c>
      <c r="R104" s="100">
        <f t="shared" si="5"/>
        <v>23</v>
      </c>
    </row>
    <row r="105" spans="1:18" x14ac:dyDescent="0.2">
      <c r="A105" s="67">
        <v>43788</v>
      </c>
      <c r="B105" s="61" t="s">
        <v>380</v>
      </c>
      <c r="C105" s="71"/>
      <c r="D105" s="73">
        <v>43784</v>
      </c>
      <c r="E105" s="61" t="s">
        <v>267</v>
      </c>
      <c r="F105" s="61">
        <v>32766869</v>
      </c>
      <c r="G105" s="61" t="s">
        <v>381</v>
      </c>
      <c r="H105" s="75">
        <v>7068</v>
      </c>
      <c r="I105" s="52" t="s">
        <v>150</v>
      </c>
      <c r="J105" s="223" t="s">
        <v>382</v>
      </c>
      <c r="K105" s="62">
        <v>165</v>
      </c>
      <c r="L105" s="61" t="s">
        <v>374</v>
      </c>
      <c r="M105" s="63">
        <v>43788</v>
      </c>
      <c r="N105" s="61"/>
      <c r="O105" s="61"/>
      <c r="P105" s="61">
        <f t="shared" si="3"/>
        <v>11</v>
      </c>
      <c r="Q105" s="61">
        <f t="shared" si="4"/>
        <v>2019</v>
      </c>
      <c r="R105" s="100">
        <f t="shared" si="5"/>
        <v>15</v>
      </c>
    </row>
    <row r="106" spans="1:18" x14ac:dyDescent="0.2">
      <c r="A106" s="67">
        <v>43789</v>
      </c>
      <c r="B106" s="61" t="s">
        <v>379</v>
      </c>
      <c r="C106" s="71" t="s">
        <v>18</v>
      </c>
      <c r="D106" s="73">
        <v>43861</v>
      </c>
      <c r="E106" s="61" t="s">
        <v>185</v>
      </c>
      <c r="F106" s="61">
        <v>176380</v>
      </c>
      <c r="G106" s="61" t="s">
        <v>339</v>
      </c>
      <c r="H106" s="75">
        <v>12500</v>
      </c>
      <c r="I106" s="52" t="s">
        <v>150</v>
      </c>
      <c r="J106" s="223" t="s">
        <v>340</v>
      </c>
      <c r="K106" s="62">
        <v>166</v>
      </c>
      <c r="L106" s="61"/>
      <c r="M106" s="63">
        <v>43809</v>
      </c>
      <c r="N106" s="61"/>
      <c r="O106" s="61"/>
      <c r="P106" s="61">
        <f t="shared" si="3"/>
        <v>1</v>
      </c>
      <c r="Q106" s="61">
        <f t="shared" si="4"/>
        <v>2020</v>
      </c>
      <c r="R106" s="100">
        <f t="shared" si="5"/>
        <v>31</v>
      </c>
    </row>
    <row r="107" spans="1:18" x14ac:dyDescent="0.2">
      <c r="A107" s="67">
        <v>43789</v>
      </c>
      <c r="B107" s="61" t="s">
        <v>241</v>
      </c>
      <c r="C107" s="71" t="s">
        <v>18</v>
      </c>
      <c r="D107" s="73">
        <v>43856</v>
      </c>
      <c r="E107" s="61" t="s">
        <v>57</v>
      </c>
      <c r="F107" s="61">
        <v>42773</v>
      </c>
      <c r="G107" s="61" t="s">
        <v>241</v>
      </c>
      <c r="H107" s="75">
        <v>10000</v>
      </c>
      <c r="I107" s="52" t="s">
        <v>150</v>
      </c>
      <c r="J107" s="223" t="s">
        <v>242</v>
      </c>
      <c r="K107" s="62">
        <v>167</v>
      </c>
      <c r="L107" s="61"/>
      <c r="M107" s="63">
        <v>43809</v>
      </c>
      <c r="N107" s="61"/>
      <c r="O107" s="61"/>
      <c r="P107" s="61">
        <f t="shared" si="3"/>
        <v>1</v>
      </c>
      <c r="Q107" s="61">
        <f t="shared" si="4"/>
        <v>2020</v>
      </c>
      <c r="R107" s="100">
        <f t="shared" si="5"/>
        <v>26</v>
      </c>
    </row>
    <row r="108" spans="1:18" x14ac:dyDescent="0.2">
      <c r="A108" s="67">
        <v>43789</v>
      </c>
      <c r="B108" s="61" t="s">
        <v>241</v>
      </c>
      <c r="C108" s="71" t="s">
        <v>18</v>
      </c>
      <c r="D108" s="73">
        <v>43842</v>
      </c>
      <c r="E108" s="61" t="s">
        <v>57</v>
      </c>
      <c r="F108" s="61">
        <v>42774</v>
      </c>
      <c r="G108" s="61" t="s">
        <v>241</v>
      </c>
      <c r="H108" s="75">
        <v>10000</v>
      </c>
      <c r="I108" s="52" t="s">
        <v>49</v>
      </c>
      <c r="J108" s="223" t="s">
        <v>242</v>
      </c>
      <c r="K108" s="62">
        <v>168</v>
      </c>
      <c r="L108" s="61"/>
      <c r="M108" s="63"/>
      <c r="N108" s="61"/>
      <c r="O108" s="61"/>
      <c r="P108" s="61">
        <f t="shared" si="3"/>
        <v>1</v>
      </c>
      <c r="Q108" s="61">
        <f t="shared" si="4"/>
        <v>2020</v>
      </c>
      <c r="R108" s="100">
        <f t="shared" si="5"/>
        <v>12</v>
      </c>
    </row>
    <row r="109" spans="1:18" x14ac:dyDescent="0.2">
      <c r="A109" s="67">
        <v>43790</v>
      </c>
      <c r="B109" s="61" t="s">
        <v>375</v>
      </c>
      <c r="C109" s="71"/>
      <c r="D109" s="73">
        <v>43814</v>
      </c>
      <c r="E109" s="61" t="s">
        <v>376</v>
      </c>
      <c r="F109" s="61">
        <v>53429217</v>
      </c>
      <c r="G109" s="61" t="s">
        <v>377</v>
      </c>
      <c r="H109" s="75">
        <v>11111</v>
      </c>
      <c r="I109" s="62" t="s">
        <v>49</v>
      </c>
      <c r="J109" s="223" t="s">
        <v>378</v>
      </c>
      <c r="K109" s="62">
        <v>169</v>
      </c>
      <c r="L109" s="61" t="s">
        <v>374</v>
      </c>
      <c r="M109" s="63"/>
      <c r="N109" s="61"/>
      <c r="O109" s="61"/>
      <c r="P109" s="61">
        <f t="shared" si="3"/>
        <v>12</v>
      </c>
      <c r="Q109" s="61">
        <f t="shared" si="4"/>
        <v>2019</v>
      </c>
      <c r="R109" s="100">
        <f t="shared" si="5"/>
        <v>15</v>
      </c>
    </row>
    <row r="110" spans="1:18" x14ac:dyDescent="0.2">
      <c r="A110" s="67">
        <v>43790</v>
      </c>
      <c r="B110" s="61" t="s">
        <v>372</v>
      </c>
      <c r="C110" s="71"/>
      <c r="D110" s="73">
        <v>43858</v>
      </c>
      <c r="E110" s="61" t="s">
        <v>352</v>
      </c>
      <c r="F110" s="61">
        <v>99298625</v>
      </c>
      <c r="G110" s="61" t="s">
        <v>373</v>
      </c>
      <c r="H110" s="75">
        <v>12000</v>
      </c>
      <c r="I110" s="52" t="s">
        <v>150</v>
      </c>
      <c r="J110" s="223">
        <v>33715087419</v>
      </c>
      <c r="K110" s="62">
        <v>170</v>
      </c>
      <c r="L110" s="61" t="s">
        <v>374</v>
      </c>
      <c r="M110" s="63">
        <v>43809</v>
      </c>
      <c r="N110" s="61"/>
      <c r="O110" s="61"/>
      <c r="P110" s="61">
        <f t="shared" si="3"/>
        <v>1</v>
      </c>
      <c r="Q110" s="61">
        <f t="shared" si="4"/>
        <v>2020</v>
      </c>
      <c r="R110" s="100">
        <f t="shared" si="5"/>
        <v>28</v>
      </c>
    </row>
    <row r="111" spans="1:18" x14ac:dyDescent="0.2">
      <c r="A111" s="67">
        <v>43791</v>
      </c>
      <c r="B111" s="61" t="s">
        <v>370</v>
      </c>
      <c r="C111" s="71"/>
      <c r="D111" s="73">
        <v>43819</v>
      </c>
      <c r="E111" s="61" t="s">
        <v>53</v>
      </c>
      <c r="F111" s="61">
        <v>14852</v>
      </c>
      <c r="G111" s="61" t="s">
        <v>371</v>
      </c>
      <c r="H111" s="75">
        <v>16092</v>
      </c>
      <c r="I111" s="52" t="s">
        <v>49</v>
      </c>
      <c r="J111" s="223">
        <v>33708599219</v>
      </c>
      <c r="K111" s="62">
        <v>171</v>
      </c>
      <c r="L111" s="61"/>
      <c r="M111" s="63"/>
      <c r="N111" s="61"/>
      <c r="O111" s="61"/>
      <c r="P111" s="61">
        <f t="shared" si="3"/>
        <v>12</v>
      </c>
      <c r="Q111" s="61">
        <f t="shared" si="4"/>
        <v>2019</v>
      </c>
      <c r="R111" s="100">
        <f t="shared" si="5"/>
        <v>20</v>
      </c>
    </row>
    <row r="112" spans="1:18" x14ac:dyDescent="0.2">
      <c r="A112" s="67">
        <v>43791</v>
      </c>
      <c r="B112" s="61" t="s">
        <v>180</v>
      </c>
      <c r="C112" s="71"/>
      <c r="D112" s="73">
        <v>43861</v>
      </c>
      <c r="E112" s="61" t="s">
        <v>367</v>
      </c>
      <c r="F112" s="61">
        <v>22233233</v>
      </c>
      <c r="G112" s="61" t="s">
        <v>368</v>
      </c>
      <c r="H112" s="75">
        <v>5000</v>
      </c>
      <c r="I112" s="52" t="s">
        <v>49</v>
      </c>
      <c r="J112" s="223">
        <v>20055106968</v>
      </c>
      <c r="K112" s="62">
        <v>172</v>
      </c>
      <c r="L112" s="61" t="s">
        <v>369</v>
      </c>
      <c r="M112" s="63"/>
      <c r="N112" s="61"/>
      <c r="O112" s="61"/>
      <c r="P112" s="61">
        <f t="shared" si="3"/>
        <v>1</v>
      </c>
      <c r="Q112" s="61">
        <f t="shared" si="4"/>
        <v>2020</v>
      </c>
      <c r="R112" s="100">
        <f t="shared" si="5"/>
        <v>31</v>
      </c>
    </row>
    <row r="113" spans="1:18" x14ac:dyDescent="0.2">
      <c r="A113" s="67">
        <v>43791</v>
      </c>
      <c r="B113" s="61" t="s">
        <v>180</v>
      </c>
      <c r="C113" s="71"/>
      <c r="D113" s="73">
        <v>43861</v>
      </c>
      <c r="E113" s="61" t="s">
        <v>367</v>
      </c>
      <c r="F113" s="61">
        <v>22233234</v>
      </c>
      <c r="G113" s="61" t="s">
        <v>368</v>
      </c>
      <c r="H113" s="75">
        <v>5000</v>
      </c>
      <c r="I113" s="52" t="s">
        <v>97</v>
      </c>
      <c r="J113" s="223">
        <v>20055106968</v>
      </c>
      <c r="K113" s="62">
        <v>173</v>
      </c>
      <c r="L113" s="61"/>
      <c r="M113" s="63">
        <v>43836</v>
      </c>
      <c r="N113" s="61" t="s">
        <v>94</v>
      </c>
      <c r="O113" s="61"/>
      <c r="P113" s="61">
        <f t="shared" si="3"/>
        <v>1</v>
      </c>
      <c r="Q113" s="61">
        <f t="shared" si="4"/>
        <v>2020</v>
      </c>
      <c r="R113" s="100">
        <f t="shared" si="5"/>
        <v>31</v>
      </c>
    </row>
    <row r="114" spans="1:18" x14ac:dyDescent="0.2">
      <c r="A114" s="67">
        <v>43796</v>
      </c>
      <c r="B114" s="61" t="s">
        <v>180</v>
      </c>
      <c r="C114" s="71" t="s">
        <v>18</v>
      </c>
      <c r="D114" s="73">
        <v>43861</v>
      </c>
      <c r="E114" s="61" t="s">
        <v>65</v>
      </c>
      <c r="F114" s="61">
        <v>22233235</v>
      </c>
      <c r="G114" s="61" t="s">
        <v>180</v>
      </c>
      <c r="H114" s="75">
        <v>5000</v>
      </c>
      <c r="I114" s="52" t="s">
        <v>49</v>
      </c>
      <c r="J114" s="223" t="s">
        <v>200</v>
      </c>
      <c r="K114" s="62">
        <v>174</v>
      </c>
      <c r="L114" s="61"/>
      <c r="M114" s="63"/>
      <c r="N114" s="61"/>
      <c r="O114" s="61"/>
      <c r="P114" s="61">
        <f t="shared" si="3"/>
        <v>1</v>
      </c>
      <c r="Q114" s="61">
        <f t="shared" si="4"/>
        <v>2020</v>
      </c>
      <c r="R114" s="100">
        <f t="shared" si="5"/>
        <v>31</v>
      </c>
    </row>
    <row r="115" spans="1:18" x14ac:dyDescent="0.2">
      <c r="A115" s="67">
        <v>43796</v>
      </c>
      <c r="B115" s="61" t="s">
        <v>180</v>
      </c>
      <c r="C115" s="71" t="s">
        <v>18</v>
      </c>
      <c r="D115" s="73">
        <v>43861</v>
      </c>
      <c r="E115" s="61" t="s">
        <v>65</v>
      </c>
      <c r="F115" s="61">
        <v>22233236</v>
      </c>
      <c r="G115" s="61" t="s">
        <v>180</v>
      </c>
      <c r="H115" s="75">
        <v>5000</v>
      </c>
      <c r="I115" s="52" t="s">
        <v>49</v>
      </c>
      <c r="J115" s="223" t="s">
        <v>200</v>
      </c>
      <c r="K115" s="62">
        <v>175</v>
      </c>
      <c r="L115" s="61"/>
      <c r="M115" s="63"/>
      <c r="N115" s="61"/>
      <c r="O115" s="61"/>
      <c r="P115" s="61">
        <f t="shared" si="3"/>
        <v>1</v>
      </c>
      <c r="Q115" s="61">
        <f t="shared" si="4"/>
        <v>2020</v>
      </c>
      <c r="R115" s="100">
        <f t="shared" si="5"/>
        <v>31</v>
      </c>
    </row>
    <row r="116" spans="1:18" x14ac:dyDescent="0.2">
      <c r="A116" s="67">
        <v>43796</v>
      </c>
      <c r="B116" s="61" t="s">
        <v>180</v>
      </c>
      <c r="C116" s="71" t="s">
        <v>18</v>
      </c>
      <c r="D116" s="73">
        <v>43889</v>
      </c>
      <c r="E116" s="61" t="s">
        <v>65</v>
      </c>
      <c r="F116" s="61">
        <v>22233237</v>
      </c>
      <c r="G116" s="61" t="s">
        <v>180</v>
      </c>
      <c r="H116" s="75">
        <v>5000</v>
      </c>
      <c r="I116" s="52" t="s">
        <v>97</v>
      </c>
      <c r="J116" s="223" t="s">
        <v>200</v>
      </c>
      <c r="K116" s="62">
        <v>176</v>
      </c>
      <c r="L116" s="61"/>
      <c r="M116" s="63">
        <v>43836</v>
      </c>
      <c r="N116" s="61" t="s">
        <v>94</v>
      </c>
      <c r="O116" s="61"/>
      <c r="P116" s="61">
        <f t="shared" si="3"/>
        <v>2</v>
      </c>
      <c r="Q116" s="61">
        <f t="shared" si="4"/>
        <v>2020</v>
      </c>
      <c r="R116" s="100">
        <f t="shared" si="5"/>
        <v>28</v>
      </c>
    </row>
    <row r="117" spans="1:18" x14ac:dyDescent="0.2">
      <c r="A117" s="67">
        <v>43796</v>
      </c>
      <c r="B117" s="61" t="s">
        <v>180</v>
      </c>
      <c r="C117" s="71" t="s">
        <v>18</v>
      </c>
      <c r="D117" s="73">
        <v>43889</v>
      </c>
      <c r="E117" s="61" t="s">
        <v>65</v>
      </c>
      <c r="F117" s="61">
        <v>22233238</v>
      </c>
      <c r="G117" s="61" t="s">
        <v>180</v>
      </c>
      <c r="H117" s="75">
        <v>5000</v>
      </c>
      <c r="I117" s="52" t="s">
        <v>97</v>
      </c>
      <c r="J117" s="223" t="s">
        <v>200</v>
      </c>
      <c r="K117" s="62">
        <v>177</v>
      </c>
      <c r="L117" s="61"/>
      <c r="M117" s="63"/>
      <c r="N117" s="61"/>
      <c r="O117" s="61"/>
      <c r="P117" s="61">
        <f t="shared" si="3"/>
        <v>2</v>
      </c>
      <c r="Q117" s="61">
        <f t="shared" si="4"/>
        <v>2020</v>
      </c>
      <c r="R117" s="100">
        <f t="shared" si="5"/>
        <v>28</v>
      </c>
    </row>
    <row r="118" spans="1:18" x14ac:dyDescent="0.2">
      <c r="A118" s="67">
        <v>43796</v>
      </c>
      <c r="B118" s="61" t="s">
        <v>180</v>
      </c>
      <c r="C118" s="71" t="s">
        <v>18</v>
      </c>
      <c r="D118" s="73">
        <v>43889</v>
      </c>
      <c r="E118" s="61" t="s">
        <v>65</v>
      </c>
      <c r="F118" s="61">
        <v>22233239</v>
      </c>
      <c r="G118" s="61" t="s">
        <v>180</v>
      </c>
      <c r="H118" s="75">
        <v>5000</v>
      </c>
      <c r="I118" s="52" t="s">
        <v>49</v>
      </c>
      <c r="J118" s="223" t="s">
        <v>200</v>
      </c>
      <c r="K118" s="62">
        <v>178</v>
      </c>
      <c r="L118" s="61"/>
      <c r="M118" s="63"/>
      <c r="N118" s="61"/>
      <c r="O118" s="61"/>
      <c r="P118" s="61">
        <f t="shared" si="3"/>
        <v>2</v>
      </c>
      <c r="Q118" s="61">
        <f t="shared" si="4"/>
        <v>2020</v>
      </c>
      <c r="R118" s="100">
        <f t="shared" si="5"/>
        <v>28</v>
      </c>
    </row>
    <row r="119" spans="1:18" x14ac:dyDescent="0.2">
      <c r="A119" s="67">
        <v>43796</v>
      </c>
      <c r="B119" s="61" t="s">
        <v>180</v>
      </c>
      <c r="C119" s="71" t="s">
        <v>18</v>
      </c>
      <c r="D119" s="73">
        <v>43889</v>
      </c>
      <c r="E119" s="61" t="s">
        <v>65</v>
      </c>
      <c r="F119" s="61">
        <v>22233240</v>
      </c>
      <c r="G119" s="61" t="s">
        <v>180</v>
      </c>
      <c r="H119" s="75">
        <v>5000</v>
      </c>
      <c r="I119" s="52" t="s">
        <v>49</v>
      </c>
      <c r="J119" s="223" t="s">
        <v>200</v>
      </c>
      <c r="K119" s="62">
        <v>179</v>
      </c>
      <c r="L119" s="61"/>
      <c r="M119" s="63"/>
      <c r="N119" s="61"/>
      <c r="O119" s="61"/>
      <c r="P119" s="61">
        <f t="shared" si="3"/>
        <v>2</v>
      </c>
      <c r="Q119" s="61">
        <f t="shared" si="4"/>
        <v>2020</v>
      </c>
      <c r="R119" s="100">
        <f t="shared" si="5"/>
        <v>28</v>
      </c>
    </row>
    <row r="120" spans="1:18" x14ac:dyDescent="0.2">
      <c r="A120" s="67">
        <v>43796</v>
      </c>
      <c r="B120" s="61" t="s">
        <v>180</v>
      </c>
      <c r="C120" s="71" t="s">
        <v>18</v>
      </c>
      <c r="D120" s="73">
        <v>43921</v>
      </c>
      <c r="E120" s="61" t="s">
        <v>65</v>
      </c>
      <c r="F120" s="61">
        <v>22233241</v>
      </c>
      <c r="G120" s="61" t="s">
        <v>180</v>
      </c>
      <c r="H120" s="75">
        <v>7000</v>
      </c>
      <c r="I120" s="52" t="s">
        <v>49</v>
      </c>
      <c r="J120" s="223" t="s">
        <v>200</v>
      </c>
      <c r="K120" s="62">
        <v>180</v>
      </c>
      <c r="L120" s="61"/>
      <c r="M120" s="63">
        <v>43923</v>
      </c>
      <c r="N120" s="61"/>
      <c r="O120" s="61"/>
      <c r="P120" s="61">
        <f t="shared" si="3"/>
        <v>3</v>
      </c>
      <c r="Q120" s="61">
        <f t="shared" si="4"/>
        <v>2020</v>
      </c>
      <c r="R120" s="100">
        <f t="shared" si="5"/>
        <v>31</v>
      </c>
    </row>
    <row r="121" spans="1:18" x14ac:dyDescent="0.2">
      <c r="A121" s="67">
        <v>43796</v>
      </c>
      <c r="B121" s="61" t="s">
        <v>180</v>
      </c>
      <c r="C121" s="71" t="s">
        <v>18</v>
      </c>
      <c r="D121" s="73">
        <v>43921</v>
      </c>
      <c r="E121" s="61" t="s">
        <v>65</v>
      </c>
      <c r="F121" s="61">
        <v>22233243</v>
      </c>
      <c r="G121" s="61" t="s">
        <v>180</v>
      </c>
      <c r="H121" s="75">
        <v>7000</v>
      </c>
      <c r="I121" s="52" t="s">
        <v>295</v>
      </c>
      <c r="J121" s="223" t="s">
        <v>200</v>
      </c>
      <c r="K121" s="62">
        <v>181</v>
      </c>
      <c r="L121" s="61"/>
      <c r="M121" s="63"/>
      <c r="N121" s="61"/>
      <c r="O121" s="61"/>
      <c r="P121" s="61">
        <f t="shared" si="3"/>
        <v>3</v>
      </c>
      <c r="Q121" s="61">
        <f t="shared" si="4"/>
        <v>2020</v>
      </c>
      <c r="R121" s="100">
        <f t="shared" si="5"/>
        <v>31</v>
      </c>
    </row>
    <row r="122" spans="1:18" x14ac:dyDescent="0.2">
      <c r="A122" s="67">
        <v>43796</v>
      </c>
      <c r="B122" s="61" t="s">
        <v>180</v>
      </c>
      <c r="C122" s="71" t="s">
        <v>18</v>
      </c>
      <c r="D122" s="73">
        <v>43921</v>
      </c>
      <c r="E122" s="61" t="s">
        <v>65</v>
      </c>
      <c r="F122" s="61">
        <v>22233244</v>
      </c>
      <c r="G122" s="61" t="s">
        <v>180</v>
      </c>
      <c r="H122" s="75">
        <v>7000</v>
      </c>
      <c r="I122" s="52" t="s">
        <v>97</v>
      </c>
      <c r="J122" s="223" t="s">
        <v>200</v>
      </c>
      <c r="K122" s="62">
        <v>182</v>
      </c>
      <c r="L122" s="61"/>
      <c r="M122" s="63"/>
      <c r="N122" s="61"/>
      <c r="O122" s="61"/>
      <c r="P122" s="61">
        <f t="shared" si="3"/>
        <v>3</v>
      </c>
      <c r="Q122" s="61">
        <f t="shared" si="4"/>
        <v>2020</v>
      </c>
      <c r="R122" s="100">
        <f t="shared" si="5"/>
        <v>31</v>
      </c>
    </row>
    <row r="123" spans="1:18" x14ac:dyDescent="0.2">
      <c r="A123" s="67">
        <v>43796</v>
      </c>
      <c r="B123" s="61" t="s">
        <v>180</v>
      </c>
      <c r="C123" s="71" t="s">
        <v>18</v>
      </c>
      <c r="D123" s="73">
        <v>43921</v>
      </c>
      <c r="E123" s="61" t="s">
        <v>65</v>
      </c>
      <c r="F123" s="61">
        <v>22233245</v>
      </c>
      <c r="G123" s="61" t="s">
        <v>180</v>
      </c>
      <c r="H123" s="75">
        <v>10313</v>
      </c>
      <c r="I123" s="52" t="s">
        <v>295</v>
      </c>
      <c r="J123" s="223" t="s">
        <v>200</v>
      </c>
      <c r="K123" s="62">
        <v>183</v>
      </c>
      <c r="L123" s="61"/>
      <c r="M123" s="63">
        <v>43923</v>
      </c>
      <c r="N123" s="61"/>
      <c r="O123" s="61"/>
      <c r="P123" s="61">
        <f t="shared" si="3"/>
        <v>3</v>
      </c>
      <c r="Q123" s="61">
        <f t="shared" si="4"/>
        <v>2020</v>
      </c>
      <c r="R123" s="100">
        <f t="shared" si="5"/>
        <v>31</v>
      </c>
    </row>
    <row r="124" spans="1:18" x14ac:dyDescent="0.2">
      <c r="A124" s="67">
        <v>43796</v>
      </c>
      <c r="B124" s="61" t="s">
        <v>363</v>
      </c>
      <c r="C124" s="71" t="s">
        <v>18</v>
      </c>
      <c r="D124" s="73">
        <v>43861</v>
      </c>
      <c r="E124" s="61" t="s">
        <v>185</v>
      </c>
      <c r="F124" s="61">
        <v>847610</v>
      </c>
      <c r="G124" s="61" t="s">
        <v>363</v>
      </c>
      <c r="H124" s="75">
        <v>30000</v>
      </c>
      <c r="I124" s="52" t="s">
        <v>150</v>
      </c>
      <c r="J124" s="223" t="s">
        <v>364</v>
      </c>
      <c r="K124" s="62">
        <v>184</v>
      </c>
      <c r="L124" s="61"/>
      <c r="M124" s="63">
        <v>43809</v>
      </c>
      <c r="N124" s="61"/>
      <c r="O124" s="61"/>
      <c r="P124" s="61">
        <f t="shared" si="3"/>
        <v>1</v>
      </c>
      <c r="Q124" s="61">
        <f t="shared" si="4"/>
        <v>2020</v>
      </c>
      <c r="R124" s="100">
        <f t="shared" si="5"/>
        <v>31</v>
      </c>
    </row>
    <row r="125" spans="1:18" x14ac:dyDescent="0.2">
      <c r="A125" s="67">
        <v>43796</v>
      </c>
      <c r="B125" s="61" t="s">
        <v>363</v>
      </c>
      <c r="C125" s="71" t="s">
        <v>18</v>
      </c>
      <c r="D125" s="73">
        <v>43890</v>
      </c>
      <c r="E125" s="61" t="s">
        <v>185</v>
      </c>
      <c r="F125" s="61">
        <v>847611</v>
      </c>
      <c r="G125" s="61" t="s">
        <v>363</v>
      </c>
      <c r="H125" s="75">
        <v>36747</v>
      </c>
      <c r="I125" s="52" t="s">
        <v>49</v>
      </c>
      <c r="J125" s="223" t="s">
        <v>364</v>
      </c>
      <c r="K125" s="62">
        <v>185</v>
      </c>
      <c r="L125" s="61"/>
      <c r="M125" s="63">
        <v>43892</v>
      </c>
      <c r="N125" s="61" t="s">
        <v>223</v>
      </c>
      <c r="O125" s="61"/>
      <c r="P125" s="61">
        <f t="shared" si="3"/>
        <v>2</v>
      </c>
      <c r="Q125" s="61">
        <f t="shared" si="4"/>
        <v>2020</v>
      </c>
      <c r="R125" s="100">
        <f t="shared" si="5"/>
        <v>29</v>
      </c>
    </row>
    <row r="126" spans="1:18" x14ac:dyDescent="0.2">
      <c r="A126" s="67">
        <v>43796</v>
      </c>
      <c r="B126" s="61" t="s">
        <v>278</v>
      </c>
      <c r="C126" s="71" t="s">
        <v>18</v>
      </c>
      <c r="D126" s="73">
        <v>43859</v>
      </c>
      <c r="E126" s="61" t="s">
        <v>47</v>
      </c>
      <c r="F126" s="61">
        <v>74208214</v>
      </c>
      <c r="G126" s="61" t="s">
        <v>281</v>
      </c>
      <c r="H126" s="75">
        <v>4560</v>
      </c>
      <c r="I126" s="52" t="s">
        <v>49</v>
      </c>
      <c r="J126" s="223" t="s">
        <v>282</v>
      </c>
      <c r="K126" s="62">
        <v>186</v>
      </c>
      <c r="L126" s="61"/>
      <c r="M126" s="63">
        <v>43860</v>
      </c>
      <c r="N126" s="61"/>
      <c r="O126" s="61"/>
      <c r="P126" s="61">
        <f t="shared" si="3"/>
        <v>1</v>
      </c>
      <c r="Q126" s="61">
        <f t="shared" si="4"/>
        <v>2020</v>
      </c>
      <c r="R126" s="100">
        <f t="shared" si="5"/>
        <v>29</v>
      </c>
    </row>
    <row r="127" spans="1:18" x14ac:dyDescent="0.2">
      <c r="A127" s="67">
        <v>43796</v>
      </c>
      <c r="B127" s="61" t="s">
        <v>278</v>
      </c>
      <c r="C127" s="71" t="s">
        <v>18</v>
      </c>
      <c r="D127" s="73">
        <v>43782</v>
      </c>
      <c r="E127" s="61" t="s">
        <v>47</v>
      </c>
      <c r="F127" s="61">
        <v>71896760</v>
      </c>
      <c r="G127" s="61" t="s">
        <v>361</v>
      </c>
      <c r="H127" s="75">
        <v>2000</v>
      </c>
      <c r="I127" s="52" t="s">
        <v>49</v>
      </c>
      <c r="J127" s="223" t="s">
        <v>362</v>
      </c>
      <c r="K127" s="62">
        <v>187</v>
      </c>
      <c r="L127" s="61"/>
      <c r="M127" s="63"/>
      <c r="N127" s="61"/>
      <c r="O127" s="61"/>
      <c r="P127" s="61">
        <f t="shared" si="3"/>
        <v>11</v>
      </c>
      <c r="Q127" s="61">
        <f t="shared" si="4"/>
        <v>2019</v>
      </c>
      <c r="R127" s="100">
        <f t="shared" si="5"/>
        <v>13</v>
      </c>
    </row>
    <row r="128" spans="1:18" x14ac:dyDescent="0.2">
      <c r="A128" s="67">
        <v>43796</v>
      </c>
      <c r="B128" s="61" t="s">
        <v>278</v>
      </c>
      <c r="C128" s="71" t="s">
        <v>18</v>
      </c>
      <c r="D128" s="73">
        <v>43823</v>
      </c>
      <c r="E128" s="61" t="s">
        <v>47</v>
      </c>
      <c r="F128" s="61">
        <v>74208213</v>
      </c>
      <c r="G128" s="61" t="s">
        <v>281</v>
      </c>
      <c r="H128" s="75">
        <v>4600</v>
      </c>
      <c r="I128" s="52" t="s">
        <v>49</v>
      </c>
      <c r="J128" s="223" t="s">
        <v>282</v>
      </c>
      <c r="K128" s="62">
        <v>188</v>
      </c>
      <c r="L128" s="61"/>
      <c r="M128" s="63">
        <v>43832</v>
      </c>
      <c r="N128" s="61"/>
      <c r="O128" s="61"/>
      <c r="P128" s="61">
        <f t="shared" si="3"/>
        <v>12</v>
      </c>
      <c r="Q128" s="61">
        <f t="shared" si="4"/>
        <v>2019</v>
      </c>
      <c r="R128" s="100">
        <f t="shared" si="5"/>
        <v>24</v>
      </c>
    </row>
    <row r="129" spans="1:18" x14ac:dyDescent="0.2">
      <c r="A129" s="67">
        <v>43797</v>
      </c>
      <c r="B129" s="61" t="s">
        <v>163</v>
      </c>
      <c r="C129" s="71"/>
      <c r="D129" s="73">
        <v>43856</v>
      </c>
      <c r="E129" s="61" t="s">
        <v>53</v>
      </c>
      <c r="F129" s="61">
        <v>394000189</v>
      </c>
      <c r="G129" s="61" t="s">
        <v>357</v>
      </c>
      <c r="H129" s="75">
        <v>34000</v>
      </c>
      <c r="I129" s="52" t="s">
        <v>49</v>
      </c>
      <c r="J129" s="223">
        <v>20073673683</v>
      </c>
      <c r="K129" s="62">
        <v>189</v>
      </c>
      <c r="L129" s="61" t="s">
        <v>349</v>
      </c>
      <c r="M129" s="63"/>
      <c r="N129" s="61"/>
      <c r="O129" s="61"/>
      <c r="P129" s="61">
        <f t="shared" si="3"/>
        <v>1</v>
      </c>
      <c r="Q129" s="61">
        <f t="shared" si="4"/>
        <v>2020</v>
      </c>
      <c r="R129" s="100">
        <f t="shared" si="5"/>
        <v>26</v>
      </c>
    </row>
    <row r="130" spans="1:18" x14ac:dyDescent="0.2">
      <c r="A130" s="67">
        <v>43797</v>
      </c>
      <c r="B130" s="61" t="s">
        <v>163</v>
      </c>
      <c r="C130" s="71"/>
      <c r="D130" s="73">
        <v>43877</v>
      </c>
      <c r="E130" s="61" t="s">
        <v>53</v>
      </c>
      <c r="F130" s="61">
        <v>39400190</v>
      </c>
      <c r="G130" s="61" t="s">
        <v>357</v>
      </c>
      <c r="H130" s="75">
        <v>34000</v>
      </c>
      <c r="I130" s="52" t="s">
        <v>150</v>
      </c>
      <c r="J130" s="223" t="s">
        <v>358</v>
      </c>
      <c r="K130" s="62">
        <v>190</v>
      </c>
      <c r="L130" s="61" t="s">
        <v>349</v>
      </c>
      <c r="M130" s="63"/>
      <c r="N130" s="61"/>
      <c r="O130" s="61"/>
      <c r="P130" s="61">
        <f t="shared" ref="P130:P193" si="6">MONTH(D130)</f>
        <v>2</v>
      </c>
      <c r="Q130" s="61">
        <f t="shared" ref="Q130:Q193" si="7">YEAR(D130)</f>
        <v>2020</v>
      </c>
      <c r="R130" s="100">
        <f t="shared" si="5"/>
        <v>16</v>
      </c>
    </row>
    <row r="131" spans="1:18" x14ac:dyDescent="0.2">
      <c r="A131" s="67">
        <v>43798</v>
      </c>
      <c r="B131" s="61" t="s">
        <v>351</v>
      </c>
      <c r="C131" s="71"/>
      <c r="D131" s="73">
        <v>43812</v>
      </c>
      <c r="E131" s="61" t="s">
        <v>65</v>
      </c>
      <c r="F131" s="61">
        <v>22375806</v>
      </c>
      <c r="G131" s="61" t="s">
        <v>355</v>
      </c>
      <c r="H131" s="75">
        <v>4000</v>
      </c>
      <c r="I131" s="52" t="s">
        <v>49</v>
      </c>
      <c r="J131" s="223" t="s">
        <v>356</v>
      </c>
      <c r="K131" s="62">
        <v>191</v>
      </c>
      <c r="L131" s="61" t="s">
        <v>349</v>
      </c>
      <c r="M131" s="63"/>
      <c r="N131" s="61"/>
      <c r="O131" s="61"/>
      <c r="P131" s="61">
        <f t="shared" si="6"/>
        <v>12</v>
      </c>
      <c r="Q131" s="61">
        <f t="shared" si="7"/>
        <v>2019</v>
      </c>
      <c r="R131" s="100">
        <f t="shared" ref="R131:R194" si="8">DAY(D131)</f>
        <v>13</v>
      </c>
    </row>
    <row r="132" spans="1:18" x14ac:dyDescent="0.2">
      <c r="A132" s="67">
        <v>43798</v>
      </c>
      <c r="B132" s="61" t="s">
        <v>351</v>
      </c>
      <c r="C132" s="71"/>
      <c r="D132" s="73">
        <v>43815</v>
      </c>
      <c r="E132" s="61" t="s">
        <v>352</v>
      </c>
      <c r="F132" s="61">
        <v>99915790</v>
      </c>
      <c r="G132" s="61" t="s">
        <v>353</v>
      </c>
      <c r="H132" s="75">
        <v>5000</v>
      </c>
      <c r="I132" s="52" t="s">
        <v>49</v>
      </c>
      <c r="J132" s="223" t="s">
        <v>162</v>
      </c>
      <c r="K132" s="62">
        <v>192</v>
      </c>
      <c r="L132" s="61" t="s">
        <v>349</v>
      </c>
      <c r="M132" s="63"/>
      <c r="N132" s="61"/>
      <c r="O132" s="61"/>
      <c r="P132" s="61">
        <f t="shared" si="6"/>
        <v>12</v>
      </c>
      <c r="Q132" s="61">
        <f t="shared" si="7"/>
        <v>2019</v>
      </c>
      <c r="R132" s="100">
        <f t="shared" si="8"/>
        <v>16</v>
      </c>
    </row>
    <row r="133" spans="1:18" x14ac:dyDescent="0.2">
      <c r="A133" s="67">
        <v>43798</v>
      </c>
      <c r="B133" s="61" t="s">
        <v>158</v>
      </c>
      <c r="C133" s="71"/>
      <c r="D133" s="73">
        <v>43816</v>
      </c>
      <c r="E133" s="61" t="s">
        <v>57</v>
      </c>
      <c r="F133" s="61">
        <v>904208</v>
      </c>
      <c r="G133" s="61" t="s">
        <v>350</v>
      </c>
      <c r="H133" s="75">
        <v>4000</v>
      </c>
      <c r="I133" s="52" t="s">
        <v>49</v>
      </c>
      <c r="J133" s="223" t="s">
        <v>270</v>
      </c>
      <c r="K133" s="62">
        <v>193</v>
      </c>
      <c r="L133" s="61"/>
      <c r="M133" s="63"/>
      <c r="N133" s="61"/>
      <c r="O133" s="61"/>
      <c r="P133" s="61">
        <f t="shared" si="6"/>
        <v>12</v>
      </c>
      <c r="Q133" s="61">
        <f t="shared" si="7"/>
        <v>2019</v>
      </c>
      <c r="R133" s="100">
        <f t="shared" si="8"/>
        <v>17</v>
      </c>
    </row>
    <row r="134" spans="1:18" x14ac:dyDescent="0.2">
      <c r="A134" s="67">
        <v>43798</v>
      </c>
      <c r="B134" s="61" t="s">
        <v>158</v>
      </c>
      <c r="C134" s="71"/>
      <c r="D134" s="73">
        <v>43825</v>
      </c>
      <c r="E134" s="61" t="s">
        <v>57</v>
      </c>
      <c r="F134" s="61">
        <v>43404</v>
      </c>
      <c r="G134" s="61" t="s">
        <v>272</v>
      </c>
      <c r="H134" s="75">
        <v>4500</v>
      </c>
      <c r="I134" s="52" t="s">
        <v>49</v>
      </c>
      <c r="J134" s="223" t="s">
        <v>273</v>
      </c>
      <c r="K134" s="62">
        <v>194</v>
      </c>
      <c r="L134" s="61" t="s">
        <v>349</v>
      </c>
      <c r="M134" s="63">
        <v>43826</v>
      </c>
      <c r="N134" s="61"/>
      <c r="O134" s="61"/>
      <c r="P134" s="61">
        <f t="shared" si="6"/>
        <v>12</v>
      </c>
      <c r="Q134" s="61">
        <f t="shared" si="7"/>
        <v>2019</v>
      </c>
      <c r="R134" s="100">
        <f t="shared" si="8"/>
        <v>26</v>
      </c>
    </row>
    <row r="135" spans="1:18" x14ac:dyDescent="0.2">
      <c r="A135" s="67">
        <v>43798</v>
      </c>
      <c r="B135" s="61" t="s">
        <v>158</v>
      </c>
      <c r="C135" s="71"/>
      <c r="D135" s="73">
        <v>43829</v>
      </c>
      <c r="E135" s="61" t="s">
        <v>346</v>
      </c>
      <c r="F135" s="61">
        <v>71064505</v>
      </c>
      <c r="G135" s="61" t="s">
        <v>347</v>
      </c>
      <c r="H135" s="75">
        <v>5730</v>
      </c>
      <c r="I135" s="52" t="s">
        <v>295</v>
      </c>
      <c r="J135" s="223" t="s">
        <v>348</v>
      </c>
      <c r="K135" s="62">
        <v>195</v>
      </c>
      <c r="L135" s="61"/>
      <c r="M135" s="63">
        <v>43839</v>
      </c>
      <c r="N135" s="61"/>
      <c r="O135" s="61"/>
      <c r="P135" s="61">
        <f t="shared" si="6"/>
        <v>12</v>
      </c>
      <c r="Q135" s="61">
        <f t="shared" si="7"/>
        <v>2019</v>
      </c>
      <c r="R135" s="100">
        <f t="shared" si="8"/>
        <v>30</v>
      </c>
    </row>
    <row r="136" spans="1:18" x14ac:dyDescent="0.2">
      <c r="A136" s="67">
        <v>43803</v>
      </c>
      <c r="B136" s="61" t="s">
        <v>341</v>
      </c>
      <c r="C136" s="71" t="s">
        <v>18</v>
      </c>
      <c r="D136" s="73">
        <v>43814</v>
      </c>
      <c r="E136" s="61" t="s">
        <v>47</v>
      </c>
      <c r="F136" s="61">
        <v>69038363</v>
      </c>
      <c r="G136" s="61" t="s">
        <v>342</v>
      </c>
      <c r="H136" s="75">
        <v>13300</v>
      </c>
      <c r="I136" s="52" t="s">
        <v>97</v>
      </c>
      <c r="J136" s="223" t="s">
        <v>343</v>
      </c>
      <c r="K136" s="62">
        <v>196</v>
      </c>
      <c r="L136" s="61"/>
      <c r="M136" s="63">
        <v>43808</v>
      </c>
      <c r="N136" s="61" t="s">
        <v>344</v>
      </c>
      <c r="O136" s="61" t="s">
        <v>345</v>
      </c>
      <c r="P136" s="61">
        <f t="shared" si="6"/>
        <v>12</v>
      </c>
      <c r="Q136" s="61">
        <f t="shared" si="7"/>
        <v>2019</v>
      </c>
      <c r="R136" s="100">
        <f t="shared" si="8"/>
        <v>15</v>
      </c>
    </row>
    <row r="137" spans="1:18" x14ac:dyDescent="0.2">
      <c r="A137" s="67">
        <v>43803</v>
      </c>
      <c r="B137" s="61" t="s">
        <v>338</v>
      </c>
      <c r="C137" s="71" t="s">
        <v>18</v>
      </c>
      <c r="D137" s="73">
        <v>43820</v>
      </c>
      <c r="E137" s="61" t="s">
        <v>57</v>
      </c>
      <c r="F137" s="61">
        <v>1548305</v>
      </c>
      <c r="G137" s="61" t="s">
        <v>339</v>
      </c>
      <c r="H137" s="75">
        <v>6543</v>
      </c>
      <c r="I137" s="52" t="s">
        <v>49</v>
      </c>
      <c r="J137" s="223" t="s">
        <v>340</v>
      </c>
      <c r="K137" s="62">
        <v>197</v>
      </c>
      <c r="L137" s="61"/>
      <c r="M137" s="63">
        <v>43826</v>
      </c>
      <c r="N137" s="61"/>
      <c r="O137" s="61"/>
      <c r="P137" s="61">
        <f t="shared" si="6"/>
        <v>12</v>
      </c>
      <c r="Q137" s="61">
        <f t="shared" si="7"/>
        <v>2019</v>
      </c>
      <c r="R137" s="100">
        <f t="shared" si="8"/>
        <v>21</v>
      </c>
    </row>
    <row r="138" spans="1:18" x14ac:dyDescent="0.2">
      <c r="A138" s="67">
        <v>43803</v>
      </c>
      <c r="B138" s="61" t="s">
        <v>42</v>
      </c>
      <c r="C138" s="71" t="s">
        <v>18</v>
      </c>
      <c r="D138" s="73">
        <v>43881</v>
      </c>
      <c r="E138" s="61" t="s">
        <v>47</v>
      </c>
      <c r="F138" s="61">
        <v>70102336</v>
      </c>
      <c r="G138" s="61" t="s">
        <v>335</v>
      </c>
      <c r="H138" s="75">
        <v>4080</v>
      </c>
      <c r="I138" s="52" t="s">
        <v>49</v>
      </c>
      <c r="J138" s="223" t="s">
        <v>337</v>
      </c>
      <c r="K138" s="62">
        <v>198</v>
      </c>
      <c r="L138" s="61"/>
      <c r="M138" s="63">
        <v>43881</v>
      </c>
      <c r="N138" s="61"/>
      <c r="O138" s="61"/>
      <c r="P138" s="61">
        <f t="shared" si="6"/>
        <v>2</v>
      </c>
      <c r="Q138" s="61">
        <f t="shared" si="7"/>
        <v>2020</v>
      </c>
      <c r="R138" s="100">
        <f t="shared" si="8"/>
        <v>20</v>
      </c>
    </row>
    <row r="139" spans="1:18" x14ac:dyDescent="0.2">
      <c r="A139" s="67">
        <v>43803</v>
      </c>
      <c r="B139" s="61" t="s">
        <v>42</v>
      </c>
      <c r="C139" s="71" t="s">
        <v>18</v>
      </c>
      <c r="D139" s="73">
        <v>43850</v>
      </c>
      <c r="E139" s="61" t="s">
        <v>47</v>
      </c>
      <c r="F139" s="61">
        <v>70102335</v>
      </c>
      <c r="G139" s="61" t="s">
        <v>335</v>
      </c>
      <c r="H139" s="75">
        <v>4080</v>
      </c>
      <c r="I139" s="52" t="s">
        <v>49</v>
      </c>
      <c r="J139" s="223" t="s">
        <v>336</v>
      </c>
      <c r="K139" s="62">
        <v>199</v>
      </c>
      <c r="L139" s="61"/>
      <c r="M139" s="63"/>
      <c r="N139" s="61"/>
      <c r="O139" s="61"/>
      <c r="P139" s="61">
        <f t="shared" si="6"/>
        <v>1</v>
      </c>
      <c r="Q139" s="61">
        <f t="shared" si="7"/>
        <v>2020</v>
      </c>
      <c r="R139" s="100">
        <f t="shared" si="8"/>
        <v>20</v>
      </c>
    </row>
    <row r="140" spans="1:18" x14ac:dyDescent="0.2">
      <c r="A140" s="67">
        <v>43803</v>
      </c>
      <c r="B140" s="61" t="s">
        <v>42</v>
      </c>
      <c r="C140" s="71" t="s">
        <v>18</v>
      </c>
      <c r="D140" s="73">
        <v>43819</v>
      </c>
      <c r="E140" s="61" t="s">
        <v>47</v>
      </c>
      <c r="F140" s="61">
        <v>70102334</v>
      </c>
      <c r="G140" s="61" t="s">
        <v>335</v>
      </c>
      <c r="H140" s="75">
        <v>4080</v>
      </c>
      <c r="I140" s="52" t="s">
        <v>49</v>
      </c>
      <c r="J140" s="223" t="s">
        <v>336</v>
      </c>
      <c r="K140" s="62">
        <v>200</v>
      </c>
      <c r="L140" s="61"/>
      <c r="M140" s="63"/>
      <c r="N140" s="61"/>
      <c r="O140" s="61"/>
      <c r="P140" s="61">
        <f t="shared" si="6"/>
        <v>12</v>
      </c>
      <c r="Q140" s="61">
        <f t="shared" si="7"/>
        <v>2019</v>
      </c>
      <c r="R140" s="100">
        <f t="shared" si="8"/>
        <v>20</v>
      </c>
    </row>
    <row r="141" spans="1:18" x14ac:dyDescent="0.2">
      <c r="A141" s="67">
        <v>43803</v>
      </c>
      <c r="B141" s="61" t="s">
        <v>42</v>
      </c>
      <c r="C141" s="71" t="s">
        <v>18</v>
      </c>
      <c r="D141" s="73">
        <v>43845</v>
      </c>
      <c r="E141" s="61" t="s">
        <v>47</v>
      </c>
      <c r="F141" s="61">
        <v>70921768</v>
      </c>
      <c r="G141" s="61" t="s">
        <v>333</v>
      </c>
      <c r="H141" s="75">
        <v>4130</v>
      </c>
      <c r="I141" s="52" t="s">
        <v>49</v>
      </c>
      <c r="J141" s="223" t="s">
        <v>334</v>
      </c>
      <c r="K141" s="62">
        <v>201</v>
      </c>
      <c r="L141" s="61"/>
      <c r="M141" s="63"/>
      <c r="N141" s="61"/>
      <c r="O141" s="61"/>
      <c r="P141" s="61">
        <f t="shared" si="6"/>
        <v>1</v>
      </c>
      <c r="Q141" s="61">
        <f t="shared" si="7"/>
        <v>2020</v>
      </c>
      <c r="R141" s="100">
        <f t="shared" si="8"/>
        <v>15</v>
      </c>
    </row>
    <row r="142" spans="1:18" x14ac:dyDescent="0.2">
      <c r="A142" s="67">
        <v>43803</v>
      </c>
      <c r="B142" s="61" t="s">
        <v>42</v>
      </c>
      <c r="C142" s="71" t="s">
        <v>18</v>
      </c>
      <c r="D142" s="73">
        <v>43829</v>
      </c>
      <c r="E142" s="61" t="s">
        <v>47</v>
      </c>
      <c r="F142" s="61">
        <v>70921767</v>
      </c>
      <c r="G142" s="61" t="s">
        <v>333</v>
      </c>
      <c r="H142" s="75">
        <v>4130</v>
      </c>
      <c r="I142" s="52" t="s">
        <v>49</v>
      </c>
      <c r="J142" s="223" t="s">
        <v>334</v>
      </c>
      <c r="K142" s="62">
        <v>202</v>
      </c>
      <c r="L142" s="61"/>
      <c r="M142" s="63">
        <v>43832</v>
      </c>
      <c r="N142" s="61"/>
      <c r="O142" s="61"/>
      <c r="P142" s="61">
        <f t="shared" si="6"/>
        <v>12</v>
      </c>
      <c r="Q142" s="61">
        <f t="shared" si="7"/>
        <v>2019</v>
      </c>
      <c r="R142" s="100">
        <f t="shared" si="8"/>
        <v>30</v>
      </c>
    </row>
    <row r="143" spans="1:18" x14ac:dyDescent="0.2">
      <c r="A143" s="67">
        <v>43803</v>
      </c>
      <c r="B143" s="61" t="s">
        <v>278</v>
      </c>
      <c r="C143" s="71" t="s">
        <v>18</v>
      </c>
      <c r="D143" s="73">
        <v>43838</v>
      </c>
      <c r="E143" s="61" t="s">
        <v>47</v>
      </c>
      <c r="F143" s="61">
        <v>71415723</v>
      </c>
      <c r="G143" s="61" t="s">
        <v>279</v>
      </c>
      <c r="H143" s="75">
        <v>20000</v>
      </c>
      <c r="I143" s="52" t="s">
        <v>150</v>
      </c>
      <c r="J143" s="223" t="s">
        <v>280</v>
      </c>
      <c r="K143" s="62">
        <v>203</v>
      </c>
      <c r="L143" s="61"/>
      <c r="M143" s="63">
        <v>43815</v>
      </c>
      <c r="N143" s="61"/>
      <c r="O143" s="61"/>
      <c r="P143" s="61">
        <f t="shared" si="6"/>
        <v>1</v>
      </c>
      <c r="Q143" s="61">
        <f t="shared" si="7"/>
        <v>2020</v>
      </c>
      <c r="R143" s="100">
        <f t="shared" si="8"/>
        <v>8</v>
      </c>
    </row>
    <row r="144" spans="1:18" x14ac:dyDescent="0.2">
      <c r="A144" s="67">
        <v>43803</v>
      </c>
      <c r="B144" s="61" t="s">
        <v>278</v>
      </c>
      <c r="C144" s="71" t="s">
        <v>18</v>
      </c>
      <c r="D144" s="73">
        <v>43831</v>
      </c>
      <c r="E144" s="61" t="s">
        <v>47</v>
      </c>
      <c r="F144" s="61">
        <v>71415724</v>
      </c>
      <c r="G144" s="61" t="s">
        <v>279</v>
      </c>
      <c r="H144" s="75">
        <v>25000</v>
      </c>
      <c r="I144" s="52" t="s">
        <v>150</v>
      </c>
      <c r="J144" s="223" t="s">
        <v>280</v>
      </c>
      <c r="K144" s="62">
        <v>204</v>
      </c>
      <c r="L144" s="61"/>
      <c r="M144" s="63">
        <v>43815</v>
      </c>
      <c r="N144" s="61"/>
      <c r="O144" s="61"/>
      <c r="P144" s="61">
        <f t="shared" si="6"/>
        <v>1</v>
      </c>
      <c r="Q144" s="61">
        <f t="shared" si="7"/>
        <v>2020</v>
      </c>
      <c r="R144" s="100">
        <f t="shared" si="8"/>
        <v>1</v>
      </c>
    </row>
    <row r="145" spans="1:18" x14ac:dyDescent="0.2">
      <c r="A145" s="67">
        <v>43803</v>
      </c>
      <c r="B145" s="61" t="s">
        <v>284</v>
      </c>
      <c r="C145" s="71" t="s">
        <v>18</v>
      </c>
      <c r="D145" s="73">
        <v>43819</v>
      </c>
      <c r="E145" s="61" t="s">
        <v>57</v>
      </c>
      <c r="F145" s="61">
        <v>6840394</v>
      </c>
      <c r="G145" s="61" t="s">
        <v>143</v>
      </c>
      <c r="H145" s="75">
        <v>7840</v>
      </c>
      <c r="I145" s="52" t="s">
        <v>150</v>
      </c>
      <c r="J145" s="223" t="s">
        <v>144</v>
      </c>
      <c r="K145" s="62">
        <v>205</v>
      </c>
      <c r="L145" s="61"/>
      <c r="M145" s="63">
        <v>43809</v>
      </c>
      <c r="N145" s="61"/>
      <c r="O145" s="61"/>
      <c r="P145" s="61">
        <f t="shared" si="6"/>
        <v>12</v>
      </c>
      <c r="Q145" s="61">
        <f t="shared" si="7"/>
        <v>2019</v>
      </c>
      <c r="R145" s="100">
        <f t="shared" si="8"/>
        <v>20</v>
      </c>
    </row>
    <row r="146" spans="1:18" x14ac:dyDescent="0.2">
      <c r="A146" s="67">
        <v>43803</v>
      </c>
      <c r="B146" s="61" t="s">
        <v>284</v>
      </c>
      <c r="C146" s="71" t="s">
        <v>18</v>
      </c>
      <c r="D146" s="73">
        <v>43819</v>
      </c>
      <c r="E146" s="61" t="s">
        <v>57</v>
      </c>
      <c r="F146" s="61">
        <v>272896</v>
      </c>
      <c r="G146" s="61" t="s">
        <v>285</v>
      </c>
      <c r="H146" s="75">
        <v>7514.1</v>
      </c>
      <c r="I146" s="52" t="s">
        <v>150</v>
      </c>
      <c r="J146" s="223" t="s">
        <v>286</v>
      </c>
      <c r="K146" s="62">
        <v>206</v>
      </c>
      <c r="L146" s="61"/>
      <c r="M146" s="63">
        <v>43804</v>
      </c>
      <c r="N146" s="61"/>
      <c r="O146" s="61"/>
      <c r="P146" s="61">
        <f t="shared" si="6"/>
        <v>12</v>
      </c>
      <c r="Q146" s="61">
        <f t="shared" si="7"/>
        <v>2019</v>
      </c>
      <c r="R146" s="100">
        <f t="shared" si="8"/>
        <v>20</v>
      </c>
    </row>
    <row r="147" spans="1:18" x14ac:dyDescent="0.2">
      <c r="A147" s="67">
        <v>43803</v>
      </c>
      <c r="B147" s="61" t="s">
        <v>284</v>
      </c>
      <c r="C147" s="71" t="s">
        <v>18</v>
      </c>
      <c r="D147" s="73">
        <v>43823</v>
      </c>
      <c r="E147" s="61" t="s">
        <v>43</v>
      </c>
      <c r="F147" s="61">
        <v>99723151</v>
      </c>
      <c r="G147" s="61" t="s">
        <v>330</v>
      </c>
      <c r="H147" s="75">
        <v>15000</v>
      </c>
      <c r="I147" s="52" t="s">
        <v>49</v>
      </c>
      <c r="J147" s="223" t="s">
        <v>331</v>
      </c>
      <c r="K147" s="62">
        <v>207</v>
      </c>
      <c r="L147" s="61"/>
      <c r="M147" s="63">
        <v>43826</v>
      </c>
      <c r="N147" s="61"/>
      <c r="O147" s="61"/>
      <c r="P147" s="61">
        <f t="shared" si="6"/>
        <v>12</v>
      </c>
      <c r="Q147" s="61">
        <f t="shared" si="7"/>
        <v>2019</v>
      </c>
      <c r="R147" s="100">
        <f t="shared" si="8"/>
        <v>24</v>
      </c>
    </row>
    <row r="148" spans="1:18" x14ac:dyDescent="0.2">
      <c r="A148" s="67">
        <v>43803</v>
      </c>
      <c r="B148" s="61" t="s">
        <v>284</v>
      </c>
      <c r="C148" s="71" t="s">
        <v>18</v>
      </c>
      <c r="D148" s="73">
        <v>43829</v>
      </c>
      <c r="E148" s="61" t="s">
        <v>123</v>
      </c>
      <c r="F148" s="61">
        <v>52913391</v>
      </c>
      <c r="G148" s="61" t="s">
        <v>310</v>
      </c>
      <c r="H148" s="75">
        <v>30000</v>
      </c>
      <c r="I148" s="52" t="s">
        <v>49</v>
      </c>
      <c r="J148" s="223" t="s">
        <v>311</v>
      </c>
      <c r="K148" s="62">
        <v>208</v>
      </c>
      <c r="L148" s="61"/>
      <c r="M148" s="63"/>
      <c r="N148" s="61"/>
      <c r="O148" s="61"/>
      <c r="P148" s="61">
        <f t="shared" si="6"/>
        <v>12</v>
      </c>
      <c r="Q148" s="61">
        <f t="shared" si="7"/>
        <v>2019</v>
      </c>
      <c r="R148" s="100">
        <f t="shared" si="8"/>
        <v>30</v>
      </c>
    </row>
    <row r="149" spans="1:18" x14ac:dyDescent="0.2">
      <c r="A149" s="67">
        <v>43803</v>
      </c>
      <c r="B149" s="61" t="s">
        <v>284</v>
      </c>
      <c r="C149" s="71" t="s">
        <v>18</v>
      </c>
      <c r="D149" s="73">
        <v>43829</v>
      </c>
      <c r="E149" s="61" t="s">
        <v>61</v>
      </c>
      <c r="F149" s="61">
        <v>96562056</v>
      </c>
      <c r="G149" s="61" t="s">
        <v>328</v>
      </c>
      <c r="H149" s="75">
        <v>5000</v>
      </c>
      <c r="I149" s="52" t="s">
        <v>150</v>
      </c>
      <c r="J149" s="223" t="s">
        <v>329</v>
      </c>
      <c r="K149" s="62">
        <v>209</v>
      </c>
      <c r="L149" s="61"/>
      <c r="M149" s="63">
        <v>43833</v>
      </c>
      <c r="N149" s="61"/>
      <c r="O149" s="61"/>
      <c r="P149" s="61">
        <f t="shared" si="6"/>
        <v>12</v>
      </c>
      <c r="Q149" s="61">
        <f t="shared" si="7"/>
        <v>2019</v>
      </c>
      <c r="R149" s="100">
        <f t="shared" si="8"/>
        <v>30</v>
      </c>
    </row>
    <row r="150" spans="1:18" x14ac:dyDescent="0.2">
      <c r="A150" s="67">
        <v>43803</v>
      </c>
      <c r="B150" s="61" t="s">
        <v>284</v>
      </c>
      <c r="C150" s="71" t="s">
        <v>18</v>
      </c>
      <c r="D150" s="73">
        <v>43829</v>
      </c>
      <c r="E150" s="61" t="s">
        <v>57</v>
      </c>
      <c r="F150" s="61">
        <v>73</v>
      </c>
      <c r="G150" s="61" t="s">
        <v>304</v>
      </c>
      <c r="H150" s="75">
        <v>12700</v>
      </c>
      <c r="I150" s="52" t="s">
        <v>150</v>
      </c>
      <c r="J150" s="223" t="s">
        <v>305</v>
      </c>
      <c r="K150" s="62">
        <v>210</v>
      </c>
      <c r="L150" s="61"/>
      <c r="M150" s="63">
        <v>43832</v>
      </c>
      <c r="N150" s="61"/>
      <c r="O150" s="61"/>
      <c r="P150" s="61">
        <f t="shared" si="6"/>
        <v>12</v>
      </c>
      <c r="Q150" s="61">
        <f t="shared" si="7"/>
        <v>2019</v>
      </c>
      <c r="R150" s="100">
        <f t="shared" si="8"/>
        <v>30</v>
      </c>
    </row>
    <row r="151" spans="1:18" x14ac:dyDescent="0.2">
      <c r="A151" s="67">
        <v>43803</v>
      </c>
      <c r="B151" s="61" t="s">
        <v>284</v>
      </c>
      <c r="C151" s="71" t="s">
        <v>18</v>
      </c>
      <c r="D151" s="73">
        <v>43830</v>
      </c>
      <c r="E151" s="61" t="s">
        <v>53</v>
      </c>
      <c r="F151" s="61">
        <v>18600133</v>
      </c>
      <c r="G151" s="61" t="s">
        <v>324</v>
      </c>
      <c r="H151" s="75">
        <v>30000</v>
      </c>
      <c r="I151" s="52" t="s">
        <v>49</v>
      </c>
      <c r="J151" s="223" t="s">
        <v>325</v>
      </c>
      <c r="K151" s="62">
        <v>211</v>
      </c>
      <c r="L151" s="61"/>
      <c r="M151" s="63"/>
      <c r="N151" s="61"/>
      <c r="O151" s="61"/>
      <c r="P151" s="61">
        <f t="shared" si="6"/>
        <v>12</v>
      </c>
      <c r="Q151" s="61">
        <f t="shared" si="7"/>
        <v>2019</v>
      </c>
      <c r="R151" s="100">
        <f t="shared" si="8"/>
        <v>31</v>
      </c>
    </row>
    <row r="152" spans="1:18" x14ac:dyDescent="0.2">
      <c r="A152" s="67">
        <v>43803</v>
      </c>
      <c r="B152" s="61" t="s">
        <v>284</v>
      </c>
      <c r="C152" s="71" t="s">
        <v>18</v>
      </c>
      <c r="D152" s="73">
        <v>43840</v>
      </c>
      <c r="E152" s="61" t="s">
        <v>43</v>
      </c>
      <c r="F152" s="61">
        <v>10622349</v>
      </c>
      <c r="G152" s="61" t="s">
        <v>101</v>
      </c>
      <c r="H152" s="75">
        <v>9154</v>
      </c>
      <c r="I152" s="52" t="s">
        <v>49</v>
      </c>
      <c r="J152" s="223" t="s">
        <v>102</v>
      </c>
      <c r="K152" s="62">
        <v>212</v>
      </c>
      <c r="L152" s="61"/>
      <c r="M152" s="63">
        <v>43840</v>
      </c>
      <c r="N152" s="61"/>
      <c r="O152" s="61"/>
      <c r="P152" s="61">
        <f t="shared" si="6"/>
        <v>1</v>
      </c>
      <c r="Q152" s="61">
        <f t="shared" si="7"/>
        <v>2020</v>
      </c>
      <c r="R152" s="100">
        <f t="shared" si="8"/>
        <v>10</v>
      </c>
    </row>
    <row r="153" spans="1:18" x14ac:dyDescent="0.2">
      <c r="A153" s="67">
        <v>43803</v>
      </c>
      <c r="B153" s="61" t="s">
        <v>284</v>
      </c>
      <c r="C153" s="71" t="s">
        <v>18</v>
      </c>
      <c r="D153" s="73">
        <v>43841</v>
      </c>
      <c r="E153" s="61" t="s">
        <v>148</v>
      </c>
      <c r="F153" s="61">
        <v>20252366</v>
      </c>
      <c r="G153" s="61" t="s">
        <v>290</v>
      </c>
      <c r="H153" s="75">
        <v>19000</v>
      </c>
      <c r="I153" s="52" t="s">
        <v>49</v>
      </c>
      <c r="J153" s="223" t="s">
        <v>291</v>
      </c>
      <c r="K153" s="62">
        <v>213</v>
      </c>
      <c r="L153" s="61"/>
      <c r="M153" s="63">
        <v>43843</v>
      </c>
      <c r="N153" s="61"/>
      <c r="O153" s="61"/>
      <c r="P153" s="61">
        <f t="shared" si="6"/>
        <v>1</v>
      </c>
      <c r="Q153" s="61">
        <f t="shared" si="7"/>
        <v>2020</v>
      </c>
      <c r="R153" s="100">
        <f t="shared" si="8"/>
        <v>11</v>
      </c>
    </row>
    <row r="154" spans="1:18" x14ac:dyDescent="0.2">
      <c r="A154" s="67">
        <v>43803</v>
      </c>
      <c r="B154" s="61" t="s">
        <v>284</v>
      </c>
      <c r="C154" s="71" t="s">
        <v>18</v>
      </c>
      <c r="D154" s="73">
        <v>43841</v>
      </c>
      <c r="E154" s="61" t="s">
        <v>92</v>
      </c>
      <c r="F154" s="61">
        <v>91164038</v>
      </c>
      <c r="G154" s="61" t="s">
        <v>321</v>
      </c>
      <c r="H154" s="75">
        <v>15000</v>
      </c>
      <c r="I154" s="52" t="s">
        <v>49</v>
      </c>
      <c r="J154" s="223" t="s">
        <v>322</v>
      </c>
      <c r="K154" s="62">
        <v>214</v>
      </c>
      <c r="L154" s="61"/>
      <c r="M154" s="63">
        <v>43843</v>
      </c>
      <c r="N154" s="61"/>
      <c r="O154" s="61"/>
      <c r="P154" s="61">
        <f t="shared" si="6"/>
        <v>1</v>
      </c>
      <c r="Q154" s="61">
        <f t="shared" si="7"/>
        <v>2020</v>
      </c>
      <c r="R154" s="100">
        <f t="shared" si="8"/>
        <v>11</v>
      </c>
    </row>
    <row r="155" spans="1:18" x14ac:dyDescent="0.2">
      <c r="A155" s="67">
        <v>43803</v>
      </c>
      <c r="B155" s="61" t="s">
        <v>284</v>
      </c>
      <c r="C155" s="71" t="s">
        <v>18</v>
      </c>
      <c r="D155" s="73">
        <v>43842</v>
      </c>
      <c r="E155" s="61" t="s">
        <v>65</v>
      </c>
      <c r="F155" s="61">
        <v>21293594</v>
      </c>
      <c r="G155" s="61" t="s">
        <v>90</v>
      </c>
      <c r="H155" s="75">
        <v>11581.99</v>
      </c>
      <c r="I155" s="52" t="s">
        <v>49</v>
      </c>
      <c r="J155" s="223" t="s">
        <v>91</v>
      </c>
      <c r="K155" s="62">
        <v>215</v>
      </c>
      <c r="L155" s="61"/>
      <c r="M155" s="63">
        <v>43843</v>
      </c>
      <c r="N155" s="61"/>
      <c r="O155" s="61"/>
      <c r="P155" s="61">
        <f t="shared" si="6"/>
        <v>1</v>
      </c>
      <c r="Q155" s="61">
        <f t="shared" si="7"/>
        <v>2020</v>
      </c>
      <c r="R155" s="100">
        <f t="shared" si="8"/>
        <v>12</v>
      </c>
    </row>
    <row r="156" spans="1:18" x14ac:dyDescent="0.2">
      <c r="A156" s="67">
        <v>43803</v>
      </c>
      <c r="B156" s="61" t="s">
        <v>284</v>
      </c>
      <c r="C156" s="71" t="s">
        <v>18</v>
      </c>
      <c r="D156" s="73">
        <v>43842</v>
      </c>
      <c r="E156" s="61" t="s">
        <v>53</v>
      </c>
      <c r="F156" s="61">
        <v>70400182</v>
      </c>
      <c r="G156" s="61" t="s">
        <v>320</v>
      </c>
      <c r="H156" s="75">
        <v>11000</v>
      </c>
      <c r="I156" s="52" t="s">
        <v>49</v>
      </c>
      <c r="J156" s="223" t="s">
        <v>293</v>
      </c>
      <c r="K156" s="62">
        <v>216</v>
      </c>
      <c r="L156" s="61"/>
      <c r="M156" s="63">
        <v>43843</v>
      </c>
      <c r="N156" s="61"/>
      <c r="O156" s="61"/>
      <c r="P156" s="61">
        <f t="shared" si="6"/>
        <v>1</v>
      </c>
      <c r="Q156" s="61">
        <f t="shared" si="7"/>
        <v>2020</v>
      </c>
      <c r="R156" s="100">
        <f t="shared" si="8"/>
        <v>12</v>
      </c>
    </row>
    <row r="157" spans="1:18" x14ac:dyDescent="0.2">
      <c r="A157" s="67">
        <v>43803</v>
      </c>
      <c r="B157" s="61" t="s">
        <v>284</v>
      </c>
      <c r="C157" s="71" t="s">
        <v>18</v>
      </c>
      <c r="D157" s="73">
        <v>43842</v>
      </c>
      <c r="E157" s="61" t="s">
        <v>92</v>
      </c>
      <c r="F157" s="61">
        <v>91511200</v>
      </c>
      <c r="G157" s="61" t="s">
        <v>315</v>
      </c>
      <c r="H157" s="75">
        <v>15000</v>
      </c>
      <c r="I157" s="52" t="s">
        <v>316</v>
      </c>
      <c r="J157" s="223" t="s">
        <v>318</v>
      </c>
      <c r="K157" s="62">
        <v>217</v>
      </c>
      <c r="L157" s="61"/>
      <c r="M157" s="63"/>
      <c r="N157" s="61"/>
      <c r="O157" s="61" t="s">
        <v>319</v>
      </c>
      <c r="P157" s="61">
        <f t="shared" si="6"/>
        <v>1</v>
      </c>
      <c r="Q157" s="61">
        <f t="shared" si="7"/>
        <v>2020</v>
      </c>
      <c r="R157" s="100">
        <f t="shared" si="8"/>
        <v>12</v>
      </c>
    </row>
    <row r="158" spans="1:18" x14ac:dyDescent="0.2">
      <c r="A158" s="67">
        <v>43803</v>
      </c>
      <c r="B158" s="61" t="s">
        <v>284</v>
      </c>
      <c r="C158" s="71" t="s">
        <v>18</v>
      </c>
      <c r="D158" s="73">
        <v>43842</v>
      </c>
      <c r="E158" s="61" t="s">
        <v>92</v>
      </c>
      <c r="F158" s="61">
        <v>89679473</v>
      </c>
      <c r="G158" s="61" t="s">
        <v>93</v>
      </c>
      <c r="H158" s="75">
        <v>14965</v>
      </c>
      <c r="I158" s="52" t="s">
        <v>49</v>
      </c>
      <c r="J158" s="223" t="s">
        <v>95</v>
      </c>
      <c r="K158" s="62">
        <v>218</v>
      </c>
      <c r="L158" s="61"/>
      <c r="M158" s="63">
        <v>43843</v>
      </c>
      <c r="N158" s="61"/>
      <c r="O158" s="61"/>
      <c r="P158" s="61">
        <f t="shared" si="6"/>
        <v>1</v>
      </c>
      <c r="Q158" s="61">
        <f t="shared" si="7"/>
        <v>2020</v>
      </c>
      <c r="R158" s="100">
        <f t="shared" si="8"/>
        <v>12</v>
      </c>
    </row>
    <row r="159" spans="1:18" x14ac:dyDescent="0.2">
      <c r="A159" s="67">
        <v>43803</v>
      </c>
      <c r="B159" s="61" t="s">
        <v>284</v>
      </c>
      <c r="C159" s="71" t="s">
        <v>18</v>
      </c>
      <c r="D159" s="73">
        <v>43844</v>
      </c>
      <c r="E159" s="61" t="s">
        <v>43</v>
      </c>
      <c r="F159" s="61">
        <v>99133838</v>
      </c>
      <c r="G159" s="61" t="s">
        <v>86</v>
      </c>
      <c r="H159" s="75">
        <v>10000</v>
      </c>
      <c r="I159" s="52" t="s">
        <v>49</v>
      </c>
      <c r="J159" s="223" t="s">
        <v>87</v>
      </c>
      <c r="K159" s="62">
        <v>219</v>
      </c>
      <c r="L159" s="61"/>
      <c r="M159" s="63"/>
      <c r="N159" s="61"/>
      <c r="O159" s="61"/>
      <c r="P159" s="61">
        <f t="shared" si="6"/>
        <v>1</v>
      </c>
      <c r="Q159" s="61">
        <f t="shared" si="7"/>
        <v>2020</v>
      </c>
      <c r="R159" s="100">
        <f t="shared" si="8"/>
        <v>14</v>
      </c>
    </row>
    <row r="160" spans="1:18" x14ac:dyDescent="0.2">
      <c r="A160" s="67">
        <v>43803</v>
      </c>
      <c r="B160" s="61" t="s">
        <v>284</v>
      </c>
      <c r="C160" s="71" t="s">
        <v>18</v>
      </c>
      <c r="D160" s="73">
        <v>43844</v>
      </c>
      <c r="E160" s="61" t="s">
        <v>312</v>
      </c>
      <c r="F160" s="61">
        <v>7448422</v>
      </c>
      <c r="G160" s="61" t="s">
        <v>313</v>
      </c>
      <c r="H160" s="75">
        <v>17738</v>
      </c>
      <c r="I160" s="52" t="s">
        <v>49</v>
      </c>
      <c r="J160" s="223" t="s">
        <v>314</v>
      </c>
      <c r="K160" s="62">
        <v>220</v>
      </c>
      <c r="L160" s="61"/>
      <c r="M160" s="63"/>
      <c r="N160" s="61"/>
      <c r="O160" s="61"/>
      <c r="P160" s="61">
        <f t="shared" si="6"/>
        <v>1</v>
      </c>
      <c r="Q160" s="61">
        <f t="shared" si="7"/>
        <v>2020</v>
      </c>
      <c r="R160" s="100">
        <f t="shared" si="8"/>
        <v>14</v>
      </c>
    </row>
    <row r="161" spans="1:18" x14ac:dyDescent="0.2">
      <c r="A161" s="67">
        <v>43803</v>
      </c>
      <c r="B161" s="61" t="s">
        <v>284</v>
      </c>
      <c r="C161" s="71" t="s">
        <v>18</v>
      </c>
      <c r="D161" s="73">
        <v>43845</v>
      </c>
      <c r="E161" s="61" t="s">
        <v>123</v>
      </c>
      <c r="F161" s="61">
        <v>52913392</v>
      </c>
      <c r="G161" s="61" t="s">
        <v>310</v>
      </c>
      <c r="H161" s="75">
        <v>30000</v>
      </c>
      <c r="I161" s="52" t="s">
        <v>49</v>
      </c>
      <c r="J161" s="223" t="s">
        <v>311</v>
      </c>
      <c r="K161" s="62">
        <v>221</v>
      </c>
      <c r="L161" s="61"/>
      <c r="M161" s="63"/>
      <c r="N161" s="61"/>
      <c r="O161" s="61"/>
      <c r="P161" s="61">
        <f t="shared" si="6"/>
        <v>1</v>
      </c>
      <c r="Q161" s="61">
        <f t="shared" si="7"/>
        <v>2020</v>
      </c>
      <c r="R161" s="100">
        <f t="shared" si="8"/>
        <v>15</v>
      </c>
    </row>
    <row r="162" spans="1:18" x14ac:dyDescent="0.2">
      <c r="A162" s="67">
        <v>43803</v>
      </c>
      <c r="B162" s="61" t="s">
        <v>284</v>
      </c>
      <c r="C162" s="71" t="s">
        <v>18</v>
      </c>
      <c r="D162" s="73">
        <v>43845</v>
      </c>
      <c r="E162" s="61" t="s">
        <v>57</v>
      </c>
      <c r="F162" s="61">
        <v>6840382</v>
      </c>
      <c r="G162" s="61" t="s">
        <v>143</v>
      </c>
      <c r="H162" s="75">
        <v>7290</v>
      </c>
      <c r="I162" s="52" t="s">
        <v>49</v>
      </c>
      <c r="J162" s="223" t="s">
        <v>144</v>
      </c>
      <c r="K162" s="62">
        <v>222</v>
      </c>
      <c r="L162" s="61"/>
      <c r="M162" s="63"/>
      <c r="N162" s="61"/>
      <c r="O162" s="61"/>
      <c r="P162" s="61">
        <f t="shared" si="6"/>
        <v>1</v>
      </c>
      <c r="Q162" s="61">
        <f t="shared" si="7"/>
        <v>2020</v>
      </c>
      <c r="R162" s="100">
        <f t="shared" si="8"/>
        <v>15</v>
      </c>
    </row>
    <row r="163" spans="1:18" x14ac:dyDescent="0.2">
      <c r="A163" s="67">
        <v>43803</v>
      </c>
      <c r="B163" s="61" t="s">
        <v>284</v>
      </c>
      <c r="C163" s="71" t="s">
        <v>18</v>
      </c>
      <c r="D163" s="73">
        <v>43845</v>
      </c>
      <c r="E163" s="61" t="s">
        <v>43</v>
      </c>
      <c r="F163" s="61">
        <v>10484498</v>
      </c>
      <c r="G163" s="61" t="s">
        <v>308</v>
      </c>
      <c r="H163" s="75">
        <v>20000</v>
      </c>
      <c r="I163" s="52" t="s">
        <v>49</v>
      </c>
      <c r="J163" s="223" t="s">
        <v>309</v>
      </c>
      <c r="K163" s="62">
        <v>223</v>
      </c>
      <c r="L163" s="61"/>
      <c r="M163" s="63"/>
      <c r="N163" s="61"/>
      <c r="O163" s="61"/>
      <c r="P163" s="61">
        <f t="shared" si="6"/>
        <v>1</v>
      </c>
      <c r="Q163" s="61">
        <f t="shared" si="7"/>
        <v>2020</v>
      </c>
      <c r="R163" s="100">
        <f t="shared" si="8"/>
        <v>15</v>
      </c>
    </row>
    <row r="164" spans="1:18" x14ac:dyDescent="0.2">
      <c r="A164" s="67">
        <v>43803</v>
      </c>
      <c r="B164" s="61" t="s">
        <v>284</v>
      </c>
      <c r="C164" s="71" t="s">
        <v>18</v>
      </c>
      <c r="D164" s="73">
        <v>43845</v>
      </c>
      <c r="E164" s="61" t="s">
        <v>53</v>
      </c>
      <c r="F164" s="61">
        <v>216</v>
      </c>
      <c r="G164" s="61" t="s">
        <v>306</v>
      </c>
      <c r="H164" s="75">
        <v>4346</v>
      </c>
      <c r="I164" s="52" t="s">
        <v>49</v>
      </c>
      <c r="J164" s="223" t="s">
        <v>307</v>
      </c>
      <c r="K164" s="62">
        <v>224</v>
      </c>
      <c r="L164" s="61"/>
      <c r="M164" s="63"/>
      <c r="N164" s="61"/>
      <c r="O164" s="61"/>
      <c r="P164" s="61">
        <f t="shared" si="6"/>
        <v>1</v>
      </c>
      <c r="Q164" s="61">
        <f t="shared" si="7"/>
        <v>2020</v>
      </c>
      <c r="R164" s="100">
        <f t="shared" si="8"/>
        <v>15</v>
      </c>
    </row>
    <row r="165" spans="1:18" x14ac:dyDescent="0.2">
      <c r="A165" s="67">
        <v>43803</v>
      </c>
      <c r="B165" s="61" t="s">
        <v>284</v>
      </c>
      <c r="C165" s="71" t="s">
        <v>18</v>
      </c>
      <c r="D165" s="73">
        <v>43845</v>
      </c>
      <c r="E165" s="61" t="s">
        <v>57</v>
      </c>
      <c r="F165" s="61">
        <v>74</v>
      </c>
      <c r="G165" s="61" t="s">
        <v>304</v>
      </c>
      <c r="H165" s="75">
        <v>12700</v>
      </c>
      <c r="I165" s="52" t="s">
        <v>49</v>
      </c>
      <c r="J165" s="223" t="s">
        <v>305</v>
      </c>
      <c r="K165" s="62">
        <v>225</v>
      </c>
      <c r="L165" s="61"/>
      <c r="M165" s="63"/>
      <c r="N165" s="61"/>
      <c r="O165" s="61"/>
      <c r="P165" s="61">
        <f t="shared" si="6"/>
        <v>1</v>
      </c>
      <c r="Q165" s="61">
        <f t="shared" si="7"/>
        <v>2020</v>
      </c>
      <c r="R165" s="100">
        <f t="shared" si="8"/>
        <v>15</v>
      </c>
    </row>
    <row r="166" spans="1:18" x14ac:dyDescent="0.2">
      <c r="A166" s="67">
        <v>43803</v>
      </c>
      <c r="B166" s="61" t="s">
        <v>284</v>
      </c>
      <c r="C166" s="71" t="s">
        <v>18</v>
      </c>
      <c r="D166" s="73">
        <v>43846</v>
      </c>
      <c r="E166" s="61" t="s">
        <v>223</v>
      </c>
      <c r="F166" s="61">
        <v>572054</v>
      </c>
      <c r="G166" s="61" t="s">
        <v>302</v>
      </c>
      <c r="H166" s="75">
        <v>25000</v>
      </c>
      <c r="I166" s="52" t="s">
        <v>295</v>
      </c>
      <c r="J166" s="223" t="s">
        <v>303</v>
      </c>
      <c r="K166" s="62">
        <v>226</v>
      </c>
      <c r="L166" s="61"/>
      <c r="M166" s="63">
        <v>43846</v>
      </c>
      <c r="N166" s="61"/>
      <c r="O166" s="61"/>
      <c r="P166" s="61">
        <f t="shared" si="6"/>
        <v>1</v>
      </c>
      <c r="Q166" s="61">
        <f t="shared" si="7"/>
        <v>2020</v>
      </c>
      <c r="R166" s="100">
        <f t="shared" si="8"/>
        <v>16</v>
      </c>
    </row>
    <row r="167" spans="1:18" x14ac:dyDescent="0.2">
      <c r="A167" s="67">
        <v>43803</v>
      </c>
      <c r="B167" s="61" t="s">
        <v>284</v>
      </c>
      <c r="C167" s="71" t="s">
        <v>18</v>
      </c>
      <c r="D167" s="73">
        <v>43846</v>
      </c>
      <c r="E167" s="61" t="s">
        <v>65</v>
      </c>
      <c r="F167" s="61">
        <v>20545538</v>
      </c>
      <c r="G167" s="61" t="s">
        <v>299</v>
      </c>
      <c r="H167" s="75">
        <v>17146</v>
      </c>
      <c r="I167" s="52" t="s">
        <v>49</v>
      </c>
      <c r="J167" s="223" t="s">
        <v>300</v>
      </c>
      <c r="K167" s="62">
        <v>227</v>
      </c>
      <c r="L167" s="61"/>
      <c r="M167" s="63"/>
      <c r="N167" s="61"/>
      <c r="O167" s="61"/>
      <c r="P167" s="61">
        <f t="shared" si="6"/>
        <v>1</v>
      </c>
      <c r="Q167" s="61">
        <f t="shared" si="7"/>
        <v>2020</v>
      </c>
      <c r="R167" s="100">
        <f t="shared" si="8"/>
        <v>16</v>
      </c>
    </row>
    <row r="168" spans="1:18" x14ac:dyDescent="0.2">
      <c r="A168" s="67">
        <v>43803</v>
      </c>
      <c r="B168" s="61" t="s">
        <v>284</v>
      </c>
      <c r="C168" s="71" t="s">
        <v>18</v>
      </c>
      <c r="D168" s="73">
        <v>43846</v>
      </c>
      <c r="E168" s="61" t="s">
        <v>65</v>
      </c>
      <c r="F168" s="61">
        <v>21924954</v>
      </c>
      <c r="G168" s="61" t="s">
        <v>297</v>
      </c>
      <c r="H168" s="75">
        <v>10000</v>
      </c>
      <c r="I168" s="52" t="s">
        <v>49</v>
      </c>
      <c r="J168" s="223" t="s">
        <v>298</v>
      </c>
      <c r="K168" s="62">
        <v>228</v>
      </c>
      <c r="L168" s="61"/>
      <c r="M168" s="63"/>
      <c r="N168" s="61"/>
      <c r="O168" s="61"/>
      <c r="P168" s="61">
        <f t="shared" si="6"/>
        <v>1</v>
      </c>
      <c r="Q168" s="61">
        <f t="shared" si="7"/>
        <v>2020</v>
      </c>
      <c r="R168" s="100">
        <f t="shared" si="8"/>
        <v>16</v>
      </c>
    </row>
    <row r="169" spans="1:18" x14ac:dyDescent="0.2">
      <c r="A169" s="67">
        <v>43803</v>
      </c>
      <c r="B169" s="61" t="s">
        <v>284</v>
      </c>
      <c r="C169" s="71" t="s">
        <v>18</v>
      </c>
      <c r="D169" s="73">
        <v>43848</v>
      </c>
      <c r="E169" s="61" t="s">
        <v>92</v>
      </c>
      <c r="F169" s="61">
        <v>91596282</v>
      </c>
      <c r="G169" s="61" t="s">
        <v>294</v>
      </c>
      <c r="H169" s="75">
        <v>16114</v>
      </c>
      <c r="I169" s="52" t="s">
        <v>295</v>
      </c>
      <c r="J169" s="223" t="s">
        <v>296</v>
      </c>
      <c r="K169" s="62">
        <v>229</v>
      </c>
      <c r="L169" s="61"/>
      <c r="M169" s="63"/>
      <c r="N169" s="61"/>
      <c r="O169" s="61"/>
      <c r="P169" s="61">
        <f t="shared" si="6"/>
        <v>1</v>
      </c>
      <c r="Q169" s="61">
        <f t="shared" si="7"/>
        <v>2020</v>
      </c>
      <c r="R169" s="100">
        <f t="shared" si="8"/>
        <v>18</v>
      </c>
    </row>
    <row r="170" spans="1:18" x14ac:dyDescent="0.2">
      <c r="A170" s="67">
        <v>43803</v>
      </c>
      <c r="B170" s="61" t="s">
        <v>284</v>
      </c>
      <c r="C170" s="71" t="s">
        <v>18</v>
      </c>
      <c r="D170" s="73">
        <v>43848</v>
      </c>
      <c r="E170" s="61" t="s">
        <v>267</v>
      </c>
      <c r="F170" s="61">
        <v>33173211</v>
      </c>
      <c r="G170" s="61" t="s">
        <v>80</v>
      </c>
      <c r="H170" s="75">
        <v>3750</v>
      </c>
      <c r="I170" s="52" t="s">
        <v>49</v>
      </c>
      <c r="J170" s="223" t="s">
        <v>81</v>
      </c>
      <c r="K170" s="62">
        <v>230</v>
      </c>
      <c r="L170" s="61"/>
      <c r="M170" s="63"/>
      <c r="N170" s="61"/>
      <c r="O170" s="61"/>
      <c r="P170" s="61">
        <f t="shared" si="6"/>
        <v>1</v>
      </c>
      <c r="Q170" s="61">
        <f t="shared" si="7"/>
        <v>2020</v>
      </c>
      <c r="R170" s="100">
        <f t="shared" si="8"/>
        <v>18</v>
      </c>
    </row>
    <row r="171" spans="1:18" x14ac:dyDescent="0.2">
      <c r="A171" s="67">
        <v>43803</v>
      </c>
      <c r="B171" s="61" t="s">
        <v>284</v>
      </c>
      <c r="C171" s="71" t="s">
        <v>18</v>
      </c>
      <c r="D171" s="73">
        <v>43848</v>
      </c>
      <c r="E171" s="61" t="s">
        <v>70</v>
      </c>
      <c r="F171" s="61">
        <v>17354376</v>
      </c>
      <c r="G171" s="61" t="s">
        <v>145</v>
      </c>
      <c r="H171" s="75">
        <v>10000</v>
      </c>
      <c r="I171" s="52" t="s">
        <v>49</v>
      </c>
      <c r="J171" s="223" t="s">
        <v>146</v>
      </c>
      <c r="K171" s="62">
        <v>231</v>
      </c>
      <c r="L171" s="61"/>
      <c r="M171" s="63"/>
      <c r="N171" s="61"/>
      <c r="O171" s="61"/>
      <c r="P171" s="61">
        <f t="shared" si="6"/>
        <v>1</v>
      </c>
      <c r="Q171" s="61">
        <f t="shared" si="7"/>
        <v>2020</v>
      </c>
      <c r="R171" s="100">
        <f t="shared" si="8"/>
        <v>18</v>
      </c>
    </row>
    <row r="172" spans="1:18" x14ac:dyDescent="0.2">
      <c r="A172" s="67">
        <v>43803</v>
      </c>
      <c r="B172" s="61" t="s">
        <v>284</v>
      </c>
      <c r="C172" s="71" t="s">
        <v>18</v>
      </c>
      <c r="D172" s="73">
        <v>43848</v>
      </c>
      <c r="E172" s="61" t="s">
        <v>53</v>
      </c>
      <c r="F172" s="61">
        <v>7040183</v>
      </c>
      <c r="G172" s="61" t="s">
        <v>292</v>
      </c>
      <c r="H172" s="75">
        <v>11000</v>
      </c>
      <c r="I172" s="52" t="s">
        <v>49</v>
      </c>
      <c r="J172" s="223" t="s">
        <v>293</v>
      </c>
      <c r="K172" s="62">
        <v>232</v>
      </c>
      <c r="L172" s="61"/>
      <c r="M172" s="63"/>
      <c r="N172" s="61"/>
      <c r="O172" s="61"/>
      <c r="P172" s="61">
        <f t="shared" si="6"/>
        <v>1</v>
      </c>
      <c r="Q172" s="61">
        <f t="shared" si="7"/>
        <v>2020</v>
      </c>
      <c r="R172" s="100">
        <f t="shared" si="8"/>
        <v>18</v>
      </c>
    </row>
    <row r="173" spans="1:18" x14ac:dyDescent="0.2">
      <c r="A173" s="67">
        <v>43803</v>
      </c>
      <c r="B173" s="61" t="s">
        <v>284</v>
      </c>
      <c r="C173" s="71" t="s">
        <v>18</v>
      </c>
      <c r="D173" s="73">
        <v>43849</v>
      </c>
      <c r="E173" s="61" t="s">
        <v>148</v>
      </c>
      <c r="F173" s="61">
        <v>20252360</v>
      </c>
      <c r="G173" s="61" t="s">
        <v>290</v>
      </c>
      <c r="H173" s="75">
        <v>25000</v>
      </c>
      <c r="I173" s="52" t="s">
        <v>150</v>
      </c>
      <c r="J173" s="223" t="s">
        <v>291</v>
      </c>
      <c r="K173" s="62">
        <v>233</v>
      </c>
      <c r="L173" s="61"/>
      <c r="M173" s="63">
        <v>43804</v>
      </c>
      <c r="N173" s="61"/>
      <c r="O173" s="61"/>
      <c r="P173" s="61">
        <f t="shared" si="6"/>
        <v>1</v>
      </c>
      <c r="Q173" s="61">
        <f t="shared" si="7"/>
        <v>2020</v>
      </c>
      <c r="R173" s="100">
        <f t="shared" si="8"/>
        <v>19</v>
      </c>
    </row>
    <row r="174" spans="1:18" x14ac:dyDescent="0.2">
      <c r="A174" s="67">
        <v>43803</v>
      </c>
      <c r="B174" s="61" t="s">
        <v>284</v>
      </c>
      <c r="C174" s="71" t="s">
        <v>18</v>
      </c>
      <c r="D174" s="73">
        <v>43850</v>
      </c>
      <c r="E174" s="61" t="s">
        <v>57</v>
      </c>
      <c r="F174" s="61">
        <v>729</v>
      </c>
      <c r="G174" s="61" t="s">
        <v>84</v>
      </c>
      <c r="H174" s="75">
        <v>10000</v>
      </c>
      <c r="I174" s="52" t="s">
        <v>49</v>
      </c>
      <c r="J174" s="223" t="s">
        <v>85</v>
      </c>
      <c r="K174" s="62">
        <v>234</v>
      </c>
      <c r="L174" s="61"/>
      <c r="M174" s="63"/>
      <c r="N174" s="61"/>
      <c r="O174" s="61"/>
      <c r="P174" s="61">
        <f t="shared" si="6"/>
        <v>1</v>
      </c>
      <c r="Q174" s="61">
        <f t="shared" si="7"/>
        <v>2020</v>
      </c>
      <c r="R174" s="100">
        <f t="shared" si="8"/>
        <v>20</v>
      </c>
    </row>
    <row r="175" spans="1:18" x14ac:dyDescent="0.2">
      <c r="A175" s="67">
        <v>43803</v>
      </c>
      <c r="B175" s="61" t="s">
        <v>284</v>
      </c>
      <c r="C175" s="71" t="s">
        <v>18</v>
      </c>
      <c r="D175" s="73">
        <v>43850</v>
      </c>
      <c r="E175" s="61" t="s">
        <v>92</v>
      </c>
      <c r="F175" s="61">
        <v>91371245</v>
      </c>
      <c r="G175" s="61" t="s">
        <v>142</v>
      </c>
      <c r="H175" s="75">
        <v>15000</v>
      </c>
      <c r="I175" s="52" t="s">
        <v>150</v>
      </c>
      <c r="J175" s="223" t="s">
        <v>112</v>
      </c>
      <c r="K175" s="62">
        <v>235</v>
      </c>
      <c r="L175" s="61"/>
      <c r="M175" s="63">
        <v>43825</v>
      </c>
      <c r="N175" s="61"/>
      <c r="O175" s="61"/>
      <c r="P175" s="61">
        <f t="shared" si="6"/>
        <v>1</v>
      </c>
      <c r="Q175" s="61">
        <f t="shared" si="7"/>
        <v>2020</v>
      </c>
      <c r="R175" s="100">
        <f t="shared" si="8"/>
        <v>20</v>
      </c>
    </row>
    <row r="176" spans="1:18" x14ac:dyDescent="0.2">
      <c r="A176" s="67">
        <v>43803</v>
      </c>
      <c r="B176" s="61" t="s">
        <v>284</v>
      </c>
      <c r="C176" s="71" t="s">
        <v>18</v>
      </c>
      <c r="D176" s="73">
        <v>43850</v>
      </c>
      <c r="E176" s="61" t="s">
        <v>92</v>
      </c>
      <c r="F176" s="61">
        <v>91623846</v>
      </c>
      <c r="G176" s="61" t="s">
        <v>142</v>
      </c>
      <c r="H176" s="75">
        <v>17000</v>
      </c>
      <c r="I176" s="52" t="s">
        <v>150</v>
      </c>
      <c r="J176" s="223" t="s">
        <v>112</v>
      </c>
      <c r="K176" s="62">
        <v>236</v>
      </c>
      <c r="L176" s="61"/>
      <c r="M176" s="63">
        <v>43837</v>
      </c>
      <c r="N176" s="61"/>
      <c r="O176" s="61"/>
      <c r="P176" s="61">
        <f t="shared" si="6"/>
        <v>1</v>
      </c>
      <c r="Q176" s="61">
        <f t="shared" si="7"/>
        <v>2020</v>
      </c>
      <c r="R176" s="100">
        <f t="shared" si="8"/>
        <v>20</v>
      </c>
    </row>
    <row r="177" spans="1:18" x14ac:dyDescent="0.2">
      <c r="A177" s="67">
        <v>43803</v>
      </c>
      <c r="B177" s="61" t="s">
        <v>284</v>
      </c>
      <c r="C177" s="71" t="s">
        <v>18</v>
      </c>
      <c r="D177" s="73">
        <v>43850</v>
      </c>
      <c r="E177" s="61" t="s">
        <v>287</v>
      </c>
      <c r="F177" s="61">
        <v>82276753</v>
      </c>
      <c r="G177" s="61" t="s">
        <v>288</v>
      </c>
      <c r="H177" s="75">
        <v>15000</v>
      </c>
      <c r="I177" s="52" t="s">
        <v>49</v>
      </c>
      <c r="J177" s="223" t="s">
        <v>289</v>
      </c>
      <c r="K177" s="62">
        <v>237</v>
      </c>
      <c r="L177" s="61"/>
      <c r="M177" s="63"/>
      <c r="N177" s="61"/>
      <c r="O177" s="61"/>
      <c r="P177" s="61">
        <f t="shared" si="6"/>
        <v>1</v>
      </c>
      <c r="Q177" s="61">
        <f t="shared" si="7"/>
        <v>2020</v>
      </c>
      <c r="R177" s="100">
        <f t="shared" si="8"/>
        <v>20</v>
      </c>
    </row>
    <row r="178" spans="1:18" x14ac:dyDescent="0.2">
      <c r="A178" s="67">
        <v>43803</v>
      </c>
      <c r="B178" s="61" t="s">
        <v>284</v>
      </c>
      <c r="C178" s="71" t="s">
        <v>18</v>
      </c>
      <c r="D178" s="73">
        <v>43850</v>
      </c>
      <c r="E178" s="61" t="s">
        <v>57</v>
      </c>
      <c r="F178" s="61">
        <v>272897</v>
      </c>
      <c r="G178" s="61" t="s">
        <v>285</v>
      </c>
      <c r="H178" s="75">
        <v>10694</v>
      </c>
      <c r="I178" s="52" t="s">
        <v>49</v>
      </c>
      <c r="J178" s="223" t="s">
        <v>286</v>
      </c>
      <c r="K178" s="62">
        <v>238</v>
      </c>
      <c r="L178" s="61"/>
      <c r="M178" s="63"/>
      <c r="N178" s="63"/>
      <c r="O178" s="61"/>
      <c r="P178" s="61">
        <f t="shared" si="6"/>
        <v>1</v>
      </c>
      <c r="Q178" s="61">
        <f t="shared" si="7"/>
        <v>2020</v>
      </c>
      <c r="R178" s="100">
        <f t="shared" si="8"/>
        <v>20</v>
      </c>
    </row>
    <row r="179" spans="1:18" ht="14.25" x14ac:dyDescent="0.2">
      <c r="A179" s="67">
        <v>43803</v>
      </c>
      <c r="B179" s="61" t="s">
        <v>284</v>
      </c>
      <c r="C179" s="71" t="s">
        <v>18</v>
      </c>
      <c r="D179" s="73">
        <v>43861</v>
      </c>
      <c r="E179" s="61" t="s">
        <v>70</v>
      </c>
      <c r="F179" s="61">
        <v>17354377</v>
      </c>
      <c r="G179" s="61" t="s">
        <v>145</v>
      </c>
      <c r="H179" s="75">
        <v>10000</v>
      </c>
      <c r="I179" s="52" t="s">
        <v>49</v>
      </c>
      <c r="J179" s="223" t="s">
        <v>146</v>
      </c>
      <c r="K179" s="62">
        <v>239</v>
      </c>
      <c r="L179" s="66"/>
      <c r="M179" s="63">
        <v>43861</v>
      </c>
      <c r="N179" s="63"/>
      <c r="O179" s="61"/>
      <c r="P179" s="61">
        <f t="shared" si="6"/>
        <v>1</v>
      </c>
      <c r="Q179" s="61">
        <f t="shared" si="7"/>
        <v>2020</v>
      </c>
      <c r="R179" s="100">
        <f t="shared" si="8"/>
        <v>31</v>
      </c>
    </row>
    <row r="180" spans="1:18" ht="14.25" x14ac:dyDescent="0.2">
      <c r="A180" s="67">
        <v>43804</v>
      </c>
      <c r="B180" s="61" t="s">
        <v>278</v>
      </c>
      <c r="C180" s="71" t="s">
        <v>18</v>
      </c>
      <c r="D180" s="73">
        <v>43853</v>
      </c>
      <c r="E180" s="61" t="s">
        <v>129</v>
      </c>
      <c r="F180" s="61">
        <v>1840</v>
      </c>
      <c r="G180" s="61" t="s">
        <v>281</v>
      </c>
      <c r="H180" s="75">
        <v>5920</v>
      </c>
      <c r="I180" s="52" t="s">
        <v>49</v>
      </c>
      <c r="J180" s="223" t="s">
        <v>282</v>
      </c>
      <c r="K180" s="62">
        <v>240</v>
      </c>
      <c r="L180" s="66"/>
      <c r="M180" s="63">
        <v>43854</v>
      </c>
      <c r="N180" s="61" t="s">
        <v>223</v>
      </c>
      <c r="O180" s="61"/>
      <c r="P180" s="61">
        <f t="shared" si="6"/>
        <v>1</v>
      </c>
      <c r="Q180" s="61">
        <f t="shared" si="7"/>
        <v>2020</v>
      </c>
      <c r="R180" s="100">
        <f t="shared" si="8"/>
        <v>23</v>
      </c>
    </row>
    <row r="181" spans="1:18" ht="14.25" x14ac:dyDescent="0.2">
      <c r="A181" s="67">
        <v>43808</v>
      </c>
      <c r="B181" s="61" t="s">
        <v>278</v>
      </c>
      <c r="C181" s="71" t="s">
        <v>18</v>
      </c>
      <c r="D181" s="73">
        <v>43842</v>
      </c>
      <c r="E181" s="61" t="s">
        <v>47</v>
      </c>
      <c r="F181" s="61">
        <v>1415726</v>
      </c>
      <c r="G181" s="61" t="s">
        <v>279</v>
      </c>
      <c r="H181" s="75">
        <v>20000</v>
      </c>
      <c r="I181" s="52" t="s">
        <v>49</v>
      </c>
      <c r="J181" s="223" t="s">
        <v>280</v>
      </c>
      <c r="K181" s="62">
        <v>241</v>
      </c>
      <c r="L181" s="66"/>
      <c r="M181" s="63">
        <v>43843</v>
      </c>
      <c r="N181" s="63"/>
      <c r="O181" s="61"/>
      <c r="P181" s="61">
        <f t="shared" si="6"/>
        <v>1</v>
      </c>
      <c r="Q181" s="61">
        <f t="shared" si="7"/>
        <v>2020</v>
      </c>
      <c r="R181" s="100">
        <f t="shared" si="8"/>
        <v>12</v>
      </c>
    </row>
    <row r="182" spans="1:18" ht="14.25" x14ac:dyDescent="0.2">
      <c r="A182" s="67">
        <v>43811</v>
      </c>
      <c r="B182" s="61" t="s">
        <v>275</v>
      </c>
      <c r="C182" s="71" t="s">
        <v>18</v>
      </c>
      <c r="D182" s="73">
        <v>43826</v>
      </c>
      <c r="E182" s="61" t="s">
        <v>43</v>
      </c>
      <c r="F182" s="61">
        <v>99822685</v>
      </c>
      <c r="G182" s="61" t="s">
        <v>276</v>
      </c>
      <c r="H182" s="75">
        <v>2340</v>
      </c>
      <c r="I182" s="52" t="s">
        <v>49</v>
      </c>
      <c r="J182" s="223" t="s">
        <v>277</v>
      </c>
      <c r="K182" s="62">
        <v>242</v>
      </c>
      <c r="L182" s="66"/>
      <c r="M182" s="63">
        <v>43826</v>
      </c>
      <c r="N182" s="63"/>
      <c r="O182" s="61"/>
      <c r="P182" s="61">
        <f t="shared" si="6"/>
        <v>12</v>
      </c>
      <c r="Q182" s="61">
        <f t="shared" si="7"/>
        <v>2019</v>
      </c>
      <c r="R182" s="100">
        <f t="shared" si="8"/>
        <v>27</v>
      </c>
    </row>
    <row r="183" spans="1:18" ht="14.25" x14ac:dyDescent="0.2">
      <c r="A183" s="67">
        <v>43811</v>
      </c>
      <c r="B183" s="61" t="s">
        <v>222</v>
      </c>
      <c r="C183" s="71" t="s">
        <v>18</v>
      </c>
      <c r="D183" s="73">
        <v>43859</v>
      </c>
      <c r="E183" s="61" t="s">
        <v>47</v>
      </c>
      <c r="F183" s="61">
        <v>52679655</v>
      </c>
      <c r="G183" s="61" t="s">
        <v>274</v>
      </c>
      <c r="H183" s="75">
        <v>10000</v>
      </c>
      <c r="I183" s="52" t="s">
        <v>150</v>
      </c>
      <c r="J183" s="223" t="s">
        <v>179</v>
      </c>
      <c r="K183" s="62">
        <v>243</v>
      </c>
      <c r="L183" s="66"/>
      <c r="M183" s="63">
        <v>43837</v>
      </c>
      <c r="N183" s="63"/>
      <c r="O183" s="61"/>
      <c r="P183" s="61">
        <f t="shared" si="6"/>
        <v>1</v>
      </c>
      <c r="Q183" s="61">
        <f t="shared" si="7"/>
        <v>2020</v>
      </c>
      <c r="R183" s="100">
        <f t="shared" si="8"/>
        <v>29</v>
      </c>
    </row>
    <row r="184" spans="1:18" ht="14.25" x14ac:dyDescent="0.2">
      <c r="A184" s="64">
        <v>43812</v>
      </c>
      <c r="B184" s="61" t="s">
        <v>158</v>
      </c>
      <c r="C184" s="71" t="s">
        <v>18</v>
      </c>
      <c r="D184" s="73">
        <v>43799</v>
      </c>
      <c r="E184" s="61" t="s">
        <v>267</v>
      </c>
      <c r="F184" s="61">
        <v>61081076</v>
      </c>
      <c r="G184" s="61" t="s">
        <v>167</v>
      </c>
      <c r="H184" s="75">
        <v>5000</v>
      </c>
      <c r="I184" s="52" t="s">
        <v>150</v>
      </c>
      <c r="J184" s="223" t="s">
        <v>168</v>
      </c>
      <c r="K184" s="62">
        <v>244</v>
      </c>
      <c r="L184" s="66"/>
      <c r="M184" s="63">
        <v>43815</v>
      </c>
      <c r="N184" s="63"/>
      <c r="O184" s="61"/>
      <c r="P184" s="61">
        <f t="shared" si="6"/>
        <v>11</v>
      </c>
      <c r="Q184" s="61">
        <f t="shared" si="7"/>
        <v>2019</v>
      </c>
      <c r="R184" s="100">
        <f t="shared" si="8"/>
        <v>30</v>
      </c>
    </row>
    <row r="185" spans="1:18" ht="14.25" x14ac:dyDescent="0.2">
      <c r="A185" s="67">
        <v>43812</v>
      </c>
      <c r="B185" s="61" t="s">
        <v>158</v>
      </c>
      <c r="C185" s="71" t="s">
        <v>18</v>
      </c>
      <c r="D185" s="73">
        <v>43818</v>
      </c>
      <c r="E185" s="61" t="s">
        <v>57</v>
      </c>
      <c r="F185" s="61">
        <v>43403</v>
      </c>
      <c r="G185" s="61" t="s">
        <v>272</v>
      </c>
      <c r="H185" s="75">
        <v>4500</v>
      </c>
      <c r="I185" s="52" t="s">
        <v>49</v>
      </c>
      <c r="J185" s="223" t="s">
        <v>273</v>
      </c>
      <c r="K185" s="62">
        <v>245</v>
      </c>
      <c r="L185" s="66"/>
      <c r="M185" s="63">
        <v>43826</v>
      </c>
      <c r="N185" s="63"/>
      <c r="O185" s="61"/>
      <c r="P185" s="61">
        <f t="shared" si="6"/>
        <v>12</v>
      </c>
      <c r="Q185" s="61">
        <f t="shared" si="7"/>
        <v>2019</v>
      </c>
      <c r="R185" s="100">
        <f t="shared" si="8"/>
        <v>19</v>
      </c>
    </row>
    <row r="186" spans="1:18" ht="14.25" x14ac:dyDescent="0.2">
      <c r="A186" s="67">
        <v>43812</v>
      </c>
      <c r="B186" s="61" t="s">
        <v>158</v>
      </c>
      <c r="C186" s="71" t="s">
        <v>18</v>
      </c>
      <c r="D186" s="73">
        <v>43826</v>
      </c>
      <c r="E186" s="61" t="s">
        <v>57</v>
      </c>
      <c r="F186" s="61">
        <v>904209</v>
      </c>
      <c r="G186" s="61" t="s">
        <v>256</v>
      </c>
      <c r="H186" s="75">
        <v>4000</v>
      </c>
      <c r="I186" s="52" t="s">
        <v>49</v>
      </c>
      <c r="J186" s="223" t="s">
        <v>270</v>
      </c>
      <c r="K186" s="62">
        <v>246</v>
      </c>
      <c r="L186" s="66"/>
      <c r="M186" s="63">
        <v>43826</v>
      </c>
      <c r="N186" s="63"/>
      <c r="O186" s="61"/>
      <c r="P186" s="61">
        <f t="shared" si="6"/>
        <v>12</v>
      </c>
      <c r="Q186" s="61">
        <f t="shared" si="7"/>
        <v>2019</v>
      </c>
      <c r="R186" s="100">
        <f t="shared" si="8"/>
        <v>27</v>
      </c>
    </row>
    <row r="187" spans="1:18" ht="14.25" x14ac:dyDescent="0.2">
      <c r="A187" s="64">
        <v>43812</v>
      </c>
      <c r="B187" s="61" t="s">
        <v>158</v>
      </c>
      <c r="C187" s="71" t="s">
        <v>18</v>
      </c>
      <c r="D187" s="73">
        <v>43830</v>
      </c>
      <c r="E187" s="61" t="s">
        <v>267</v>
      </c>
      <c r="F187" s="61">
        <v>61081078</v>
      </c>
      <c r="G187" s="61" t="s">
        <v>167</v>
      </c>
      <c r="H187" s="75">
        <v>5000</v>
      </c>
      <c r="I187" s="52" t="s">
        <v>150</v>
      </c>
      <c r="J187" s="223" t="s">
        <v>168</v>
      </c>
      <c r="K187" s="62">
        <v>247</v>
      </c>
      <c r="L187" s="66"/>
      <c r="M187" s="63">
        <v>43833</v>
      </c>
      <c r="N187" s="63"/>
      <c r="O187" s="61"/>
      <c r="P187" s="61">
        <f t="shared" si="6"/>
        <v>12</v>
      </c>
      <c r="Q187" s="61">
        <f t="shared" si="7"/>
        <v>2019</v>
      </c>
      <c r="R187" s="100">
        <f t="shared" si="8"/>
        <v>31</v>
      </c>
    </row>
    <row r="188" spans="1:18" ht="14.25" x14ac:dyDescent="0.2">
      <c r="A188" s="67">
        <v>43812</v>
      </c>
      <c r="B188" s="61" t="s">
        <v>158</v>
      </c>
      <c r="C188" s="71" t="s">
        <v>18</v>
      </c>
      <c r="D188" s="73">
        <v>43830</v>
      </c>
      <c r="E188" s="61" t="s">
        <v>47</v>
      </c>
      <c r="F188" s="61">
        <v>71785071</v>
      </c>
      <c r="G188" s="61" t="s">
        <v>216</v>
      </c>
      <c r="H188" s="75">
        <v>5517.6</v>
      </c>
      <c r="I188" s="52" t="s">
        <v>49</v>
      </c>
      <c r="J188" s="223" t="s">
        <v>217</v>
      </c>
      <c r="K188" s="62">
        <v>248</v>
      </c>
      <c r="L188" s="66"/>
      <c r="M188" s="63">
        <v>43839</v>
      </c>
      <c r="N188" s="63"/>
      <c r="O188" s="61"/>
      <c r="P188" s="61">
        <f t="shared" si="6"/>
        <v>12</v>
      </c>
      <c r="Q188" s="61">
        <f t="shared" si="7"/>
        <v>2019</v>
      </c>
      <c r="R188" s="100">
        <f t="shared" si="8"/>
        <v>31</v>
      </c>
    </row>
    <row r="189" spans="1:18" ht="14.25" x14ac:dyDescent="0.2">
      <c r="A189" s="67">
        <v>43812</v>
      </c>
      <c r="B189" s="61" t="s">
        <v>158</v>
      </c>
      <c r="C189" s="71" t="s">
        <v>18</v>
      </c>
      <c r="D189" s="73">
        <v>43836</v>
      </c>
      <c r="E189" s="61" t="s">
        <v>182</v>
      </c>
      <c r="F189" s="61">
        <v>23304799</v>
      </c>
      <c r="G189" s="61" t="s">
        <v>220</v>
      </c>
      <c r="H189" s="75">
        <v>5300</v>
      </c>
      <c r="I189" s="52" t="s">
        <v>150</v>
      </c>
      <c r="J189" s="223" t="s">
        <v>221</v>
      </c>
      <c r="K189" s="62">
        <v>249</v>
      </c>
      <c r="L189" s="66"/>
      <c r="M189" s="63">
        <v>43833</v>
      </c>
      <c r="N189" s="63"/>
      <c r="O189" s="61"/>
      <c r="P189" s="61">
        <f t="shared" si="6"/>
        <v>1</v>
      </c>
      <c r="Q189" s="61">
        <f t="shared" si="7"/>
        <v>2020</v>
      </c>
      <c r="R189" s="100">
        <f t="shared" si="8"/>
        <v>6</v>
      </c>
    </row>
    <row r="190" spans="1:18" ht="14.25" x14ac:dyDescent="0.2">
      <c r="A190" s="67">
        <v>43812</v>
      </c>
      <c r="B190" s="61" t="s">
        <v>158</v>
      </c>
      <c r="C190" s="71" t="s">
        <v>18</v>
      </c>
      <c r="D190" s="73">
        <v>43838</v>
      </c>
      <c r="E190" s="61" t="s">
        <v>57</v>
      </c>
      <c r="F190" s="61">
        <v>904172</v>
      </c>
      <c r="G190" s="61" t="s">
        <v>256</v>
      </c>
      <c r="H190" s="75">
        <v>5730</v>
      </c>
      <c r="I190" s="52" t="s">
        <v>150</v>
      </c>
      <c r="J190" s="223" t="s">
        <v>270</v>
      </c>
      <c r="K190" s="62">
        <v>250</v>
      </c>
      <c r="L190" s="66"/>
      <c r="M190" s="63">
        <v>43833</v>
      </c>
      <c r="N190" s="63"/>
      <c r="O190" s="61"/>
      <c r="P190" s="61">
        <f t="shared" si="6"/>
        <v>1</v>
      </c>
      <c r="Q190" s="61">
        <f t="shared" si="7"/>
        <v>2020</v>
      </c>
      <c r="R190" s="100">
        <f t="shared" si="8"/>
        <v>8</v>
      </c>
    </row>
    <row r="191" spans="1:18" ht="14.25" x14ac:dyDescent="0.2">
      <c r="A191" s="67">
        <v>43812</v>
      </c>
      <c r="B191" s="61" t="s">
        <v>158</v>
      </c>
      <c r="C191" s="71" t="s">
        <v>18</v>
      </c>
      <c r="D191" s="73">
        <v>43840</v>
      </c>
      <c r="E191" s="61" t="s">
        <v>123</v>
      </c>
      <c r="F191" s="61">
        <v>4376668</v>
      </c>
      <c r="G191" s="61" t="s">
        <v>259</v>
      </c>
      <c r="H191" s="75">
        <v>3000</v>
      </c>
      <c r="I191" s="52" t="s">
        <v>97</v>
      </c>
      <c r="J191" s="223" t="s">
        <v>260</v>
      </c>
      <c r="K191" s="62">
        <v>251</v>
      </c>
      <c r="L191" s="66"/>
      <c r="M191" s="63">
        <v>43838</v>
      </c>
      <c r="N191" s="61" t="s">
        <v>190</v>
      </c>
      <c r="O191" s="61"/>
      <c r="P191" s="61">
        <f t="shared" si="6"/>
        <v>1</v>
      </c>
      <c r="Q191" s="61">
        <f t="shared" si="7"/>
        <v>2020</v>
      </c>
      <c r="R191" s="100">
        <f t="shared" si="8"/>
        <v>10</v>
      </c>
    </row>
    <row r="192" spans="1:18" ht="14.25" x14ac:dyDescent="0.2">
      <c r="A192" s="67">
        <v>43812</v>
      </c>
      <c r="B192" s="61" t="s">
        <v>158</v>
      </c>
      <c r="C192" s="71" t="s">
        <v>18</v>
      </c>
      <c r="D192" s="73">
        <v>43843</v>
      </c>
      <c r="E192" s="61" t="s">
        <v>182</v>
      </c>
      <c r="F192" s="61">
        <v>25304800</v>
      </c>
      <c r="G192" s="61" t="s">
        <v>220</v>
      </c>
      <c r="H192" s="75">
        <v>5300</v>
      </c>
      <c r="I192" s="52" t="s">
        <v>49</v>
      </c>
      <c r="J192" s="223" t="s">
        <v>221</v>
      </c>
      <c r="K192" s="62">
        <v>252</v>
      </c>
      <c r="L192" s="66"/>
      <c r="M192" s="63">
        <v>43843</v>
      </c>
      <c r="N192" s="63"/>
      <c r="O192" s="61"/>
      <c r="P192" s="61">
        <f t="shared" si="6"/>
        <v>1</v>
      </c>
      <c r="Q192" s="61">
        <f t="shared" si="7"/>
        <v>2020</v>
      </c>
      <c r="R192" s="100">
        <f t="shared" si="8"/>
        <v>13</v>
      </c>
    </row>
    <row r="193" spans="1:18" ht="14.25" x14ac:dyDescent="0.2">
      <c r="A193" s="64">
        <v>43812</v>
      </c>
      <c r="B193" s="61" t="s">
        <v>158</v>
      </c>
      <c r="C193" s="71" t="s">
        <v>18</v>
      </c>
      <c r="D193" s="73">
        <v>43845</v>
      </c>
      <c r="E193" s="61" t="s">
        <v>267</v>
      </c>
      <c r="F193" s="61">
        <v>61081079</v>
      </c>
      <c r="G193" s="61" t="s">
        <v>167</v>
      </c>
      <c r="H193" s="75">
        <v>5000</v>
      </c>
      <c r="I193" s="52" t="s">
        <v>49</v>
      </c>
      <c r="J193" s="223" t="s">
        <v>168</v>
      </c>
      <c r="K193" s="62">
        <v>253</v>
      </c>
      <c r="L193" s="66"/>
      <c r="M193" s="63"/>
      <c r="N193" s="63"/>
      <c r="O193" s="61"/>
      <c r="P193" s="61">
        <f t="shared" si="6"/>
        <v>1</v>
      </c>
      <c r="Q193" s="61">
        <f t="shared" si="7"/>
        <v>2020</v>
      </c>
      <c r="R193" s="100">
        <f t="shared" si="8"/>
        <v>15</v>
      </c>
    </row>
    <row r="194" spans="1:18" ht="14.25" x14ac:dyDescent="0.2">
      <c r="A194" s="67">
        <v>43812</v>
      </c>
      <c r="B194" s="61" t="s">
        <v>158</v>
      </c>
      <c r="C194" s="71" t="s">
        <v>18</v>
      </c>
      <c r="D194" s="73">
        <v>43848</v>
      </c>
      <c r="E194" s="61" t="s">
        <v>47</v>
      </c>
      <c r="F194" s="61">
        <v>71785072</v>
      </c>
      <c r="G194" s="61" t="s">
        <v>216</v>
      </c>
      <c r="H194" s="75">
        <v>5517.6</v>
      </c>
      <c r="I194" s="52" t="s">
        <v>49</v>
      </c>
      <c r="J194" s="223" t="s">
        <v>217</v>
      </c>
      <c r="K194" s="62">
        <v>254</v>
      </c>
      <c r="L194" s="66"/>
      <c r="M194" s="63"/>
      <c r="N194" s="63"/>
      <c r="O194" s="61"/>
      <c r="P194" s="61">
        <f t="shared" ref="P194:P257" si="9">MONTH(D194)</f>
        <v>1</v>
      </c>
      <c r="Q194" s="61">
        <f t="shared" ref="Q194:Q257" si="10">YEAR(D194)</f>
        <v>2020</v>
      </c>
      <c r="R194" s="100">
        <f t="shared" si="8"/>
        <v>18</v>
      </c>
    </row>
    <row r="195" spans="1:18" ht="14.25" x14ac:dyDescent="0.2">
      <c r="A195" s="67">
        <v>43812</v>
      </c>
      <c r="B195" s="61" t="s">
        <v>158</v>
      </c>
      <c r="C195" s="71" t="s">
        <v>18</v>
      </c>
      <c r="D195" s="73">
        <v>43860</v>
      </c>
      <c r="E195" s="61" t="s">
        <v>148</v>
      </c>
      <c r="F195" s="61">
        <v>19733139</v>
      </c>
      <c r="G195" s="61" t="s">
        <v>264</v>
      </c>
      <c r="H195" s="75">
        <v>18393.3</v>
      </c>
      <c r="I195" s="52" t="s">
        <v>150</v>
      </c>
      <c r="J195" s="223" t="s">
        <v>265</v>
      </c>
      <c r="K195" s="62">
        <v>255</v>
      </c>
      <c r="L195" s="66"/>
      <c r="M195" s="63">
        <v>43837</v>
      </c>
      <c r="N195" s="63"/>
      <c r="O195" s="61"/>
      <c r="P195" s="61">
        <f t="shared" si="9"/>
        <v>1</v>
      </c>
      <c r="Q195" s="61">
        <f t="shared" si="10"/>
        <v>2020</v>
      </c>
      <c r="R195" s="100">
        <f t="shared" ref="R195:R258" si="11">DAY(D195)</f>
        <v>30</v>
      </c>
    </row>
    <row r="196" spans="1:18" ht="14.25" x14ac:dyDescent="0.2">
      <c r="A196" s="67">
        <v>43812</v>
      </c>
      <c r="B196" s="61" t="s">
        <v>158</v>
      </c>
      <c r="C196" s="71" t="s">
        <v>18</v>
      </c>
      <c r="D196" s="73">
        <v>43871</v>
      </c>
      <c r="E196" s="61" t="s">
        <v>123</v>
      </c>
      <c r="F196" s="61">
        <v>4376669</v>
      </c>
      <c r="G196" s="61" t="s">
        <v>259</v>
      </c>
      <c r="H196" s="75">
        <v>3400</v>
      </c>
      <c r="I196" s="52" t="s">
        <v>97</v>
      </c>
      <c r="J196" s="223" t="s">
        <v>260</v>
      </c>
      <c r="K196" s="62">
        <v>256</v>
      </c>
      <c r="L196" s="66"/>
      <c r="M196" s="63">
        <v>43846</v>
      </c>
      <c r="N196" s="61" t="s">
        <v>261</v>
      </c>
      <c r="O196" s="61"/>
      <c r="P196" s="61">
        <f t="shared" si="9"/>
        <v>2</v>
      </c>
      <c r="Q196" s="61">
        <f t="shared" si="10"/>
        <v>2020</v>
      </c>
      <c r="R196" s="100">
        <f t="shared" si="11"/>
        <v>10</v>
      </c>
    </row>
    <row r="197" spans="1:18" ht="14.25" x14ac:dyDescent="0.2">
      <c r="A197" s="67">
        <v>43812</v>
      </c>
      <c r="B197" s="61" t="s">
        <v>158</v>
      </c>
      <c r="C197" s="71" t="s">
        <v>18</v>
      </c>
      <c r="D197" s="73">
        <v>43871</v>
      </c>
      <c r="E197" s="61" t="s">
        <v>57</v>
      </c>
      <c r="F197" s="61">
        <v>904211</v>
      </c>
      <c r="G197" s="61" t="s">
        <v>256</v>
      </c>
      <c r="H197" s="75">
        <v>5000</v>
      </c>
      <c r="I197" s="52" t="s">
        <v>97</v>
      </c>
      <c r="J197" s="223" t="s">
        <v>257</v>
      </c>
      <c r="K197" s="62">
        <v>257</v>
      </c>
      <c r="L197" s="66"/>
      <c r="M197" s="63">
        <v>43871</v>
      </c>
      <c r="N197" s="61" t="s">
        <v>258</v>
      </c>
      <c r="O197" s="61"/>
      <c r="P197" s="61">
        <f t="shared" si="9"/>
        <v>2</v>
      </c>
      <c r="Q197" s="61">
        <f t="shared" si="10"/>
        <v>2020</v>
      </c>
      <c r="R197" s="100">
        <f t="shared" si="11"/>
        <v>10</v>
      </c>
    </row>
    <row r="198" spans="1:18" ht="14.25" x14ac:dyDescent="0.2">
      <c r="A198" s="67">
        <v>43815</v>
      </c>
      <c r="B198" s="61" t="s">
        <v>176</v>
      </c>
      <c r="C198" s="71" t="s">
        <v>18</v>
      </c>
      <c r="D198" s="73">
        <v>43890</v>
      </c>
      <c r="E198" s="61" t="s">
        <v>65</v>
      </c>
      <c r="F198" s="61">
        <v>21851927</v>
      </c>
      <c r="G198" s="61" t="s">
        <v>176</v>
      </c>
      <c r="H198" s="75">
        <v>15000</v>
      </c>
      <c r="I198" s="52" t="s">
        <v>150</v>
      </c>
      <c r="J198" s="223" t="s">
        <v>177</v>
      </c>
      <c r="K198" s="62">
        <v>258</v>
      </c>
      <c r="L198" s="66"/>
      <c r="M198" s="63"/>
      <c r="N198" s="63"/>
      <c r="O198" s="61"/>
      <c r="P198" s="61">
        <f t="shared" si="9"/>
        <v>2</v>
      </c>
      <c r="Q198" s="61">
        <f t="shared" si="10"/>
        <v>2020</v>
      </c>
      <c r="R198" s="100">
        <f t="shared" si="11"/>
        <v>29</v>
      </c>
    </row>
    <row r="199" spans="1:18" ht="14.25" x14ac:dyDescent="0.2">
      <c r="A199" s="67">
        <v>43816</v>
      </c>
      <c r="B199" s="61" t="s">
        <v>169</v>
      </c>
      <c r="C199" s="71" t="s">
        <v>18</v>
      </c>
      <c r="D199" s="73">
        <v>43809</v>
      </c>
      <c r="E199" s="61" t="s">
        <v>92</v>
      </c>
      <c r="F199" s="61">
        <v>91714375</v>
      </c>
      <c r="G199" s="61" t="s">
        <v>254</v>
      </c>
      <c r="H199" s="75">
        <v>30478.93</v>
      </c>
      <c r="I199" s="52" t="s">
        <v>49</v>
      </c>
      <c r="J199" s="223" t="s">
        <v>255</v>
      </c>
      <c r="K199" s="62">
        <v>259</v>
      </c>
      <c r="L199" s="66"/>
      <c r="M199" s="63">
        <v>43818</v>
      </c>
      <c r="N199" s="63"/>
      <c r="O199" s="61"/>
      <c r="P199" s="61">
        <f t="shared" si="9"/>
        <v>12</v>
      </c>
      <c r="Q199" s="61">
        <f t="shared" si="10"/>
        <v>2019</v>
      </c>
      <c r="R199" s="100">
        <f t="shared" si="11"/>
        <v>10</v>
      </c>
    </row>
    <row r="200" spans="1:18" ht="14.25" x14ac:dyDescent="0.2">
      <c r="A200" s="67">
        <v>43816</v>
      </c>
      <c r="B200" s="61" t="s">
        <v>251</v>
      </c>
      <c r="C200" s="71" t="s">
        <v>18</v>
      </c>
      <c r="D200" s="73">
        <v>43811</v>
      </c>
      <c r="E200" s="61" t="s">
        <v>47</v>
      </c>
      <c r="F200" s="61">
        <v>72135017</v>
      </c>
      <c r="G200" s="61" t="s">
        <v>252</v>
      </c>
      <c r="H200" s="75">
        <v>1650</v>
      </c>
      <c r="I200" s="52" t="s">
        <v>49</v>
      </c>
      <c r="J200" s="223" t="s">
        <v>253</v>
      </c>
      <c r="K200" s="62">
        <v>260</v>
      </c>
      <c r="L200" s="66"/>
      <c r="M200" s="63"/>
      <c r="N200" s="63"/>
      <c r="O200" s="61"/>
      <c r="P200" s="61">
        <f t="shared" si="9"/>
        <v>12</v>
      </c>
      <c r="Q200" s="61">
        <f t="shared" si="10"/>
        <v>2019</v>
      </c>
      <c r="R200" s="100">
        <f t="shared" si="11"/>
        <v>12</v>
      </c>
    </row>
    <row r="201" spans="1:18" ht="14.25" x14ac:dyDescent="0.2">
      <c r="A201" s="67">
        <v>43822</v>
      </c>
      <c r="B201" s="61" t="s">
        <v>235</v>
      </c>
      <c r="C201" s="71" t="s">
        <v>18</v>
      </c>
      <c r="D201" s="73">
        <v>43850</v>
      </c>
      <c r="E201" s="61" t="s">
        <v>57</v>
      </c>
      <c r="F201" s="61">
        <v>103481</v>
      </c>
      <c r="G201" s="61" t="s">
        <v>249</v>
      </c>
      <c r="H201" s="75">
        <v>7600</v>
      </c>
      <c r="I201" s="52" t="s">
        <v>49</v>
      </c>
      <c r="J201" s="223" t="s">
        <v>250</v>
      </c>
      <c r="K201" s="62">
        <v>261</v>
      </c>
      <c r="L201" s="66"/>
      <c r="M201" s="63"/>
      <c r="N201" s="63"/>
      <c r="O201" s="61"/>
      <c r="P201" s="61">
        <f t="shared" si="9"/>
        <v>1</v>
      </c>
      <c r="Q201" s="61">
        <f t="shared" si="10"/>
        <v>2020</v>
      </c>
      <c r="R201" s="100">
        <f t="shared" si="11"/>
        <v>20</v>
      </c>
    </row>
    <row r="202" spans="1:18" ht="14.25" x14ac:dyDescent="0.2">
      <c r="A202" s="67">
        <v>43822</v>
      </c>
      <c r="B202" s="61" t="s">
        <v>235</v>
      </c>
      <c r="C202" s="71" t="s">
        <v>18</v>
      </c>
      <c r="D202" s="73">
        <v>43878</v>
      </c>
      <c r="E202" s="61" t="s">
        <v>246</v>
      </c>
      <c r="F202" s="61">
        <v>61160954</v>
      </c>
      <c r="G202" s="61" t="s">
        <v>247</v>
      </c>
      <c r="H202" s="75">
        <v>14900.37</v>
      </c>
      <c r="I202" s="52" t="s">
        <v>49</v>
      </c>
      <c r="J202" s="223" t="s">
        <v>248</v>
      </c>
      <c r="K202" s="62">
        <v>262</v>
      </c>
      <c r="L202" s="66"/>
      <c r="M202" s="63"/>
      <c r="N202" s="63"/>
      <c r="O202" s="61"/>
      <c r="P202" s="61">
        <f t="shared" si="9"/>
        <v>2</v>
      </c>
      <c r="Q202" s="61">
        <f t="shared" si="10"/>
        <v>2020</v>
      </c>
      <c r="R202" s="100">
        <f t="shared" si="11"/>
        <v>17</v>
      </c>
    </row>
    <row r="203" spans="1:18" ht="14.25" x14ac:dyDescent="0.2">
      <c r="A203" s="63">
        <v>43822</v>
      </c>
      <c r="B203" s="61" t="s">
        <v>235</v>
      </c>
      <c r="C203" s="71" t="s">
        <v>18</v>
      </c>
      <c r="D203" s="73">
        <v>43854</v>
      </c>
      <c r="E203" s="61" t="s">
        <v>47</v>
      </c>
      <c r="F203" s="61">
        <v>74667186</v>
      </c>
      <c r="G203" s="61" t="s">
        <v>243</v>
      </c>
      <c r="H203" s="75">
        <v>9000</v>
      </c>
      <c r="I203" s="52" t="s">
        <v>150</v>
      </c>
      <c r="J203" s="223" t="s">
        <v>245</v>
      </c>
      <c r="K203" s="62">
        <v>263</v>
      </c>
      <c r="L203" s="66"/>
      <c r="M203" s="63">
        <v>43837</v>
      </c>
      <c r="N203" s="63"/>
      <c r="O203" s="61"/>
      <c r="P203" s="61">
        <f t="shared" si="9"/>
        <v>1</v>
      </c>
      <c r="Q203" s="61">
        <f t="shared" si="10"/>
        <v>2020</v>
      </c>
      <c r="R203" s="100">
        <f t="shared" si="11"/>
        <v>24</v>
      </c>
    </row>
    <row r="204" spans="1:18" ht="14.25" x14ac:dyDescent="0.2">
      <c r="A204" s="63">
        <v>43822</v>
      </c>
      <c r="B204" s="61" t="s">
        <v>235</v>
      </c>
      <c r="C204" s="71" t="s">
        <v>18</v>
      </c>
      <c r="D204" s="73">
        <v>43847</v>
      </c>
      <c r="E204" s="61" t="s">
        <v>47</v>
      </c>
      <c r="F204" s="61">
        <v>74667185</v>
      </c>
      <c r="G204" s="61" t="s">
        <v>243</v>
      </c>
      <c r="H204" s="75">
        <v>9000</v>
      </c>
      <c r="I204" s="52" t="s">
        <v>49</v>
      </c>
      <c r="J204" s="223" t="s">
        <v>245</v>
      </c>
      <c r="K204" s="62">
        <v>264</v>
      </c>
      <c r="L204" s="66"/>
      <c r="M204" s="63"/>
      <c r="N204" s="63"/>
      <c r="O204" s="61"/>
      <c r="P204" s="61">
        <f t="shared" si="9"/>
        <v>1</v>
      </c>
      <c r="Q204" s="61">
        <f t="shared" si="10"/>
        <v>2020</v>
      </c>
      <c r="R204" s="100">
        <f t="shared" si="11"/>
        <v>17</v>
      </c>
    </row>
    <row r="205" spans="1:18" ht="14.25" x14ac:dyDescent="0.2">
      <c r="A205" s="63">
        <v>43822</v>
      </c>
      <c r="B205" s="61" t="s">
        <v>235</v>
      </c>
      <c r="C205" s="71" t="s">
        <v>18</v>
      </c>
      <c r="D205" s="73">
        <v>43860</v>
      </c>
      <c r="E205" s="61" t="s">
        <v>47</v>
      </c>
      <c r="F205" s="61">
        <v>71479698</v>
      </c>
      <c r="G205" s="61" t="s">
        <v>236</v>
      </c>
      <c r="H205" s="75">
        <v>3000</v>
      </c>
      <c r="I205" s="52" t="s">
        <v>49</v>
      </c>
      <c r="J205" s="223" t="s">
        <v>237</v>
      </c>
      <c r="K205" s="62">
        <v>265</v>
      </c>
      <c r="L205" s="66"/>
      <c r="M205" s="63">
        <v>43860</v>
      </c>
      <c r="N205" s="63"/>
      <c r="O205" s="61"/>
      <c r="P205" s="61">
        <f t="shared" si="9"/>
        <v>1</v>
      </c>
      <c r="Q205" s="61">
        <f t="shared" si="10"/>
        <v>2020</v>
      </c>
      <c r="R205" s="100">
        <f t="shared" si="11"/>
        <v>30</v>
      </c>
    </row>
    <row r="206" spans="1:18" ht="14.25" x14ac:dyDescent="0.2">
      <c r="A206" s="63">
        <v>43822</v>
      </c>
      <c r="B206" s="61" t="s">
        <v>235</v>
      </c>
      <c r="C206" s="71" t="s">
        <v>18</v>
      </c>
      <c r="D206" s="73">
        <v>43869</v>
      </c>
      <c r="E206" s="61" t="s">
        <v>57</v>
      </c>
      <c r="F206" s="61">
        <v>42775</v>
      </c>
      <c r="G206" s="61" t="s">
        <v>241</v>
      </c>
      <c r="H206" s="75">
        <v>10000</v>
      </c>
      <c r="I206" s="52" t="s">
        <v>49</v>
      </c>
      <c r="J206" s="223" t="s">
        <v>242</v>
      </c>
      <c r="K206" s="62">
        <v>266</v>
      </c>
      <c r="L206" s="66"/>
      <c r="M206" s="63"/>
      <c r="N206" s="63"/>
      <c r="O206" s="61"/>
      <c r="P206" s="61">
        <f t="shared" si="9"/>
        <v>2</v>
      </c>
      <c r="Q206" s="61">
        <f t="shared" si="10"/>
        <v>2020</v>
      </c>
      <c r="R206" s="100">
        <f t="shared" si="11"/>
        <v>8</v>
      </c>
    </row>
    <row r="207" spans="1:18" ht="14.25" x14ac:dyDescent="0.2">
      <c r="A207" s="64">
        <v>43822</v>
      </c>
      <c r="B207" s="61" t="s">
        <v>235</v>
      </c>
      <c r="C207" s="71" t="s">
        <v>18</v>
      </c>
      <c r="D207" s="73">
        <v>43876</v>
      </c>
      <c r="E207" s="61" t="s">
        <v>47</v>
      </c>
      <c r="F207" s="61">
        <v>73858494</v>
      </c>
      <c r="G207" s="61" t="s">
        <v>167</v>
      </c>
      <c r="H207" s="75">
        <v>7000</v>
      </c>
      <c r="I207" s="52" t="s">
        <v>49</v>
      </c>
      <c r="J207" s="223" t="s">
        <v>168</v>
      </c>
      <c r="K207" s="62">
        <v>267</v>
      </c>
      <c r="L207" s="66"/>
      <c r="M207" s="63"/>
      <c r="N207" s="63"/>
      <c r="O207" s="61"/>
      <c r="P207" s="61">
        <f t="shared" si="9"/>
        <v>2</v>
      </c>
      <c r="Q207" s="61">
        <f t="shared" si="10"/>
        <v>2020</v>
      </c>
      <c r="R207" s="100">
        <f t="shared" si="11"/>
        <v>15</v>
      </c>
    </row>
    <row r="208" spans="1:18" ht="14.25" x14ac:dyDescent="0.2">
      <c r="A208" s="63">
        <v>43822</v>
      </c>
      <c r="B208" s="61" t="s">
        <v>235</v>
      </c>
      <c r="C208" s="71" t="s">
        <v>18</v>
      </c>
      <c r="D208" s="73">
        <v>43881</v>
      </c>
      <c r="E208" s="61" t="s">
        <v>43</v>
      </c>
      <c r="F208" s="61">
        <v>96319158</v>
      </c>
      <c r="G208" s="61" t="s">
        <v>239</v>
      </c>
      <c r="H208" s="75">
        <v>25000</v>
      </c>
      <c r="I208" s="52" t="s">
        <v>150</v>
      </c>
      <c r="J208" s="223" t="s">
        <v>240</v>
      </c>
      <c r="K208" s="62">
        <v>268</v>
      </c>
      <c r="L208" s="66"/>
      <c r="M208" s="63"/>
      <c r="N208" s="63"/>
      <c r="O208" s="61"/>
      <c r="P208" s="61">
        <f t="shared" si="9"/>
        <v>2</v>
      </c>
      <c r="Q208" s="61">
        <f t="shared" si="10"/>
        <v>2020</v>
      </c>
      <c r="R208" s="100">
        <f t="shared" si="11"/>
        <v>20</v>
      </c>
    </row>
    <row r="209" spans="1:18" ht="14.25" x14ac:dyDescent="0.2">
      <c r="A209" s="63">
        <v>43822</v>
      </c>
      <c r="B209" s="61" t="s">
        <v>235</v>
      </c>
      <c r="C209" s="71" t="s">
        <v>18</v>
      </c>
      <c r="D209" s="73">
        <v>43855</v>
      </c>
      <c r="E209" s="61" t="s">
        <v>47</v>
      </c>
      <c r="F209" s="61">
        <v>71479697</v>
      </c>
      <c r="G209" s="61" t="s">
        <v>236</v>
      </c>
      <c r="H209" s="75">
        <v>3500</v>
      </c>
      <c r="I209" s="52" t="s">
        <v>49</v>
      </c>
      <c r="J209" s="223" t="s">
        <v>237</v>
      </c>
      <c r="K209" s="62">
        <v>269</v>
      </c>
      <c r="L209" s="66"/>
      <c r="M209" s="63">
        <v>43857</v>
      </c>
      <c r="N209" s="63"/>
      <c r="O209" s="61"/>
      <c r="P209" s="61">
        <f t="shared" si="9"/>
        <v>1</v>
      </c>
      <c r="Q209" s="61">
        <f t="shared" si="10"/>
        <v>2020</v>
      </c>
      <c r="R209" s="100">
        <f t="shared" si="11"/>
        <v>25</v>
      </c>
    </row>
    <row r="210" spans="1:18" ht="14.25" x14ac:dyDescent="0.2">
      <c r="A210" s="63">
        <v>43826</v>
      </c>
      <c r="B210" s="61" t="s">
        <v>209</v>
      </c>
      <c r="C210" s="71" t="s">
        <v>18</v>
      </c>
      <c r="D210" s="73">
        <v>43874</v>
      </c>
      <c r="E210" s="61" t="s">
        <v>185</v>
      </c>
      <c r="F210" s="61">
        <v>518387</v>
      </c>
      <c r="G210" s="61" t="s">
        <v>210</v>
      </c>
      <c r="H210" s="75">
        <v>36440</v>
      </c>
      <c r="I210" s="52" t="s">
        <v>49</v>
      </c>
      <c r="J210" s="223" t="s">
        <v>211</v>
      </c>
      <c r="K210" s="62">
        <v>270</v>
      </c>
      <c r="L210" s="66"/>
      <c r="M210" s="63">
        <v>43875</v>
      </c>
      <c r="N210" s="63"/>
      <c r="O210" s="61"/>
      <c r="P210" s="61">
        <f t="shared" si="9"/>
        <v>2</v>
      </c>
      <c r="Q210" s="61">
        <f t="shared" si="10"/>
        <v>2020</v>
      </c>
      <c r="R210" s="100">
        <f t="shared" si="11"/>
        <v>13</v>
      </c>
    </row>
    <row r="211" spans="1:18" ht="14.25" x14ac:dyDescent="0.2">
      <c r="A211" s="63">
        <v>43826</v>
      </c>
      <c r="B211" s="61" t="s">
        <v>209</v>
      </c>
      <c r="C211" s="71" t="s">
        <v>18</v>
      </c>
      <c r="D211" s="73">
        <v>43861</v>
      </c>
      <c r="E211" s="61" t="s">
        <v>123</v>
      </c>
      <c r="F211" s="61">
        <v>61403454</v>
      </c>
      <c r="G211" s="61" t="s">
        <v>226</v>
      </c>
      <c r="H211" s="75">
        <v>8500</v>
      </c>
      <c r="I211" s="52" t="s">
        <v>150</v>
      </c>
      <c r="J211" s="223" t="s">
        <v>228</v>
      </c>
      <c r="K211" s="62">
        <v>271</v>
      </c>
      <c r="L211" s="66"/>
      <c r="M211" s="63">
        <v>43837</v>
      </c>
      <c r="N211" s="63"/>
      <c r="O211" s="61"/>
      <c r="P211" s="61">
        <f t="shared" si="9"/>
        <v>1</v>
      </c>
      <c r="Q211" s="61">
        <f t="shared" si="10"/>
        <v>2020</v>
      </c>
      <c r="R211" s="100">
        <f t="shared" si="11"/>
        <v>31</v>
      </c>
    </row>
    <row r="212" spans="1:18" ht="14.25" x14ac:dyDescent="0.2">
      <c r="A212" s="63">
        <v>43826</v>
      </c>
      <c r="B212" s="61" t="s">
        <v>209</v>
      </c>
      <c r="C212" s="71" t="s">
        <v>18</v>
      </c>
      <c r="D212" s="73">
        <v>43838</v>
      </c>
      <c r="E212" s="61" t="s">
        <v>185</v>
      </c>
      <c r="F212" s="61">
        <v>518385</v>
      </c>
      <c r="G212" s="61" t="s">
        <v>210</v>
      </c>
      <c r="H212" s="75">
        <v>30000</v>
      </c>
      <c r="I212" s="52" t="s">
        <v>49</v>
      </c>
      <c r="J212" s="223" t="s">
        <v>211</v>
      </c>
      <c r="K212" s="62">
        <v>272</v>
      </c>
      <c r="L212" s="66"/>
      <c r="M212" s="63">
        <v>43838</v>
      </c>
      <c r="N212" s="63"/>
      <c r="O212" s="61"/>
      <c r="P212" s="61">
        <f t="shared" si="9"/>
        <v>1</v>
      </c>
      <c r="Q212" s="61">
        <f t="shared" si="10"/>
        <v>2020</v>
      </c>
      <c r="R212" s="100">
        <f t="shared" si="11"/>
        <v>8</v>
      </c>
    </row>
    <row r="213" spans="1:18" ht="14.25" x14ac:dyDescent="0.2">
      <c r="A213" s="63">
        <v>43826</v>
      </c>
      <c r="B213" s="61" t="s">
        <v>209</v>
      </c>
      <c r="C213" s="71" t="s">
        <v>18</v>
      </c>
      <c r="D213" s="73">
        <v>43847</v>
      </c>
      <c r="E213" s="61" t="s">
        <v>123</v>
      </c>
      <c r="F213" s="61">
        <v>61403452</v>
      </c>
      <c r="G213" s="61" t="s">
        <v>226</v>
      </c>
      <c r="H213" s="75">
        <v>9660</v>
      </c>
      <c r="I213" s="52" t="s">
        <v>49</v>
      </c>
      <c r="J213" s="223" t="s">
        <v>228</v>
      </c>
      <c r="K213" s="62">
        <v>273</v>
      </c>
      <c r="L213" s="66"/>
      <c r="M213" s="63">
        <v>43847</v>
      </c>
      <c r="N213" s="63"/>
      <c r="O213" s="61"/>
      <c r="P213" s="61">
        <f t="shared" si="9"/>
        <v>1</v>
      </c>
      <c r="Q213" s="61">
        <f t="shared" si="10"/>
        <v>2020</v>
      </c>
      <c r="R213" s="100">
        <f t="shared" si="11"/>
        <v>17</v>
      </c>
    </row>
    <row r="214" spans="1:18" ht="14.25" x14ac:dyDescent="0.2">
      <c r="A214" s="63">
        <v>43826</v>
      </c>
      <c r="B214" s="61" t="s">
        <v>209</v>
      </c>
      <c r="C214" s="71" t="s">
        <v>18</v>
      </c>
      <c r="D214" s="73">
        <v>43854</v>
      </c>
      <c r="E214" s="61" t="s">
        <v>123</v>
      </c>
      <c r="F214" s="61">
        <v>61403453</v>
      </c>
      <c r="G214" s="61" t="s">
        <v>226</v>
      </c>
      <c r="H214" s="75">
        <v>8500</v>
      </c>
      <c r="I214" s="52" t="s">
        <v>49</v>
      </c>
      <c r="J214" s="223" t="s">
        <v>227</v>
      </c>
      <c r="K214" s="62">
        <v>274</v>
      </c>
      <c r="L214" s="66"/>
      <c r="M214" s="63">
        <v>43854</v>
      </c>
      <c r="N214" s="61" t="s">
        <v>189</v>
      </c>
      <c r="O214" s="61"/>
      <c r="P214" s="61">
        <f t="shared" si="9"/>
        <v>1</v>
      </c>
      <c r="Q214" s="61">
        <f t="shared" si="10"/>
        <v>2020</v>
      </c>
      <c r="R214" s="100">
        <f t="shared" si="11"/>
        <v>24</v>
      </c>
    </row>
    <row r="215" spans="1:18" ht="14.25" x14ac:dyDescent="0.2">
      <c r="A215" s="63">
        <v>43826</v>
      </c>
      <c r="B215" s="61" t="s">
        <v>158</v>
      </c>
      <c r="C215" s="71" t="s">
        <v>18</v>
      </c>
      <c r="D215" s="73">
        <v>43830</v>
      </c>
      <c r="E215" s="61" t="s">
        <v>65</v>
      </c>
      <c r="F215" s="61">
        <v>49110445</v>
      </c>
      <c r="G215" s="61" t="s">
        <v>224</v>
      </c>
      <c r="H215" s="75">
        <v>10481.5</v>
      </c>
      <c r="I215" s="52" t="s">
        <v>150</v>
      </c>
      <c r="J215" s="223" t="s">
        <v>225</v>
      </c>
      <c r="K215" s="62">
        <v>275</v>
      </c>
      <c r="L215" s="66"/>
      <c r="M215" s="63">
        <v>43832</v>
      </c>
      <c r="N215" s="63"/>
      <c r="O215" s="61"/>
      <c r="P215" s="61">
        <f t="shared" si="9"/>
        <v>12</v>
      </c>
      <c r="Q215" s="61">
        <f t="shared" si="10"/>
        <v>2019</v>
      </c>
      <c r="R215" s="100">
        <f t="shared" si="11"/>
        <v>31</v>
      </c>
    </row>
    <row r="216" spans="1:18" ht="14.25" x14ac:dyDescent="0.2">
      <c r="A216" s="63">
        <v>43826</v>
      </c>
      <c r="B216" s="61" t="s">
        <v>158</v>
      </c>
      <c r="C216" s="71" t="s">
        <v>18</v>
      </c>
      <c r="D216" s="73">
        <v>43844</v>
      </c>
      <c r="E216" s="61" t="s">
        <v>57</v>
      </c>
      <c r="F216" s="61">
        <v>205351</v>
      </c>
      <c r="G216" s="61" t="s">
        <v>164</v>
      </c>
      <c r="H216" s="75">
        <v>3450</v>
      </c>
      <c r="I216" s="52" t="s">
        <v>49</v>
      </c>
      <c r="J216" s="223" t="s">
        <v>165</v>
      </c>
      <c r="K216" s="62">
        <v>276</v>
      </c>
      <c r="L216" s="66"/>
      <c r="M216" s="63">
        <v>43844</v>
      </c>
      <c r="N216" s="61" t="s">
        <v>15</v>
      </c>
      <c r="O216" s="61"/>
      <c r="P216" s="61">
        <f t="shared" si="9"/>
        <v>1</v>
      </c>
      <c r="Q216" s="61">
        <f t="shared" si="10"/>
        <v>2020</v>
      </c>
      <c r="R216" s="100">
        <f t="shared" si="11"/>
        <v>14</v>
      </c>
    </row>
    <row r="217" spans="1:18" ht="14.25" x14ac:dyDescent="0.2">
      <c r="A217" s="63">
        <v>43826</v>
      </c>
      <c r="B217" s="61" t="s">
        <v>158</v>
      </c>
      <c r="C217" s="71" t="s">
        <v>18</v>
      </c>
      <c r="D217" s="73">
        <v>43850</v>
      </c>
      <c r="E217" s="61" t="s">
        <v>182</v>
      </c>
      <c r="F217" s="61">
        <v>26604801</v>
      </c>
      <c r="G217" s="61" t="s">
        <v>220</v>
      </c>
      <c r="H217" s="75">
        <v>5300</v>
      </c>
      <c r="I217" s="52" t="s">
        <v>49</v>
      </c>
      <c r="J217" s="223" t="s">
        <v>221</v>
      </c>
      <c r="K217" s="62">
        <v>277</v>
      </c>
      <c r="L217" s="66"/>
      <c r="M217" s="63"/>
      <c r="N217" s="63"/>
      <c r="O217" s="61"/>
      <c r="P217" s="61">
        <f t="shared" si="9"/>
        <v>1</v>
      </c>
      <c r="Q217" s="61">
        <f t="shared" si="10"/>
        <v>2020</v>
      </c>
      <c r="R217" s="100">
        <f t="shared" si="11"/>
        <v>20</v>
      </c>
    </row>
    <row r="218" spans="1:18" ht="14.25" x14ac:dyDescent="0.2">
      <c r="A218" s="63">
        <v>43826</v>
      </c>
      <c r="B218" s="61" t="s">
        <v>158</v>
      </c>
      <c r="C218" s="71" t="s">
        <v>18</v>
      </c>
      <c r="D218" s="73">
        <v>43853</v>
      </c>
      <c r="E218" s="61" t="s">
        <v>57</v>
      </c>
      <c r="F218" s="61">
        <v>205352</v>
      </c>
      <c r="G218" s="61" t="s">
        <v>164</v>
      </c>
      <c r="H218" s="75">
        <v>3550</v>
      </c>
      <c r="I218" s="52" t="s">
        <v>49</v>
      </c>
      <c r="J218" s="223" t="s">
        <v>165</v>
      </c>
      <c r="K218" s="62">
        <v>278</v>
      </c>
      <c r="L218" s="66"/>
      <c r="M218" s="63">
        <v>43854</v>
      </c>
      <c r="N218" s="61" t="s">
        <v>223</v>
      </c>
      <c r="O218" s="61"/>
      <c r="P218" s="61">
        <f t="shared" si="9"/>
        <v>1</v>
      </c>
      <c r="Q218" s="61">
        <f t="shared" si="10"/>
        <v>2020</v>
      </c>
      <c r="R218" s="100">
        <f t="shared" si="11"/>
        <v>23</v>
      </c>
    </row>
    <row r="219" spans="1:18" ht="14.25" x14ac:dyDescent="0.2">
      <c r="A219" s="63">
        <v>43826</v>
      </c>
      <c r="B219" s="61" t="s">
        <v>158</v>
      </c>
      <c r="C219" s="71" t="s">
        <v>18</v>
      </c>
      <c r="D219" s="73">
        <v>43857</v>
      </c>
      <c r="E219" s="61" t="s">
        <v>182</v>
      </c>
      <c r="F219" s="61">
        <v>28804802</v>
      </c>
      <c r="G219" s="61" t="s">
        <v>220</v>
      </c>
      <c r="H219" s="75">
        <v>5300</v>
      </c>
      <c r="I219" s="52" t="s">
        <v>49</v>
      </c>
      <c r="J219" s="223" t="s">
        <v>221</v>
      </c>
      <c r="K219" s="62">
        <v>279</v>
      </c>
      <c r="L219" s="66"/>
      <c r="M219" s="63">
        <v>43858</v>
      </c>
      <c r="N219" s="61" t="s">
        <v>189</v>
      </c>
      <c r="O219" s="61"/>
      <c r="P219" s="61">
        <f t="shared" si="9"/>
        <v>1</v>
      </c>
      <c r="Q219" s="61">
        <f t="shared" si="10"/>
        <v>2020</v>
      </c>
      <c r="R219" s="100">
        <f t="shared" si="11"/>
        <v>27</v>
      </c>
    </row>
    <row r="220" spans="1:18" ht="14.25" x14ac:dyDescent="0.2">
      <c r="A220" s="63">
        <v>43826</v>
      </c>
      <c r="B220" s="61" t="s">
        <v>158</v>
      </c>
      <c r="C220" s="71" t="s">
        <v>18</v>
      </c>
      <c r="D220" s="73">
        <v>43858</v>
      </c>
      <c r="E220" s="61" t="s">
        <v>57</v>
      </c>
      <c r="F220" s="61">
        <v>205353</v>
      </c>
      <c r="G220" s="61" t="s">
        <v>164</v>
      </c>
      <c r="H220" s="75">
        <v>3550</v>
      </c>
      <c r="I220" s="52" t="s">
        <v>49</v>
      </c>
      <c r="J220" s="223" t="s">
        <v>165</v>
      </c>
      <c r="K220" s="62">
        <v>280</v>
      </c>
      <c r="L220" s="66"/>
      <c r="M220" s="63"/>
      <c r="N220" s="63"/>
      <c r="O220" s="61"/>
      <c r="P220" s="61">
        <f t="shared" si="9"/>
        <v>1</v>
      </c>
      <c r="Q220" s="61">
        <f t="shared" si="10"/>
        <v>2020</v>
      </c>
      <c r="R220" s="100">
        <f t="shared" si="11"/>
        <v>28</v>
      </c>
    </row>
    <row r="221" spans="1:18" ht="14.25" x14ac:dyDescent="0.2">
      <c r="A221" s="63">
        <v>43826</v>
      </c>
      <c r="B221" s="61" t="s">
        <v>158</v>
      </c>
      <c r="C221" s="71" t="s">
        <v>18</v>
      </c>
      <c r="D221" s="73">
        <v>43865</v>
      </c>
      <c r="E221" s="61" t="s">
        <v>57</v>
      </c>
      <c r="F221" s="61">
        <v>205354</v>
      </c>
      <c r="G221" s="61" t="s">
        <v>164</v>
      </c>
      <c r="H221" s="75">
        <v>3550</v>
      </c>
      <c r="I221" s="52" t="s">
        <v>49</v>
      </c>
      <c r="J221" s="223" t="s">
        <v>165</v>
      </c>
      <c r="K221" s="62">
        <v>281</v>
      </c>
      <c r="L221" s="66"/>
      <c r="M221" s="63">
        <v>43865</v>
      </c>
      <c r="N221" s="63"/>
      <c r="O221" s="61"/>
      <c r="P221" s="61">
        <f t="shared" si="9"/>
        <v>2</v>
      </c>
      <c r="Q221" s="61">
        <f t="shared" si="10"/>
        <v>2020</v>
      </c>
      <c r="R221" s="100">
        <f t="shared" si="11"/>
        <v>4</v>
      </c>
    </row>
    <row r="222" spans="1:18" ht="14.25" x14ac:dyDescent="0.2">
      <c r="A222" s="63">
        <v>43826</v>
      </c>
      <c r="B222" s="61" t="s">
        <v>158</v>
      </c>
      <c r="C222" s="71" t="s">
        <v>18</v>
      </c>
      <c r="D222" s="73">
        <v>43869</v>
      </c>
      <c r="E222" s="61" t="s">
        <v>47</v>
      </c>
      <c r="F222" s="61">
        <v>71785098</v>
      </c>
      <c r="G222" s="61" t="s">
        <v>216</v>
      </c>
      <c r="H222" s="75">
        <v>2520</v>
      </c>
      <c r="I222" s="52" t="s">
        <v>49</v>
      </c>
      <c r="J222" s="223" t="s">
        <v>217</v>
      </c>
      <c r="K222" s="62">
        <v>282</v>
      </c>
      <c r="L222" s="66"/>
      <c r="M222" s="63">
        <v>43875</v>
      </c>
      <c r="N222" s="61" t="s">
        <v>47</v>
      </c>
      <c r="O222" s="61"/>
      <c r="P222" s="61">
        <f t="shared" si="9"/>
        <v>2</v>
      </c>
      <c r="Q222" s="61">
        <f t="shared" si="10"/>
        <v>2020</v>
      </c>
      <c r="R222" s="100">
        <f t="shared" si="11"/>
        <v>8</v>
      </c>
    </row>
    <row r="223" spans="1:18" ht="14.25" x14ac:dyDescent="0.2">
      <c r="A223" s="63">
        <v>43826</v>
      </c>
      <c r="B223" s="61" t="s">
        <v>158</v>
      </c>
      <c r="C223" s="71" t="s">
        <v>18</v>
      </c>
      <c r="D223" s="73">
        <v>43875</v>
      </c>
      <c r="E223" s="61" t="s">
        <v>185</v>
      </c>
      <c r="F223" s="61">
        <v>476085</v>
      </c>
      <c r="G223" s="61" t="s">
        <v>214</v>
      </c>
      <c r="H223" s="75">
        <v>10000</v>
      </c>
      <c r="I223" s="52" t="s">
        <v>49</v>
      </c>
      <c r="J223" s="223" t="s">
        <v>215</v>
      </c>
      <c r="K223" s="62">
        <v>283</v>
      </c>
      <c r="L223" s="66"/>
      <c r="M223" s="63">
        <v>43875</v>
      </c>
      <c r="N223" s="63"/>
      <c r="O223" s="61"/>
      <c r="P223" s="61">
        <f t="shared" si="9"/>
        <v>2</v>
      </c>
      <c r="Q223" s="61">
        <f t="shared" si="10"/>
        <v>2020</v>
      </c>
      <c r="R223" s="100">
        <f t="shared" si="11"/>
        <v>14</v>
      </c>
    </row>
    <row r="224" spans="1:18" ht="14.25" x14ac:dyDescent="0.2">
      <c r="A224" s="63">
        <v>43829</v>
      </c>
      <c r="B224" s="61" t="s">
        <v>213</v>
      </c>
      <c r="C224" s="71" t="s">
        <v>18</v>
      </c>
      <c r="D224" s="73">
        <v>43889</v>
      </c>
      <c r="E224" s="61" t="s">
        <v>47</v>
      </c>
      <c r="F224" s="61">
        <v>71776714</v>
      </c>
      <c r="G224" s="61" t="s">
        <v>213</v>
      </c>
      <c r="H224" s="75">
        <v>9051</v>
      </c>
      <c r="I224" s="52" t="s">
        <v>49</v>
      </c>
      <c r="J224" s="223" t="s">
        <v>154</v>
      </c>
      <c r="K224" s="62">
        <v>284</v>
      </c>
      <c r="L224" s="66"/>
      <c r="M224" s="63">
        <v>43893</v>
      </c>
      <c r="N224" s="63"/>
      <c r="O224" s="61"/>
      <c r="P224" s="61">
        <f t="shared" si="9"/>
        <v>2</v>
      </c>
      <c r="Q224" s="61">
        <f t="shared" si="10"/>
        <v>2020</v>
      </c>
      <c r="R224" s="100">
        <f t="shared" si="11"/>
        <v>28</v>
      </c>
    </row>
    <row r="225" spans="1:18" ht="14.25" x14ac:dyDescent="0.2">
      <c r="A225" s="63">
        <v>43832</v>
      </c>
      <c r="B225" s="61" t="s">
        <v>209</v>
      </c>
      <c r="C225" s="71" t="s">
        <v>18</v>
      </c>
      <c r="D225" s="73">
        <v>43847</v>
      </c>
      <c r="E225" s="61" t="s">
        <v>185</v>
      </c>
      <c r="F225" s="61">
        <v>518386</v>
      </c>
      <c r="G225" s="61" t="s">
        <v>210</v>
      </c>
      <c r="H225" s="75">
        <v>20000</v>
      </c>
      <c r="I225" s="52" t="s">
        <v>97</v>
      </c>
      <c r="J225" s="223" t="s">
        <v>211</v>
      </c>
      <c r="K225" s="62">
        <v>285</v>
      </c>
      <c r="L225" s="66"/>
      <c r="M225" s="63">
        <v>43832</v>
      </c>
      <c r="N225" s="61" t="s">
        <v>212</v>
      </c>
      <c r="O225" s="61"/>
      <c r="P225" s="61">
        <f t="shared" si="9"/>
        <v>1</v>
      </c>
      <c r="Q225" s="61">
        <f t="shared" si="10"/>
        <v>2020</v>
      </c>
      <c r="R225" s="100">
        <f t="shared" si="11"/>
        <v>17</v>
      </c>
    </row>
    <row r="226" spans="1:18" ht="14.25" x14ac:dyDescent="0.2">
      <c r="A226" s="63">
        <v>43843</v>
      </c>
      <c r="B226" s="61" t="s">
        <v>169</v>
      </c>
      <c r="C226" s="71" t="s">
        <v>18</v>
      </c>
      <c r="D226" s="73">
        <v>43850</v>
      </c>
      <c r="E226" s="61" t="s">
        <v>206</v>
      </c>
      <c r="F226" s="61">
        <v>9390617</v>
      </c>
      <c r="G226" s="61" t="s">
        <v>207</v>
      </c>
      <c r="H226" s="75">
        <v>11216</v>
      </c>
      <c r="I226" s="52" t="s">
        <v>49</v>
      </c>
      <c r="J226" s="223" t="s">
        <v>208</v>
      </c>
      <c r="K226" s="62">
        <v>286</v>
      </c>
      <c r="L226" s="66"/>
      <c r="M226" s="63"/>
      <c r="N226" s="61"/>
      <c r="O226" s="61"/>
      <c r="P226" s="61">
        <f t="shared" si="9"/>
        <v>1</v>
      </c>
      <c r="Q226" s="61">
        <f t="shared" si="10"/>
        <v>2020</v>
      </c>
      <c r="R226" s="100">
        <f t="shared" si="11"/>
        <v>20</v>
      </c>
    </row>
    <row r="227" spans="1:18" ht="14.25" x14ac:dyDescent="0.2">
      <c r="A227" s="63">
        <v>43850</v>
      </c>
      <c r="B227" s="61" t="s">
        <v>166</v>
      </c>
      <c r="C227" s="71" t="s">
        <v>18</v>
      </c>
      <c r="D227" s="73">
        <v>43921</v>
      </c>
      <c r="E227" s="61" t="s">
        <v>65</v>
      </c>
      <c r="F227" s="61">
        <v>21851936</v>
      </c>
      <c r="G227" s="61" t="s">
        <v>176</v>
      </c>
      <c r="H227" s="75">
        <v>25000</v>
      </c>
      <c r="I227" s="52" t="s">
        <v>295</v>
      </c>
      <c r="J227" s="223" t="s">
        <v>177</v>
      </c>
      <c r="K227" s="62">
        <v>287</v>
      </c>
      <c r="L227" s="66"/>
      <c r="M227" s="63">
        <v>43879</v>
      </c>
      <c r="N227" s="61" t="s">
        <v>761</v>
      </c>
      <c r="O227" s="61"/>
      <c r="P227" s="61">
        <f t="shared" si="9"/>
        <v>3</v>
      </c>
      <c r="Q227" s="61">
        <f t="shared" si="10"/>
        <v>2020</v>
      </c>
      <c r="R227" s="100">
        <f t="shared" si="11"/>
        <v>31</v>
      </c>
    </row>
    <row r="228" spans="1:18" ht="14.25" x14ac:dyDescent="0.2">
      <c r="A228" s="63">
        <v>43850</v>
      </c>
      <c r="B228" s="61" t="s">
        <v>166</v>
      </c>
      <c r="C228" s="71" t="s">
        <v>18</v>
      </c>
      <c r="D228" s="73">
        <v>43951</v>
      </c>
      <c r="E228" s="61" t="s">
        <v>65</v>
      </c>
      <c r="F228" s="61">
        <v>21851937</v>
      </c>
      <c r="G228" s="61" t="s">
        <v>176</v>
      </c>
      <c r="H228" s="75">
        <v>45000</v>
      </c>
      <c r="I228" s="52" t="s">
        <v>150</v>
      </c>
      <c r="J228" s="223" t="s">
        <v>177</v>
      </c>
      <c r="K228" s="62">
        <v>288</v>
      </c>
      <c r="L228" s="66"/>
      <c r="M228" s="63">
        <v>43868</v>
      </c>
      <c r="N228" s="61"/>
      <c r="O228" s="61"/>
      <c r="P228" s="61">
        <f t="shared" si="9"/>
        <v>4</v>
      </c>
      <c r="Q228" s="61">
        <f t="shared" si="10"/>
        <v>2020</v>
      </c>
      <c r="R228" s="100">
        <f t="shared" si="11"/>
        <v>30</v>
      </c>
    </row>
    <row r="229" spans="1:18" ht="14.25" x14ac:dyDescent="0.2">
      <c r="A229" s="63">
        <v>43850</v>
      </c>
      <c r="B229" s="61" t="s">
        <v>180</v>
      </c>
      <c r="C229" s="71" t="s">
        <v>18</v>
      </c>
      <c r="D229" s="73">
        <v>43921</v>
      </c>
      <c r="E229" s="61" t="s">
        <v>65</v>
      </c>
      <c r="F229" s="61">
        <v>22233251</v>
      </c>
      <c r="G229" s="61" t="s">
        <v>180</v>
      </c>
      <c r="H229" s="75">
        <v>5000</v>
      </c>
      <c r="I229" s="52" t="s">
        <v>97</v>
      </c>
      <c r="J229" s="223" t="s">
        <v>200</v>
      </c>
      <c r="K229" s="62">
        <v>289</v>
      </c>
      <c r="L229" s="66"/>
      <c r="M229" s="63">
        <v>43888</v>
      </c>
      <c r="N229" s="61" t="s">
        <v>203</v>
      </c>
      <c r="O229" s="61"/>
      <c r="P229" s="61">
        <f t="shared" si="9"/>
        <v>3</v>
      </c>
      <c r="Q229" s="61">
        <f t="shared" si="10"/>
        <v>2020</v>
      </c>
      <c r="R229" s="100">
        <f t="shared" si="11"/>
        <v>31</v>
      </c>
    </row>
    <row r="230" spans="1:18" ht="14.25" x14ac:dyDescent="0.2">
      <c r="A230" s="63">
        <v>43850</v>
      </c>
      <c r="B230" s="61" t="s">
        <v>180</v>
      </c>
      <c r="C230" s="71" t="s">
        <v>18</v>
      </c>
      <c r="D230" s="73">
        <v>43921</v>
      </c>
      <c r="E230" s="61" t="s">
        <v>65</v>
      </c>
      <c r="F230" s="61">
        <v>22233252</v>
      </c>
      <c r="G230" s="61" t="s">
        <v>180</v>
      </c>
      <c r="H230" s="75">
        <v>5000</v>
      </c>
      <c r="I230" s="52" t="s">
        <v>97</v>
      </c>
      <c r="J230" s="223" t="s">
        <v>200</v>
      </c>
      <c r="K230" s="62">
        <v>290</v>
      </c>
      <c r="L230" s="66"/>
      <c r="M230" s="63">
        <v>43854</v>
      </c>
      <c r="N230" s="61" t="s">
        <v>199</v>
      </c>
      <c r="O230" s="61"/>
      <c r="P230" s="61">
        <f t="shared" si="9"/>
        <v>3</v>
      </c>
      <c r="Q230" s="61">
        <f t="shared" si="10"/>
        <v>2020</v>
      </c>
      <c r="R230" s="100">
        <f t="shared" si="11"/>
        <v>31</v>
      </c>
    </row>
    <row r="231" spans="1:18" ht="14.25" x14ac:dyDescent="0.2">
      <c r="A231" s="63">
        <v>43850</v>
      </c>
      <c r="B231" s="61" t="s">
        <v>180</v>
      </c>
      <c r="C231" s="71" t="s">
        <v>18</v>
      </c>
      <c r="D231" s="73">
        <v>43951</v>
      </c>
      <c r="E231" s="61" t="s">
        <v>65</v>
      </c>
      <c r="F231" s="61">
        <v>22233253</v>
      </c>
      <c r="G231" s="61" t="s">
        <v>180</v>
      </c>
      <c r="H231" s="75">
        <v>5000</v>
      </c>
      <c r="I231" s="52" t="s">
        <v>97</v>
      </c>
      <c r="J231" s="223" t="s">
        <v>198</v>
      </c>
      <c r="K231" s="62">
        <v>291</v>
      </c>
      <c r="L231" s="66"/>
      <c r="M231" s="63">
        <v>43893</v>
      </c>
      <c r="N231" s="61" t="s">
        <v>745</v>
      </c>
      <c r="O231" s="61"/>
      <c r="P231" s="61">
        <f t="shared" si="9"/>
        <v>4</v>
      </c>
      <c r="Q231" s="61">
        <f t="shared" si="10"/>
        <v>2020</v>
      </c>
      <c r="R231" s="100">
        <f t="shared" si="11"/>
        <v>30</v>
      </c>
    </row>
    <row r="232" spans="1:18" ht="14.25" x14ac:dyDescent="0.2">
      <c r="A232" s="63">
        <v>43850</v>
      </c>
      <c r="B232" s="61" t="s">
        <v>180</v>
      </c>
      <c r="C232" s="71" t="s">
        <v>18</v>
      </c>
      <c r="D232" s="73">
        <v>43951</v>
      </c>
      <c r="E232" s="61" t="s">
        <v>65</v>
      </c>
      <c r="F232" s="61">
        <v>22233254</v>
      </c>
      <c r="G232" s="61" t="s">
        <v>180</v>
      </c>
      <c r="H232" s="75">
        <v>5000</v>
      </c>
      <c r="I232" s="52" t="s">
        <v>97</v>
      </c>
      <c r="J232" s="223" t="s">
        <v>200</v>
      </c>
      <c r="K232" s="62">
        <v>292</v>
      </c>
      <c r="L232" s="66"/>
      <c r="M232" s="63">
        <v>43892</v>
      </c>
      <c r="N232" s="61"/>
      <c r="O232" s="61"/>
      <c r="P232" s="61">
        <f t="shared" si="9"/>
        <v>4</v>
      </c>
      <c r="Q232" s="61">
        <f t="shared" si="10"/>
        <v>2020</v>
      </c>
      <c r="R232" s="100">
        <f t="shared" si="11"/>
        <v>30</v>
      </c>
    </row>
    <row r="233" spans="1:18" ht="14.25" x14ac:dyDescent="0.2">
      <c r="A233" s="63">
        <v>43850</v>
      </c>
      <c r="B233" s="61" t="s">
        <v>180</v>
      </c>
      <c r="C233" s="71" t="s">
        <v>18</v>
      </c>
      <c r="D233" s="73">
        <v>43951</v>
      </c>
      <c r="E233" s="61" t="s">
        <v>65</v>
      </c>
      <c r="F233" s="61">
        <v>22233256</v>
      </c>
      <c r="G233" s="61" t="s">
        <v>180</v>
      </c>
      <c r="H233" s="75">
        <v>5000</v>
      </c>
      <c r="I233" s="62" t="s">
        <v>49</v>
      </c>
      <c r="J233" s="223" t="s">
        <v>200</v>
      </c>
      <c r="K233" s="62">
        <v>293</v>
      </c>
      <c r="L233" s="66"/>
      <c r="M233" s="63"/>
      <c r="N233" s="61"/>
      <c r="O233" s="61"/>
      <c r="P233" s="61">
        <f t="shared" si="9"/>
        <v>4</v>
      </c>
      <c r="Q233" s="61">
        <f t="shared" si="10"/>
        <v>2020</v>
      </c>
      <c r="R233" s="100">
        <f t="shared" si="11"/>
        <v>30</v>
      </c>
    </row>
    <row r="234" spans="1:18" ht="14.25" x14ac:dyDescent="0.2">
      <c r="A234" s="63">
        <v>43850</v>
      </c>
      <c r="B234" s="61" t="s">
        <v>180</v>
      </c>
      <c r="C234" s="71" t="s">
        <v>18</v>
      </c>
      <c r="D234" s="73">
        <v>43951</v>
      </c>
      <c r="E234" s="61" t="s">
        <v>65</v>
      </c>
      <c r="F234" s="61">
        <v>22233255</v>
      </c>
      <c r="G234" s="61" t="s">
        <v>180</v>
      </c>
      <c r="H234" s="75">
        <v>5136</v>
      </c>
      <c r="I234" s="62" t="s">
        <v>97</v>
      </c>
      <c r="J234" s="223" t="s">
        <v>198</v>
      </c>
      <c r="K234" s="62">
        <v>294</v>
      </c>
      <c r="L234" s="66"/>
      <c r="M234" s="63">
        <v>43854</v>
      </c>
      <c r="N234" s="61" t="s">
        <v>199</v>
      </c>
      <c r="O234" s="61"/>
      <c r="P234" s="61">
        <f t="shared" si="9"/>
        <v>4</v>
      </c>
      <c r="Q234" s="61">
        <f t="shared" si="10"/>
        <v>2020</v>
      </c>
      <c r="R234" s="100">
        <f t="shared" si="11"/>
        <v>30</v>
      </c>
    </row>
    <row r="235" spans="1:18" ht="14.25" x14ac:dyDescent="0.2">
      <c r="A235" s="63">
        <v>43857</v>
      </c>
      <c r="B235" s="61" t="s">
        <v>195</v>
      </c>
      <c r="C235" s="71" t="s">
        <v>18</v>
      </c>
      <c r="D235" s="73">
        <v>43903</v>
      </c>
      <c r="E235" s="61" t="s">
        <v>65</v>
      </c>
      <c r="F235" s="61">
        <v>38918097</v>
      </c>
      <c r="G235" s="61" t="s">
        <v>196</v>
      </c>
      <c r="H235" s="75">
        <v>5400</v>
      </c>
      <c r="I235" s="52" t="s">
        <v>97</v>
      </c>
      <c r="J235" s="223" t="s">
        <v>197</v>
      </c>
      <c r="K235" s="62">
        <v>295</v>
      </c>
      <c r="L235" s="66"/>
      <c r="M235" s="63">
        <v>43906</v>
      </c>
      <c r="N235" s="61" t="s">
        <v>757</v>
      </c>
      <c r="O235" s="61"/>
      <c r="P235" s="61">
        <f t="shared" si="9"/>
        <v>3</v>
      </c>
      <c r="Q235" s="61">
        <f t="shared" si="10"/>
        <v>2020</v>
      </c>
      <c r="R235" s="100">
        <f t="shared" si="11"/>
        <v>13</v>
      </c>
    </row>
    <row r="236" spans="1:18" ht="14.25" x14ac:dyDescent="0.2">
      <c r="A236" s="63">
        <v>43857</v>
      </c>
      <c r="B236" s="61" t="s">
        <v>191</v>
      </c>
      <c r="C236" s="71" t="s">
        <v>18</v>
      </c>
      <c r="D236" s="73">
        <v>43918</v>
      </c>
      <c r="E236" s="61" t="s">
        <v>123</v>
      </c>
      <c r="F236" s="61">
        <v>62198441</v>
      </c>
      <c r="G236" s="61" t="s">
        <v>192</v>
      </c>
      <c r="H236" s="75">
        <v>11200</v>
      </c>
      <c r="I236" s="52" t="s">
        <v>49</v>
      </c>
      <c r="J236" s="223" t="s">
        <v>193</v>
      </c>
      <c r="K236" s="62">
        <v>296</v>
      </c>
      <c r="L236" s="66"/>
      <c r="M236" s="63">
        <v>43923</v>
      </c>
      <c r="N236" s="61"/>
      <c r="O236" s="61"/>
      <c r="P236" s="61">
        <f t="shared" si="9"/>
        <v>3</v>
      </c>
      <c r="Q236" s="61">
        <f t="shared" si="10"/>
        <v>2020</v>
      </c>
      <c r="R236" s="100">
        <f t="shared" si="11"/>
        <v>28</v>
      </c>
    </row>
    <row r="237" spans="1:18" ht="14.25" x14ac:dyDescent="0.2">
      <c r="A237" s="63">
        <v>43858</v>
      </c>
      <c r="B237" s="61" t="s">
        <v>42</v>
      </c>
      <c r="C237" s="71" t="s">
        <v>18</v>
      </c>
      <c r="D237" s="73">
        <v>43845</v>
      </c>
      <c r="E237" s="61" t="s">
        <v>186</v>
      </c>
      <c r="F237" s="61">
        <v>15101780</v>
      </c>
      <c r="G237" s="61" t="s">
        <v>187</v>
      </c>
      <c r="H237" s="75">
        <v>1500</v>
      </c>
      <c r="I237" s="52" t="s">
        <v>49</v>
      </c>
      <c r="J237" s="223" t="s">
        <v>188</v>
      </c>
      <c r="K237" s="62">
        <v>297</v>
      </c>
      <c r="L237" s="66"/>
      <c r="M237" s="63">
        <v>43858</v>
      </c>
      <c r="N237" s="61" t="s">
        <v>189</v>
      </c>
      <c r="O237" s="61"/>
      <c r="P237" s="61">
        <f t="shared" si="9"/>
        <v>1</v>
      </c>
      <c r="Q237" s="61">
        <f t="shared" si="10"/>
        <v>2020</v>
      </c>
      <c r="R237" s="100">
        <f t="shared" si="11"/>
        <v>15</v>
      </c>
    </row>
    <row r="238" spans="1:18" ht="14.25" x14ac:dyDescent="0.2">
      <c r="A238" s="63">
        <v>43858</v>
      </c>
      <c r="B238" s="61" t="s">
        <v>42</v>
      </c>
      <c r="C238" s="71" t="s">
        <v>18</v>
      </c>
      <c r="D238" s="73">
        <v>43843</v>
      </c>
      <c r="E238" s="61" t="s">
        <v>182</v>
      </c>
      <c r="F238" s="61">
        <v>27212197</v>
      </c>
      <c r="G238" s="61" t="s">
        <v>183</v>
      </c>
      <c r="H238" s="75">
        <v>1938.26</v>
      </c>
      <c r="I238" s="52" t="s">
        <v>49</v>
      </c>
      <c r="J238" s="223" t="s">
        <v>184</v>
      </c>
      <c r="K238" s="62">
        <v>298</v>
      </c>
      <c r="L238" s="66"/>
      <c r="M238" s="63">
        <v>43858</v>
      </c>
      <c r="N238" s="61" t="s">
        <v>185</v>
      </c>
      <c r="O238" s="61"/>
      <c r="P238" s="61">
        <f t="shared" si="9"/>
        <v>1</v>
      </c>
      <c r="Q238" s="61">
        <f t="shared" si="10"/>
        <v>2020</v>
      </c>
      <c r="R238" s="100">
        <f t="shared" si="11"/>
        <v>13</v>
      </c>
    </row>
    <row r="239" spans="1:18" ht="14.25" x14ac:dyDescent="0.2">
      <c r="A239" s="63">
        <v>43864</v>
      </c>
      <c r="B239" s="61" t="s">
        <v>180</v>
      </c>
      <c r="C239" s="71" t="s">
        <v>18</v>
      </c>
      <c r="D239" s="73">
        <v>43861</v>
      </c>
      <c r="E239" s="61" t="s">
        <v>65</v>
      </c>
      <c r="F239" s="61">
        <v>21651034</v>
      </c>
      <c r="G239" s="61" t="s">
        <v>180</v>
      </c>
      <c r="H239" s="75">
        <v>8000</v>
      </c>
      <c r="I239" s="52" t="s">
        <v>49</v>
      </c>
      <c r="J239" s="223" t="s">
        <v>181</v>
      </c>
      <c r="K239" s="62">
        <v>299</v>
      </c>
      <c r="L239" s="66"/>
      <c r="M239" s="63">
        <v>43864</v>
      </c>
      <c r="N239" s="61"/>
      <c r="O239" s="61"/>
      <c r="P239" s="61">
        <f t="shared" si="9"/>
        <v>1</v>
      </c>
      <c r="Q239" s="61">
        <f t="shared" si="10"/>
        <v>2020</v>
      </c>
      <c r="R239" s="100">
        <f t="shared" si="11"/>
        <v>31</v>
      </c>
    </row>
    <row r="240" spans="1:18" ht="14.25" x14ac:dyDescent="0.2">
      <c r="A240" s="63">
        <v>43867</v>
      </c>
      <c r="B240" s="61" t="s">
        <v>166</v>
      </c>
      <c r="C240" s="71" t="s">
        <v>18</v>
      </c>
      <c r="D240" s="73">
        <v>43917</v>
      </c>
      <c r="E240" s="61" t="s">
        <v>47</v>
      </c>
      <c r="F240" s="61">
        <v>52679626</v>
      </c>
      <c r="G240" s="61" t="s">
        <v>178</v>
      </c>
      <c r="H240" s="75">
        <v>5000</v>
      </c>
      <c r="I240" s="52" t="s">
        <v>97</v>
      </c>
      <c r="J240" s="223" t="s">
        <v>179</v>
      </c>
      <c r="K240" s="62">
        <v>300</v>
      </c>
      <c r="L240" s="66"/>
      <c r="M240" s="63">
        <v>43923</v>
      </c>
      <c r="N240" s="61" t="s">
        <v>166</v>
      </c>
      <c r="O240" s="61"/>
      <c r="P240" s="61">
        <f t="shared" si="9"/>
        <v>3</v>
      </c>
      <c r="Q240" s="61">
        <f t="shared" si="10"/>
        <v>2020</v>
      </c>
      <c r="R240" s="100">
        <f t="shared" si="11"/>
        <v>27</v>
      </c>
    </row>
    <row r="241" spans="1:18" ht="14.25" x14ac:dyDescent="0.2">
      <c r="A241" s="63">
        <v>43867</v>
      </c>
      <c r="B241" s="61" t="s">
        <v>166</v>
      </c>
      <c r="C241" s="71" t="s">
        <v>18</v>
      </c>
      <c r="D241" s="73">
        <v>43945</v>
      </c>
      <c r="E241" s="61" t="s">
        <v>65</v>
      </c>
      <c r="F241" s="61">
        <v>21851944</v>
      </c>
      <c r="G241" s="61" t="s">
        <v>176</v>
      </c>
      <c r="H241" s="75">
        <v>24000</v>
      </c>
      <c r="I241" s="52" t="s">
        <v>97</v>
      </c>
      <c r="J241" s="223" t="s">
        <v>177</v>
      </c>
      <c r="K241" s="62">
        <v>301</v>
      </c>
      <c r="L241" s="66"/>
      <c r="M241" s="63">
        <v>43955</v>
      </c>
      <c r="N241" s="61" t="s">
        <v>766</v>
      </c>
      <c r="O241" s="61"/>
      <c r="P241" s="61">
        <f t="shared" si="9"/>
        <v>4</v>
      </c>
      <c r="Q241" s="61">
        <f t="shared" si="10"/>
        <v>2020</v>
      </c>
      <c r="R241" s="100">
        <f t="shared" si="11"/>
        <v>24</v>
      </c>
    </row>
    <row r="242" spans="1:18" ht="14.25" x14ac:dyDescent="0.2">
      <c r="A242" s="63">
        <v>43867</v>
      </c>
      <c r="B242" s="61" t="s">
        <v>166</v>
      </c>
      <c r="C242" s="71" t="s">
        <v>18</v>
      </c>
      <c r="D242" s="73">
        <v>43969</v>
      </c>
      <c r="E242" s="61" t="s">
        <v>65</v>
      </c>
      <c r="F242" s="61">
        <v>21851946</v>
      </c>
      <c r="G242" s="61" t="s">
        <v>176</v>
      </c>
      <c r="H242" s="75">
        <v>25000</v>
      </c>
      <c r="I242" s="52" t="s">
        <v>150</v>
      </c>
      <c r="J242" s="223" t="s">
        <v>177</v>
      </c>
      <c r="K242" s="62">
        <v>302</v>
      </c>
      <c r="L242" s="66"/>
      <c r="M242" s="63">
        <v>43908</v>
      </c>
      <c r="N242" s="61"/>
      <c r="O242" s="61"/>
      <c r="P242" s="61">
        <f t="shared" si="9"/>
        <v>5</v>
      </c>
      <c r="Q242" s="61">
        <f t="shared" si="10"/>
        <v>2020</v>
      </c>
      <c r="R242" s="100">
        <f t="shared" si="11"/>
        <v>18</v>
      </c>
    </row>
    <row r="243" spans="1:18" ht="14.25" x14ac:dyDescent="0.2">
      <c r="A243" s="63">
        <v>43867</v>
      </c>
      <c r="B243" s="61" t="s">
        <v>173</v>
      </c>
      <c r="C243" s="71" t="s">
        <v>18</v>
      </c>
      <c r="D243" s="73">
        <v>43917</v>
      </c>
      <c r="E243" s="61" t="s">
        <v>123</v>
      </c>
      <c r="F243" s="61">
        <v>48117294</v>
      </c>
      <c r="G243" s="61" t="s">
        <v>174</v>
      </c>
      <c r="H243" s="75">
        <v>17176</v>
      </c>
      <c r="I243" s="52" t="s">
        <v>49</v>
      </c>
      <c r="J243" s="223" t="s">
        <v>175</v>
      </c>
      <c r="K243" s="62">
        <v>303</v>
      </c>
      <c r="L243" s="66"/>
      <c r="M243" s="63">
        <v>43923</v>
      </c>
      <c r="N243" s="61"/>
      <c r="O243" s="61"/>
      <c r="P243" s="61">
        <f t="shared" si="9"/>
        <v>3</v>
      </c>
      <c r="Q243" s="61">
        <f t="shared" si="10"/>
        <v>2020</v>
      </c>
      <c r="R243" s="100">
        <f t="shared" si="11"/>
        <v>27</v>
      </c>
    </row>
    <row r="244" spans="1:18" ht="14.25" x14ac:dyDescent="0.2">
      <c r="A244" s="63">
        <v>43873</v>
      </c>
      <c r="B244" s="61" t="s">
        <v>169</v>
      </c>
      <c r="C244" s="71" t="s">
        <v>18</v>
      </c>
      <c r="D244" s="73">
        <v>43868</v>
      </c>
      <c r="E244" s="61" t="s">
        <v>170</v>
      </c>
      <c r="F244" s="61">
        <v>31642383</v>
      </c>
      <c r="G244" s="61" t="s">
        <v>171</v>
      </c>
      <c r="H244" s="75">
        <v>11649.95</v>
      </c>
      <c r="I244" s="52" t="s">
        <v>49</v>
      </c>
      <c r="J244" s="223" t="s">
        <v>172</v>
      </c>
      <c r="K244" s="62">
        <v>304</v>
      </c>
      <c r="L244" s="66"/>
      <c r="M244" s="63">
        <v>43873</v>
      </c>
      <c r="N244" s="61" t="s">
        <v>47</v>
      </c>
      <c r="O244" s="61"/>
      <c r="P244" s="61">
        <f t="shared" si="9"/>
        <v>2</v>
      </c>
      <c r="Q244" s="61">
        <f t="shared" si="10"/>
        <v>2020</v>
      </c>
      <c r="R244" s="100">
        <f t="shared" si="11"/>
        <v>7</v>
      </c>
    </row>
    <row r="245" spans="1:18" ht="14.25" x14ac:dyDescent="0.2">
      <c r="A245" s="64">
        <v>43875</v>
      </c>
      <c r="B245" s="61" t="s">
        <v>158</v>
      </c>
      <c r="C245" s="71" t="s">
        <v>18</v>
      </c>
      <c r="D245" s="73">
        <v>43876</v>
      </c>
      <c r="E245" s="61" t="s">
        <v>79</v>
      </c>
      <c r="F245" s="61">
        <v>61081081</v>
      </c>
      <c r="G245" s="61" t="s">
        <v>167</v>
      </c>
      <c r="H245" s="75">
        <v>3640</v>
      </c>
      <c r="I245" s="52" t="s">
        <v>49</v>
      </c>
      <c r="J245" s="223" t="s">
        <v>168</v>
      </c>
      <c r="K245" s="62">
        <v>305</v>
      </c>
      <c r="L245" s="66"/>
      <c r="M245" s="63"/>
      <c r="N245" s="61"/>
      <c r="O245" s="61"/>
      <c r="P245" s="61">
        <f t="shared" si="9"/>
        <v>2</v>
      </c>
      <c r="Q245" s="61">
        <f t="shared" si="10"/>
        <v>2020</v>
      </c>
      <c r="R245" s="100">
        <f t="shared" si="11"/>
        <v>15</v>
      </c>
    </row>
    <row r="246" spans="1:18" ht="14.25" x14ac:dyDescent="0.2">
      <c r="A246" s="63">
        <v>43875</v>
      </c>
      <c r="B246" s="61" t="s">
        <v>158</v>
      </c>
      <c r="C246" s="71" t="s">
        <v>18</v>
      </c>
      <c r="D246" s="73">
        <v>43882</v>
      </c>
      <c r="E246" s="61" t="s">
        <v>57</v>
      </c>
      <c r="F246" s="61">
        <v>205356</v>
      </c>
      <c r="G246" s="61" t="s">
        <v>164</v>
      </c>
      <c r="H246" s="75">
        <v>3550</v>
      </c>
      <c r="I246" s="52" t="s">
        <v>49</v>
      </c>
      <c r="J246" s="223" t="s">
        <v>165</v>
      </c>
      <c r="K246" s="62">
        <v>306</v>
      </c>
      <c r="L246" s="66"/>
      <c r="M246" s="63"/>
      <c r="N246" s="61"/>
      <c r="O246" s="61"/>
      <c r="P246" s="61">
        <f t="shared" si="9"/>
        <v>2</v>
      </c>
      <c r="Q246" s="61">
        <f t="shared" si="10"/>
        <v>2020</v>
      </c>
      <c r="R246" s="100">
        <f t="shared" si="11"/>
        <v>21</v>
      </c>
    </row>
    <row r="247" spans="1:18" ht="14.25" x14ac:dyDescent="0.2">
      <c r="A247" s="63">
        <v>43875</v>
      </c>
      <c r="B247" s="61" t="s">
        <v>158</v>
      </c>
      <c r="C247" s="71" t="s">
        <v>18</v>
      </c>
      <c r="D247" s="73">
        <v>43890</v>
      </c>
      <c r="E247" s="61" t="s">
        <v>43</v>
      </c>
      <c r="F247" s="61">
        <v>12275699</v>
      </c>
      <c r="G247" s="61" t="s">
        <v>161</v>
      </c>
      <c r="H247" s="75">
        <v>5200</v>
      </c>
      <c r="I247" s="52" t="s">
        <v>49</v>
      </c>
      <c r="J247" s="223" t="s">
        <v>162</v>
      </c>
      <c r="K247" s="62">
        <v>307</v>
      </c>
      <c r="L247" s="66"/>
      <c r="M247" s="63"/>
      <c r="N247" s="61"/>
      <c r="O247" s="61"/>
      <c r="P247" s="61">
        <f t="shared" si="9"/>
        <v>2</v>
      </c>
      <c r="Q247" s="61">
        <f t="shared" si="10"/>
        <v>2020</v>
      </c>
      <c r="R247" s="100">
        <f t="shared" si="11"/>
        <v>29</v>
      </c>
    </row>
    <row r="248" spans="1:18" ht="14.25" x14ac:dyDescent="0.2">
      <c r="A248" s="63">
        <v>43875</v>
      </c>
      <c r="B248" s="61" t="s">
        <v>158</v>
      </c>
      <c r="C248" s="71" t="s">
        <v>18</v>
      </c>
      <c r="D248" s="73">
        <v>43911</v>
      </c>
      <c r="E248" s="61" t="s">
        <v>43</v>
      </c>
      <c r="F248" s="61">
        <v>12275700</v>
      </c>
      <c r="G248" s="61" t="s">
        <v>161</v>
      </c>
      <c r="H248" s="75">
        <v>5200</v>
      </c>
      <c r="I248" s="52" t="s">
        <v>295</v>
      </c>
      <c r="J248" s="223" t="s">
        <v>162</v>
      </c>
      <c r="K248" s="62">
        <v>308</v>
      </c>
      <c r="L248" s="66"/>
      <c r="M248" s="63">
        <v>43923</v>
      </c>
      <c r="N248" s="61"/>
      <c r="O248" s="61"/>
      <c r="P248" s="61">
        <f t="shared" si="9"/>
        <v>3</v>
      </c>
      <c r="Q248" s="61">
        <f t="shared" si="10"/>
        <v>2020</v>
      </c>
      <c r="R248" s="100">
        <f t="shared" si="11"/>
        <v>21</v>
      </c>
    </row>
    <row r="249" spans="1:18" ht="14.25" x14ac:dyDescent="0.2">
      <c r="A249" s="63">
        <v>43875</v>
      </c>
      <c r="B249" s="61" t="s">
        <v>158</v>
      </c>
      <c r="C249" s="71" t="s">
        <v>18</v>
      </c>
      <c r="D249" s="73">
        <v>43913</v>
      </c>
      <c r="E249" s="61" t="s">
        <v>47</v>
      </c>
      <c r="F249" s="61">
        <v>46597215</v>
      </c>
      <c r="G249" s="61" t="s">
        <v>159</v>
      </c>
      <c r="H249" s="75">
        <v>4904</v>
      </c>
      <c r="I249" s="52" t="s">
        <v>49</v>
      </c>
      <c r="J249" s="223" t="s">
        <v>160</v>
      </c>
      <c r="K249" s="62">
        <v>309</v>
      </c>
      <c r="L249" s="66"/>
      <c r="M249" s="63">
        <v>43929</v>
      </c>
      <c r="N249" s="61"/>
      <c r="O249" s="61"/>
      <c r="P249" s="61">
        <f t="shared" si="9"/>
        <v>3</v>
      </c>
      <c r="Q249" s="61">
        <f t="shared" si="10"/>
        <v>2020</v>
      </c>
      <c r="R249" s="100">
        <f t="shared" si="11"/>
        <v>23</v>
      </c>
    </row>
    <row r="250" spans="1:18" ht="14.25" x14ac:dyDescent="0.2">
      <c r="A250" s="63">
        <v>43875</v>
      </c>
      <c r="B250" s="61" t="s">
        <v>155</v>
      </c>
      <c r="C250" s="71" t="s">
        <v>18</v>
      </c>
      <c r="D250" s="73">
        <v>43951</v>
      </c>
      <c r="E250" s="61" t="s">
        <v>47</v>
      </c>
      <c r="F250" s="61">
        <v>72773459</v>
      </c>
      <c r="G250" s="61" t="s">
        <v>155</v>
      </c>
      <c r="H250" s="75">
        <v>14000</v>
      </c>
      <c r="I250" s="52" t="s">
        <v>295</v>
      </c>
      <c r="J250" s="223" t="s">
        <v>156</v>
      </c>
      <c r="K250" s="62">
        <v>310</v>
      </c>
      <c r="L250" s="66"/>
      <c r="M250" s="63">
        <v>43955</v>
      </c>
      <c r="N250" s="61" t="s">
        <v>222</v>
      </c>
      <c r="O250" s="61"/>
      <c r="P250" s="61">
        <f t="shared" si="9"/>
        <v>4</v>
      </c>
      <c r="Q250" s="61">
        <f t="shared" si="10"/>
        <v>2020</v>
      </c>
      <c r="R250" s="100">
        <f t="shared" si="11"/>
        <v>30</v>
      </c>
    </row>
    <row r="251" spans="1:18" ht="14.25" x14ac:dyDescent="0.2">
      <c r="A251" s="63">
        <v>43875</v>
      </c>
      <c r="B251" s="61" t="s">
        <v>155</v>
      </c>
      <c r="C251" s="71" t="s">
        <v>18</v>
      </c>
      <c r="D251" s="73">
        <v>43943</v>
      </c>
      <c r="E251" s="61" t="s">
        <v>47</v>
      </c>
      <c r="F251" s="61">
        <v>72773458</v>
      </c>
      <c r="G251" s="61" t="s">
        <v>155</v>
      </c>
      <c r="H251" s="75">
        <v>13000</v>
      </c>
      <c r="I251" s="52" t="s">
        <v>295</v>
      </c>
      <c r="J251" s="223" t="s">
        <v>156</v>
      </c>
      <c r="K251" s="62">
        <v>311</v>
      </c>
      <c r="L251" s="66"/>
      <c r="M251" s="63">
        <v>43955</v>
      </c>
      <c r="N251" s="61" t="s">
        <v>222</v>
      </c>
      <c r="O251" s="61"/>
      <c r="P251" s="61">
        <f t="shared" si="9"/>
        <v>4</v>
      </c>
      <c r="Q251" s="61">
        <f t="shared" si="10"/>
        <v>2020</v>
      </c>
      <c r="R251" s="100">
        <f t="shared" si="11"/>
        <v>22</v>
      </c>
    </row>
    <row r="252" spans="1:18" ht="14.25" x14ac:dyDescent="0.2">
      <c r="A252" s="63">
        <v>43875</v>
      </c>
      <c r="B252" s="61" t="s">
        <v>155</v>
      </c>
      <c r="C252" s="71" t="s">
        <v>18</v>
      </c>
      <c r="D252" s="73">
        <v>43937</v>
      </c>
      <c r="E252" s="61" t="s">
        <v>47</v>
      </c>
      <c r="F252" s="61">
        <v>72773457</v>
      </c>
      <c r="G252" s="61" t="s">
        <v>155</v>
      </c>
      <c r="H252" s="75">
        <v>12000</v>
      </c>
      <c r="I252" s="52" t="s">
        <v>97</v>
      </c>
      <c r="J252" s="223" t="s">
        <v>156</v>
      </c>
      <c r="K252" s="62">
        <v>312</v>
      </c>
      <c r="L252" s="66"/>
      <c r="M252" s="63">
        <v>43943</v>
      </c>
      <c r="N252" s="61" t="s">
        <v>222</v>
      </c>
      <c r="O252" s="61"/>
      <c r="P252" s="61">
        <f t="shared" si="9"/>
        <v>4</v>
      </c>
      <c r="Q252" s="61">
        <f t="shared" si="10"/>
        <v>2020</v>
      </c>
      <c r="R252" s="100">
        <f t="shared" si="11"/>
        <v>16</v>
      </c>
    </row>
    <row r="253" spans="1:18" ht="14.25" x14ac:dyDescent="0.2">
      <c r="A253" s="63">
        <v>43875</v>
      </c>
      <c r="B253" s="61" t="s">
        <v>155</v>
      </c>
      <c r="C253" s="71" t="s">
        <v>18</v>
      </c>
      <c r="D253" s="73">
        <v>43929</v>
      </c>
      <c r="E253" s="61" t="s">
        <v>47</v>
      </c>
      <c r="F253" s="61">
        <v>72773456</v>
      </c>
      <c r="G253" s="61" t="s">
        <v>155</v>
      </c>
      <c r="H253" s="75">
        <v>11000</v>
      </c>
      <c r="I253" s="52" t="s">
        <v>295</v>
      </c>
      <c r="J253" s="223" t="s">
        <v>156</v>
      </c>
      <c r="K253" s="62">
        <v>313</v>
      </c>
      <c r="L253" s="66"/>
      <c r="M253" s="63">
        <v>43929</v>
      </c>
      <c r="N253" s="61" t="s">
        <v>222</v>
      </c>
      <c r="O253" s="61"/>
      <c r="P253" s="61">
        <f t="shared" si="9"/>
        <v>4</v>
      </c>
      <c r="Q253" s="61">
        <f t="shared" si="10"/>
        <v>2020</v>
      </c>
      <c r="R253" s="100">
        <f t="shared" si="11"/>
        <v>8</v>
      </c>
    </row>
    <row r="254" spans="1:18" ht="14.25" x14ac:dyDescent="0.2">
      <c r="A254" s="63">
        <v>43881</v>
      </c>
      <c r="B254" s="61" t="s">
        <v>152</v>
      </c>
      <c r="C254" s="71" t="s">
        <v>18</v>
      </c>
      <c r="D254" s="73">
        <v>43939</v>
      </c>
      <c r="E254" s="61" t="s">
        <v>47</v>
      </c>
      <c r="F254" s="61">
        <v>71776750</v>
      </c>
      <c r="G254" s="61" t="s">
        <v>153</v>
      </c>
      <c r="H254" s="75">
        <v>27598</v>
      </c>
      <c r="I254" s="52" t="s">
        <v>49</v>
      </c>
      <c r="J254" s="223" t="s">
        <v>154</v>
      </c>
      <c r="K254" s="62">
        <v>314</v>
      </c>
      <c r="L254" s="66"/>
      <c r="M254" s="63">
        <v>43943</v>
      </c>
      <c r="N254" s="61" t="s">
        <v>223</v>
      </c>
      <c r="O254" s="61"/>
      <c r="P254" s="61">
        <f t="shared" si="9"/>
        <v>4</v>
      </c>
      <c r="Q254" s="61">
        <f t="shared" si="10"/>
        <v>2020</v>
      </c>
      <c r="R254" s="100">
        <f t="shared" si="11"/>
        <v>18</v>
      </c>
    </row>
    <row r="255" spans="1:18" ht="14.25" x14ac:dyDescent="0.2">
      <c r="A255" s="63">
        <v>43885</v>
      </c>
      <c r="B255" s="61" t="s">
        <v>46</v>
      </c>
      <c r="C255" s="71" t="s">
        <v>18</v>
      </c>
      <c r="D255" s="73">
        <v>43861</v>
      </c>
      <c r="E255" s="61" t="s">
        <v>148</v>
      </c>
      <c r="F255" s="61">
        <v>19480673</v>
      </c>
      <c r="G255" s="61" t="s">
        <v>149</v>
      </c>
      <c r="H255" s="75">
        <v>20000</v>
      </c>
      <c r="I255" s="52" t="s">
        <v>150</v>
      </c>
      <c r="J255" s="223" t="s">
        <v>151</v>
      </c>
      <c r="K255" s="62">
        <v>315</v>
      </c>
      <c r="L255" s="66"/>
      <c r="M255" s="63">
        <v>43887</v>
      </c>
      <c r="N255" s="61"/>
      <c r="O255" s="61"/>
      <c r="P255" s="61">
        <f t="shared" si="9"/>
        <v>1</v>
      </c>
      <c r="Q255" s="61">
        <f t="shared" si="10"/>
        <v>2020</v>
      </c>
      <c r="R255" s="100">
        <f t="shared" si="11"/>
        <v>31</v>
      </c>
    </row>
    <row r="256" spans="1:18" ht="14.25" x14ac:dyDescent="0.2">
      <c r="A256" s="63">
        <v>43885</v>
      </c>
      <c r="B256" s="61" t="s">
        <v>46</v>
      </c>
      <c r="C256" s="71" t="s">
        <v>18</v>
      </c>
      <c r="D256" s="73">
        <v>43861</v>
      </c>
      <c r="E256" s="61" t="s">
        <v>57</v>
      </c>
      <c r="F256" s="61">
        <v>757</v>
      </c>
      <c r="G256" s="61" t="s">
        <v>84</v>
      </c>
      <c r="H256" s="75">
        <v>12500</v>
      </c>
      <c r="I256" s="52" t="s">
        <v>49</v>
      </c>
      <c r="J256" s="223" t="s">
        <v>85</v>
      </c>
      <c r="K256" s="62">
        <v>316</v>
      </c>
      <c r="L256" s="66"/>
      <c r="M256" s="63"/>
      <c r="N256" s="61"/>
      <c r="O256" s="61"/>
      <c r="P256" s="61">
        <f t="shared" si="9"/>
        <v>1</v>
      </c>
      <c r="Q256" s="61">
        <f t="shared" si="10"/>
        <v>2020</v>
      </c>
      <c r="R256" s="100">
        <f t="shared" si="11"/>
        <v>31</v>
      </c>
    </row>
    <row r="257" spans="1:18" ht="14.25" x14ac:dyDescent="0.2">
      <c r="A257" s="63">
        <v>43885</v>
      </c>
      <c r="B257" s="61" t="s">
        <v>46</v>
      </c>
      <c r="C257" s="71" t="s">
        <v>18</v>
      </c>
      <c r="D257" s="73">
        <v>43861</v>
      </c>
      <c r="E257" s="61" t="s">
        <v>70</v>
      </c>
      <c r="F257" s="61">
        <v>17354388</v>
      </c>
      <c r="G257" s="61" t="s">
        <v>145</v>
      </c>
      <c r="H257" s="75">
        <v>10000</v>
      </c>
      <c r="I257" s="52" t="s">
        <v>49</v>
      </c>
      <c r="J257" s="223" t="s">
        <v>146</v>
      </c>
      <c r="K257" s="62">
        <v>317</v>
      </c>
      <c r="L257" s="66"/>
      <c r="M257" s="63"/>
      <c r="N257" s="61"/>
      <c r="O257" s="61"/>
      <c r="P257" s="61">
        <f t="shared" si="9"/>
        <v>1</v>
      </c>
      <c r="Q257" s="61">
        <f t="shared" si="10"/>
        <v>2020</v>
      </c>
      <c r="R257" s="100">
        <f t="shared" si="11"/>
        <v>31</v>
      </c>
    </row>
    <row r="258" spans="1:18" ht="14.25" x14ac:dyDescent="0.2">
      <c r="A258" s="63">
        <v>43885</v>
      </c>
      <c r="B258" s="61" t="s">
        <v>46</v>
      </c>
      <c r="C258" s="71" t="s">
        <v>18</v>
      </c>
      <c r="D258" s="73">
        <v>43861</v>
      </c>
      <c r="E258" s="61" t="s">
        <v>70</v>
      </c>
      <c r="F258" s="61">
        <v>17354386</v>
      </c>
      <c r="G258" s="61" t="s">
        <v>145</v>
      </c>
      <c r="H258" s="75">
        <v>10000</v>
      </c>
      <c r="I258" s="52" t="s">
        <v>49</v>
      </c>
      <c r="J258" s="223" t="s">
        <v>146</v>
      </c>
      <c r="K258" s="62">
        <v>318</v>
      </c>
      <c r="L258" s="66"/>
      <c r="M258" s="63"/>
      <c r="N258" s="61"/>
      <c r="O258" s="61"/>
      <c r="P258" s="61">
        <f t="shared" ref="P258:P321" si="12">MONTH(D258)</f>
        <v>1</v>
      </c>
      <c r="Q258" s="61">
        <f t="shared" ref="Q258:Q321" si="13">YEAR(D258)</f>
        <v>2020</v>
      </c>
      <c r="R258" s="100">
        <f t="shared" si="11"/>
        <v>31</v>
      </c>
    </row>
    <row r="259" spans="1:18" ht="14.25" x14ac:dyDescent="0.2">
      <c r="A259" s="63">
        <v>43885</v>
      </c>
      <c r="B259" s="61" t="s">
        <v>46</v>
      </c>
      <c r="C259" s="71" t="s">
        <v>18</v>
      </c>
      <c r="D259" s="73">
        <v>43861</v>
      </c>
      <c r="E259" s="61" t="s">
        <v>57</v>
      </c>
      <c r="F259" s="61">
        <v>6840418</v>
      </c>
      <c r="G259" s="61" t="s">
        <v>143</v>
      </c>
      <c r="H259" s="75">
        <v>15000</v>
      </c>
      <c r="I259" s="52" t="s">
        <v>49</v>
      </c>
      <c r="J259" s="223" t="s">
        <v>144</v>
      </c>
      <c r="K259" s="62">
        <v>319</v>
      </c>
      <c r="L259" s="66"/>
      <c r="M259" s="63"/>
      <c r="N259" s="61"/>
      <c r="O259" s="61"/>
      <c r="P259" s="61">
        <f t="shared" si="12"/>
        <v>1</v>
      </c>
      <c r="Q259" s="61">
        <f t="shared" si="13"/>
        <v>2020</v>
      </c>
      <c r="R259" s="100">
        <f t="shared" ref="R259:R322" si="14">DAY(D259)</f>
        <v>31</v>
      </c>
    </row>
    <row r="260" spans="1:18" ht="14.25" x14ac:dyDescent="0.2">
      <c r="A260" s="63">
        <v>43885</v>
      </c>
      <c r="B260" s="61" t="s">
        <v>46</v>
      </c>
      <c r="C260" s="71" t="s">
        <v>18</v>
      </c>
      <c r="D260" s="73">
        <v>43861</v>
      </c>
      <c r="E260" s="61" t="s">
        <v>92</v>
      </c>
      <c r="F260" s="61">
        <v>91623853</v>
      </c>
      <c r="G260" s="61" t="s">
        <v>142</v>
      </c>
      <c r="H260" s="75">
        <v>10000</v>
      </c>
      <c r="I260" s="52" t="s">
        <v>49</v>
      </c>
      <c r="J260" s="223" t="s">
        <v>112</v>
      </c>
      <c r="K260" s="62">
        <v>320</v>
      </c>
      <c r="L260" s="66"/>
      <c r="M260" s="63"/>
      <c r="N260" s="61"/>
      <c r="O260" s="61"/>
      <c r="P260" s="61">
        <f t="shared" si="12"/>
        <v>1</v>
      </c>
      <c r="Q260" s="61">
        <f t="shared" si="13"/>
        <v>2020</v>
      </c>
      <c r="R260" s="100">
        <f t="shared" si="14"/>
        <v>31</v>
      </c>
    </row>
    <row r="261" spans="1:18" ht="14.25" x14ac:dyDescent="0.2">
      <c r="A261" s="63">
        <v>43885</v>
      </c>
      <c r="B261" s="61" t="s">
        <v>46</v>
      </c>
      <c r="C261" s="71" t="s">
        <v>18</v>
      </c>
      <c r="D261" s="73">
        <v>43861</v>
      </c>
      <c r="E261" s="61" t="s">
        <v>79</v>
      </c>
      <c r="F261" s="61">
        <v>61266764</v>
      </c>
      <c r="G261" s="61" t="s">
        <v>140</v>
      </c>
      <c r="H261" s="75">
        <v>25500</v>
      </c>
      <c r="I261" s="52" t="s">
        <v>49</v>
      </c>
      <c r="J261" s="223" t="s">
        <v>141</v>
      </c>
      <c r="K261" s="62">
        <v>321</v>
      </c>
      <c r="L261" s="66"/>
      <c r="M261" s="63"/>
      <c r="N261" s="61"/>
      <c r="O261" s="61"/>
      <c r="P261" s="61">
        <f t="shared" si="12"/>
        <v>1</v>
      </c>
      <c r="Q261" s="61">
        <f t="shared" si="13"/>
        <v>2020</v>
      </c>
      <c r="R261" s="100">
        <f t="shared" si="14"/>
        <v>31</v>
      </c>
    </row>
    <row r="262" spans="1:18" ht="14.25" x14ac:dyDescent="0.2">
      <c r="A262" s="63">
        <v>43885</v>
      </c>
      <c r="B262" s="61" t="s">
        <v>46</v>
      </c>
      <c r="C262" s="71" t="s">
        <v>18</v>
      </c>
      <c r="D262" s="73">
        <v>43862</v>
      </c>
      <c r="E262" s="61" t="s">
        <v>57</v>
      </c>
      <c r="F262" s="61">
        <v>260099</v>
      </c>
      <c r="G262" s="61" t="s">
        <v>106</v>
      </c>
      <c r="H262" s="75">
        <v>7000</v>
      </c>
      <c r="I262" s="52" t="s">
        <v>49</v>
      </c>
      <c r="J262" s="223" t="s">
        <v>107</v>
      </c>
      <c r="K262" s="62">
        <v>322</v>
      </c>
      <c r="L262" s="66"/>
      <c r="M262" s="63"/>
      <c r="N262" s="61"/>
      <c r="O262" s="61"/>
      <c r="P262" s="61">
        <f t="shared" si="12"/>
        <v>2</v>
      </c>
      <c r="Q262" s="61">
        <f t="shared" si="13"/>
        <v>2020</v>
      </c>
      <c r="R262" s="100">
        <f t="shared" si="14"/>
        <v>1</v>
      </c>
    </row>
    <row r="263" spans="1:18" ht="14.25" x14ac:dyDescent="0.2">
      <c r="A263" s="63">
        <v>43885</v>
      </c>
      <c r="B263" s="61" t="s">
        <v>46</v>
      </c>
      <c r="C263" s="71" t="s">
        <v>18</v>
      </c>
      <c r="D263" s="73">
        <v>43862</v>
      </c>
      <c r="E263" s="61" t="s">
        <v>43</v>
      </c>
      <c r="F263" s="61">
        <v>13255010</v>
      </c>
      <c r="G263" s="61" t="s">
        <v>51</v>
      </c>
      <c r="H263" s="75">
        <v>9330</v>
      </c>
      <c r="I263" s="52" t="s">
        <v>49</v>
      </c>
      <c r="J263" s="223" t="s">
        <v>52</v>
      </c>
      <c r="K263" s="62">
        <v>323</v>
      </c>
      <c r="L263" s="66"/>
      <c r="M263" s="63"/>
      <c r="N263" s="61"/>
      <c r="O263" s="61"/>
      <c r="P263" s="61">
        <f t="shared" si="12"/>
        <v>2</v>
      </c>
      <c r="Q263" s="61">
        <f t="shared" si="13"/>
        <v>2020</v>
      </c>
      <c r="R263" s="100">
        <f t="shared" si="14"/>
        <v>1</v>
      </c>
    </row>
    <row r="264" spans="1:18" ht="14.25" x14ac:dyDescent="0.2">
      <c r="A264" s="63">
        <v>43885</v>
      </c>
      <c r="B264" s="61" t="s">
        <v>46</v>
      </c>
      <c r="C264" s="71" t="s">
        <v>18</v>
      </c>
      <c r="D264" s="73">
        <v>43863</v>
      </c>
      <c r="E264" s="61" t="s">
        <v>43</v>
      </c>
      <c r="F264" s="61">
        <v>95981233</v>
      </c>
      <c r="G264" s="61" t="s">
        <v>137</v>
      </c>
      <c r="H264" s="75">
        <v>7816</v>
      </c>
      <c r="I264" s="52" t="s">
        <v>49</v>
      </c>
      <c r="J264" s="223" t="s">
        <v>138</v>
      </c>
      <c r="K264" s="62">
        <v>324</v>
      </c>
      <c r="L264" s="66"/>
      <c r="M264" s="63"/>
      <c r="N264" s="61"/>
      <c r="O264" s="61"/>
      <c r="P264" s="61">
        <f t="shared" si="12"/>
        <v>2</v>
      </c>
      <c r="Q264" s="61">
        <f t="shared" si="13"/>
        <v>2020</v>
      </c>
      <c r="R264" s="100">
        <f t="shared" si="14"/>
        <v>2</v>
      </c>
    </row>
    <row r="265" spans="1:18" ht="14.25" x14ac:dyDescent="0.2">
      <c r="A265" s="63">
        <v>43885</v>
      </c>
      <c r="B265" s="61" t="s">
        <v>46</v>
      </c>
      <c r="C265" s="71" t="s">
        <v>18</v>
      </c>
      <c r="D265" s="73">
        <v>43867</v>
      </c>
      <c r="E265" s="61" t="s">
        <v>53</v>
      </c>
      <c r="F265" s="61">
        <v>15300977</v>
      </c>
      <c r="G265" s="61" t="s">
        <v>54</v>
      </c>
      <c r="H265" s="75">
        <v>5000</v>
      </c>
      <c r="I265" s="52" t="s">
        <v>49</v>
      </c>
      <c r="J265" s="223" t="s">
        <v>55</v>
      </c>
      <c r="K265" s="62">
        <v>325</v>
      </c>
      <c r="L265" s="66"/>
      <c r="M265" s="63"/>
      <c r="N265" s="61"/>
      <c r="O265" s="61"/>
      <c r="P265" s="61">
        <f t="shared" si="12"/>
        <v>2</v>
      </c>
      <c r="Q265" s="61">
        <f t="shared" si="13"/>
        <v>2020</v>
      </c>
      <c r="R265" s="100">
        <f t="shared" si="14"/>
        <v>6</v>
      </c>
    </row>
    <row r="266" spans="1:18" ht="14.25" x14ac:dyDescent="0.2">
      <c r="A266" s="63">
        <v>43885</v>
      </c>
      <c r="B266" s="61" t="s">
        <v>46</v>
      </c>
      <c r="C266" s="71" t="s">
        <v>18</v>
      </c>
      <c r="D266" s="73">
        <v>43868</v>
      </c>
      <c r="E266" s="61" t="s">
        <v>57</v>
      </c>
      <c r="F266" s="61">
        <v>233934</v>
      </c>
      <c r="G266" s="61" t="s">
        <v>134</v>
      </c>
      <c r="H266" s="75">
        <v>6000</v>
      </c>
      <c r="I266" s="52" t="s">
        <v>49</v>
      </c>
      <c r="J266" s="223" t="s">
        <v>135</v>
      </c>
      <c r="K266" s="62">
        <v>326</v>
      </c>
      <c r="L266" s="66"/>
      <c r="M266" s="63">
        <v>43888</v>
      </c>
      <c r="N266" s="61"/>
      <c r="O266" s="61"/>
      <c r="P266" s="61">
        <f t="shared" si="12"/>
        <v>2</v>
      </c>
      <c r="Q266" s="61">
        <f t="shared" si="13"/>
        <v>2020</v>
      </c>
      <c r="R266" s="100">
        <f t="shared" si="14"/>
        <v>7</v>
      </c>
    </row>
    <row r="267" spans="1:18" ht="14.25" x14ac:dyDescent="0.2">
      <c r="A267" s="63">
        <v>43885</v>
      </c>
      <c r="B267" s="61" t="s">
        <v>46</v>
      </c>
      <c r="C267" s="71" t="s">
        <v>18</v>
      </c>
      <c r="D267" s="73">
        <v>43869</v>
      </c>
      <c r="E267" s="61" t="s">
        <v>61</v>
      </c>
      <c r="F267" s="61">
        <v>96612132</v>
      </c>
      <c r="G267" s="61" t="s">
        <v>62</v>
      </c>
      <c r="H267" s="75">
        <v>7000</v>
      </c>
      <c r="I267" s="52" t="s">
        <v>49</v>
      </c>
      <c r="J267" s="223" t="s">
        <v>63</v>
      </c>
      <c r="K267" s="62">
        <v>327</v>
      </c>
      <c r="L267" s="66"/>
      <c r="M267" s="63"/>
      <c r="N267" s="61"/>
      <c r="O267" s="61"/>
      <c r="P267" s="61">
        <f t="shared" si="12"/>
        <v>2</v>
      </c>
      <c r="Q267" s="61">
        <f t="shared" si="13"/>
        <v>2020</v>
      </c>
      <c r="R267" s="100">
        <f t="shared" si="14"/>
        <v>8</v>
      </c>
    </row>
    <row r="268" spans="1:18" ht="14.25" x14ac:dyDescent="0.2">
      <c r="A268" s="63">
        <v>43885</v>
      </c>
      <c r="B268" s="61" t="s">
        <v>46</v>
      </c>
      <c r="C268" s="71" t="s">
        <v>18</v>
      </c>
      <c r="D268" s="73">
        <v>43869</v>
      </c>
      <c r="E268" s="61" t="s">
        <v>79</v>
      </c>
      <c r="F268" s="61">
        <v>33173217</v>
      </c>
      <c r="G268" s="61" t="s">
        <v>80</v>
      </c>
      <c r="H268" s="75">
        <v>5000</v>
      </c>
      <c r="I268" s="52" t="s">
        <v>49</v>
      </c>
      <c r="J268" s="223" t="s">
        <v>81</v>
      </c>
      <c r="K268" s="62">
        <v>328</v>
      </c>
      <c r="L268" s="66"/>
      <c r="M268" s="63"/>
      <c r="N268" s="61"/>
      <c r="O268" s="61"/>
      <c r="P268" s="61">
        <f t="shared" si="12"/>
        <v>2</v>
      </c>
      <c r="Q268" s="61">
        <f t="shared" si="13"/>
        <v>2020</v>
      </c>
      <c r="R268" s="100">
        <f t="shared" si="14"/>
        <v>8</v>
      </c>
    </row>
    <row r="269" spans="1:18" ht="14.25" x14ac:dyDescent="0.2">
      <c r="A269" s="63">
        <v>43885</v>
      </c>
      <c r="B269" s="61" t="s">
        <v>46</v>
      </c>
      <c r="C269" s="71" t="s">
        <v>18</v>
      </c>
      <c r="D269" s="73">
        <v>43869</v>
      </c>
      <c r="E269" s="61" t="s">
        <v>129</v>
      </c>
      <c r="F269" s="61">
        <v>1682568</v>
      </c>
      <c r="G269" s="61" t="s">
        <v>130</v>
      </c>
      <c r="H269" s="75">
        <v>10594</v>
      </c>
      <c r="I269" s="52" t="s">
        <v>49</v>
      </c>
      <c r="J269" s="223" t="s">
        <v>131</v>
      </c>
      <c r="K269" s="62">
        <v>329</v>
      </c>
      <c r="L269" s="66"/>
      <c r="M269" s="63"/>
      <c r="N269" s="61"/>
      <c r="O269" s="61"/>
      <c r="P269" s="61">
        <f t="shared" si="12"/>
        <v>2</v>
      </c>
      <c r="Q269" s="61">
        <f t="shared" si="13"/>
        <v>2020</v>
      </c>
      <c r="R269" s="100">
        <f t="shared" si="14"/>
        <v>8</v>
      </c>
    </row>
    <row r="270" spans="1:18" ht="14.25" x14ac:dyDescent="0.2">
      <c r="A270" s="63">
        <v>43885</v>
      </c>
      <c r="B270" s="61" t="s">
        <v>46</v>
      </c>
      <c r="C270" s="71" t="s">
        <v>18</v>
      </c>
      <c r="D270" s="73">
        <v>43869</v>
      </c>
      <c r="E270" s="61" t="s">
        <v>43</v>
      </c>
      <c r="F270" s="61">
        <v>13255011</v>
      </c>
      <c r="G270" s="61" t="s">
        <v>51</v>
      </c>
      <c r="H270" s="75">
        <v>9330</v>
      </c>
      <c r="I270" s="52" t="s">
        <v>49</v>
      </c>
      <c r="J270" s="223" t="s">
        <v>52</v>
      </c>
      <c r="K270" s="62">
        <v>330</v>
      </c>
      <c r="L270" s="66"/>
      <c r="M270" s="63"/>
      <c r="N270" s="61"/>
      <c r="O270" s="61"/>
      <c r="P270" s="61">
        <f t="shared" si="12"/>
        <v>2</v>
      </c>
      <c r="Q270" s="61">
        <f t="shared" si="13"/>
        <v>2020</v>
      </c>
      <c r="R270" s="100">
        <f t="shared" si="14"/>
        <v>8</v>
      </c>
    </row>
    <row r="271" spans="1:18" ht="14.25" x14ac:dyDescent="0.2">
      <c r="A271" s="63">
        <v>43885</v>
      </c>
      <c r="B271" s="61" t="s">
        <v>46</v>
      </c>
      <c r="C271" s="71" t="s">
        <v>18</v>
      </c>
      <c r="D271" s="73">
        <v>43869</v>
      </c>
      <c r="E271" s="61" t="s">
        <v>65</v>
      </c>
      <c r="F271" s="61">
        <v>20982616</v>
      </c>
      <c r="G271" s="61" t="s">
        <v>127</v>
      </c>
      <c r="H271" s="75">
        <v>11360</v>
      </c>
      <c r="I271" s="52" t="s">
        <v>49</v>
      </c>
      <c r="J271" s="223" t="s">
        <v>128</v>
      </c>
      <c r="K271" s="62">
        <v>331</v>
      </c>
      <c r="L271" s="66"/>
      <c r="M271" s="63"/>
      <c r="N271" s="61"/>
      <c r="O271" s="61"/>
      <c r="P271" s="61">
        <f t="shared" si="12"/>
        <v>2</v>
      </c>
      <c r="Q271" s="61">
        <f t="shared" si="13"/>
        <v>2020</v>
      </c>
      <c r="R271" s="100">
        <f t="shared" si="14"/>
        <v>8</v>
      </c>
    </row>
    <row r="272" spans="1:18" ht="14.25" x14ac:dyDescent="0.2">
      <c r="A272" s="63">
        <v>43885</v>
      </c>
      <c r="B272" s="61" t="s">
        <v>46</v>
      </c>
      <c r="C272" s="71" t="s">
        <v>18</v>
      </c>
      <c r="D272" s="73">
        <v>43869</v>
      </c>
      <c r="E272" s="61" t="s">
        <v>76</v>
      </c>
      <c r="F272" s="61">
        <v>24843469</v>
      </c>
      <c r="G272" s="61" t="s">
        <v>126</v>
      </c>
      <c r="H272" s="75">
        <v>3410</v>
      </c>
      <c r="I272" s="52" t="s">
        <v>49</v>
      </c>
      <c r="J272" s="223" t="s">
        <v>78</v>
      </c>
      <c r="K272" s="62">
        <v>332</v>
      </c>
      <c r="L272" s="66"/>
      <c r="M272" s="63"/>
      <c r="N272" s="61"/>
      <c r="O272" s="61"/>
      <c r="P272" s="61">
        <f t="shared" si="12"/>
        <v>2</v>
      </c>
      <c r="Q272" s="61">
        <f t="shared" si="13"/>
        <v>2020</v>
      </c>
      <c r="R272" s="100">
        <f t="shared" si="14"/>
        <v>8</v>
      </c>
    </row>
    <row r="273" spans="1:18" ht="14.25" x14ac:dyDescent="0.2">
      <c r="A273" s="63">
        <v>43885</v>
      </c>
      <c r="B273" s="61" t="s">
        <v>46</v>
      </c>
      <c r="C273" s="71" t="s">
        <v>18</v>
      </c>
      <c r="D273" s="73">
        <v>43869</v>
      </c>
      <c r="E273" s="61" t="s">
        <v>123</v>
      </c>
      <c r="F273" s="61">
        <v>54320316</v>
      </c>
      <c r="G273" s="61" t="s">
        <v>124</v>
      </c>
      <c r="H273" s="75">
        <v>20550.2</v>
      </c>
      <c r="I273" s="52" t="s">
        <v>49</v>
      </c>
      <c r="J273" s="223" t="s">
        <v>125</v>
      </c>
      <c r="K273" s="62">
        <v>333</v>
      </c>
      <c r="L273" s="66"/>
      <c r="M273" s="63"/>
      <c r="N273" s="61"/>
      <c r="O273" s="61"/>
      <c r="P273" s="61">
        <f t="shared" si="12"/>
        <v>2</v>
      </c>
      <c r="Q273" s="61">
        <f t="shared" si="13"/>
        <v>2020</v>
      </c>
      <c r="R273" s="100">
        <f t="shared" si="14"/>
        <v>8</v>
      </c>
    </row>
    <row r="274" spans="1:18" ht="14.25" x14ac:dyDescent="0.2">
      <c r="A274" s="63">
        <v>43885</v>
      </c>
      <c r="B274" s="61" t="s">
        <v>46</v>
      </c>
      <c r="C274" s="71" t="s">
        <v>18</v>
      </c>
      <c r="D274" s="73">
        <v>43870</v>
      </c>
      <c r="E274" s="61" t="s">
        <v>57</v>
      </c>
      <c r="F274" s="61">
        <v>1512899</v>
      </c>
      <c r="G274" s="61" t="s">
        <v>120</v>
      </c>
      <c r="H274" s="75">
        <v>15000</v>
      </c>
      <c r="I274" s="52" t="s">
        <v>49</v>
      </c>
      <c r="J274" s="223" t="s">
        <v>121</v>
      </c>
      <c r="K274" s="62">
        <v>334</v>
      </c>
      <c r="L274" s="66"/>
      <c r="M274" s="63">
        <v>43888</v>
      </c>
      <c r="N274" s="61"/>
      <c r="O274" s="61"/>
      <c r="P274" s="61">
        <f t="shared" si="12"/>
        <v>2</v>
      </c>
      <c r="Q274" s="61">
        <f t="shared" si="13"/>
        <v>2020</v>
      </c>
      <c r="R274" s="100">
        <f t="shared" si="14"/>
        <v>9</v>
      </c>
    </row>
    <row r="275" spans="1:18" ht="14.25" x14ac:dyDescent="0.2">
      <c r="A275" s="63">
        <v>43885</v>
      </c>
      <c r="B275" s="61" t="s">
        <v>46</v>
      </c>
      <c r="C275" s="71" t="s">
        <v>18</v>
      </c>
      <c r="D275" s="73">
        <v>43871</v>
      </c>
      <c r="E275" s="61" t="s">
        <v>57</v>
      </c>
      <c r="F275" s="61">
        <v>472950</v>
      </c>
      <c r="G275" s="61" t="s">
        <v>118</v>
      </c>
      <c r="H275" s="75">
        <v>25000</v>
      </c>
      <c r="I275" s="52" t="s">
        <v>49</v>
      </c>
      <c r="J275" s="223" t="s">
        <v>119</v>
      </c>
      <c r="K275" s="62">
        <v>335</v>
      </c>
      <c r="L275" s="66"/>
      <c r="M275" s="63"/>
      <c r="N275" s="61"/>
      <c r="O275" s="61"/>
      <c r="P275" s="61">
        <f t="shared" si="12"/>
        <v>2</v>
      </c>
      <c r="Q275" s="61">
        <f t="shared" si="13"/>
        <v>2020</v>
      </c>
      <c r="R275" s="100">
        <f t="shared" si="14"/>
        <v>10</v>
      </c>
    </row>
    <row r="276" spans="1:18" ht="14.25" x14ac:dyDescent="0.2">
      <c r="A276" s="63">
        <v>43885</v>
      </c>
      <c r="B276" s="61" t="s">
        <v>46</v>
      </c>
      <c r="C276" s="71" t="s">
        <v>18</v>
      </c>
      <c r="D276" s="73">
        <v>43871</v>
      </c>
      <c r="E276" s="61" t="s">
        <v>61</v>
      </c>
      <c r="F276" s="61">
        <v>96612133</v>
      </c>
      <c r="G276" s="61" t="s">
        <v>62</v>
      </c>
      <c r="H276" s="75">
        <v>7000</v>
      </c>
      <c r="I276" s="52" t="s">
        <v>49</v>
      </c>
      <c r="J276" s="223" t="s">
        <v>63</v>
      </c>
      <c r="K276" s="62">
        <v>336</v>
      </c>
      <c r="L276" s="66"/>
      <c r="M276" s="63"/>
      <c r="N276" s="61"/>
      <c r="O276" s="61"/>
      <c r="P276" s="61">
        <f t="shared" si="12"/>
        <v>2</v>
      </c>
      <c r="Q276" s="61">
        <f t="shared" si="13"/>
        <v>2020</v>
      </c>
      <c r="R276" s="100">
        <f t="shared" si="14"/>
        <v>10</v>
      </c>
    </row>
    <row r="277" spans="1:18" ht="14.25" x14ac:dyDescent="0.2">
      <c r="A277" s="63">
        <v>43885</v>
      </c>
      <c r="B277" s="61" t="s">
        <v>46</v>
      </c>
      <c r="C277" s="71" t="s">
        <v>18</v>
      </c>
      <c r="D277" s="73">
        <v>43871</v>
      </c>
      <c r="E277" s="61" t="s">
        <v>57</v>
      </c>
      <c r="F277" s="61">
        <v>1773347</v>
      </c>
      <c r="G277" s="61" t="s">
        <v>115</v>
      </c>
      <c r="H277" s="75">
        <v>7163</v>
      </c>
      <c r="I277" s="52" t="s">
        <v>49</v>
      </c>
      <c r="J277" s="223" t="s">
        <v>116</v>
      </c>
      <c r="K277" s="62">
        <v>337</v>
      </c>
      <c r="L277" s="66"/>
      <c r="M277" s="63">
        <v>43889</v>
      </c>
      <c r="N277" s="61"/>
      <c r="O277" s="61"/>
      <c r="P277" s="61">
        <f t="shared" si="12"/>
        <v>2</v>
      </c>
      <c r="Q277" s="61">
        <f t="shared" si="13"/>
        <v>2020</v>
      </c>
      <c r="R277" s="100">
        <f t="shared" si="14"/>
        <v>10</v>
      </c>
    </row>
    <row r="278" spans="1:18" ht="14.25" x14ac:dyDescent="0.2">
      <c r="A278" s="63">
        <v>43885</v>
      </c>
      <c r="B278" s="61" t="s">
        <v>46</v>
      </c>
      <c r="C278" s="71" t="s">
        <v>18</v>
      </c>
      <c r="D278" s="73">
        <v>43871</v>
      </c>
      <c r="E278" s="61" t="s">
        <v>47</v>
      </c>
      <c r="F278" s="61">
        <v>73142709</v>
      </c>
      <c r="G278" s="61" t="s">
        <v>113</v>
      </c>
      <c r="H278" s="75">
        <v>3056</v>
      </c>
      <c r="I278" s="52" t="s">
        <v>49</v>
      </c>
      <c r="J278" s="223" t="s">
        <v>114</v>
      </c>
      <c r="K278" s="62">
        <v>338</v>
      </c>
      <c r="L278" s="66"/>
      <c r="M278" s="63">
        <v>43887</v>
      </c>
      <c r="N278" s="61"/>
      <c r="O278" s="61"/>
      <c r="P278" s="61">
        <f t="shared" si="12"/>
        <v>2</v>
      </c>
      <c r="Q278" s="61">
        <f t="shared" si="13"/>
        <v>2020</v>
      </c>
      <c r="R278" s="100">
        <f t="shared" si="14"/>
        <v>10</v>
      </c>
    </row>
    <row r="279" spans="1:18" ht="14.25" x14ac:dyDescent="0.2">
      <c r="A279" s="63">
        <v>43885</v>
      </c>
      <c r="B279" s="61" t="s">
        <v>46</v>
      </c>
      <c r="C279" s="71" t="s">
        <v>18</v>
      </c>
      <c r="D279" s="73">
        <v>43871</v>
      </c>
      <c r="E279" s="61" t="s">
        <v>92</v>
      </c>
      <c r="F279" s="61">
        <v>91623855</v>
      </c>
      <c r="G279" s="61" t="s">
        <v>111</v>
      </c>
      <c r="H279" s="75">
        <v>15445</v>
      </c>
      <c r="I279" s="52" t="s">
        <v>49</v>
      </c>
      <c r="J279" s="223" t="s">
        <v>112</v>
      </c>
      <c r="K279" s="62">
        <v>339</v>
      </c>
      <c r="L279" s="66"/>
      <c r="M279" s="63">
        <v>43889</v>
      </c>
      <c r="N279" s="61"/>
      <c r="O279" s="61"/>
      <c r="P279" s="61">
        <f t="shared" si="12"/>
        <v>2</v>
      </c>
      <c r="Q279" s="61">
        <f t="shared" si="13"/>
        <v>2020</v>
      </c>
      <c r="R279" s="100">
        <f t="shared" si="14"/>
        <v>10</v>
      </c>
    </row>
    <row r="280" spans="1:18" ht="14.25" x14ac:dyDescent="0.2">
      <c r="A280" s="63">
        <v>43885</v>
      </c>
      <c r="B280" s="61" t="s">
        <v>46</v>
      </c>
      <c r="C280" s="71" t="s">
        <v>18</v>
      </c>
      <c r="D280" s="73">
        <v>43871</v>
      </c>
      <c r="E280" s="61" t="s">
        <v>92</v>
      </c>
      <c r="F280" s="61">
        <v>91648089</v>
      </c>
      <c r="G280" s="61" t="s">
        <v>93</v>
      </c>
      <c r="H280" s="75">
        <v>18051.5</v>
      </c>
      <c r="I280" s="52" t="s">
        <v>49</v>
      </c>
      <c r="J280" s="223" t="s">
        <v>95</v>
      </c>
      <c r="K280" s="62">
        <v>340</v>
      </c>
      <c r="L280" s="66"/>
      <c r="M280" s="63">
        <v>43889</v>
      </c>
      <c r="N280" s="61"/>
      <c r="O280" s="61"/>
      <c r="P280" s="61">
        <f t="shared" si="12"/>
        <v>2</v>
      </c>
      <c r="Q280" s="61">
        <f t="shared" si="13"/>
        <v>2020</v>
      </c>
      <c r="R280" s="100">
        <f t="shared" si="14"/>
        <v>10</v>
      </c>
    </row>
    <row r="281" spans="1:18" ht="14.25" x14ac:dyDescent="0.2">
      <c r="A281" s="63">
        <v>43885</v>
      </c>
      <c r="B281" s="61" t="s">
        <v>46</v>
      </c>
      <c r="C281" s="71" t="s">
        <v>18</v>
      </c>
      <c r="D281" s="73">
        <v>43871</v>
      </c>
      <c r="E281" s="61" t="s">
        <v>43</v>
      </c>
      <c r="F281" s="61">
        <v>11824684</v>
      </c>
      <c r="G281" s="61" t="s">
        <v>108</v>
      </c>
      <c r="H281" s="75">
        <v>4723</v>
      </c>
      <c r="I281" s="52" t="s">
        <v>97</v>
      </c>
      <c r="J281" s="223" t="s">
        <v>109</v>
      </c>
      <c r="K281" s="62">
        <v>341</v>
      </c>
      <c r="L281" s="66"/>
      <c r="M281" s="63">
        <v>43889</v>
      </c>
      <c r="N281" s="61" t="s">
        <v>27</v>
      </c>
      <c r="O281" s="61"/>
      <c r="P281" s="61">
        <f t="shared" si="12"/>
        <v>2</v>
      </c>
      <c r="Q281" s="61">
        <f t="shared" si="13"/>
        <v>2020</v>
      </c>
      <c r="R281" s="100">
        <f t="shared" si="14"/>
        <v>10</v>
      </c>
    </row>
    <row r="282" spans="1:18" ht="14.25" x14ac:dyDescent="0.2">
      <c r="A282" s="63">
        <v>43885</v>
      </c>
      <c r="B282" s="61" t="s">
        <v>46</v>
      </c>
      <c r="C282" s="71" t="s">
        <v>18</v>
      </c>
      <c r="D282" s="73">
        <v>43871</v>
      </c>
      <c r="E282" s="61" t="s">
        <v>57</v>
      </c>
      <c r="F282" s="61">
        <v>260100</v>
      </c>
      <c r="G282" s="61" t="s">
        <v>106</v>
      </c>
      <c r="H282" s="75">
        <v>8000</v>
      </c>
      <c r="I282" s="52" t="s">
        <v>97</v>
      </c>
      <c r="J282" s="223" t="s">
        <v>107</v>
      </c>
      <c r="K282" s="62">
        <v>342</v>
      </c>
      <c r="L282" s="66"/>
      <c r="M282" s="63">
        <v>43889</v>
      </c>
      <c r="N282" s="61" t="s">
        <v>27</v>
      </c>
      <c r="O282" s="61"/>
      <c r="P282" s="61">
        <f t="shared" si="12"/>
        <v>2</v>
      </c>
      <c r="Q282" s="61">
        <f t="shared" si="13"/>
        <v>2020</v>
      </c>
      <c r="R282" s="100">
        <f t="shared" si="14"/>
        <v>10</v>
      </c>
    </row>
    <row r="283" spans="1:18" ht="14.25" x14ac:dyDescent="0.2">
      <c r="A283" s="63">
        <v>43885</v>
      </c>
      <c r="B283" s="61" t="s">
        <v>46</v>
      </c>
      <c r="C283" s="71" t="s">
        <v>18</v>
      </c>
      <c r="D283" s="73">
        <v>43871</v>
      </c>
      <c r="E283" s="61" t="s">
        <v>43</v>
      </c>
      <c r="F283" s="61">
        <v>99133855</v>
      </c>
      <c r="G283" s="61" t="s">
        <v>86</v>
      </c>
      <c r="H283" s="75">
        <v>6000</v>
      </c>
      <c r="I283" s="52" t="s">
        <v>97</v>
      </c>
      <c r="J283" s="223" t="s">
        <v>87</v>
      </c>
      <c r="K283" s="62">
        <v>343</v>
      </c>
      <c r="L283" s="66"/>
      <c r="M283" s="63">
        <v>43889</v>
      </c>
      <c r="N283" s="61" t="s">
        <v>27</v>
      </c>
      <c r="O283" s="61"/>
      <c r="P283" s="61">
        <f t="shared" si="12"/>
        <v>2</v>
      </c>
      <c r="Q283" s="61">
        <f t="shared" si="13"/>
        <v>2020</v>
      </c>
      <c r="R283" s="100">
        <f t="shared" si="14"/>
        <v>10</v>
      </c>
    </row>
    <row r="284" spans="1:18" ht="14.25" x14ac:dyDescent="0.2">
      <c r="A284" s="63">
        <v>43885</v>
      </c>
      <c r="B284" s="61" t="s">
        <v>46</v>
      </c>
      <c r="C284" s="71" t="s">
        <v>18</v>
      </c>
      <c r="D284" s="73">
        <v>43871</v>
      </c>
      <c r="E284" s="61" t="s">
        <v>47</v>
      </c>
      <c r="F284" s="61">
        <v>73864642</v>
      </c>
      <c r="G284" s="61" t="s">
        <v>104</v>
      </c>
      <c r="H284" s="75">
        <v>7140</v>
      </c>
      <c r="I284" s="52" t="s">
        <v>49</v>
      </c>
      <c r="J284" s="223" t="s">
        <v>105</v>
      </c>
      <c r="K284" s="62">
        <v>344</v>
      </c>
      <c r="L284" s="66"/>
      <c r="M284" s="63"/>
      <c r="N284" s="61"/>
      <c r="O284" s="61"/>
      <c r="P284" s="61">
        <f t="shared" si="12"/>
        <v>2</v>
      </c>
      <c r="Q284" s="61">
        <f t="shared" si="13"/>
        <v>2020</v>
      </c>
      <c r="R284" s="100">
        <f t="shared" si="14"/>
        <v>10</v>
      </c>
    </row>
    <row r="285" spans="1:18" ht="14.25" x14ac:dyDescent="0.2">
      <c r="A285" s="63">
        <v>43885</v>
      </c>
      <c r="B285" s="61" t="s">
        <v>46</v>
      </c>
      <c r="C285" s="71" t="s">
        <v>18</v>
      </c>
      <c r="D285" s="73">
        <v>43871</v>
      </c>
      <c r="E285" s="61" t="s">
        <v>43</v>
      </c>
      <c r="F285" s="61">
        <v>10622371</v>
      </c>
      <c r="G285" s="61" t="s">
        <v>101</v>
      </c>
      <c r="H285" s="75">
        <v>9985</v>
      </c>
      <c r="I285" s="52" t="s">
        <v>49</v>
      </c>
      <c r="J285" s="223" t="s">
        <v>102</v>
      </c>
      <c r="K285" s="62">
        <v>345</v>
      </c>
      <c r="L285" s="66"/>
      <c r="M285" s="63">
        <v>43888</v>
      </c>
      <c r="N285" s="61"/>
      <c r="O285" s="61"/>
      <c r="P285" s="61">
        <f t="shared" si="12"/>
        <v>2</v>
      </c>
      <c r="Q285" s="61">
        <f t="shared" si="13"/>
        <v>2020</v>
      </c>
      <c r="R285" s="100">
        <f t="shared" si="14"/>
        <v>10</v>
      </c>
    </row>
    <row r="286" spans="1:18" ht="14.25" x14ac:dyDescent="0.2">
      <c r="A286" s="63">
        <v>43885</v>
      </c>
      <c r="B286" s="61" t="s">
        <v>46</v>
      </c>
      <c r="C286" s="71" t="s">
        <v>18</v>
      </c>
      <c r="D286" s="73">
        <v>43872</v>
      </c>
      <c r="E286" s="61" t="s">
        <v>61</v>
      </c>
      <c r="F286" s="61">
        <v>96880536</v>
      </c>
      <c r="G286" s="61" t="s">
        <v>62</v>
      </c>
      <c r="H286" s="75">
        <v>7000</v>
      </c>
      <c r="I286" s="52" t="s">
        <v>97</v>
      </c>
      <c r="J286" s="223" t="s">
        <v>100</v>
      </c>
      <c r="K286" s="62">
        <v>346</v>
      </c>
      <c r="L286" s="66"/>
      <c r="M286" s="63">
        <v>43889</v>
      </c>
      <c r="N286" s="61" t="s">
        <v>27</v>
      </c>
      <c r="O286" s="61"/>
      <c r="P286" s="61">
        <f t="shared" si="12"/>
        <v>2</v>
      </c>
      <c r="Q286" s="61">
        <f t="shared" si="13"/>
        <v>2020</v>
      </c>
      <c r="R286" s="100">
        <f t="shared" si="14"/>
        <v>11</v>
      </c>
    </row>
    <row r="287" spans="1:18" ht="14.25" x14ac:dyDescent="0.2">
      <c r="A287" s="63">
        <v>43885</v>
      </c>
      <c r="B287" s="61" t="s">
        <v>46</v>
      </c>
      <c r="C287" s="71" t="s">
        <v>18</v>
      </c>
      <c r="D287" s="73">
        <v>43872</v>
      </c>
      <c r="E287" s="61" t="s">
        <v>53</v>
      </c>
      <c r="F287" s="61">
        <v>15300978</v>
      </c>
      <c r="G287" s="61" t="s">
        <v>54</v>
      </c>
      <c r="H287" s="75">
        <v>5000</v>
      </c>
      <c r="I287" s="52" t="s">
        <v>49</v>
      </c>
      <c r="J287" s="223" t="s">
        <v>55</v>
      </c>
      <c r="K287" s="62">
        <v>347</v>
      </c>
      <c r="L287" s="66"/>
      <c r="M287" s="63"/>
      <c r="N287" s="61"/>
      <c r="O287" s="61"/>
      <c r="P287" s="61">
        <f t="shared" si="12"/>
        <v>2</v>
      </c>
      <c r="Q287" s="61">
        <f t="shared" si="13"/>
        <v>2020</v>
      </c>
      <c r="R287" s="100">
        <f t="shared" si="14"/>
        <v>11</v>
      </c>
    </row>
    <row r="288" spans="1:18" ht="14.25" x14ac:dyDescent="0.2">
      <c r="A288" s="63">
        <v>43885</v>
      </c>
      <c r="B288" s="61" t="s">
        <v>46</v>
      </c>
      <c r="C288" s="71" t="s">
        <v>18</v>
      </c>
      <c r="D288" s="73">
        <v>43873</v>
      </c>
      <c r="E288" s="61" t="s">
        <v>61</v>
      </c>
      <c r="F288" s="61">
        <v>96612134</v>
      </c>
      <c r="G288" s="61" t="s">
        <v>62</v>
      </c>
      <c r="H288" s="75">
        <v>7000</v>
      </c>
      <c r="I288" s="52" t="s">
        <v>97</v>
      </c>
      <c r="J288" s="223" t="s">
        <v>63</v>
      </c>
      <c r="K288" s="62">
        <v>348</v>
      </c>
      <c r="L288" s="66"/>
      <c r="M288" s="63">
        <v>43889</v>
      </c>
      <c r="N288" s="61" t="s">
        <v>27</v>
      </c>
      <c r="O288" s="61"/>
      <c r="P288" s="61">
        <f t="shared" si="12"/>
        <v>2</v>
      </c>
      <c r="Q288" s="61">
        <f t="shared" si="13"/>
        <v>2020</v>
      </c>
      <c r="R288" s="100">
        <f t="shared" si="14"/>
        <v>12</v>
      </c>
    </row>
    <row r="289" spans="1:18" ht="14.25" x14ac:dyDescent="0.2">
      <c r="A289" s="63">
        <v>43885</v>
      </c>
      <c r="B289" s="61" t="s">
        <v>46</v>
      </c>
      <c r="C289" s="71" t="s">
        <v>18</v>
      </c>
      <c r="D289" s="73">
        <v>43873</v>
      </c>
      <c r="E289" s="61" t="s">
        <v>92</v>
      </c>
      <c r="F289" s="61">
        <v>89679874</v>
      </c>
      <c r="G289" s="61" t="s">
        <v>93</v>
      </c>
      <c r="H289" s="75">
        <v>14965</v>
      </c>
      <c r="I289" s="52" t="s">
        <v>49</v>
      </c>
      <c r="J289" s="223" t="s">
        <v>95</v>
      </c>
      <c r="K289" s="62">
        <v>349</v>
      </c>
      <c r="L289" s="66"/>
      <c r="M289" s="63">
        <v>43889</v>
      </c>
      <c r="N289" s="61"/>
      <c r="O289" s="61"/>
      <c r="P289" s="61">
        <f t="shared" si="12"/>
        <v>2</v>
      </c>
      <c r="Q289" s="61">
        <f t="shared" si="13"/>
        <v>2020</v>
      </c>
      <c r="R289" s="100">
        <f t="shared" si="14"/>
        <v>12</v>
      </c>
    </row>
    <row r="290" spans="1:18" ht="14.25" x14ac:dyDescent="0.2">
      <c r="A290" s="63">
        <v>43885</v>
      </c>
      <c r="B290" s="61" t="s">
        <v>46</v>
      </c>
      <c r="C290" s="71" t="s">
        <v>18</v>
      </c>
      <c r="D290" s="73">
        <v>43873</v>
      </c>
      <c r="E290" s="61" t="s">
        <v>65</v>
      </c>
      <c r="F290" s="61">
        <v>22434721</v>
      </c>
      <c r="G290" s="61" t="s">
        <v>90</v>
      </c>
      <c r="H290" s="75">
        <v>8279.99</v>
      </c>
      <c r="I290" s="52" t="s">
        <v>49</v>
      </c>
      <c r="J290" s="223" t="s">
        <v>91</v>
      </c>
      <c r="K290" s="62">
        <v>350</v>
      </c>
      <c r="L290" s="66"/>
      <c r="M290" s="63">
        <v>43888</v>
      </c>
      <c r="N290" s="61"/>
      <c r="O290" s="61"/>
      <c r="P290" s="61">
        <f t="shared" si="12"/>
        <v>2</v>
      </c>
      <c r="Q290" s="61">
        <f t="shared" si="13"/>
        <v>2020</v>
      </c>
      <c r="R290" s="100">
        <f t="shared" si="14"/>
        <v>12</v>
      </c>
    </row>
    <row r="291" spans="1:18" ht="14.25" x14ac:dyDescent="0.2">
      <c r="A291" s="63">
        <v>43885</v>
      </c>
      <c r="B291" s="61" t="s">
        <v>46</v>
      </c>
      <c r="C291" s="71" t="s">
        <v>18</v>
      </c>
      <c r="D291" s="73">
        <v>43873</v>
      </c>
      <c r="E291" s="61" t="s">
        <v>79</v>
      </c>
      <c r="F291" s="61">
        <v>33173225</v>
      </c>
      <c r="G291" s="61" t="s">
        <v>80</v>
      </c>
      <c r="H291" s="75">
        <v>3000</v>
      </c>
      <c r="I291" s="52" t="s">
        <v>49</v>
      </c>
      <c r="J291" s="223" t="s">
        <v>81</v>
      </c>
      <c r="K291" s="62">
        <v>351</v>
      </c>
      <c r="L291" s="66"/>
      <c r="M291" s="63">
        <v>43889</v>
      </c>
      <c r="N291" s="61"/>
      <c r="O291" s="61"/>
      <c r="P291" s="61">
        <f t="shared" si="12"/>
        <v>2</v>
      </c>
      <c r="Q291" s="61">
        <f t="shared" si="13"/>
        <v>2020</v>
      </c>
      <c r="R291" s="100">
        <f t="shared" si="14"/>
        <v>12</v>
      </c>
    </row>
    <row r="292" spans="1:18" ht="14.25" x14ac:dyDescent="0.2">
      <c r="A292" s="63">
        <v>43885</v>
      </c>
      <c r="B292" s="61" t="s">
        <v>46</v>
      </c>
      <c r="C292" s="71" t="s">
        <v>18</v>
      </c>
      <c r="D292" s="73">
        <v>43873</v>
      </c>
      <c r="E292" s="61" t="s">
        <v>65</v>
      </c>
      <c r="F292" s="61">
        <v>22685459</v>
      </c>
      <c r="G292" s="61" t="s">
        <v>88</v>
      </c>
      <c r="H292" s="75">
        <v>13000</v>
      </c>
      <c r="I292" s="52" t="s">
        <v>49</v>
      </c>
      <c r="J292" s="223" t="s">
        <v>89</v>
      </c>
      <c r="K292" s="62">
        <v>352</v>
      </c>
      <c r="L292" s="66"/>
      <c r="M292" s="63"/>
      <c r="N292" s="61"/>
      <c r="O292" s="61"/>
      <c r="P292" s="61">
        <f t="shared" si="12"/>
        <v>2</v>
      </c>
      <c r="Q292" s="61">
        <f t="shared" si="13"/>
        <v>2020</v>
      </c>
      <c r="R292" s="100">
        <f t="shared" si="14"/>
        <v>12</v>
      </c>
    </row>
    <row r="293" spans="1:18" ht="14.25" x14ac:dyDescent="0.2">
      <c r="A293" s="63">
        <v>43885</v>
      </c>
      <c r="B293" s="61" t="s">
        <v>46</v>
      </c>
      <c r="C293" s="71" t="s">
        <v>18</v>
      </c>
      <c r="D293" s="73">
        <v>43875</v>
      </c>
      <c r="E293" s="61" t="s">
        <v>43</v>
      </c>
      <c r="F293" s="61">
        <v>99133841</v>
      </c>
      <c r="G293" s="61" t="s">
        <v>86</v>
      </c>
      <c r="H293" s="75">
        <v>10000</v>
      </c>
      <c r="I293" s="52" t="s">
        <v>49</v>
      </c>
      <c r="J293" s="223" t="s">
        <v>87</v>
      </c>
      <c r="K293" s="62">
        <v>353</v>
      </c>
      <c r="L293" s="66"/>
      <c r="M293" s="63"/>
      <c r="N293" s="61"/>
      <c r="O293" s="61"/>
      <c r="P293" s="61">
        <f t="shared" si="12"/>
        <v>2</v>
      </c>
      <c r="Q293" s="61">
        <f t="shared" si="13"/>
        <v>2020</v>
      </c>
      <c r="R293" s="100">
        <f t="shared" si="14"/>
        <v>14</v>
      </c>
    </row>
    <row r="294" spans="1:18" ht="14.25" x14ac:dyDescent="0.2">
      <c r="A294" s="63">
        <v>43885</v>
      </c>
      <c r="B294" s="61" t="s">
        <v>46</v>
      </c>
      <c r="C294" s="71" t="s">
        <v>18</v>
      </c>
      <c r="D294" s="73">
        <v>43875</v>
      </c>
      <c r="E294" s="61" t="s">
        <v>53</v>
      </c>
      <c r="F294" s="61">
        <v>15300979</v>
      </c>
      <c r="G294" s="61" t="s">
        <v>54</v>
      </c>
      <c r="H294" s="75">
        <v>5000</v>
      </c>
      <c r="I294" s="52" t="s">
        <v>49</v>
      </c>
      <c r="J294" s="223" t="s">
        <v>55</v>
      </c>
      <c r="K294" s="62">
        <v>354</v>
      </c>
      <c r="L294" s="66"/>
      <c r="M294" s="63"/>
      <c r="N294" s="61"/>
      <c r="O294" s="61"/>
      <c r="P294" s="61">
        <f t="shared" si="12"/>
        <v>2</v>
      </c>
      <c r="Q294" s="61">
        <f t="shared" si="13"/>
        <v>2020</v>
      </c>
      <c r="R294" s="100">
        <f t="shared" si="14"/>
        <v>14</v>
      </c>
    </row>
    <row r="295" spans="1:18" ht="14.25" x14ac:dyDescent="0.2">
      <c r="A295" s="63">
        <v>43885</v>
      </c>
      <c r="B295" s="61" t="s">
        <v>46</v>
      </c>
      <c r="C295" s="71" t="s">
        <v>18</v>
      </c>
      <c r="D295" s="73">
        <v>43876</v>
      </c>
      <c r="E295" s="61" t="s">
        <v>57</v>
      </c>
      <c r="F295" s="61">
        <v>731</v>
      </c>
      <c r="G295" s="61" t="s">
        <v>84</v>
      </c>
      <c r="H295" s="75">
        <v>9794</v>
      </c>
      <c r="I295" s="52" t="s">
        <v>49</v>
      </c>
      <c r="J295" s="223" t="s">
        <v>85</v>
      </c>
      <c r="K295" s="62">
        <v>355</v>
      </c>
      <c r="L295" s="66"/>
      <c r="M295" s="63">
        <v>43901</v>
      </c>
      <c r="N295" s="61"/>
      <c r="O295" s="61"/>
      <c r="P295" s="61">
        <f t="shared" si="12"/>
        <v>2</v>
      </c>
      <c r="Q295" s="61">
        <f t="shared" si="13"/>
        <v>2020</v>
      </c>
      <c r="R295" s="100">
        <f t="shared" si="14"/>
        <v>15</v>
      </c>
    </row>
    <row r="296" spans="1:18" ht="14.25" x14ac:dyDescent="0.2">
      <c r="A296" s="63">
        <v>43885</v>
      </c>
      <c r="B296" s="61" t="s">
        <v>46</v>
      </c>
      <c r="C296" s="71" t="s">
        <v>18</v>
      </c>
      <c r="D296" s="73">
        <v>43876</v>
      </c>
      <c r="E296" s="61" t="s">
        <v>65</v>
      </c>
      <c r="F296" s="61">
        <v>20715073</v>
      </c>
      <c r="G296" s="61" t="s">
        <v>82</v>
      </c>
      <c r="H296" s="75">
        <v>10000</v>
      </c>
      <c r="I296" s="52" t="s">
        <v>97</v>
      </c>
      <c r="J296" s="223" t="s">
        <v>83</v>
      </c>
      <c r="K296" s="62">
        <v>356</v>
      </c>
      <c r="L296" s="66"/>
      <c r="M296" s="63">
        <v>43896</v>
      </c>
      <c r="N296" s="71" t="s">
        <v>754</v>
      </c>
      <c r="O296" s="61"/>
      <c r="P296" s="61">
        <f t="shared" si="12"/>
        <v>2</v>
      </c>
      <c r="Q296" s="61">
        <f t="shared" si="13"/>
        <v>2020</v>
      </c>
      <c r="R296" s="100">
        <f t="shared" si="14"/>
        <v>15</v>
      </c>
    </row>
    <row r="297" spans="1:18" ht="14.25" x14ac:dyDescent="0.2">
      <c r="A297" s="63">
        <v>43885</v>
      </c>
      <c r="B297" s="61" t="s">
        <v>46</v>
      </c>
      <c r="C297" s="71" t="s">
        <v>18</v>
      </c>
      <c r="D297" s="73">
        <v>43876</v>
      </c>
      <c r="E297" s="61" t="s">
        <v>79</v>
      </c>
      <c r="F297" s="61">
        <v>33173218</v>
      </c>
      <c r="G297" s="61" t="s">
        <v>80</v>
      </c>
      <c r="H297" s="75">
        <v>5000</v>
      </c>
      <c r="I297" s="52" t="s">
        <v>97</v>
      </c>
      <c r="J297" s="223" t="s">
        <v>81</v>
      </c>
      <c r="K297" s="62">
        <v>357</v>
      </c>
      <c r="L297" s="66"/>
      <c r="M297" s="63">
        <v>43896</v>
      </c>
      <c r="N297" s="71" t="s">
        <v>754</v>
      </c>
      <c r="O297" s="61"/>
      <c r="P297" s="61">
        <f t="shared" si="12"/>
        <v>2</v>
      </c>
      <c r="Q297" s="61">
        <f t="shared" si="13"/>
        <v>2020</v>
      </c>
      <c r="R297" s="100">
        <f t="shared" si="14"/>
        <v>15</v>
      </c>
    </row>
    <row r="298" spans="1:18" ht="14.25" x14ac:dyDescent="0.2">
      <c r="A298" s="63">
        <v>43885</v>
      </c>
      <c r="B298" s="61" t="s">
        <v>46</v>
      </c>
      <c r="C298" s="71" t="s">
        <v>18</v>
      </c>
      <c r="D298" s="73">
        <v>43876</v>
      </c>
      <c r="E298" s="61" t="s">
        <v>43</v>
      </c>
      <c r="F298" s="61">
        <v>13255012</v>
      </c>
      <c r="G298" s="61" t="s">
        <v>51</v>
      </c>
      <c r="H298" s="75">
        <v>9330</v>
      </c>
      <c r="I298" s="52" t="s">
        <v>97</v>
      </c>
      <c r="J298" s="223" t="s">
        <v>52</v>
      </c>
      <c r="K298" s="62">
        <v>358</v>
      </c>
      <c r="L298" s="66"/>
      <c r="M298" s="63">
        <v>43896</v>
      </c>
      <c r="N298" s="71" t="s">
        <v>754</v>
      </c>
      <c r="O298" s="61"/>
      <c r="P298" s="61">
        <f t="shared" si="12"/>
        <v>2</v>
      </c>
      <c r="Q298" s="61">
        <f t="shared" si="13"/>
        <v>2020</v>
      </c>
      <c r="R298" s="100">
        <f t="shared" si="14"/>
        <v>15</v>
      </c>
    </row>
    <row r="299" spans="1:18" ht="14.25" x14ac:dyDescent="0.2">
      <c r="A299" s="63">
        <v>43885</v>
      </c>
      <c r="B299" s="61" t="s">
        <v>46</v>
      </c>
      <c r="C299" s="71" t="s">
        <v>18</v>
      </c>
      <c r="D299" s="73">
        <v>43876</v>
      </c>
      <c r="E299" s="61" t="s">
        <v>76</v>
      </c>
      <c r="F299" s="61">
        <v>24843470</v>
      </c>
      <c r="G299" s="61" t="s">
        <v>77</v>
      </c>
      <c r="H299" s="75">
        <v>3410</v>
      </c>
      <c r="I299" s="52" t="s">
        <v>97</v>
      </c>
      <c r="J299" s="223" t="s">
        <v>78</v>
      </c>
      <c r="K299" s="62">
        <v>359</v>
      </c>
      <c r="L299" s="66"/>
      <c r="M299" s="63">
        <v>43896</v>
      </c>
      <c r="N299" s="71" t="s">
        <v>754</v>
      </c>
      <c r="O299" s="61"/>
      <c r="P299" s="61">
        <f t="shared" si="12"/>
        <v>2</v>
      </c>
      <c r="Q299" s="61">
        <f t="shared" si="13"/>
        <v>2020</v>
      </c>
      <c r="R299" s="100">
        <f t="shared" si="14"/>
        <v>15</v>
      </c>
    </row>
    <row r="300" spans="1:18" ht="14.25" x14ac:dyDescent="0.2">
      <c r="A300" s="63">
        <v>43885</v>
      </c>
      <c r="B300" s="61" t="s">
        <v>46</v>
      </c>
      <c r="C300" s="71" t="s">
        <v>18</v>
      </c>
      <c r="D300" s="73">
        <v>43876</v>
      </c>
      <c r="E300" s="61" t="s">
        <v>57</v>
      </c>
      <c r="F300" s="61">
        <v>274748</v>
      </c>
      <c r="G300" s="61" t="s">
        <v>74</v>
      </c>
      <c r="H300" s="75">
        <v>5000</v>
      </c>
      <c r="I300" s="52" t="s">
        <v>49</v>
      </c>
      <c r="J300" s="223" t="s">
        <v>75</v>
      </c>
      <c r="K300" s="62">
        <v>360</v>
      </c>
      <c r="L300" s="66"/>
      <c r="M300" s="63">
        <v>43888</v>
      </c>
      <c r="N300" s="61"/>
      <c r="O300" s="61"/>
      <c r="P300" s="61">
        <f t="shared" si="12"/>
        <v>2</v>
      </c>
      <c r="Q300" s="61">
        <f t="shared" si="13"/>
        <v>2020</v>
      </c>
      <c r="R300" s="100">
        <f t="shared" si="14"/>
        <v>15</v>
      </c>
    </row>
    <row r="301" spans="1:18" ht="14.25" x14ac:dyDescent="0.2">
      <c r="A301" s="63">
        <v>43885</v>
      </c>
      <c r="B301" s="61" t="s">
        <v>46</v>
      </c>
      <c r="C301" s="71" t="s">
        <v>18</v>
      </c>
      <c r="D301" s="73">
        <v>43876</v>
      </c>
      <c r="E301" s="61" t="s">
        <v>70</v>
      </c>
      <c r="F301" s="61">
        <v>17462202</v>
      </c>
      <c r="G301" s="61" t="s">
        <v>71</v>
      </c>
      <c r="H301" s="75">
        <v>7000</v>
      </c>
      <c r="I301" s="52" t="s">
        <v>97</v>
      </c>
      <c r="J301" s="223" t="s">
        <v>72</v>
      </c>
      <c r="K301" s="62">
        <v>361</v>
      </c>
      <c r="L301" s="66"/>
      <c r="M301" s="63">
        <v>43896</v>
      </c>
      <c r="N301" s="71" t="s">
        <v>754</v>
      </c>
      <c r="O301" s="61"/>
      <c r="P301" s="61">
        <f t="shared" si="12"/>
        <v>2</v>
      </c>
      <c r="Q301" s="61">
        <f t="shared" si="13"/>
        <v>2020</v>
      </c>
      <c r="R301" s="100">
        <f t="shared" si="14"/>
        <v>15</v>
      </c>
    </row>
    <row r="302" spans="1:18" ht="14.25" x14ac:dyDescent="0.2">
      <c r="A302" s="63">
        <v>43885</v>
      </c>
      <c r="B302" s="61" t="s">
        <v>46</v>
      </c>
      <c r="C302" s="71" t="s">
        <v>18</v>
      </c>
      <c r="D302" s="73">
        <v>43876</v>
      </c>
      <c r="E302" s="61" t="s">
        <v>43</v>
      </c>
      <c r="F302" s="61">
        <v>11400905</v>
      </c>
      <c r="G302" s="61" t="s">
        <v>68</v>
      </c>
      <c r="H302" s="75">
        <v>12000</v>
      </c>
      <c r="I302" s="52" t="s">
        <v>97</v>
      </c>
      <c r="J302" s="223" t="s">
        <v>69</v>
      </c>
      <c r="K302" s="62">
        <v>362</v>
      </c>
      <c r="L302" s="66"/>
      <c r="M302" s="63">
        <v>43896</v>
      </c>
      <c r="N302" s="71" t="s">
        <v>754</v>
      </c>
      <c r="O302" s="61"/>
      <c r="P302" s="61">
        <f t="shared" si="12"/>
        <v>2</v>
      </c>
      <c r="Q302" s="61">
        <f t="shared" si="13"/>
        <v>2020</v>
      </c>
      <c r="R302" s="100">
        <f t="shared" si="14"/>
        <v>15</v>
      </c>
    </row>
    <row r="303" spans="1:18" ht="14.25" x14ac:dyDescent="0.2">
      <c r="A303" s="63">
        <v>43885</v>
      </c>
      <c r="B303" s="61" t="s">
        <v>46</v>
      </c>
      <c r="C303" s="71" t="s">
        <v>18</v>
      </c>
      <c r="D303" s="73">
        <v>43877</v>
      </c>
      <c r="E303" s="61" t="s">
        <v>65</v>
      </c>
      <c r="F303" s="61">
        <v>22270938</v>
      </c>
      <c r="G303" s="61" t="s">
        <v>66</v>
      </c>
      <c r="H303" s="75">
        <v>5000</v>
      </c>
      <c r="I303" s="52" t="s">
        <v>49</v>
      </c>
      <c r="J303" s="223" t="s">
        <v>67</v>
      </c>
      <c r="K303" s="62">
        <v>363</v>
      </c>
      <c r="L303" s="66"/>
      <c r="M303" s="63"/>
      <c r="N303" s="61"/>
      <c r="O303" s="61"/>
      <c r="P303" s="61">
        <f t="shared" si="12"/>
        <v>2</v>
      </c>
      <c r="Q303" s="61">
        <f t="shared" si="13"/>
        <v>2020</v>
      </c>
      <c r="R303" s="100">
        <f t="shared" si="14"/>
        <v>16</v>
      </c>
    </row>
    <row r="304" spans="1:18" ht="14.25" x14ac:dyDescent="0.2">
      <c r="A304" s="63">
        <v>43885</v>
      </c>
      <c r="B304" s="61" t="s">
        <v>46</v>
      </c>
      <c r="C304" s="71" t="s">
        <v>18</v>
      </c>
      <c r="D304" s="73">
        <v>43878</v>
      </c>
      <c r="E304" s="61" t="s">
        <v>61</v>
      </c>
      <c r="F304" s="61">
        <v>96880537</v>
      </c>
      <c r="G304" s="61" t="s">
        <v>62</v>
      </c>
      <c r="H304" s="75">
        <v>7000</v>
      </c>
      <c r="I304" s="52" t="s">
        <v>49</v>
      </c>
      <c r="J304" s="223" t="s">
        <v>63</v>
      </c>
      <c r="K304" s="62">
        <v>364</v>
      </c>
      <c r="L304" s="66"/>
      <c r="M304" s="63">
        <v>43901</v>
      </c>
      <c r="N304" s="61"/>
      <c r="O304" s="61"/>
      <c r="P304" s="61">
        <f t="shared" si="12"/>
        <v>2</v>
      </c>
      <c r="Q304" s="61">
        <f t="shared" si="13"/>
        <v>2020</v>
      </c>
      <c r="R304" s="100">
        <f t="shared" si="14"/>
        <v>17</v>
      </c>
    </row>
    <row r="305" spans="1:18" ht="14.25" x14ac:dyDescent="0.2">
      <c r="A305" s="63">
        <v>43885</v>
      </c>
      <c r="B305" s="61" t="s">
        <v>46</v>
      </c>
      <c r="C305" s="71" t="s">
        <v>18</v>
      </c>
      <c r="D305" s="73">
        <v>43878</v>
      </c>
      <c r="E305" s="61" t="s">
        <v>57</v>
      </c>
      <c r="F305" s="61">
        <v>354131</v>
      </c>
      <c r="G305" s="61" t="s">
        <v>58</v>
      </c>
      <c r="H305" s="75">
        <v>6594</v>
      </c>
      <c r="I305" s="52" t="s">
        <v>49</v>
      </c>
      <c r="J305" s="223" t="s">
        <v>59</v>
      </c>
      <c r="K305" s="62">
        <v>365</v>
      </c>
      <c r="L305" s="66"/>
      <c r="M305" s="63"/>
      <c r="N305" s="61"/>
      <c r="O305" s="61"/>
      <c r="P305" s="61">
        <f t="shared" si="12"/>
        <v>2</v>
      </c>
      <c r="Q305" s="61">
        <f t="shared" si="13"/>
        <v>2020</v>
      </c>
      <c r="R305" s="100">
        <f t="shared" si="14"/>
        <v>17</v>
      </c>
    </row>
    <row r="306" spans="1:18" ht="14.25" x14ac:dyDescent="0.2">
      <c r="A306" s="63">
        <v>43885</v>
      </c>
      <c r="B306" s="61" t="s">
        <v>46</v>
      </c>
      <c r="C306" s="71" t="s">
        <v>18</v>
      </c>
      <c r="D306" s="73">
        <v>43879</v>
      </c>
      <c r="E306" s="61" t="s">
        <v>53</v>
      </c>
      <c r="F306" s="61">
        <v>15300980</v>
      </c>
      <c r="G306" s="61" t="s">
        <v>54</v>
      </c>
      <c r="H306" s="75">
        <v>5000</v>
      </c>
      <c r="I306" s="52" t="s">
        <v>49</v>
      </c>
      <c r="J306" s="223" t="s">
        <v>55</v>
      </c>
      <c r="K306" s="62">
        <v>366</v>
      </c>
      <c r="L306" s="66"/>
      <c r="M306" s="63"/>
      <c r="N306" s="61"/>
      <c r="O306" s="61"/>
      <c r="P306" s="61">
        <f t="shared" si="12"/>
        <v>2</v>
      </c>
      <c r="Q306" s="61">
        <f t="shared" si="13"/>
        <v>2020</v>
      </c>
      <c r="R306" s="100">
        <f t="shared" si="14"/>
        <v>18</v>
      </c>
    </row>
    <row r="307" spans="1:18" ht="14.25" x14ac:dyDescent="0.2">
      <c r="A307" s="63">
        <v>43885</v>
      </c>
      <c r="B307" s="61" t="s">
        <v>46</v>
      </c>
      <c r="C307" s="71" t="s">
        <v>18</v>
      </c>
      <c r="D307" s="73">
        <v>43879</v>
      </c>
      <c r="E307" s="61" t="s">
        <v>43</v>
      </c>
      <c r="F307" s="61">
        <v>14800672</v>
      </c>
      <c r="G307" s="61" t="s">
        <v>51</v>
      </c>
      <c r="H307" s="75">
        <v>7017.4</v>
      </c>
      <c r="I307" s="52" t="s">
        <v>49</v>
      </c>
      <c r="J307" s="223" t="s">
        <v>52</v>
      </c>
      <c r="K307" s="62">
        <v>367</v>
      </c>
      <c r="L307" s="66"/>
      <c r="M307" s="63">
        <v>43901</v>
      </c>
      <c r="N307" s="61"/>
      <c r="O307" s="61"/>
      <c r="P307" s="61">
        <f t="shared" si="12"/>
        <v>2</v>
      </c>
      <c r="Q307" s="61">
        <f t="shared" si="13"/>
        <v>2020</v>
      </c>
      <c r="R307" s="100">
        <f t="shared" si="14"/>
        <v>18</v>
      </c>
    </row>
    <row r="308" spans="1:18" ht="14.25" x14ac:dyDescent="0.2">
      <c r="A308" s="63">
        <v>43885</v>
      </c>
      <c r="B308" s="61" t="s">
        <v>46</v>
      </c>
      <c r="C308" s="71" t="s">
        <v>18</v>
      </c>
      <c r="D308" s="73">
        <v>43881</v>
      </c>
      <c r="E308" s="61" t="s">
        <v>47</v>
      </c>
      <c r="F308" s="61">
        <v>72597378</v>
      </c>
      <c r="G308" s="61" t="s">
        <v>48</v>
      </c>
      <c r="H308" s="75">
        <v>4100</v>
      </c>
      <c r="I308" s="52" t="s">
        <v>49</v>
      </c>
      <c r="J308" s="223" t="s">
        <v>50</v>
      </c>
      <c r="K308" s="62">
        <v>368</v>
      </c>
      <c r="L308" s="66"/>
      <c r="M308" s="63"/>
      <c r="N308" s="61"/>
      <c r="O308" s="61"/>
      <c r="P308" s="61">
        <f t="shared" si="12"/>
        <v>2</v>
      </c>
      <c r="Q308" s="61">
        <f t="shared" si="13"/>
        <v>2020</v>
      </c>
      <c r="R308" s="100">
        <f t="shared" si="14"/>
        <v>20</v>
      </c>
    </row>
    <row r="309" spans="1:18" ht="14.25" x14ac:dyDescent="0.2">
      <c r="A309" s="63">
        <v>43892</v>
      </c>
      <c r="B309" s="61" t="s">
        <v>42</v>
      </c>
      <c r="C309" s="71" t="s">
        <v>18</v>
      </c>
      <c r="D309" s="73">
        <v>43908</v>
      </c>
      <c r="E309" s="61" t="s">
        <v>43</v>
      </c>
      <c r="F309" s="61">
        <v>14973536</v>
      </c>
      <c r="G309" s="61" t="s">
        <v>44</v>
      </c>
      <c r="H309" s="75">
        <v>13000</v>
      </c>
      <c r="I309" s="52" t="s">
        <v>49</v>
      </c>
      <c r="J309" s="223" t="s">
        <v>45</v>
      </c>
      <c r="K309" s="62">
        <v>369</v>
      </c>
      <c r="L309" s="66"/>
      <c r="M309" s="63">
        <v>43908</v>
      </c>
      <c r="N309" s="61"/>
      <c r="O309" s="61"/>
      <c r="P309" s="61">
        <f t="shared" si="12"/>
        <v>3</v>
      </c>
      <c r="Q309" s="61">
        <f t="shared" si="13"/>
        <v>2020</v>
      </c>
      <c r="R309" s="100">
        <f t="shared" si="14"/>
        <v>18</v>
      </c>
    </row>
    <row r="310" spans="1:18" x14ac:dyDescent="0.2">
      <c r="A310" s="69">
        <v>43893</v>
      </c>
      <c r="B310" s="61" t="s">
        <v>742</v>
      </c>
      <c r="C310" s="71" t="s">
        <v>18</v>
      </c>
      <c r="D310" s="73">
        <v>43901</v>
      </c>
      <c r="E310" s="61" t="s">
        <v>47</v>
      </c>
      <c r="F310" s="61">
        <v>76090312</v>
      </c>
      <c r="G310" s="61" t="s">
        <v>743</v>
      </c>
      <c r="H310" s="75">
        <v>15340.5</v>
      </c>
      <c r="I310" s="62" t="s">
        <v>97</v>
      </c>
      <c r="J310" s="61" t="s">
        <v>744</v>
      </c>
      <c r="K310" s="62">
        <v>370</v>
      </c>
      <c r="L310" s="61"/>
      <c r="M310" s="64">
        <v>43906</v>
      </c>
      <c r="N310" s="61" t="s">
        <v>757</v>
      </c>
      <c r="O310" s="61"/>
      <c r="P310" s="61">
        <f t="shared" si="12"/>
        <v>3</v>
      </c>
      <c r="Q310" s="61">
        <f t="shared" si="13"/>
        <v>2020</v>
      </c>
      <c r="R310" s="100">
        <f t="shared" si="14"/>
        <v>11</v>
      </c>
    </row>
    <row r="311" spans="1:18" x14ac:dyDescent="0.2">
      <c r="A311" s="69">
        <v>43894</v>
      </c>
      <c r="B311" s="71" t="s">
        <v>158</v>
      </c>
      <c r="C311" s="71" t="s">
        <v>18</v>
      </c>
      <c r="D311" s="73">
        <v>43902</v>
      </c>
      <c r="E311" s="71" t="s">
        <v>47</v>
      </c>
      <c r="F311" s="61">
        <v>70405597</v>
      </c>
      <c r="G311" s="71" t="s">
        <v>746</v>
      </c>
      <c r="H311" s="75">
        <v>18160</v>
      </c>
      <c r="I311" s="62" t="s">
        <v>97</v>
      </c>
      <c r="J311" s="71" t="s">
        <v>747</v>
      </c>
      <c r="K311" s="62">
        <v>371</v>
      </c>
      <c r="L311" s="61"/>
      <c r="M311" s="64">
        <v>43906</v>
      </c>
      <c r="N311" s="61" t="s">
        <v>757</v>
      </c>
      <c r="O311" s="61"/>
      <c r="P311" s="61">
        <f t="shared" si="12"/>
        <v>3</v>
      </c>
      <c r="Q311" s="61">
        <f t="shared" si="13"/>
        <v>2020</v>
      </c>
      <c r="R311" s="100">
        <f t="shared" si="14"/>
        <v>12</v>
      </c>
    </row>
    <row r="312" spans="1:18" x14ac:dyDescent="0.2">
      <c r="A312" s="69">
        <v>43894</v>
      </c>
      <c r="B312" s="71" t="s">
        <v>158</v>
      </c>
      <c r="C312" s="71" t="s">
        <v>18</v>
      </c>
      <c r="D312" s="73">
        <v>43920</v>
      </c>
      <c r="E312" s="71" t="s">
        <v>123</v>
      </c>
      <c r="F312" s="61">
        <v>4482428</v>
      </c>
      <c r="G312" s="71" t="s">
        <v>748</v>
      </c>
      <c r="H312" s="75">
        <v>3500</v>
      </c>
      <c r="I312" s="62" t="s">
        <v>49</v>
      </c>
      <c r="J312" s="71" t="s">
        <v>749</v>
      </c>
      <c r="K312" s="62">
        <v>372</v>
      </c>
      <c r="L312" s="61"/>
      <c r="M312" s="64">
        <v>43923</v>
      </c>
      <c r="N312" s="61"/>
      <c r="O312" s="61"/>
      <c r="P312" s="61">
        <f t="shared" si="12"/>
        <v>3</v>
      </c>
      <c r="Q312" s="61">
        <f t="shared" si="13"/>
        <v>2020</v>
      </c>
      <c r="R312" s="100">
        <f t="shared" si="14"/>
        <v>30</v>
      </c>
    </row>
    <row r="313" spans="1:18" x14ac:dyDescent="0.2">
      <c r="A313" s="69">
        <v>43894</v>
      </c>
      <c r="B313" s="71" t="s">
        <v>158</v>
      </c>
      <c r="C313" s="71" t="s">
        <v>18</v>
      </c>
      <c r="D313" s="73">
        <v>43951</v>
      </c>
      <c r="E313" s="71" t="s">
        <v>123</v>
      </c>
      <c r="F313" s="61">
        <v>4482429</v>
      </c>
      <c r="G313" s="71" t="s">
        <v>748</v>
      </c>
      <c r="H313" s="75">
        <v>3800</v>
      </c>
      <c r="I313" s="62" t="s">
        <v>49</v>
      </c>
      <c r="J313" s="71" t="s">
        <v>749</v>
      </c>
      <c r="K313" s="62">
        <v>373</v>
      </c>
      <c r="L313" s="61"/>
      <c r="M313" s="61"/>
      <c r="N313" s="61"/>
      <c r="O313" s="61"/>
      <c r="P313" s="61">
        <f t="shared" si="12"/>
        <v>4</v>
      </c>
      <c r="Q313" s="61">
        <f t="shared" si="13"/>
        <v>2020</v>
      </c>
      <c r="R313" s="100">
        <f t="shared" si="14"/>
        <v>30</v>
      </c>
    </row>
    <row r="314" spans="1:18" x14ac:dyDescent="0.2">
      <c r="A314" s="69">
        <v>43902</v>
      </c>
      <c r="B314" s="69" t="s">
        <v>278</v>
      </c>
      <c r="C314" s="61" t="s">
        <v>18</v>
      </c>
      <c r="D314" s="73">
        <v>43927</v>
      </c>
      <c r="E314" s="61" t="s">
        <v>57</v>
      </c>
      <c r="F314" s="61">
        <v>1926</v>
      </c>
      <c r="G314" s="61" t="s">
        <v>281</v>
      </c>
      <c r="H314" s="75">
        <v>5000</v>
      </c>
      <c r="I314" s="62" t="s">
        <v>49</v>
      </c>
      <c r="J314" s="61" t="s">
        <v>282</v>
      </c>
      <c r="K314" s="62">
        <v>374</v>
      </c>
      <c r="L314" s="61"/>
      <c r="M314" s="64">
        <v>43929</v>
      </c>
      <c r="N314" s="61"/>
      <c r="O314" s="61"/>
      <c r="P314" s="61">
        <f t="shared" si="12"/>
        <v>4</v>
      </c>
      <c r="Q314" s="61">
        <f t="shared" si="13"/>
        <v>2020</v>
      </c>
      <c r="R314" s="100">
        <f t="shared" si="14"/>
        <v>6</v>
      </c>
    </row>
    <row r="315" spans="1:18" x14ac:dyDescent="0.2">
      <c r="A315" s="69">
        <v>43902</v>
      </c>
      <c r="B315" s="69" t="s">
        <v>278</v>
      </c>
      <c r="C315" s="61" t="s">
        <v>18</v>
      </c>
      <c r="D315" s="73">
        <v>43943</v>
      </c>
      <c r="E315" s="61" t="s">
        <v>57</v>
      </c>
      <c r="F315" s="61">
        <v>1927</v>
      </c>
      <c r="G315" s="61" t="s">
        <v>281</v>
      </c>
      <c r="H315" s="75">
        <v>4900</v>
      </c>
      <c r="I315" s="62" t="s">
        <v>49</v>
      </c>
      <c r="J315" s="61" t="s">
        <v>282</v>
      </c>
      <c r="K315" s="62">
        <v>375</v>
      </c>
      <c r="L315" s="61"/>
      <c r="M315" s="61"/>
      <c r="N315" s="61"/>
      <c r="O315" s="61"/>
      <c r="P315" s="61">
        <f t="shared" si="12"/>
        <v>4</v>
      </c>
      <c r="Q315" s="61">
        <f t="shared" si="13"/>
        <v>2020</v>
      </c>
      <c r="R315" s="100">
        <f t="shared" si="14"/>
        <v>22</v>
      </c>
    </row>
    <row r="316" spans="1:18" x14ac:dyDescent="0.2">
      <c r="A316" s="69">
        <v>43907</v>
      </c>
      <c r="B316" s="61" t="s">
        <v>278</v>
      </c>
      <c r="C316" s="61" t="s">
        <v>18</v>
      </c>
      <c r="D316" s="73">
        <v>43923</v>
      </c>
      <c r="E316" s="61" t="s">
        <v>148</v>
      </c>
      <c r="F316" s="61">
        <v>21395529</v>
      </c>
      <c r="G316" s="61" t="s">
        <v>758</v>
      </c>
      <c r="H316" s="75">
        <v>15493.33</v>
      </c>
      <c r="I316" s="62" t="s">
        <v>49</v>
      </c>
      <c r="J316" s="61" t="s">
        <v>759</v>
      </c>
      <c r="K316" s="62">
        <v>376</v>
      </c>
      <c r="L316" s="61"/>
      <c r="M316" s="64">
        <v>43923</v>
      </c>
      <c r="N316" s="61"/>
      <c r="O316" s="61"/>
      <c r="P316" s="61">
        <f t="shared" si="12"/>
        <v>4</v>
      </c>
      <c r="Q316" s="61">
        <f t="shared" si="13"/>
        <v>2020</v>
      </c>
      <c r="R316" s="100">
        <f t="shared" si="14"/>
        <v>2</v>
      </c>
    </row>
    <row r="317" spans="1:18" x14ac:dyDescent="0.2">
      <c r="A317" s="69">
        <v>43909</v>
      </c>
      <c r="B317" s="61" t="s">
        <v>222</v>
      </c>
      <c r="C317" s="61" t="s">
        <v>18</v>
      </c>
      <c r="D317" s="73">
        <v>44012</v>
      </c>
      <c r="E317" s="61" t="s">
        <v>65</v>
      </c>
      <c r="F317" s="61">
        <v>40888116</v>
      </c>
      <c r="G317" s="61" t="s">
        <v>176</v>
      </c>
      <c r="H317" s="75">
        <v>30000</v>
      </c>
      <c r="I317" s="62" t="s">
        <v>150</v>
      </c>
      <c r="J317" s="61" t="s">
        <v>177</v>
      </c>
      <c r="K317" s="62">
        <v>377</v>
      </c>
      <c r="L317" s="61"/>
      <c r="M317" s="64">
        <v>43934</v>
      </c>
      <c r="N317" s="61"/>
      <c r="O317" s="61"/>
      <c r="P317" s="61">
        <f t="shared" si="12"/>
        <v>6</v>
      </c>
      <c r="Q317" s="61">
        <f t="shared" si="13"/>
        <v>2020</v>
      </c>
      <c r="R317" s="100">
        <f t="shared" si="14"/>
        <v>30</v>
      </c>
    </row>
    <row r="318" spans="1:18" x14ac:dyDescent="0.2">
      <c r="A318" s="69">
        <v>43909</v>
      </c>
      <c r="B318" s="61" t="s">
        <v>222</v>
      </c>
      <c r="C318" s="61" t="s">
        <v>18</v>
      </c>
      <c r="D318" s="73">
        <v>44012</v>
      </c>
      <c r="E318" s="61" t="s">
        <v>65</v>
      </c>
      <c r="F318" s="61">
        <v>40888117</v>
      </c>
      <c r="G318" s="61" t="s">
        <v>176</v>
      </c>
      <c r="H318" s="75">
        <v>30000</v>
      </c>
      <c r="I318" s="62" t="s">
        <v>150</v>
      </c>
      <c r="J318" s="61" t="s">
        <v>177</v>
      </c>
      <c r="K318" s="62">
        <v>378</v>
      </c>
      <c r="L318" s="61"/>
      <c r="M318" s="64">
        <v>43934</v>
      </c>
      <c r="N318" s="61"/>
      <c r="O318" s="61"/>
      <c r="P318" s="61">
        <f t="shared" si="12"/>
        <v>6</v>
      </c>
      <c r="Q318" s="61">
        <f t="shared" si="13"/>
        <v>2020</v>
      </c>
      <c r="R318" s="100">
        <f t="shared" si="14"/>
        <v>30</v>
      </c>
    </row>
    <row r="319" spans="1:18" x14ac:dyDescent="0.2">
      <c r="A319" s="69">
        <v>43941</v>
      </c>
      <c r="B319" s="61" t="s">
        <v>222</v>
      </c>
      <c r="C319" s="61" t="s">
        <v>18</v>
      </c>
      <c r="D319" s="73">
        <v>44004</v>
      </c>
      <c r="E319" s="61" t="s">
        <v>65</v>
      </c>
      <c r="F319" s="61">
        <v>40888114</v>
      </c>
      <c r="G319" s="61" t="s">
        <v>176</v>
      </c>
      <c r="H319" s="75">
        <v>30000</v>
      </c>
      <c r="I319" s="62" t="s">
        <v>150</v>
      </c>
      <c r="J319" s="61" t="s">
        <v>177</v>
      </c>
      <c r="K319" s="62">
        <v>379</v>
      </c>
      <c r="L319" s="61"/>
      <c r="M319" s="64">
        <v>43937</v>
      </c>
      <c r="N319" s="61"/>
      <c r="O319" s="61"/>
      <c r="P319" s="61">
        <f t="shared" si="12"/>
        <v>6</v>
      </c>
      <c r="Q319" s="61">
        <f t="shared" si="13"/>
        <v>2020</v>
      </c>
      <c r="R319" s="100">
        <f t="shared" si="14"/>
        <v>22</v>
      </c>
    </row>
    <row r="320" spans="1:18" x14ac:dyDescent="0.2">
      <c r="A320" s="69">
        <v>43941</v>
      </c>
      <c r="B320" s="61" t="s">
        <v>222</v>
      </c>
      <c r="C320" s="61" t="s">
        <v>18</v>
      </c>
      <c r="D320" s="73">
        <v>44014</v>
      </c>
      <c r="E320" s="61" t="s">
        <v>65</v>
      </c>
      <c r="F320" s="61">
        <v>40888115</v>
      </c>
      <c r="G320" s="61" t="s">
        <v>176</v>
      </c>
      <c r="H320" s="75">
        <v>30000</v>
      </c>
      <c r="I320" s="62" t="s">
        <v>150</v>
      </c>
      <c r="J320" s="61" t="s">
        <v>177</v>
      </c>
      <c r="K320" s="62">
        <v>380</v>
      </c>
      <c r="L320" s="61"/>
      <c r="M320" s="64">
        <v>43937</v>
      </c>
      <c r="N320" s="61"/>
      <c r="O320" s="61"/>
      <c r="P320" s="61">
        <f t="shared" si="12"/>
        <v>7</v>
      </c>
      <c r="Q320" s="61">
        <f t="shared" si="13"/>
        <v>2020</v>
      </c>
      <c r="R320" s="100">
        <f t="shared" si="14"/>
        <v>2</v>
      </c>
    </row>
    <row r="321" spans="1:18" x14ac:dyDescent="0.2">
      <c r="A321" s="69">
        <v>43943</v>
      </c>
      <c r="B321" s="61" t="s">
        <v>222</v>
      </c>
      <c r="C321" s="61" t="s">
        <v>18</v>
      </c>
      <c r="D321" s="73">
        <v>43971</v>
      </c>
      <c r="E321" s="61" t="s">
        <v>47</v>
      </c>
      <c r="F321" s="61">
        <v>72773491</v>
      </c>
      <c r="G321" s="61" t="s">
        <v>541</v>
      </c>
      <c r="H321" s="75">
        <v>10000</v>
      </c>
      <c r="I321" s="62" t="s">
        <v>150</v>
      </c>
      <c r="J321" s="223" t="s">
        <v>156</v>
      </c>
      <c r="K321" s="62">
        <v>381</v>
      </c>
      <c r="L321" s="61"/>
      <c r="M321" s="64">
        <v>43943</v>
      </c>
      <c r="N321" s="61"/>
      <c r="O321" s="61"/>
      <c r="P321" s="61">
        <f t="shared" si="12"/>
        <v>5</v>
      </c>
      <c r="Q321" s="61">
        <f t="shared" si="13"/>
        <v>2020</v>
      </c>
      <c r="R321" s="100">
        <f t="shared" si="14"/>
        <v>20</v>
      </c>
    </row>
    <row r="322" spans="1:18" x14ac:dyDescent="0.2">
      <c r="A322" s="69">
        <v>43943</v>
      </c>
      <c r="B322" s="61" t="s">
        <v>222</v>
      </c>
      <c r="C322" s="61" t="s">
        <v>18</v>
      </c>
      <c r="D322" s="73">
        <v>43973</v>
      </c>
      <c r="E322" s="61" t="s">
        <v>47</v>
      </c>
      <c r="F322" s="61">
        <v>72773492</v>
      </c>
      <c r="G322" s="61" t="s">
        <v>541</v>
      </c>
      <c r="H322" s="75">
        <v>10000</v>
      </c>
      <c r="I322" s="62" t="s">
        <v>150</v>
      </c>
      <c r="J322" s="223" t="s">
        <v>156</v>
      </c>
      <c r="K322" s="62">
        <v>382</v>
      </c>
      <c r="L322" s="61"/>
      <c r="M322" s="64">
        <v>43943</v>
      </c>
      <c r="N322" s="61"/>
      <c r="O322" s="61"/>
      <c r="P322" s="61">
        <f t="shared" ref="P322:P385" si="15">MONTH(D322)</f>
        <v>5</v>
      </c>
      <c r="Q322" s="61">
        <f t="shared" ref="Q322:Q385" si="16">YEAR(D322)</f>
        <v>2020</v>
      </c>
      <c r="R322" s="100">
        <f t="shared" si="14"/>
        <v>22</v>
      </c>
    </row>
    <row r="323" spans="1:18" x14ac:dyDescent="0.2">
      <c r="A323" s="69">
        <v>43951</v>
      </c>
      <c r="B323" s="61" t="s">
        <v>762</v>
      </c>
      <c r="C323" s="61" t="s">
        <v>18</v>
      </c>
      <c r="D323" s="73">
        <v>43979</v>
      </c>
      <c r="E323" s="61" t="s">
        <v>53</v>
      </c>
      <c r="F323" s="61">
        <v>45900714</v>
      </c>
      <c r="G323" s="61" t="s">
        <v>764</v>
      </c>
      <c r="H323" s="75">
        <v>25000</v>
      </c>
      <c r="I323" s="62" t="s">
        <v>150</v>
      </c>
      <c r="J323" s="61" t="s">
        <v>763</v>
      </c>
      <c r="K323" s="62">
        <v>383</v>
      </c>
      <c r="L323" s="61"/>
      <c r="M323" s="61"/>
      <c r="N323" s="61"/>
      <c r="O323" s="61"/>
      <c r="P323" s="61">
        <f t="shared" si="15"/>
        <v>5</v>
      </c>
      <c r="Q323" s="61">
        <f t="shared" si="16"/>
        <v>2020</v>
      </c>
      <c r="R323" s="100">
        <f t="shared" ref="R323:R386" si="17">DAY(D323)</f>
        <v>28</v>
      </c>
    </row>
    <row r="324" spans="1:18" x14ac:dyDescent="0.2">
      <c r="A324" s="69">
        <v>43959</v>
      </c>
      <c r="B324" s="61" t="s">
        <v>222</v>
      </c>
      <c r="C324" s="61" t="s">
        <v>18</v>
      </c>
      <c r="D324" s="73">
        <v>44065</v>
      </c>
      <c r="E324" s="61" t="s">
        <v>65</v>
      </c>
      <c r="F324" s="61">
        <v>40888125</v>
      </c>
      <c r="G324" s="61" t="s">
        <v>176</v>
      </c>
      <c r="H324" s="75">
        <v>40000</v>
      </c>
      <c r="I324" s="62" t="s">
        <v>150</v>
      </c>
      <c r="J324" s="61" t="s">
        <v>177</v>
      </c>
      <c r="K324" s="62">
        <v>384</v>
      </c>
      <c r="L324" s="61"/>
      <c r="M324" s="61"/>
      <c r="N324" s="61"/>
      <c r="O324" s="61"/>
      <c r="P324" s="61">
        <f t="shared" si="15"/>
        <v>8</v>
      </c>
      <c r="Q324" s="61">
        <f t="shared" si="16"/>
        <v>2020</v>
      </c>
      <c r="R324" s="100">
        <f t="shared" si="17"/>
        <v>22</v>
      </c>
    </row>
    <row r="325" spans="1:18" x14ac:dyDescent="0.2">
      <c r="A325" s="69">
        <v>43959</v>
      </c>
      <c r="B325" s="61" t="s">
        <v>222</v>
      </c>
      <c r="C325" s="61" t="s">
        <v>18</v>
      </c>
      <c r="D325" s="73">
        <v>44074</v>
      </c>
      <c r="E325" s="61" t="s">
        <v>65</v>
      </c>
      <c r="F325" s="61">
        <v>40888126</v>
      </c>
      <c r="G325" s="61" t="s">
        <v>176</v>
      </c>
      <c r="H325" s="75">
        <v>30000</v>
      </c>
      <c r="I325" s="62" t="s">
        <v>150</v>
      </c>
      <c r="J325" s="61" t="s">
        <v>177</v>
      </c>
      <c r="K325" s="62">
        <v>385</v>
      </c>
      <c r="L325" s="61"/>
      <c r="M325" s="61"/>
      <c r="N325" s="61"/>
      <c r="O325" s="61"/>
      <c r="P325" s="61">
        <f t="shared" si="15"/>
        <v>8</v>
      </c>
      <c r="Q325" s="61">
        <f t="shared" si="16"/>
        <v>2020</v>
      </c>
      <c r="R325" s="100">
        <f t="shared" si="17"/>
        <v>31</v>
      </c>
    </row>
    <row r="326" spans="1:18" x14ac:dyDescent="0.2">
      <c r="A326" s="69">
        <v>43959</v>
      </c>
      <c r="B326" s="61" t="s">
        <v>222</v>
      </c>
      <c r="C326" s="61" t="s">
        <v>18</v>
      </c>
      <c r="D326" s="73">
        <v>44074</v>
      </c>
      <c r="E326" s="61" t="s">
        <v>65</v>
      </c>
      <c r="F326" s="61">
        <v>40888127</v>
      </c>
      <c r="G326" s="61" t="s">
        <v>176</v>
      </c>
      <c r="H326" s="75">
        <v>30000</v>
      </c>
      <c r="I326" s="62" t="s">
        <v>150</v>
      </c>
      <c r="J326" s="61" t="s">
        <v>177</v>
      </c>
      <c r="K326" s="62">
        <v>386</v>
      </c>
      <c r="L326" s="61"/>
      <c r="M326" s="64">
        <v>43958</v>
      </c>
      <c r="N326" s="61"/>
      <c r="O326" s="61"/>
      <c r="P326" s="61">
        <f t="shared" si="15"/>
        <v>8</v>
      </c>
      <c r="Q326" s="61">
        <f t="shared" si="16"/>
        <v>2020</v>
      </c>
      <c r="R326" s="100">
        <f t="shared" si="17"/>
        <v>31</v>
      </c>
    </row>
    <row r="327" spans="1:18" x14ac:dyDescent="0.2">
      <c r="A327" s="69">
        <v>43959</v>
      </c>
      <c r="B327" s="61" t="s">
        <v>222</v>
      </c>
      <c r="C327" s="61" t="s">
        <v>18</v>
      </c>
      <c r="D327" s="73">
        <v>44074</v>
      </c>
      <c r="E327" s="61" t="s">
        <v>65</v>
      </c>
      <c r="F327" s="61">
        <v>40888128</v>
      </c>
      <c r="G327" s="61" t="s">
        <v>176</v>
      </c>
      <c r="H327" s="75">
        <v>30000</v>
      </c>
      <c r="I327" s="62" t="s">
        <v>150</v>
      </c>
      <c r="J327" s="61" t="s">
        <v>177</v>
      </c>
      <c r="K327" s="62">
        <v>387</v>
      </c>
      <c r="L327" s="61"/>
      <c r="M327" s="64">
        <v>43963</v>
      </c>
      <c r="N327" s="61"/>
      <c r="O327" s="61"/>
      <c r="P327" s="61">
        <f t="shared" si="15"/>
        <v>8</v>
      </c>
      <c r="Q327" s="61">
        <f t="shared" si="16"/>
        <v>2020</v>
      </c>
      <c r="R327" s="100">
        <f t="shared" si="17"/>
        <v>31</v>
      </c>
    </row>
    <row r="328" spans="1:18" x14ac:dyDescent="0.2">
      <c r="A328" s="69">
        <v>43963</v>
      </c>
      <c r="B328" s="61" t="s">
        <v>158</v>
      </c>
      <c r="C328" s="61" t="s">
        <v>18</v>
      </c>
      <c r="D328" s="73">
        <v>43958</v>
      </c>
      <c r="E328" s="61" t="s">
        <v>57</v>
      </c>
      <c r="F328" s="61">
        <v>43540</v>
      </c>
      <c r="G328" s="61" t="s">
        <v>681</v>
      </c>
      <c r="H328" s="75">
        <v>5000</v>
      </c>
      <c r="I328" s="62" t="s">
        <v>49</v>
      </c>
      <c r="J328" s="61" t="s">
        <v>273</v>
      </c>
      <c r="K328" s="62">
        <v>388</v>
      </c>
      <c r="L328" s="61"/>
      <c r="M328" s="61"/>
      <c r="N328" s="61"/>
      <c r="O328" s="61"/>
      <c r="P328" s="61">
        <f t="shared" si="15"/>
        <v>5</v>
      </c>
      <c r="Q328" s="61">
        <f t="shared" si="16"/>
        <v>2020</v>
      </c>
      <c r="R328" s="100">
        <f t="shared" si="17"/>
        <v>7</v>
      </c>
    </row>
    <row r="329" spans="1:18" x14ac:dyDescent="0.2">
      <c r="A329" s="69">
        <v>43963</v>
      </c>
      <c r="B329" s="61" t="s">
        <v>158</v>
      </c>
      <c r="C329" s="64" t="s">
        <v>18</v>
      </c>
      <c r="D329" s="73">
        <v>43967</v>
      </c>
      <c r="E329" s="61" t="s">
        <v>47</v>
      </c>
      <c r="F329" s="61">
        <v>73188554</v>
      </c>
      <c r="G329" s="61" t="s">
        <v>768</v>
      </c>
      <c r="H329" s="75">
        <v>12550</v>
      </c>
      <c r="I329" s="62" t="s">
        <v>49</v>
      </c>
      <c r="J329" s="61" t="s">
        <v>769</v>
      </c>
      <c r="K329" s="62">
        <v>389</v>
      </c>
      <c r="L329" s="61"/>
      <c r="M329" s="61"/>
      <c r="N329" s="61"/>
      <c r="O329" s="61"/>
      <c r="P329" s="61">
        <f t="shared" si="15"/>
        <v>5</v>
      </c>
      <c r="Q329" s="61">
        <f t="shared" si="16"/>
        <v>2020</v>
      </c>
      <c r="R329" s="100">
        <f t="shared" si="17"/>
        <v>16</v>
      </c>
    </row>
    <row r="330" spans="1:18" x14ac:dyDescent="0.2">
      <c r="A330" s="69">
        <v>43981</v>
      </c>
      <c r="B330" s="61" t="s">
        <v>439</v>
      </c>
      <c r="C330" s="61" t="s">
        <v>18</v>
      </c>
      <c r="D330" s="73">
        <v>44022</v>
      </c>
      <c r="E330" s="61" t="s">
        <v>43</v>
      </c>
      <c r="F330" s="61">
        <v>11082887</v>
      </c>
      <c r="G330" s="61" t="s">
        <v>562</v>
      </c>
      <c r="H330" s="75">
        <v>14880.25</v>
      </c>
      <c r="I330" s="62" t="s">
        <v>150</v>
      </c>
      <c r="J330" s="61" t="s">
        <v>568</v>
      </c>
      <c r="K330" s="62">
        <v>390</v>
      </c>
      <c r="L330" s="61"/>
      <c r="M330" s="61"/>
      <c r="N330" s="61"/>
      <c r="O330" s="61"/>
      <c r="P330" s="61">
        <f t="shared" si="15"/>
        <v>7</v>
      </c>
      <c r="Q330" s="61">
        <f t="shared" si="16"/>
        <v>2020</v>
      </c>
      <c r="R330" s="100">
        <f t="shared" si="17"/>
        <v>10</v>
      </c>
    </row>
    <row r="331" spans="1:18" x14ac:dyDescent="0.2">
      <c r="A331" s="69">
        <v>43981</v>
      </c>
      <c r="B331" s="61" t="s">
        <v>42</v>
      </c>
      <c r="C331" s="61" t="s">
        <v>18</v>
      </c>
      <c r="D331" s="73">
        <v>43980</v>
      </c>
      <c r="E331" s="61" t="s">
        <v>47</v>
      </c>
      <c r="F331" s="61">
        <v>76240787</v>
      </c>
      <c r="G331" s="61" t="s">
        <v>804</v>
      </c>
      <c r="H331" s="75">
        <v>9000</v>
      </c>
      <c r="I331" s="62" t="s">
        <v>49</v>
      </c>
      <c r="J331" s="61" t="s">
        <v>506</v>
      </c>
      <c r="K331" s="62">
        <v>391</v>
      </c>
      <c r="L331" s="61"/>
      <c r="M331" s="61"/>
      <c r="N331" s="61"/>
      <c r="O331" s="61"/>
      <c r="P331" s="61">
        <f t="shared" si="15"/>
        <v>5</v>
      </c>
      <c r="Q331" s="61">
        <f t="shared" si="16"/>
        <v>2020</v>
      </c>
      <c r="R331" s="100">
        <f t="shared" si="17"/>
        <v>29</v>
      </c>
    </row>
    <row r="332" spans="1:18" x14ac:dyDescent="0.2">
      <c r="A332" s="69">
        <v>43981</v>
      </c>
      <c r="B332" s="61" t="s">
        <v>42</v>
      </c>
      <c r="C332" s="61" t="s">
        <v>18</v>
      </c>
      <c r="D332" s="73">
        <v>43987</v>
      </c>
      <c r="E332" s="61" t="s">
        <v>47</v>
      </c>
      <c r="F332" s="61">
        <v>76240788</v>
      </c>
      <c r="G332" s="61" t="s">
        <v>804</v>
      </c>
      <c r="H332" s="75">
        <v>8908</v>
      </c>
      <c r="I332" s="62" t="s">
        <v>316</v>
      </c>
      <c r="J332" s="61" t="s">
        <v>506</v>
      </c>
      <c r="K332" s="62">
        <v>392</v>
      </c>
      <c r="L332" s="61"/>
      <c r="M332" s="64">
        <v>43993</v>
      </c>
      <c r="N332" s="61"/>
      <c r="O332" s="61" t="s">
        <v>813</v>
      </c>
      <c r="P332" s="61">
        <f t="shared" si="15"/>
        <v>6</v>
      </c>
      <c r="Q332" s="61">
        <f t="shared" si="16"/>
        <v>2020</v>
      </c>
      <c r="R332" s="100">
        <f t="shared" si="17"/>
        <v>5</v>
      </c>
    </row>
    <row r="333" spans="1:18" x14ac:dyDescent="0.2">
      <c r="A333" s="69">
        <v>43981</v>
      </c>
      <c r="B333" s="61" t="s">
        <v>42</v>
      </c>
      <c r="C333" s="61" t="s">
        <v>18</v>
      </c>
      <c r="D333" s="73">
        <v>44008</v>
      </c>
      <c r="E333" s="61" t="s">
        <v>47</v>
      </c>
      <c r="F333" s="61">
        <v>76240791</v>
      </c>
      <c r="G333" s="61" t="s">
        <v>804</v>
      </c>
      <c r="H333" s="75">
        <v>8816.81</v>
      </c>
      <c r="I333" s="62" t="s">
        <v>49</v>
      </c>
      <c r="J333" s="61" t="s">
        <v>506</v>
      </c>
      <c r="K333" s="62">
        <v>393</v>
      </c>
      <c r="L333" s="61"/>
      <c r="M333" s="61"/>
      <c r="N333" s="61"/>
      <c r="O333" s="61"/>
      <c r="P333" s="61">
        <f t="shared" si="15"/>
        <v>6</v>
      </c>
      <c r="Q333" s="61">
        <f t="shared" si="16"/>
        <v>2020</v>
      </c>
      <c r="R333" s="100">
        <f t="shared" si="17"/>
        <v>26</v>
      </c>
    </row>
    <row r="334" spans="1:18" x14ac:dyDescent="0.2">
      <c r="A334" s="69">
        <v>43981</v>
      </c>
      <c r="B334" s="61" t="s">
        <v>212</v>
      </c>
      <c r="C334" s="61" t="s">
        <v>18</v>
      </c>
      <c r="D334" s="73">
        <v>44074</v>
      </c>
      <c r="E334" s="61" t="s">
        <v>65</v>
      </c>
      <c r="F334" s="61">
        <v>41029755</v>
      </c>
      <c r="G334" s="61" t="s">
        <v>805</v>
      </c>
      <c r="H334" s="75">
        <v>5000</v>
      </c>
      <c r="I334" s="62" t="s">
        <v>97</v>
      </c>
      <c r="J334" s="61" t="s">
        <v>565</v>
      </c>
      <c r="K334" s="62">
        <v>394</v>
      </c>
      <c r="L334" s="61"/>
      <c r="M334" s="61"/>
      <c r="N334" s="61"/>
      <c r="O334" s="61"/>
      <c r="P334" s="61">
        <f t="shared" si="15"/>
        <v>8</v>
      </c>
      <c r="Q334" s="61">
        <f t="shared" si="16"/>
        <v>2020</v>
      </c>
      <c r="R334" s="100">
        <f t="shared" si="17"/>
        <v>31</v>
      </c>
    </row>
    <row r="335" spans="1:18" x14ac:dyDescent="0.2">
      <c r="A335" s="69">
        <v>43981</v>
      </c>
      <c r="B335" s="61" t="s">
        <v>212</v>
      </c>
      <c r="C335" s="61" t="s">
        <v>18</v>
      </c>
      <c r="D335" s="73">
        <v>44104</v>
      </c>
      <c r="E335" s="61" t="s">
        <v>65</v>
      </c>
      <c r="F335" s="61">
        <v>41029756</v>
      </c>
      <c r="G335" s="61" t="s">
        <v>805</v>
      </c>
      <c r="H335" s="75">
        <v>5000</v>
      </c>
      <c r="I335" s="62" t="s">
        <v>150</v>
      </c>
      <c r="J335" s="61" t="s">
        <v>565</v>
      </c>
      <c r="K335" s="62">
        <v>395</v>
      </c>
      <c r="L335" s="61"/>
      <c r="M335" s="64">
        <v>44012</v>
      </c>
      <c r="N335" s="61" t="s">
        <v>199</v>
      </c>
      <c r="O335" s="61"/>
      <c r="P335" s="61">
        <f t="shared" si="15"/>
        <v>9</v>
      </c>
      <c r="Q335" s="61">
        <f t="shared" si="16"/>
        <v>2020</v>
      </c>
      <c r="R335" s="100">
        <f t="shared" si="17"/>
        <v>30</v>
      </c>
    </row>
    <row r="336" spans="1:18" x14ac:dyDescent="0.2">
      <c r="A336" s="69">
        <v>43981</v>
      </c>
      <c r="B336" s="61" t="s">
        <v>212</v>
      </c>
      <c r="C336" s="61" t="s">
        <v>18</v>
      </c>
      <c r="D336" s="73">
        <v>44104</v>
      </c>
      <c r="E336" s="61" t="s">
        <v>65</v>
      </c>
      <c r="F336" s="61">
        <v>41029757</v>
      </c>
      <c r="G336" s="61" t="s">
        <v>805</v>
      </c>
      <c r="H336" s="75">
        <v>5000</v>
      </c>
      <c r="I336" s="62" t="s">
        <v>97</v>
      </c>
      <c r="J336" s="61" t="s">
        <v>565</v>
      </c>
      <c r="K336" s="62">
        <v>396</v>
      </c>
      <c r="L336" s="61"/>
      <c r="M336" s="61"/>
      <c r="N336" s="61"/>
      <c r="O336" s="61"/>
      <c r="P336" s="61">
        <f t="shared" si="15"/>
        <v>9</v>
      </c>
      <c r="Q336" s="61">
        <f t="shared" si="16"/>
        <v>2020</v>
      </c>
      <c r="R336" s="100">
        <f t="shared" si="17"/>
        <v>30</v>
      </c>
    </row>
    <row r="337" spans="1:18" x14ac:dyDescent="0.2">
      <c r="A337" s="69">
        <v>43981</v>
      </c>
      <c r="B337" s="61" t="s">
        <v>212</v>
      </c>
      <c r="C337" s="61" t="s">
        <v>18</v>
      </c>
      <c r="D337" s="73">
        <v>44104</v>
      </c>
      <c r="E337" s="61" t="s">
        <v>65</v>
      </c>
      <c r="F337" s="61">
        <v>41029758</v>
      </c>
      <c r="G337" s="61" t="s">
        <v>805</v>
      </c>
      <c r="H337" s="75">
        <v>3000</v>
      </c>
      <c r="I337" s="62" t="s">
        <v>97</v>
      </c>
      <c r="J337" s="61" t="s">
        <v>565</v>
      </c>
      <c r="K337" s="62">
        <v>397</v>
      </c>
      <c r="L337" s="61"/>
      <c r="M337" s="61"/>
      <c r="N337" s="61"/>
      <c r="O337" s="61"/>
      <c r="P337" s="61">
        <f t="shared" si="15"/>
        <v>9</v>
      </c>
      <c r="Q337" s="61">
        <f t="shared" si="16"/>
        <v>2020</v>
      </c>
      <c r="R337" s="100">
        <f t="shared" si="17"/>
        <v>30</v>
      </c>
    </row>
    <row r="338" spans="1:18" x14ac:dyDescent="0.2">
      <c r="A338" s="69">
        <v>43981</v>
      </c>
      <c r="B338" s="61" t="s">
        <v>212</v>
      </c>
      <c r="C338" s="61" t="s">
        <v>18</v>
      </c>
      <c r="D338" s="73">
        <v>44135</v>
      </c>
      <c r="E338" s="61" t="s">
        <v>65</v>
      </c>
      <c r="F338" s="61">
        <v>41029759</v>
      </c>
      <c r="G338" s="61" t="s">
        <v>805</v>
      </c>
      <c r="H338" s="75">
        <v>5000</v>
      </c>
      <c r="I338" s="62" t="s">
        <v>97</v>
      </c>
      <c r="J338" s="61" t="s">
        <v>565</v>
      </c>
      <c r="K338" s="62">
        <v>398</v>
      </c>
      <c r="L338" s="61"/>
      <c r="M338" s="64">
        <v>44102</v>
      </c>
      <c r="N338" s="61" t="s">
        <v>323</v>
      </c>
      <c r="O338" s="61"/>
      <c r="P338" s="61">
        <f t="shared" si="15"/>
        <v>10</v>
      </c>
      <c r="Q338" s="61">
        <f t="shared" si="16"/>
        <v>2020</v>
      </c>
      <c r="R338" s="100">
        <f t="shared" si="17"/>
        <v>31</v>
      </c>
    </row>
    <row r="339" spans="1:18" x14ac:dyDescent="0.2">
      <c r="A339" s="69">
        <v>43981</v>
      </c>
      <c r="B339" s="61" t="s">
        <v>212</v>
      </c>
      <c r="C339" s="61" t="s">
        <v>18</v>
      </c>
      <c r="D339" s="73">
        <v>44135</v>
      </c>
      <c r="E339" s="61" t="s">
        <v>65</v>
      </c>
      <c r="F339" s="61">
        <v>41029760</v>
      </c>
      <c r="G339" s="61" t="s">
        <v>805</v>
      </c>
      <c r="H339" s="75">
        <v>5000</v>
      </c>
      <c r="I339" s="62" t="s">
        <v>97</v>
      </c>
      <c r="J339" s="61" t="s">
        <v>565</v>
      </c>
      <c r="K339" s="62">
        <v>399</v>
      </c>
      <c r="L339" s="61"/>
      <c r="M339" s="61"/>
      <c r="N339" s="61"/>
      <c r="O339" s="61"/>
      <c r="P339" s="61">
        <f t="shared" si="15"/>
        <v>10</v>
      </c>
      <c r="Q339" s="61">
        <f t="shared" si="16"/>
        <v>2020</v>
      </c>
      <c r="R339" s="100">
        <f t="shared" si="17"/>
        <v>31</v>
      </c>
    </row>
    <row r="340" spans="1:18" x14ac:dyDescent="0.2">
      <c r="A340" s="69">
        <v>43981</v>
      </c>
      <c r="B340" s="61" t="s">
        <v>212</v>
      </c>
      <c r="C340" s="61" t="s">
        <v>18</v>
      </c>
      <c r="D340" s="73">
        <v>44135</v>
      </c>
      <c r="E340" s="61" t="s">
        <v>65</v>
      </c>
      <c r="F340" s="61">
        <v>41029761</v>
      </c>
      <c r="G340" s="61" t="s">
        <v>805</v>
      </c>
      <c r="H340" s="75">
        <v>3000</v>
      </c>
      <c r="I340" s="62" t="s">
        <v>97</v>
      </c>
      <c r="J340" s="61" t="s">
        <v>565</v>
      </c>
      <c r="K340" s="62">
        <v>400</v>
      </c>
      <c r="L340" s="61"/>
      <c r="M340" s="61"/>
      <c r="N340" s="61"/>
      <c r="O340" s="61"/>
      <c r="P340" s="61">
        <f t="shared" si="15"/>
        <v>10</v>
      </c>
      <c r="Q340" s="61">
        <f t="shared" si="16"/>
        <v>2020</v>
      </c>
      <c r="R340" s="100">
        <f t="shared" si="17"/>
        <v>31</v>
      </c>
    </row>
    <row r="341" spans="1:18" x14ac:dyDescent="0.2">
      <c r="A341" s="69">
        <v>43981</v>
      </c>
      <c r="B341" s="61" t="s">
        <v>212</v>
      </c>
      <c r="C341" s="61" t="s">
        <v>18</v>
      </c>
      <c r="D341" s="73">
        <v>44135</v>
      </c>
      <c r="E341" s="61" t="s">
        <v>65</v>
      </c>
      <c r="F341" s="61">
        <v>41029762</v>
      </c>
      <c r="G341" s="61" t="s">
        <v>805</v>
      </c>
      <c r="H341" s="75">
        <v>3313</v>
      </c>
      <c r="I341" s="62" t="s">
        <v>97</v>
      </c>
      <c r="J341" s="61" t="s">
        <v>565</v>
      </c>
      <c r="K341" s="62">
        <v>401</v>
      </c>
      <c r="L341" s="61"/>
      <c r="M341" s="64">
        <v>44102</v>
      </c>
      <c r="N341" s="61" t="s">
        <v>199</v>
      </c>
      <c r="O341" s="61"/>
      <c r="P341" s="61">
        <f t="shared" si="15"/>
        <v>10</v>
      </c>
      <c r="Q341" s="61">
        <f t="shared" si="16"/>
        <v>2020</v>
      </c>
      <c r="R341" s="100">
        <f t="shared" si="17"/>
        <v>31</v>
      </c>
    </row>
    <row r="342" spans="1:18" x14ac:dyDescent="0.2">
      <c r="A342" s="69">
        <v>43983</v>
      </c>
      <c r="B342" s="61" t="s">
        <v>42</v>
      </c>
      <c r="C342" s="61" t="s">
        <v>18</v>
      </c>
      <c r="D342" s="73">
        <v>44027</v>
      </c>
      <c r="E342" s="61" t="s">
        <v>47</v>
      </c>
      <c r="F342" s="61">
        <v>75350320</v>
      </c>
      <c r="G342" s="61" t="s">
        <v>333</v>
      </c>
      <c r="H342" s="75">
        <v>6000</v>
      </c>
      <c r="I342" s="62" t="s">
        <v>150</v>
      </c>
      <c r="J342" s="61" t="s">
        <v>545</v>
      </c>
      <c r="K342" s="62">
        <v>402</v>
      </c>
      <c r="L342" s="61"/>
      <c r="M342" s="61"/>
      <c r="N342" s="61"/>
      <c r="O342" s="61"/>
      <c r="P342" s="61">
        <f t="shared" si="15"/>
        <v>7</v>
      </c>
      <c r="Q342" s="61">
        <f t="shared" si="16"/>
        <v>2020</v>
      </c>
      <c r="R342" s="100">
        <f t="shared" si="17"/>
        <v>15</v>
      </c>
    </row>
    <row r="343" spans="1:18" x14ac:dyDescent="0.2">
      <c r="A343" s="69">
        <v>43983</v>
      </c>
      <c r="B343" s="61" t="s">
        <v>42</v>
      </c>
      <c r="C343" s="61" t="s">
        <v>18</v>
      </c>
      <c r="D343" s="73">
        <v>44043</v>
      </c>
      <c r="E343" s="61" t="s">
        <v>47</v>
      </c>
      <c r="F343" s="61">
        <v>75350321</v>
      </c>
      <c r="G343" s="61" t="s">
        <v>333</v>
      </c>
      <c r="H343" s="75">
        <v>6000</v>
      </c>
      <c r="I343" s="62" t="s">
        <v>150</v>
      </c>
      <c r="J343" s="61" t="s">
        <v>545</v>
      </c>
      <c r="K343" s="62">
        <v>403</v>
      </c>
      <c r="L343" s="61"/>
      <c r="M343" s="61"/>
      <c r="N343" s="61"/>
      <c r="O343" s="61"/>
      <c r="P343" s="61">
        <f t="shared" si="15"/>
        <v>7</v>
      </c>
      <c r="Q343" s="61">
        <f t="shared" si="16"/>
        <v>2020</v>
      </c>
      <c r="R343" s="100">
        <f t="shared" si="17"/>
        <v>31</v>
      </c>
    </row>
    <row r="344" spans="1:18" x14ac:dyDescent="0.2">
      <c r="A344" s="69">
        <v>43983</v>
      </c>
      <c r="B344" s="61" t="s">
        <v>42</v>
      </c>
      <c r="C344" s="61" t="s">
        <v>18</v>
      </c>
      <c r="D344" s="73">
        <v>44063</v>
      </c>
      <c r="E344" s="61" t="s">
        <v>47</v>
      </c>
      <c r="F344" s="61">
        <v>75350323</v>
      </c>
      <c r="G344" s="61" t="s">
        <v>333</v>
      </c>
      <c r="H344" s="75">
        <v>6000</v>
      </c>
      <c r="I344" s="62" t="s">
        <v>150</v>
      </c>
      <c r="J344" s="61" t="s">
        <v>545</v>
      </c>
      <c r="K344" s="62">
        <v>404</v>
      </c>
      <c r="L344" s="61"/>
      <c r="M344" s="61"/>
      <c r="N344" s="61"/>
      <c r="O344" s="61"/>
      <c r="P344" s="61">
        <f t="shared" si="15"/>
        <v>8</v>
      </c>
      <c r="Q344" s="61">
        <f t="shared" si="16"/>
        <v>2020</v>
      </c>
      <c r="R344" s="100">
        <f t="shared" si="17"/>
        <v>20</v>
      </c>
    </row>
    <row r="345" spans="1:18" x14ac:dyDescent="0.2">
      <c r="A345" s="69">
        <v>43983</v>
      </c>
      <c r="B345" s="61" t="s">
        <v>42</v>
      </c>
      <c r="C345" s="61" t="s">
        <v>18</v>
      </c>
      <c r="D345" s="73">
        <v>44073</v>
      </c>
      <c r="E345" s="61" t="s">
        <v>47</v>
      </c>
      <c r="F345" s="61">
        <v>75350324</v>
      </c>
      <c r="G345" s="61" t="s">
        <v>333</v>
      </c>
      <c r="H345" s="75">
        <v>6000</v>
      </c>
      <c r="I345" s="62" t="s">
        <v>150</v>
      </c>
      <c r="J345" s="61" t="s">
        <v>545</v>
      </c>
      <c r="K345" s="62">
        <v>405</v>
      </c>
      <c r="L345" s="61"/>
      <c r="M345" s="64">
        <v>44012</v>
      </c>
      <c r="N345" s="61" t="s">
        <v>199</v>
      </c>
      <c r="O345" s="61"/>
      <c r="P345" s="61">
        <f t="shared" si="15"/>
        <v>8</v>
      </c>
      <c r="Q345" s="61">
        <f t="shared" si="16"/>
        <v>2020</v>
      </c>
      <c r="R345" s="100">
        <f t="shared" si="17"/>
        <v>30</v>
      </c>
    </row>
    <row r="346" spans="1:18" x14ac:dyDescent="0.2">
      <c r="A346" s="69">
        <v>43986</v>
      </c>
      <c r="B346" s="61" t="s">
        <v>278</v>
      </c>
      <c r="C346" s="61" t="s">
        <v>18</v>
      </c>
      <c r="D346" s="73">
        <v>43992</v>
      </c>
      <c r="E346" s="61" t="s">
        <v>47</v>
      </c>
      <c r="F346" s="61">
        <v>79928885</v>
      </c>
      <c r="G346" s="61" t="s">
        <v>281</v>
      </c>
      <c r="H346" s="75">
        <v>10000</v>
      </c>
      <c r="I346" s="62" t="s">
        <v>49</v>
      </c>
      <c r="J346" s="61" t="s">
        <v>282</v>
      </c>
      <c r="K346" s="62">
        <v>406</v>
      </c>
      <c r="L346" s="61"/>
      <c r="M346" s="61"/>
      <c r="N346" s="61"/>
      <c r="O346" s="61"/>
      <c r="P346" s="61">
        <f t="shared" si="15"/>
        <v>6</v>
      </c>
      <c r="Q346" s="61">
        <f t="shared" si="16"/>
        <v>2020</v>
      </c>
      <c r="R346" s="100">
        <f t="shared" si="17"/>
        <v>10</v>
      </c>
    </row>
    <row r="347" spans="1:18" x14ac:dyDescent="0.2">
      <c r="A347" s="69">
        <v>43986</v>
      </c>
      <c r="B347" s="61" t="s">
        <v>278</v>
      </c>
      <c r="C347" s="61" t="s">
        <v>18</v>
      </c>
      <c r="D347" s="73">
        <v>44006</v>
      </c>
      <c r="E347" s="61" t="s">
        <v>47</v>
      </c>
      <c r="F347" s="61">
        <v>79928889</v>
      </c>
      <c r="G347" s="61" t="s">
        <v>281</v>
      </c>
      <c r="H347" s="75">
        <v>5000</v>
      </c>
      <c r="I347" s="62" t="s">
        <v>49</v>
      </c>
      <c r="J347" s="61" t="s">
        <v>282</v>
      </c>
      <c r="K347" s="62">
        <v>407</v>
      </c>
      <c r="L347" s="61"/>
      <c r="M347" s="61" t="s">
        <v>822</v>
      </c>
      <c r="N347" s="61"/>
      <c r="O347" s="61"/>
      <c r="P347" s="61">
        <f t="shared" si="15"/>
        <v>6</v>
      </c>
      <c r="Q347" s="61">
        <f t="shared" si="16"/>
        <v>2020</v>
      </c>
      <c r="R347" s="100">
        <f t="shared" si="17"/>
        <v>24</v>
      </c>
    </row>
    <row r="348" spans="1:18" x14ac:dyDescent="0.2">
      <c r="A348" s="69">
        <v>43986</v>
      </c>
      <c r="B348" s="61" t="s">
        <v>278</v>
      </c>
      <c r="C348" s="61" t="s">
        <v>18</v>
      </c>
      <c r="D348" s="73">
        <v>44025</v>
      </c>
      <c r="E348" s="61" t="s">
        <v>47</v>
      </c>
      <c r="F348" s="61">
        <v>79928887</v>
      </c>
      <c r="G348" s="61" t="s">
        <v>281</v>
      </c>
      <c r="H348" s="75">
        <v>9350</v>
      </c>
      <c r="I348" s="62" t="s">
        <v>49</v>
      </c>
      <c r="J348" s="61" t="s">
        <v>282</v>
      </c>
      <c r="K348" s="62">
        <v>408</v>
      </c>
      <c r="L348" s="61"/>
      <c r="M348" s="152">
        <v>44027</v>
      </c>
      <c r="N348" s="61"/>
      <c r="O348" s="61"/>
      <c r="P348" s="61">
        <f t="shared" si="15"/>
        <v>7</v>
      </c>
      <c r="Q348" s="61">
        <f t="shared" si="16"/>
        <v>2020</v>
      </c>
      <c r="R348" s="100">
        <f t="shared" si="17"/>
        <v>13</v>
      </c>
    </row>
    <row r="349" spans="1:18" x14ac:dyDescent="0.2">
      <c r="A349" s="69">
        <v>43990</v>
      </c>
      <c r="B349" s="61" t="s">
        <v>808</v>
      </c>
      <c r="C349" s="61" t="s">
        <v>18</v>
      </c>
      <c r="D349" s="73">
        <v>44007</v>
      </c>
      <c r="E349" s="61" t="s">
        <v>57</v>
      </c>
      <c r="F349" s="61">
        <v>259</v>
      </c>
      <c r="G349" s="61" t="s">
        <v>809</v>
      </c>
      <c r="H349" s="75">
        <v>24000</v>
      </c>
      <c r="I349" s="62" t="s">
        <v>49</v>
      </c>
      <c r="J349" s="61" t="s">
        <v>810</v>
      </c>
      <c r="K349" s="62">
        <v>409</v>
      </c>
      <c r="L349" s="61"/>
      <c r="M349" s="64">
        <v>44007</v>
      </c>
      <c r="N349" s="61"/>
      <c r="O349" s="61"/>
      <c r="P349" s="61">
        <f t="shared" si="15"/>
        <v>6</v>
      </c>
      <c r="Q349" s="61">
        <f t="shared" si="16"/>
        <v>2020</v>
      </c>
      <c r="R349" s="100">
        <f t="shared" si="17"/>
        <v>25</v>
      </c>
    </row>
    <row r="350" spans="1:18" x14ac:dyDescent="0.2">
      <c r="A350" s="69">
        <v>43990</v>
      </c>
      <c r="B350" s="61" t="s">
        <v>808</v>
      </c>
      <c r="C350" s="61" t="s">
        <v>18</v>
      </c>
      <c r="D350" s="73">
        <v>44029</v>
      </c>
      <c r="E350" s="61" t="s">
        <v>57</v>
      </c>
      <c r="F350" s="61">
        <v>260</v>
      </c>
      <c r="G350" s="61" t="s">
        <v>809</v>
      </c>
      <c r="H350" s="75">
        <v>23353.8</v>
      </c>
      <c r="I350" s="62" t="s">
        <v>150</v>
      </c>
      <c r="J350" s="61" t="s">
        <v>810</v>
      </c>
      <c r="K350" s="62">
        <v>410</v>
      </c>
      <c r="L350" s="61"/>
      <c r="M350" s="64">
        <v>43991</v>
      </c>
      <c r="N350" s="61"/>
      <c r="O350" s="61"/>
      <c r="P350" s="61">
        <f t="shared" si="15"/>
        <v>7</v>
      </c>
      <c r="Q350" s="61">
        <f t="shared" si="16"/>
        <v>2020</v>
      </c>
      <c r="R350" s="100">
        <f t="shared" si="17"/>
        <v>17</v>
      </c>
    </row>
    <row r="351" spans="1:18" x14ac:dyDescent="0.2">
      <c r="A351" s="69">
        <v>43993</v>
      </c>
      <c r="B351" s="61" t="s">
        <v>439</v>
      </c>
      <c r="C351" s="61" t="s">
        <v>18</v>
      </c>
      <c r="D351" s="73">
        <v>44042</v>
      </c>
      <c r="E351" s="61" t="s">
        <v>148</v>
      </c>
      <c r="F351" s="61">
        <v>22079279</v>
      </c>
      <c r="G351" s="61" t="s">
        <v>811</v>
      </c>
      <c r="H351" s="75">
        <v>23901.599999999999</v>
      </c>
      <c r="I351" s="62" t="s">
        <v>150</v>
      </c>
      <c r="J351" s="61" t="s">
        <v>812</v>
      </c>
      <c r="K351" s="62">
        <v>411</v>
      </c>
      <c r="L351" s="61"/>
      <c r="M351" s="152">
        <v>44005</v>
      </c>
      <c r="N351" s="61"/>
      <c r="O351" s="61"/>
      <c r="P351" s="61">
        <f t="shared" si="15"/>
        <v>7</v>
      </c>
      <c r="Q351" s="61">
        <f t="shared" si="16"/>
        <v>2020</v>
      </c>
      <c r="R351" s="100">
        <f t="shared" si="17"/>
        <v>30</v>
      </c>
    </row>
    <row r="352" spans="1:18" x14ac:dyDescent="0.2">
      <c r="A352" s="69">
        <v>43993</v>
      </c>
      <c r="B352" s="61" t="s">
        <v>212</v>
      </c>
      <c r="C352" s="61" t="s">
        <v>18</v>
      </c>
      <c r="D352" s="73">
        <v>44044</v>
      </c>
      <c r="E352" s="61" t="s">
        <v>43</v>
      </c>
      <c r="F352" s="61">
        <v>11752539</v>
      </c>
      <c r="G352" s="61" t="s">
        <v>814</v>
      </c>
      <c r="H352" s="75">
        <v>20000</v>
      </c>
      <c r="I352" s="62" t="s">
        <v>97</v>
      </c>
      <c r="J352" s="61" t="s">
        <v>815</v>
      </c>
      <c r="K352" s="62">
        <v>412</v>
      </c>
      <c r="L352" s="61"/>
      <c r="M352" s="64">
        <v>44055</v>
      </c>
      <c r="N352" s="61" t="s">
        <v>869</v>
      </c>
      <c r="O352" s="61"/>
      <c r="P352" s="61">
        <f t="shared" si="15"/>
        <v>8</v>
      </c>
      <c r="Q352" s="61">
        <f t="shared" si="16"/>
        <v>2020</v>
      </c>
      <c r="R352" s="100">
        <f t="shared" si="17"/>
        <v>1</v>
      </c>
    </row>
    <row r="353" spans="1:18" x14ac:dyDescent="0.2">
      <c r="A353" s="69">
        <v>43993</v>
      </c>
      <c r="B353" s="61" t="s">
        <v>212</v>
      </c>
      <c r="C353" s="61" t="s">
        <v>18</v>
      </c>
      <c r="D353" s="73">
        <v>44058</v>
      </c>
      <c r="E353" s="61" t="s">
        <v>43</v>
      </c>
      <c r="F353" s="61">
        <v>11752540</v>
      </c>
      <c r="G353" s="61" t="s">
        <v>814</v>
      </c>
      <c r="H353" s="75">
        <v>20000</v>
      </c>
      <c r="I353" s="62" t="s">
        <v>97</v>
      </c>
      <c r="J353" s="61" t="s">
        <v>815</v>
      </c>
      <c r="K353" s="62">
        <v>413</v>
      </c>
      <c r="L353" s="61"/>
      <c r="M353" s="61"/>
      <c r="N353" s="61"/>
      <c r="O353" s="61"/>
      <c r="P353" s="61">
        <f t="shared" si="15"/>
        <v>8</v>
      </c>
      <c r="Q353" s="61">
        <f t="shared" si="16"/>
        <v>2020</v>
      </c>
      <c r="R353" s="100">
        <f t="shared" si="17"/>
        <v>15</v>
      </c>
    </row>
    <row r="354" spans="1:18" x14ac:dyDescent="0.2">
      <c r="A354" s="69">
        <v>44004</v>
      </c>
      <c r="B354" s="61" t="s">
        <v>158</v>
      </c>
      <c r="C354" s="61" t="s">
        <v>18</v>
      </c>
      <c r="D354" s="73">
        <v>44027</v>
      </c>
      <c r="E354" s="61" t="s">
        <v>43</v>
      </c>
      <c r="F354" s="61">
        <v>15002938</v>
      </c>
      <c r="G354" s="61" t="s">
        <v>353</v>
      </c>
      <c r="H354" s="75">
        <v>5200</v>
      </c>
      <c r="I354" s="62" t="s">
        <v>49</v>
      </c>
      <c r="J354" s="61" t="s">
        <v>162</v>
      </c>
      <c r="K354" s="62">
        <v>414</v>
      </c>
      <c r="L354" s="61"/>
      <c r="M354" s="64">
        <v>44027</v>
      </c>
      <c r="N354" s="61"/>
      <c r="O354" s="61"/>
      <c r="P354" s="61">
        <f t="shared" si="15"/>
        <v>7</v>
      </c>
      <c r="Q354" s="61">
        <f t="shared" si="16"/>
        <v>2020</v>
      </c>
      <c r="R354" s="100">
        <f t="shared" si="17"/>
        <v>15</v>
      </c>
    </row>
    <row r="355" spans="1:18" x14ac:dyDescent="0.2">
      <c r="A355" s="69">
        <v>44004</v>
      </c>
      <c r="B355" s="61" t="s">
        <v>158</v>
      </c>
      <c r="C355" s="61" t="s">
        <v>18</v>
      </c>
      <c r="D355" s="73">
        <v>44011</v>
      </c>
      <c r="E355" s="61" t="s">
        <v>43</v>
      </c>
      <c r="F355" s="61">
        <v>15002936</v>
      </c>
      <c r="G355" s="61" t="s">
        <v>353</v>
      </c>
      <c r="H355" s="75">
        <v>6000</v>
      </c>
      <c r="I355" s="62" t="s">
        <v>49</v>
      </c>
      <c r="J355" s="61" t="s">
        <v>162</v>
      </c>
      <c r="K355" s="62">
        <v>415</v>
      </c>
      <c r="L355" s="61"/>
      <c r="M355" s="64">
        <v>44027</v>
      </c>
      <c r="N355" s="61"/>
      <c r="O355" s="61"/>
      <c r="P355" s="61">
        <f t="shared" si="15"/>
        <v>6</v>
      </c>
      <c r="Q355" s="61">
        <f t="shared" si="16"/>
        <v>2020</v>
      </c>
      <c r="R355" s="100">
        <f t="shared" si="17"/>
        <v>29</v>
      </c>
    </row>
    <row r="356" spans="1:18" x14ac:dyDescent="0.2">
      <c r="A356" s="69">
        <v>44004</v>
      </c>
      <c r="B356" s="61" t="s">
        <v>158</v>
      </c>
      <c r="C356" s="61" t="s">
        <v>18</v>
      </c>
      <c r="D356" s="73">
        <v>44027</v>
      </c>
      <c r="E356" s="61" t="s">
        <v>186</v>
      </c>
      <c r="F356" s="61">
        <v>15065334</v>
      </c>
      <c r="G356" s="61" t="s">
        <v>817</v>
      </c>
      <c r="H356" s="75">
        <v>14130</v>
      </c>
      <c r="I356" s="62" t="s">
        <v>49</v>
      </c>
      <c r="J356" s="61" t="s">
        <v>818</v>
      </c>
      <c r="K356" s="62">
        <v>416</v>
      </c>
      <c r="L356" s="61"/>
      <c r="M356" s="64">
        <v>44027</v>
      </c>
      <c r="N356" s="61"/>
      <c r="O356" s="61"/>
      <c r="P356" s="61">
        <f t="shared" si="15"/>
        <v>7</v>
      </c>
      <c r="Q356" s="61">
        <f t="shared" si="16"/>
        <v>2020</v>
      </c>
      <c r="R356" s="100">
        <f t="shared" si="17"/>
        <v>15</v>
      </c>
    </row>
    <row r="357" spans="1:18" x14ac:dyDescent="0.2">
      <c r="A357" s="69">
        <v>44007</v>
      </c>
      <c r="B357" s="61" t="s">
        <v>278</v>
      </c>
      <c r="C357" s="61" t="s">
        <v>18</v>
      </c>
      <c r="D357" s="73">
        <v>44049</v>
      </c>
      <c r="E357" s="61" t="s">
        <v>47</v>
      </c>
      <c r="F357" s="61">
        <v>79928929</v>
      </c>
      <c r="G357" s="61" t="s">
        <v>281</v>
      </c>
      <c r="H357" s="75">
        <v>12000</v>
      </c>
      <c r="I357" s="62" t="s">
        <v>97</v>
      </c>
      <c r="J357" s="61" t="s">
        <v>282</v>
      </c>
      <c r="K357" s="62">
        <v>417</v>
      </c>
      <c r="L357" s="61"/>
      <c r="M357" s="64">
        <v>44048</v>
      </c>
      <c r="N357" s="61" t="s">
        <v>869</v>
      </c>
      <c r="O357" s="61"/>
      <c r="P357" s="61">
        <f t="shared" si="15"/>
        <v>8</v>
      </c>
      <c r="Q357" s="61">
        <f t="shared" si="16"/>
        <v>2020</v>
      </c>
      <c r="R357" s="100">
        <f t="shared" si="17"/>
        <v>6</v>
      </c>
    </row>
    <row r="358" spans="1:18" x14ac:dyDescent="0.2">
      <c r="A358" s="69">
        <v>44011</v>
      </c>
      <c r="B358" s="61" t="s">
        <v>823</v>
      </c>
      <c r="C358" s="61" t="s">
        <v>18</v>
      </c>
      <c r="D358" s="73">
        <v>44043</v>
      </c>
      <c r="E358" s="61" t="s">
        <v>47</v>
      </c>
      <c r="F358" s="61">
        <v>77904946</v>
      </c>
      <c r="G358" s="61" t="s">
        <v>824</v>
      </c>
      <c r="H358" s="75">
        <v>7930</v>
      </c>
      <c r="I358" s="62" t="s">
        <v>97</v>
      </c>
      <c r="J358" s="61" t="s">
        <v>825</v>
      </c>
      <c r="K358" s="62">
        <v>418</v>
      </c>
      <c r="L358" s="61"/>
      <c r="M358" s="64">
        <v>44061</v>
      </c>
      <c r="N358" s="61" t="s">
        <v>873</v>
      </c>
      <c r="O358" s="61"/>
      <c r="P358" s="61">
        <f t="shared" si="15"/>
        <v>7</v>
      </c>
      <c r="Q358" s="61">
        <f t="shared" si="16"/>
        <v>2020</v>
      </c>
      <c r="R358" s="100">
        <f t="shared" si="17"/>
        <v>31</v>
      </c>
    </row>
    <row r="359" spans="1:18" x14ac:dyDescent="0.2">
      <c r="A359" s="69">
        <v>44011</v>
      </c>
      <c r="B359" s="61" t="s">
        <v>823</v>
      </c>
      <c r="C359" s="61" t="s">
        <v>18</v>
      </c>
      <c r="D359" s="73">
        <v>44058</v>
      </c>
      <c r="E359" s="61" t="s">
        <v>47</v>
      </c>
      <c r="F359" s="61">
        <v>77904947</v>
      </c>
      <c r="G359" s="61" t="s">
        <v>824</v>
      </c>
      <c r="H359" s="75">
        <v>7930</v>
      </c>
      <c r="I359" s="62" t="s">
        <v>150</v>
      </c>
      <c r="J359" s="61" t="s">
        <v>825</v>
      </c>
      <c r="K359" s="62">
        <v>419</v>
      </c>
      <c r="L359" s="61"/>
      <c r="M359" s="64">
        <v>44027</v>
      </c>
      <c r="N359" s="61" t="s">
        <v>23</v>
      </c>
      <c r="O359" s="61"/>
      <c r="P359" s="61">
        <f t="shared" si="15"/>
        <v>8</v>
      </c>
      <c r="Q359" s="61">
        <f t="shared" si="16"/>
        <v>2020</v>
      </c>
      <c r="R359" s="100">
        <f t="shared" si="17"/>
        <v>15</v>
      </c>
    </row>
    <row r="360" spans="1:18" x14ac:dyDescent="0.2">
      <c r="A360" s="69">
        <v>44020</v>
      </c>
      <c r="B360" s="61" t="s">
        <v>439</v>
      </c>
      <c r="C360" s="61" t="s">
        <v>18</v>
      </c>
      <c r="D360" s="73">
        <v>43997</v>
      </c>
      <c r="E360" s="61" t="s">
        <v>53</v>
      </c>
      <c r="F360" s="61">
        <v>12100667</v>
      </c>
      <c r="G360" s="61" t="s">
        <v>826</v>
      </c>
      <c r="H360" s="75">
        <v>30000</v>
      </c>
      <c r="I360" s="62" t="s">
        <v>49</v>
      </c>
      <c r="J360" s="61" t="s">
        <v>827</v>
      </c>
      <c r="K360" s="62">
        <v>420</v>
      </c>
      <c r="L360" s="61"/>
      <c r="M360" s="61"/>
      <c r="N360" s="61"/>
      <c r="O360" s="61"/>
      <c r="P360" s="61">
        <f t="shared" si="15"/>
        <v>6</v>
      </c>
      <c r="Q360" s="61">
        <f t="shared" si="16"/>
        <v>2020</v>
      </c>
      <c r="R360" s="100">
        <f t="shared" si="17"/>
        <v>15</v>
      </c>
    </row>
    <row r="361" spans="1:18" x14ac:dyDescent="0.2">
      <c r="A361" s="69">
        <v>44020</v>
      </c>
      <c r="B361" s="61" t="s">
        <v>222</v>
      </c>
      <c r="C361" s="61" t="s">
        <v>18</v>
      </c>
      <c r="D361" s="73">
        <v>44135</v>
      </c>
      <c r="E361" s="61" t="s">
        <v>65</v>
      </c>
      <c r="F361" s="61">
        <v>40888146</v>
      </c>
      <c r="G361" s="61" t="s">
        <v>176</v>
      </c>
      <c r="H361" s="75">
        <v>50000</v>
      </c>
      <c r="I361" s="62" t="s">
        <v>97</v>
      </c>
      <c r="J361" s="61" t="s">
        <v>177</v>
      </c>
      <c r="K361" s="62">
        <v>421</v>
      </c>
      <c r="L361" s="61"/>
      <c r="M361" s="64">
        <v>44102</v>
      </c>
      <c r="N361" s="61" t="s">
        <v>139</v>
      </c>
      <c r="O361" s="61"/>
      <c r="P361" s="61">
        <f t="shared" si="15"/>
        <v>10</v>
      </c>
      <c r="Q361" s="61">
        <f t="shared" si="16"/>
        <v>2020</v>
      </c>
      <c r="R361" s="100">
        <f t="shared" si="17"/>
        <v>31</v>
      </c>
    </row>
    <row r="362" spans="1:18" x14ac:dyDescent="0.2">
      <c r="A362" s="69">
        <v>44023</v>
      </c>
      <c r="B362" s="61" t="s">
        <v>212</v>
      </c>
      <c r="C362" s="61" t="s">
        <v>18</v>
      </c>
      <c r="D362" s="73">
        <v>44043</v>
      </c>
      <c r="E362" s="61" t="s">
        <v>185</v>
      </c>
      <c r="F362" s="61">
        <v>537137</v>
      </c>
      <c r="G362" s="61" t="s">
        <v>438</v>
      </c>
      <c r="H362" s="75">
        <v>20000</v>
      </c>
      <c r="I362" s="62" t="s">
        <v>97</v>
      </c>
      <c r="J362" s="61" t="s">
        <v>211</v>
      </c>
      <c r="K362" s="62">
        <v>422</v>
      </c>
      <c r="L362" s="61"/>
      <c r="M362" s="61"/>
      <c r="N362" s="61" t="s">
        <v>833</v>
      </c>
      <c r="O362" s="61"/>
      <c r="P362" s="61">
        <f t="shared" si="15"/>
        <v>7</v>
      </c>
      <c r="Q362" s="61">
        <f t="shared" si="16"/>
        <v>2020</v>
      </c>
      <c r="R362" s="100">
        <f t="shared" si="17"/>
        <v>31</v>
      </c>
    </row>
    <row r="363" spans="1:18" x14ac:dyDescent="0.2">
      <c r="A363" s="69">
        <v>44023</v>
      </c>
      <c r="B363" s="61" t="s">
        <v>212</v>
      </c>
      <c r="C363" s="61" t="s">
        <v>18</v>
      </c>
      <c r="D363" s="73">
        <v>44074</v>
      </c>
      <c r="E363" s="61" t="s">
        <v>185</v>
      </c>
      <c r="F363" s="61">
        <v>537138</v>
      </c>
      <c r="G363" s="61" t="s">
        <v>438</v>
      </c>
      <c r="H363" s="75">
        <v>31570</v>
      </c>
      <c r="I363" s="62" t="s">
        <v>97</v>
      </c>
      <c r="J363" s="61" t="s">
        <v>211</v>
      </c>
      <c r="K363" s="62">
        <v>423</v>
      </c>
      <c r="L363" s="61"/>
      <c r="M363" s="64">
        <v>44071</v>
      </c>
      <c r="N363" s="61" t="s">
        <v>757</v>
      </c>
      <c r="O363" s="61"/>
      <c r="P363" s="61">
        <f t="shared" si="15"/>
        <v>8</v>
      </c>
      <c r="Q363" s="61">
        <f t="shared" si="16"/>
        <v>2020</v>
      </c>
      <c r="R363" s="100">
        <f t="shared" si="17"/>
        <v>31</v>
      </c>
    </row>
    <row r="364" spans="1:18" x14ac:dyDescent="0.2">
      <c r="A364" s="69">
        <v>44025</v>
      </c>
      <c r="B364" s="61" t="s">
        <v>808</v>
      </c>
      <c r="C364" s="61" t="s">
        <v>18</v>
      </c>
      <c r="D364" s="73">
        <v>44040</v>
      </c>
      <c r="E364" s="61" t="s">
        <v>148</v>
      </c>
      <c r="F364" s="61">
        <v>20360353</v>
      </c>
      <c r="G364" s="61" t="s">
        <v>828</v>
      </c>
      <c r="H364" s="75">
        <v>20000</v>
      </c>
      <c r="I364" s="62" t="s">
        <v>49</v>
      </c>
      <c r="J364" s="61" t="s">
        <v>829</v>
      </c>
      <c r="K364" s="62">
        <v>424</v>
      </c>
      <c r="L364" s="61"/>
      <c r="M364" s="61"/>
      <c r="N364" s="61"/>
      <c r="O364" s="61"/>
      <c r="P364" s="61">
        <f t="shared" si="15"/>
        <v>7</v>
      </c>
      <c r="Q364" s="61">
        <f t="shared" si="16"/>
        <v>2020</v>
      </c>
      <c r="R364" s="100">
        <f t="shared" si="17"/>
        <v>28</v>
      </c>
    </row>
    <row r="365" spans="1:18" x14ac:dyDescent="0.2">
      <c r="A365" s="69">
        <v>44029</v>
      </c>
      <c r="B365" s="61" t="s">
        <v>368</v>
      </c>
      <c r="C365" s="61" t="s">
        <v>18</v>
      </c>
      <c r="D365" s="73">
        <v>44058</v>
      </c>
      <c r="E365" s="61" t="s">
        <v>123</v>
      </c>
      <c r="F365" s="61">
        <v>54925049</v>
      </c>
      <c r="G365" s="61" t="s">
        <v>830</v>
      </c>
      <c r="H365" s="75">
        <v>4900</v>
      </c>
      <c r="I365" s="62" t="s">
        <v>97</v>
      </c>
      <c r="J365" s="61" t="s">
        <v>831</v>
      </c>
      <c r="K365" s="62">
        <v>425</v>
      </c>
      <c r="L365" s="61"/>
      <c r="M365" s="64">
        <v>44068</v>
      </c>
      <c r="N365" s="61" t="s">
        <v>757</v>
      </c>
      <c r="O365" s="61"/>
      <c r="P365" s="61">
        <f t="shared" si="15"/>
        <v>8</v>
      </c>
      <c r="Q365" s="61">
        <f t="shared" si="16"/>
        <v>2020</v>
      </c>
      <c r="R365" s="100">
        <f t="shared" si="17"/>
        <v>15</v>
      </c>
    </row>
    <row r="366" spans="1:18" x14ac:dyDescent="0.2">
      <c r="A366" s="69">
        <v>44029</v>
      </c>
      <c r="B366" s="61" t="s">
        <v>42</v>
      </c>
      <c r="C366" s="61" t="s">
        <v>18</v>
      </c>
      <c r="D366" s="73">
        <v>44072</v>
      </c>
      <c r="E366" s="61" t="s">
        <v>57</v>
      </c>
      <c r="F366" s="61">
        <v>71239</v>
      </c>
      <c r="G366" s="61" t="s">
        <v>411</v>
      </c>
      <c r="H366" s="75">
        <v>11000</v>
      </c>
      <c r="I366" s="62" t="s">
        <v>97</v>
      </c>
      <c r="J366" s="61" t="s">
        <v>412</v>
      </c>
      <c r="K366" s="62">
        <v>426</v>
      </c>
      <c r="L366" s="61"/>
      <c r="M366" s="64">
        <v>44002</v>
      </c>
      <c r="N366" s="61" t="s">
        <v>94</v>
      </c>
      <c r="O366" s="61"/>
      <c r="P366" s="61">
        <f t="shared" si="15"/>
        <v>8</v>
      </c>
      <c r="Q366" s="61">
        <f t="shared" si="16"/>
        <v>2020</v>
      </c>
      <c r="R366" s="100">
        <f t="shared" si="17"/>
        <v>29</v>
      </c>
    </row>
    <row r="367" spans="1:18" x14ac:dyDescent="0.2">
      <c r="A367" s="69">
        <v>44029</v>
      </c>
      <c r="B367" s="61" t="s">
        <v>42</v>
      </c>
      <c r="C367" s="61" t="s">
        <v>18</v>
      </c>
      <c r="D367" s="73">
        <v>44079</v>
      </c>
      <c r="E367" s="61" t="s">
        <v>57</v>
      </c>
      <c r="F367" s="61">
        <v>71240</v>
      </c>
      <c r="G367" s="61" t="s">
        <v>411</v>
      </c>
      <c r="H367" s="75">
        <v>11000</v>
      </c>
      <c r="I367" s="62" t="s">
        <v>97</v>
      </c>
      <c r="J367" s="61" t="s">
        <v>412</v>
      </c>
      <c r="K367" s="62">
        <v>427</v>
      </c>
      <c r="L367" s="61"/>
      <c r="M367" s="64">
        <v>44049</v>
      </c>
      <c r="N367" s="61" t="s">
        <v>530</v>
      </c>
      <c r="O367" s="61"/>
      <c r="P367" s="61">
        <f t="shared" si="15"/>
        <v>9</v>
      </c>
      <c r="Q367" s="61">
        <f t="shared" si="16"/>
        <v>2020</v>
      </c>
      <c r="R367" s="100">
        <f t="shared" si="17"/>
        <v>5</v>
      </c>
    </row>
    <row r="368" spans="1:18" x14ac:dyDescent="0.2">
      <c r="A368" s="69">
        <v>44029</v>
      </c>
      <c r="B368" s="61" t="s">
        <v>42</v>
      </c>
      <c r="C368" s="61" t="s">
        <v>18</v>
      </c>
      <c r="D368" s="73">
        <v>44100</v>
      </c>
      <c r="E368" s="61" t="s">
        <v>57</v>
      </c>
      <c r="F368" s="61">
        <v>71242</v>
      </c>
      <c r="G368" s="61" t="s">
        <v>411</v>
      </c>
      <c r="H368" s="75">
        <v>11000</v>
      </c>
      <c r="I368" s="62" t="s">
        <v>97</v>
      </c>
      <c r="J368" s="61" t="s">
        <v>412</v>
      </c>
      <c r="K368" s="62">
        <v>428</v>
      </c>
      <c r="L368" s="61"/>
      <c r="M368" s="64">
        <v>44049</v>
      </c>
      <c r="N368" s="61" t="s">
        <v>530</v>
      </c>
      <c r="O368" s="61"/>
      <c r="P368" s="61">
        <f t="shared" si="15"/>
        <v>9</v>
      </c>
      <c r="Q368" s="61">
        <f t="shared" si="16"/>
        <v>2020</v>
      </c>
      <c r="R368" s="100">
        <f t="shared" si="17"/>
        <v>26</v>
      </c>
    </row>
    <row r="369" spans="1:18" x14ac:dyDescent="0.2">
      <c r="A369" s="69">
        <v>44029</v>
      </c>
      <c r="B369" s="61" t="s">
        <v>42</v>
      </c>
      <c r="C369" s="61" t="s">
        <v>18</v>
      </c>
      <c r="D369" s="73">
        <v>44119</v>
      </c>
      <c r="E369" s="61" t="s">
        <v>47</v>
      </c>
      <c r="F369" s="61">
        <v>63771000</v>
      </c>
      <c r="G369" s="61" t="s">
        <v>635</v>
      </c>
      <c r="H369" s="75">
        <v>8000</v>
      </c>
      <c r="I369" s="62" t="s">
        <v>97</v>
      </c>
      <c r="J369" s="61" t="s">
        <v>832</v>
      </c>
      <c r="K369" s="62">
        <v>429</v>
      </c>
      <c r="L369" s="61"/>
      <c r="M369" s="64">
        <v>44055</v>
      </c>
      <c r="N369" s="61" t="s">
        <v>745</v>
      </c>
      <c r="O369" s="61"/>
      <c r="P369" s="61">
        <f t="shared" si="15"/>
        <v>10</v>
      </c>
      <c r="Q369" s="61">
        <f t="shared" si="16"/>
        <v>2020</v>
      </c>
      <c r="R369" s="100">
        <f t="shared" si="17"/>
        <v>15</v>
      </c>
    </row>
    <row r="370" spans="1:18" x14ac:dyDescent="0.2">
      <c r="A370" s="69">
        <v>44032</v>
      </c>
      <c r="B370" s="61" t="s">
        <v>158</v>
      </c>
      <c r="C370" s="61" t="s">
        <v>18</v>
      </c>
      <c r="D370" s="73">
        <v>44032</v>
      </c>
      <c r="E370" s="61" t="s">
        <v>47</v>
      </c>
      <c r="F370" s="61">
        <v>78914258</v>
      </c>
      <c r="G370" s="61" t="s">
        <v>216</v>
      </c>
      <c r="H370" s="75">
        <v>8237.5</v>
      </c>
      <c r="I370" s="62" t="s">
        <v>49</v>
      </c>
      <c r="J370" s="61" t="s">
        <v>217</v>
      </c>
      <c r="K370" s="62">
        <v>430</v>
      </c>
      <c r="L370" s="61"/>
      <c r="M370" s="64">
        <v>44039</v>
      </c>
      <c r="N370" s="61"/>
      <c r="O370" s="61"/>
      <c r="P370" s="61">
        <f t="shared" si="15"/>
        <v>7</v>
      </c>
      <c r="Q370" s="61">
        <f t="shared" si="16"/>
        <v>2020</v>
      </c>
      <c r="R370" s="100">
        <f t="shared" si="17"/>
        <v>20</v>
      </c>
    </row>
    <row r="371" spans="1:18" x14ac:dyDescent="0.2">
      <c r="A371" s="69">
        <v>44032</v>
      </c>
      <c r="B371" s="61" t="s">
        <v>158</v>
      </c>
      <c r="C371" s="61" t="s">
        <v>18</v>
      </c>
      <c r="D371" s="73">
        <v>44041</v>
      </c>
      <c r="E371" s="61" t="s">
        <v>47</v>
      </c>
      <c r="F371" s="61">
        <v>78914259</v>
      </c>
      <c r="G371" s="61" t="s">
        <v>216</v>
      </c>
      <c r="H371" s="75">
        <v>8237.5</v>
      </c>
      <c r="I371" s="62" t="s">
        <v>49</v>
      </c>
      <c r="J371" s="61" t="s">
        <v>217</v>
      </c>
      <c r="K371" s="62">
        <v>431</v>
      </c>
      <c r="L371" s="61"/>
      <c r="M371" s="61"/>
      <c r="N371" s="61"/>
      <c r="O371" s="61"/>
      <c r="P371" s="61">
        <f t="shared" si="15"/>
        <v>7</v>
      </c>
      <c r="Q371" s="61">
        <f t="shared" si="16"/>
        <v>2020</v>
      </c>
      <c r="R371" s="100">
        <f t="shared" si="17"/>
        <v>29</v>
      </c>
    </row>
    <row r="372" spans="1:18" x14ac:dyDescent="0.2">
      <c r="A372" s="69">
        <v>44032</v>
      </c>
      <c r="B372" s="61" t="s">
        <v>158</v>
      </c>
      <c r="C372" s="61" t="s">
        <v>18</v>
      </c>
      <c r="D372" s="73">
        <v>44043</v>
      </c>
      <c r="E372" s="61" t="s">
        <v>186</v>
      </c>
      <c r="F372" s="61">
        <v>15065335</v>
      </c>
      <c r="G372" s="61" t="s">
        <v>817</v>
      </c>
      <c r="H372" s="75">
        <v>13000</v>
      </c>
      <c r="I372" s="62" t="s">
        <v>97</v>
      </c>
      <c r="J372" s="61" t="s">
        <v>818</v>
      </c>
      <c r="K372" s="62">
        <v>432</v>
      </c>
      <c r="L372" s="61"/>
      <c r="M372" s="64">
        <v>44061</v>
      </c>
      <c r="N372" s="61" t="s">
        <v>873</v>
      </c>
      <c r="O372" s="61"/>
      <c r="P372" s="61">
        <f t="shared" si="15"/>
        <v>7</v>
      </c>
      <c r="Q372" s="61">
        <f t="shared" si="16"/>
        <v>2020</v>
      </c>
      <c r="R372" s="100">
        <f t="shared" si="17"/>
        <v>31</v>
      </c>
    </row>
    <row r="373" spans="1:18" x14ac:dyDescent="0.2">
      <c r="A373" s="69">
        <v>44034</v>
      </c>
      <c r="B373" s="61" t="s">
        <v>439</v>
      </c>
      <c r="C373" s="61" t="s">
        <v>18</v>
      </c>
      <c r="D373" s="73">
        <v>44086</v>
      </c>
      <c r="E373" s="61" t="s">
        <v>53</v>
      </c>
      <c r="F373" s="61">
        <v>14081</v>
      </c>
      <c r="G373" s="61" t="s">
        <v>834</v>
      </c>
      <c r="H373" s="75">
        <v>20684.77</v>
      </c>
      <c r="I373" s="62" t="s">
        <v>97</v>
      </c>
      <c r="J373" s="61" t="s">
        <v>485</v>
      </c>
      <c r="K373" s="62">
        <v>433</v>
      </c>
      <c r="L373" s="61"/>
      <c r="M373" s="64">
        <v>44081</v>
      </c>
      <c r="N373" s="61" t="s">
        <v>139</v>
      </c>
      <c r="O373" s="61"/>
      <c r="P373" s="61">
        <f t="shared" si="15"/>
        <v>9</v>
      </c>
      <c r="Q373" s="61">
        <f t="shared" si="16"/>
        <v>2020</v>
      </c>
      <c r="R373" s="100">
        <f t="shared" si="17"/>
        <v>12</v>
      </c>
    </row>
    <row r="374" spans="1:18" x14ac:dyDescent="0.2">
      <c r="A374" s="69">
        <v>44034</v>
      </c>
      <c r="B374" s="61" t="s">
        <v>439</v>
      </c>
      <c r="C374" s="61" t="s">
        <v>18</v>
      </c>
      <c r="D374" s="73">
        <v>44100</v>
      </c>
      <c r="E374" s="61" t="s">
        <v>53</v>
      </c>
      <c r="F374" s="61">
        <v>14082</v>
      </c>
      <c r="G374" s="61" t="s">
        <v>834</v>
      </c>
      <c r="H374" s="75">
        <v>20684.77</v>
      </c>
      <c r="I374" s="62" t="s">
        <v>97</v>
      </c>
      <c r="J374" s="61" t="s">
        <v>485</v>
      </c>
      <c r="K374" s="62">
        <v>434</v>
      </c>
      <c r="L374" s="61"/>
      <c r="M374" s="64">
        <v>44104</v>
      </c>
      <c r="N374" s="61" t="s">
        <v>23</v>
      </c>
      <c r="O374" s="61"/>
      <c r="P374" s="61">
        <f t="shared" si="15"/>
        <v>9</v>
      </c>
      <c r="Q374" s="61">
        <f t="shared" si="16"/>
        <v>2020</v>
      </c>
      <c r="R374" s="100">
        <f t="shared" si="17"/>
        <v>26</v>
      </c>
    </row>
    <row r="375" spans="1:18" x14ac:dyDescent="0.2">
      <c r="A375" s="69">
        <v>44036</v>
      </c>
      <c r="B375" s="61" t="s">
        <v>823</v>
      </c>
      <c r="C375" s="61" t="s">
        <v>18</v>
      </c>
      <c r="D375" s="73">
        <v>44073</v>
      </c>
      <c r="E375" s="61" t="s">
        <v>47</v>
      </c>
      <c r="F375" s="61">
        <v>80484331</v>
      </c>
      <c r="G375" s="61" t="s">
        <v>824</v>
      </c>
      <c r="H375" s="75">
        <v>12185</v>
      </c>
      <c r="I375" s="62" t="s">
        <v>49</v>
      </c>
      <c r="J375" s="61" t="s">
        <v>825</v>
      </c>
      <c r="K375" s="62">
        <v>435</v>
      </c>
      <c r="L375" s="61"/>
      <c r="M375" s="64">
        <v>44082</v>
      </c>
      <c r="N375" s="61"/>
      <c r="O375" s="61"/>
      <c r="P375" s="61">
        <f t="shared" si="15"/>
        <v>8</v>
      </c>
      <c r="Q375" s="61">
        <f t="shared" si="16"/>
        <v>2020</v>
      </c>
      <c r="R375" s="100">
        <f t="shared" si="17"/>
        <v>30</v>
      </c>
    </row>
    <row r="376" spans="1:18" x14ac:dyDescent="0.2">
      <c r="A376" s="69">
        <v>44042</v>
      </c>
      <c r="B376" s="163" t="s">
        <v>835</v>
      </c>
      <c r="C376" s="61" t="s">
        <v>18</v>
      </c>
      <c r="D376" s="73">
        <v>44072</v>
      </c>
      <c r="E376" s="61" t="s">
        <v>53</v>
      </c>
      <c r="F376" s="61">
        <v>12020</v>
      </c>
      <c r="G376" s="61" t="s">
        <v>836</v>
      </c>
      <c r="H376" s="75">
        <v>100000</v>
      </c>
      <c r="I376" s="62" t="s">
        <v>49</v>
      </c>
      <c r="J376" s="61" t="s">
        <v>837</v>
      </c>
      <c r="K376" s="62">
        <v>436</v>
      </c>
      <c r="L376" s="61"/>
      <c r="M376" s="64">
        <v>44074</v>
      </c>
      <c r="N376" s="61"/>
      <c r="O376" s="61"/>
      <c r="P376" s="61">
        <f t="shared" si="15"/>
        <v>8</v>
      </c>
      <c r="Q376" s="61">
        <f t="shared" si="16"/>
        <v>2020</v>
      </c>
      <c r="R376" s="100">
        <f t="shared" si="17"/>
        <v>29</v>
      </c>
    </row>
    <row r="377" spans="1:18" x14ac:dyDescent="0.2">
      <c r="A377" s="69">
        <v>44042</v>
      </c>
      <c r="B377" s="163" t="s">
        <v>835</v>
      </c>
      <c r="C377" s="61" t="s">
        <v>18</v>
      </c>
      <c r="D377" s="73">
        <v>44058</v>
      </c>
      <c r="E377" s="61" t="s">
        <v>185</v>
      </c>
      <c r="F377" s="61">
        <v>509066</v>
      </c>
      <c r="G377" s="61" t="s">
        <v>838</v>
      </c>
      <c r="H377" s="75">
        <v>37305.11</v>
      </c>
      <c r="I377" s="62" t="s">
        <v>97</v>
      </c>
      <c r="J377" s="61" t="s">
        <v>839</v>
      </c>
      <c r="K377" s="62">
        <v>437</v>
      </c>
      <c r="L377" s="61"/>
      <c r="M377" s="64">
        <v>44049</v>
      </c>
      <c r="N377" s="61" t="s">
        <v>530</v>
      </c>
      <c r="O377" s="61"/>
      <c r="P377" s="61">
        <f t="shared" si="15"/>
        <v>8</v>
      </c>
      <c r="Q377" s="61">
        <f t="shared" si="16"/>
        <v>2020</v>
      </c>
      <c r="R377" s="100">
        <f t="shared" si="17"/>
        <v>15</v>
      </c>
    </row>
    <row r="378" spans="1:18" x14ac:dyDescent="0.2">
      <c r="A378" s="69">
        <v>44042</v>
      </c>
      <c r="B378" s="163" t="s">
        <v>835</v>
      </c>
      <c r="C378" s="61" t="s">
        <v>18</v>
      </c>
      <c r="D378" s="73">
        <v>44053</v>
      </c>
      <c r="E378" s="61" t="s">
        <v>840</v>
      </c>
      <c r="F378" s="61">
        <v>857049</v>
      </c>
      <c r="G378" s="61" t="s">
        <v>841</v>
      </c>
      <c r="H378" s="75">
        <v>100000</v>
      </c>
      <c r="I378" s="62" t="s">
        <v>49</v>
      </c>
      <c r="J378" s="61" t="s">
        <v>842</v>
      </c>
      <c r="K378" s="62">
        <v>438</v>
      </c>
      <c r="L378" s="61"/>
      <c r="M378" s="61"/>
      <c r="N378" s="61"/>
      <c r="O378" s="61"/>
      <c r="P378" s="61">
        <f t="shared" si="15"/>
        <v>8</v>
      </c>
      <c r="Q378" s="61">
        <f t="shared" si="16"/>
        <v>2020</v>
      </c>
      <c r="R378" s="100">
        <f t="shared" si="17"/>
        <v>10</v>
      </c>
    </row>
    <row r="379" spans="1:18" x14ac:dyDescent="0.2">
      <c r="A379" s="69">
        <v>44042</v>
      </c>
      <c r="B379" s="163" t="s">
        <v>835</v>
      </c>
      <c r="C379" s="61" t="s">
        <v>18</v>
      </c>
      <c r="D379" s="73">
        <v>44051</v>
      </c>
      <c r="E379" s="61" t="s">
        <v>57</v>
      </c>
      <c r="F379" s="61">
        <v>4695812</v>
      </c>
      <c r="G379" s="61" t="s">
        <v>843</v>
      </c>
      <c r="H379" s="75">
        <v>34200</v>
      </c>
      <c r="I379" s="62" t="s">
        <v>97</v>
      </c>
      <c r="J379" s="61" t="s">
        <v>844</v>
      </c>
      <c r="K379" s="62">
        <v>439</v>
      </c>
      <c r="L379" s="61"/>
      <c r="M379" s="64">
        <v>44061</v>
      </c>
      <c r="N379" s="61" t="s">
        <v>873</v>
      </c>
      <c r="O379" s="61"/>
      <c r="P379" s="61">
        <f t="shared" si="15"/>
        <v>8</v>
      </c>
      <c r="Q379" s="61">
        <f t="shared" si="16"/>
        <v>2020</v>
      </c>
      <c r="R379" s="100">
        <f t="shared" si="17"/>
        <v>8</v>
      </c>
    </row>
    <row r="380" spans="1:18" x14ac:dyDescent="0.2">
      <c r="A380" s="69">
        <v>44042</v>
      </c>
      <c r="B380" s="163" t="s">
        <v>835</v>
      </c>
      <c r="C380" s="61" t="s">
        <v>18</v>
      </c>
      <c r="D380" s="73">
        <v>44045</v>
      </c>
      <c r="E380" s="61" t="s">
        <v>491</v>
      </c>
      <c r="F380" s="61">
        <v>27376426</v>
      </c>
      <c r="G380" s="61" t="s">
        <v>845</v>
      </c>
      <c r="H380" s="75">
        <v>50000</v>
      </c>
      <c r="I380" s="62" t="s">
        <v>97</v>
      </c>
      <c r="J380" s="61" t="s">
        <v>846</v>
      </c>
      <c r="K380" s="62">
        <v>440</v>
      </c>
      <c r="L380" s="61"/>
      <c r="M380" s="64">
        <v>44061</v>
      </c>
      <c r="N380" s="61" t="s">
        <v>873</v>
      </c>
      <c r="O380" s="61"/>
      <c r="P380" s="61">
        <f t="shared" si="15"/>
        <v>8</v>
      </c>
      <c r="Q380" s="61">
        <f t="shared" si="16"/>
        <v>2020</v>
      </c>
      <c r="R380" s="100">
        <f t="shared" si="17"/>
        <v>2</v>
      </c>
    </row>
    <row r="381" spans="1:18" x14ac:dyDescent="0.2">
      <c r="A381" s="69">
        <v>44042</v>
      </c>
      <c r="B381" s="163" t="s">
        <v>835</v>
      </c>
      <c r="C381" s="61" t="s">
        <v>18</v>
      </c>
      <c r="D381" s="73">
        <v>44043</v>
      </c>
      <c r="E381" s="61" t="s">
        <v>65</v>
      </c>
      <c r="F381" s="61">
        <v>49536850</v>
      </c>
      <c r="G381" s="61" t="s">
        <v>847</v>
      </c>
      <c r="H381" s="75">
        <v>23174</v>
      </c>
      <c r="I381" s="62" t="s">
        <v>97</v>
      </c>
      <c r="J381" s="61" t="s">
        <v>848</v>
      </c>
      <c r="K381" s="62">
        <v>441</v>
      </c>
      <c r="L381" s="61"/>
      <c r="M381" s="61"/>
      <c r="N381" s="61" t="s">
        <v>872</v>
      </c>
      <c r="O381" s="61"/>
      <c r="P381" s="61">
        <f t="shared" si="15"/>
        <v>7</v>
      </c>
      <c r="Q381" s="61">
        <f t="shared" si="16"/>
        <v>2020</v>
      </c>
      <c r="R381" s="100">
        <f t="shared" si="17"/>
        <v>31</v>
      </c>
    </row>
    <row r="382" spans="1:18" x14ac:dyDescent="0.2">
      <c r="A382" s="69">
        <v>44042</v>
      </c>
      <c r="B382" s="163" t="s">
        <v>835</v>
      </c>
      <c r="C382" s="61" t="s">
        <v>18</v>
      </c>
      <c r="D382" s="73">
        <v>44042</v>
      </c>
      <c r="E382" s="61" t="s">
        <v>57</v>
      </c>
      <c r="F382" s="61">
        <v>820</v>
      </c>
      <c r="G382" s="61" t="s">
        <v>84</v>
      </c>
      <c r="H382" s="75">
        <v>20000</v>
      </c>
      <c r="I382" s="62" t="s">
        <v>49</v>
      </c>
      <c r="J382" s="61" t="s">
        <v>85</v>
      </c>
      <c r="K382" s="62">
        <v>442</v>
      </c>
      <c r="L382" s="61"/>
      <c r="M382" s="64">
        <v>44048</v>
      </c>
      <c r="N382" s="61"/>
      <c r="O382" s="61"/>
      <c r="P382" s="61">
        <f t="shared" si="15"/>
        <v>7</v>
      </c>
      <c r="Q382" s="61">
        <f t="shared" si="16"/>
        <v>2020</v>
      </c>
      <c r="R382" s="100">
        <f t="shared" si="17"/>
        <v>30</v>
      </c>
    </row>
    <row r="383" spans="1:18" x14ac:dyDescent="0.2">
      <c r="A383" s="69">
        <v>44042</v>
      </c>
      <c r="B383" s="163" t="s">
        <v>835</v>
      </c>
      <c r="C383" s="61" t="s">
        <v>18</v>
      </c>
      <c r="D383" s="73">
        <v>44037</v>
      </c>
      <c r="E383" s="61" t="s">
        <v>65</v>
      </c>
      <c r="F383" s="61">
        <v>41644164</v>
      </c>
      <c r="G383" s="61" t="s">
        <v>66</v>
      </c>
      <c r="H383" s="75">
        <v>20000</v>
      </c>
      <c r="I383" s="62" t="s">
        <v>49</v>
      </c>
      <c r="J383" s="61" t="s">
        <v>67</v>
      </c>
      <c r="K383" s="62">
        <v>443</v>
      </c>
      <c r="L383" s="61"/>
      <c r="M383" s="64">
        <v>44048</v>
      </c>
      <c r="N383" s="61"/>
      <c r="O383" s="61"/>
      <c r="P383" s="61">
        <f t="shared" si="15"/>
        <v>7</v>
      </c>
      <c r="Q383" s="61">
        <f t="shared" si="16"/>
        <v>2020</v>
      </c>
      <c r="R383" s="100">
        <f t="shared" si="17"/>
        <v>25</v>
      </c>
    </row>
    <row r="384" spans="1:18" x14ac:dyDescent="0.2">
      <c r="A384" s="69">
        <v>44042</v>
      </c>
      <c r="B384" s="163" t="s">
        <v>835</v>
      </c>
      <c r="C384" s="61" t="s">
        <v>18</v>
      </c>
      <c r="D384" s="73">
        <v>44036</v>
      </c>
      <c r="E384" s="61" t="s">
        <v>53</v>
      </c>
      <c r="F384" s="61">
        <v>70400220</v>
      </c>
      <c r="G384" s="61" t="s">
        <v>320</v>
      </c>
      <c r="H384" s="75">
        <v>37665</v>
      </c>
      <c r="I384" s="62" t="s">
        <v>49</v>
      </c>
      <c r="J384" s="61" t="s">
        <v>293</v>
      </c>
      <c r="K384" s="62">
        <v>444</v>
      </c>
      <c r="L384" s="61"/>
      <c r="M384" s="64">
        <v>44049</v>
      </c>
      <c r="N384" s="61"/>
      <c r="O384" s="61"/>
      <c r="P384" s="61">
        <f t="shared" si="15"/>
        <v>7</v>
      </c>
      <c r="Q384" s="61">
        <f t="shared" si="16"/>
        <v>2020</v>
      </c>
      <c r="R384" s="100">
        <f t="shared" si="17"/>
        <v>24</v>
      </c>
    </row>
    <row r="385" spans="1:18" x14ac:dyDescent="0.2">
      <c r="A385" s="69">
        <v>44042</v>
      </c>
      <c r="B385" s="163" t="s">
        <v>835</v>
      </c>
      <c r="C385" s="61" t="s">
        <v>18</v>
      </c>
      <c r="D385" s="73">
        <v>44032</v>
      </c>
      <c r="E385" s="61" t="s">
        <v>849</v>
      </c>
      <c r="F385" s="61">
        <v>83255337</v>
      </c>
      <c r="G385" s="61" t="s">
        <v>850</v>
      </c>
      <c r="H385" s="75">
        <v>13728</v>
      </c>
      <c r="I385" s="62" t="s">
        <v>97</v>
      </c>
      <c r="J385" s="61" t="s">
        <v>851</v>
      </c>
      <c r="K385" s="62">
        <v>445</v>
      </c>
      <c r="L385" s="61"/>
      <c r="M385" s="64">
        <v>44049</v>
      </c>
      <c r="N385" s="61" t="s">
        <v>530</v>
      </c>
      <c r="O385" s="61"/>
      <c r="P385" s="61">
        <f t="shared" si="15"/>
        <v>7</v>
      </c>
      <c r="Q385" s="61">
        <f t="shared" si="16"/>
        <v>2020</v>
      </c>
      <c r="R385" s="100">
        <f t="shared" si="17"/>
        <v>20</v>
      </c>
    </row>
    <row r="386" spans="1:18" x14ac:dyDescent="0.2">
      <c r="A386" s="69">
        <v>44042</v>
      </c>
      <c r="B386" s="163" t="s">
        <v>835</v>
      </c>
      <c r="C386" s="61" t="s">
        <v>18</v>
      </c>
      <c r="D386" s="73">
        <v>44032</v>
      </c>
      <c r="E386" s="61" t="s">
        <v>170</v>
      </c>
      <c r="F386" s="61">
        <v>91648097</v>
      </c>
      <c r="G386" s="61" t="s">
        <v>93</v>
      </c>
      <c r="H386" s="75">
        <v>27935</v>
      </c>
      <c r="I386" s="62" t="s">
        <v>97</v>
      </c>
      <c r="J386" s="61" t="s">
        <v>95</v>
      </c>
      <c r="K386" s="62">
        <v>446</v>
      </c>
      <c r="L386" s="61"/>
      <c r="M386" s="64">
        <v>44049</v>
      </c>
      <c r="N386" s="64" t="s">
        <v>530</v>
      </c>
      <c r="O386" s="61"/>
      <c r="P386" s="61">
        <f t="shared" ref="P386:P449" si="18">MONTH(D386)</f>
        <v>7</v>
      </c>
      <c r="Q386" s="61">
        <f t="shared" ref="Q386:Q449" si="19">YEAR(D386)</f>
        <v>2020</v>
      </c>
      <c r="R386" s="100">
        <f t="shared" si="17"/>
        <v>20</v>
      </c>
    </row>
    <row r="387" spans="1:18" x14ac:dyDescent="0.2">
      <c r="A387" s="69">
        <v>44042</v>
      </c>
      <c r="B387" s="163" t="s">
        <v>835</v>
      </c>
      <c r="C387" s="61" t="s">
        <v>18</v>
      </c>
      <c r="D387" s="73">
        <v>44031</v>
      </c>
      <c r="E387" s="61" t="s">
        <v>57</v>
      </c>
      <c r="F387" s="61">
        <v>473113</v>
      </c>
      <c r="G387" s="61" t="s">
        <v>118</v>
      </c>
      <c r="H387" s="75">
        <v>32100</v>
      </c>
      <c r="I387" s="62" t="s">
        <v>49</v>
      </c>
      <c r="J387" s="61" t="s">
        <v>119</v>
      </c>
      <c r="K387" s="62">
        <v>447</v>
      </c>
      <c r="L387" s="61"/>
      <c r="M387" s="61"/>
      <c r="N387" s="61"/>
      <c r="O387" s="61"/>
      <c r="P387" s="61">
        <f t="shared" si="18"/>
        <v>7</v>
      </c>
      <c r="Q387" s="61">
        <f t="shared" si="19"/>
        <v>2020</v>
      </c>
      <c r="R387" s="100">
        <f t="shared" ref="R387:R450" si="20">DAY(D387)</f>
        <v>19</v>
      </c>
    </row>
    <row r="388" spans="1:18" x14ac:dyDescent="0.2">
      <c r="A388" s="69">
        <v>44042</v>
      </c>
      <c r="B388" s="163" t="s">
        <v>835</v>
      </c>
      <c r="C388" s="61" t="s">
        <v>18</v>
      </c>
      <c r="D388" s="73">
        <v>44028</v>
      </c>
      <c r="E388" s="61" t="s">
        <v>849</v>
      </c>
      <c r="F388" s="61">
        <v>82948697</v>
      </c>
      <c r="G388" s="61" t="s">
        <v>852</v>
      </c>
      <c r="H388" s="75">
        <v>28100</v>
      </c>
      <c r="I388" s="62" t="s">
        <v>49</v>
      </c>
      <c r="J388" s="61" t="s">
        <v>853</v>
      </c>
      <c r="K388" s="62">
        <v>448</v>
      </c>
      <c r="L388" s="61"/>
      <c r="M388" s="61"/>
      <c r="N388" s="61"/>
      <c r="O388" s="61"/>
      <c r="P388" s="61">
        <f t="shared" si="18"/>
        <v>7</v>
      </c>
      <c r="Q388" s="61">
        <f t="shared" si="19"/>
        <v>2020</v>
      </c>
      <c r="R388" s="100">
        <f t="shared" si="20"/>
        <v>16</v>
      </c>
    </row>
    <row r="389" spans="1:18" x14ac:dyDescent="0.2">
      <c r="A389" s="69">
        <v>44042</v>
      </c>
      <c r="B389" s="163" t="s">
        <v>835</v>
      </c>
      <c r="C389" s="61" t="s">
        <v>18</v>
      </c>
      <c r="D389" s="73">
        <v>44028</v>
      </c>
      <c r="E389" s="61" t="s">
        <v>53</v>
      </c>
      <c r="F389" s="61">
        <v>479</v>
      </c>
      <c r="G389" s="61" t="s">
        <v>854</v>
      </c>
      <c r="H389" s="75">
        <v>30000</v>
      </c>
      <c r="I389" s="62" t="s">
        <v>49</v>
      </c>
      <c r="J389" s="61" t="s">
        <v>855</v>
      </c>
      <c r="K389" s="62">
        <v>449</v>
      </c>
      <c r="L389" s="61"/>
      <c r="M389" s="61"/>
      <c r="N389" s="61"/>
      <c r="O389" s="61"/>
      <c r="P389" s="61">
        <f t="shared" si="18"/>
        <v>7</v>
      </c>
      <c r="Q389" s="61">
        <f t="shared" si="19"/>
        <v>2020</v>
      </c>
      <c r="R389" s="100">
        <f t="shared" si="20"/>
        <v>16</v>
      </c>
    </row>
    <row r="390" spans="1:18" x14ac:dyDescent="0.2">
      <c r="A390" s="69">
        <v>44042</v>
      </c>
      <c r="B390" s="163" t="s">
        <v>835</v>
      </c>
      <c r="C390" s="61" t="s">
        <v>18</v>
      </c>
      <c r="D390" s="73">
        <v>44028</v>
      </c>
      <c r="E390" s="61" t="s">
        <v>79</v>
      </c>
      <c r="F390" s="61">
        <v>61672983</v>
      </c>
      <c r="G390" s="61" t="s">
        <v>856</v>
      </c>
      <c r="H390" s="75">
        <v>17657</v>
      </c>
      <c r="I390" s="62" t="s">
        <v>49</v>
      </c>
      <c r="J390" s="61" t="s">
        <v>857</v>
      </c>
      <c r="K390" s="62">
        <v>450</v>
      </c>
      <c r="L390" s="61"/>
      <c r="M390" s="61"/>
      <c r="N390" s="61"/>
      <c r="O390" s="61"/>
      <c r="P390" s="61">
        <f t="shared" si="18"/>
        <v>7</v>
      </c>
      <c r="Q390" s="61">
        <f t="shared" si="19"/>
        <v>2020</v>
      </c>
      <c r="R390" s="100">
        <f t="shared" si="20"/>
        <v>16</v>
      </c>
    </row>
    <row r="391" spans="1:18" x14ac:dyDescent="0.2">
      <c r="A391" s="69">
        <v>44042</v>
      </c>
      <c r="B391" s="163" t="s">
        <v>835</v>
      </c>
      <c r="C391" s="61" t="s">
        <v>18</v>
      </c>
      <c r="D391" s="73">
        <v>44028</v>
      </c>
      <c r="E391" s="61" t="s">
        <v>53</v>
      </c>
      <c r="F391" s="61">
        <v>43600808</v>
      </c>
      <c r="G391" s="61" t="s">
        <v>858</v>
      </c>
      <c r="H391" s="75">
        <v>20000</v>
      </c>
      <c r="I391" s="62" t="s">
        <v>49</v>
      </c>
      <c r="J391" s="61" t="s">
        <v>859</v>
      </c>
      <c r="K391" s="62">
        <v>451</v>
      </c>
      <c r="L391" s="61"/>
      <c r="M391" s="61"/>
      <c r="N391" s="61"/>
      <c r="O391" s="61"/>
      <c r="P391" s="61">
        <f t="shared" si="18"/>
        <v>7</v>
      </c>
      <c r="Q391" s="61">
        <f t="shared" si="19"/>
        <v>2020</v>
      </c>
      <c r="R391" s="100">
        <f t="shared" si="20"/>
        <v>16</v>
      </c>
    </row>
    <row r="392" spans="1:18" x14ac:dyDescent="0.2">
      <c r="A392" s="69">
        <v>44042</v>
      </c>
      <c r="B392" s="163" t="s">
        <v>835</v>
      </c>
      <c r="C392" s="61" t="s">
        <v>18</v>
      </c>
      <c r="D392" s="73">
        <v>44025</v>
      </c>
      <c r="E392" s="61" t="s">
        <v>123</v>
      </c>
      <c r="F392" s="61">
        <v>4129942</v>
      </c>
      <c r="G392" s="61" t="s">
        <v>860</v>
      </c>
      <c r="H392" s="75">
        <v>18000</v>
      </c>
      <c r="I392" s="62" t="s">
        <v>49</v>
      </c>
      <c r="J392" s="61" t="s">
        <v>861</v>
      </c>
      <c r="K392" s="62">
        <v>452</v>
      </c>
      <c r="L392" s="61"/>
      <c r="M392" s="61"/>
      <c r="N392" s="61"/>
      <c r="O392" s="61"/>
      <c r="P392" s="61">
        <f t="shared" si="18"/>
        <v>7</v>
      </c>
      <c r="Q392" s="61">
        <f t="shared" si="19"/>
        <v>2020</v>
      </c>
      <c r="R392" s="100">
        <f t="shared" si="20"/>
        <v>13</v>
      </c>
    </row>
    <row r="393" spans="1:18" x14ac:dyDescent="0.2">
      <c r="A393" s="69">
        <v>44042</v>
      </c>
      <c r="B393" s="163" t="s">
        <v>835</v>
      </c>
      <c r="C393" s="61" t="s">
        <v>18</v>
      </c>
      <c r="D393" s="73">
        <v>44023</v>
      </c>
      <c r="E393" s="61" t="s">
        <v>57</v>
      </c>
      <c r="F393" s="61">
        <v>4695811</v>
      </c>
      <c r="G393" s="61" t="s">
        <v>843</v>
      </c>
      <c r="H393" s="75">
        <v>34422</v>
      </c>
      <c r="I393" s="62" t="s">
        <v>49</v>
      </c>
      <c r="J393" s="61" t="s">
        <v>844</v>
      </c>
      <c r="K393" s="62">
        <v>453</v>
      </c>
      <c r="L393" s="61"/>
      <c r="M393" s="61"/>
      <c r="N393" s="61"/>
      <c r="O393" s="61"/>
      <c r="P393" s="61">
        <f t="shared" si="18"/>
        <v>7</v>
      </c>
      <c r="Q393" s="61">
        <f t="shared" si="19"/>
        <v>2020</v>
      </c>
      <c r="R393" s="100">
        <f t="shared" si="20"/>
        <v>11</v>
      </c>
    </row>
    <row r="394" spans="1:18" x14ac:dyDescent="0.2">
      <c r="A394" s="69">
        <v>44042</v>
      </c>
      <c r="B394" s="163" t="s">
        <v>835</v>
      </c>
      <c r="C394" s="61" t="s">
        <v>18</v>
      </c>
      <c r="D394" s="73">
        <v>44023</v>
      </c>
      <c r="E394" s="61" t="s">
        <v>43</v>
      </c>
      <c r="F394" s="61">
        <v>16180933</v>
      </c>
      <c r="G394" s="61" t="s">
        <v>862</v>
      </c>
      <c r="H394" s="75">
        <v>13095</v>
      </c>
      <c r="I394" s="62" t="s">
        <v>49</v>
      </c>
      <c r="J394" s="61" t="s">
        <v>863</v>
      </c>
      <c r="K394" s="62">
        <v>454</v>
      </c>
      <c r="L394" s="61"/>
      <c r="M394" s="61"/>
      <c r="N394" s="61"/>
      <c r="O394" s="61"/>
      <c r="P394" s="61">
        <f t="shared" si="18"/>
        <v>7</v>
      </c>
      <c r="Q394" s="61">
        <f t="shared" si="19"/>
        <v>2020</v>
      </c>
      <c r="R394" s="100">
        <f t="shared" si="20"/>
        <v>11</v>
      </c>
    </row>
    <row r="395" spans="1:18" x14ac:dyDescent="0.2">
      <c r="A395" s="69">
        <v>44042</v>
      </c>
      <c r="B395" s="163" t="s">
        <v>835</v>
      </c>
      <c r="C395" s="61" t="s">
        <v>18</v>
      </c>
      <c r="D395" s="73">
        <v>44012</v>
      </c>
      <c r="E395" s="61" t="s">
        <v>57</v>
      </c>
      <c r="F395" s="61">
        <v>45569</v>
      </c>
      <c r="G395" s="61" t="s">
        <v>864</v>
      </c>
      <c r="H395" s="75">
        <v>10646.5</v>
      </c>
      <c r="I395" s="62" t="s">
        <v>49</v>
      </c>
      <c r="J395" s="61" t="s">
        <v>865</v>
      </c>
      <c r="K395" s="62">
        <v>455</v>
      </c>
      <c r="L395" s="61"/>
      <c r="M395" s="61"/>
      <c r="N395" s="61"/>
      <c r="O395" s="61"/>
      <c r="P395" s="61">
        <f t="shared" si="18"/>
        <v>6</v>
      </c>
      <c r="Q395" s="61">
        <f t="shared" si="19"/>
        <v>2020</v>
      </c>
      <c r="R395" s="100">
        <f t="shared" si="20"/>
        <v>30</v>
      </c>
    </row>
    <row r="396" spans="1:18" x14ac:dyDescent="0.2">
      <c r="A396" s="69">
        <v>44042</v>
      </c>
      <c r="B396" s="163" t="s">
        <v>835</v>
      </c>
      <c r="C396" s="61" t="s">
        <v>18</v>
      </c>
      <c r="D396" s="73">
        <v>44012</v>
      </c>
      <c r="E396" s="61" t="s">
        <v>65</v>
      </c>
      <c r="F396" s="61">
        <v>41715956</v>
      </c>
      <c r="G396" s="61" t="s">
        <v>299</v>
      </c>
      <c r="H396" s="75">
        <v>12000</v>
      </c>
      <c r="I396" s="62" t="s">
        <v>49</v>
      </c>
      <c r="J396" s="61" t="s">
        <v>300</v>
      </c>
      <c r="K396" s="62">
        <v>456</v>
      </c>
      <c r="L396" s="61"/>
      <c r="M396" s="61"/>
      <c r="N396" s="61"/>
      <c r="O396" s="61"/>
      <c r="P396" s="61">
        <f t="shared" si="18"/>
        <v>6</v>
      </c>
      <c r="Q396" s="61">
        <f t="shared" si="19"/>
        <v>2020</v>
      </c>
      <c r="R396" s="100">
        <f t="shared" si="20"/>
        <v>30</v>
      </c>
    </row>
    <row r="397" spans="1:18" x14ac:dyDescent="0.2">
      <c r="A397" s="69">
        <v>44042</v>
      </c>
      <c r="B397" s="163" t="s">
        <v>835</v>
      </c>
      <c r="C397" s="61" t="s">
        <v>18</v>
      </c>
      <c r="D397" s="73">
        <v>44012</v>
      </c>
      <c r="E397" s="61" t="s">
        <v>57</v>
      </c>
      <c r="F397" s="61">
        <v>866</v>
      </c>
      <c r="G397" s="61" t="s">
        <v>84</v>
      </c>
      <c r="H397" s="75">
        <v>15000</v>
      </c>
      <c r="I397" s="62" t="s">
        <v>49</v>
      </c>
      <c r="J397" s="61" t="s">
        <v>85</v>
      </c>
      <c r="K397" s="62">
        <v>457</v>
      </c>
      <c r="L397" s="61"/>
      <c r="M397" s="61"/>
      <c r="N397" s="61"/>
      <c r="O397" s="61"/>
      <c r="P397" s="61">
        <f t="shared" si="18"/>
        <v>6</v>
      </c>
      <c r="Q397" s="61">
        <f t="shared" si="19"/>
        <v>2020</v>
      </c>
      <c r="R397" s="100">
        <f t="shared" si="20"/>
        <v>30</v>
      </c>
    </row>
    <row r="398" spans="1:18" x14ac:dyDescent="0.2">
      <c r="A398" s="69">
        <v>44042</v>
      </c>
      <c r="B398" s="163" t="s">
        <v>835</v>
      </c>
      <c r="C398" s="61" t="s">
        <v>18</v>
      </c>
      <c r="D398" s="73">
        <v>44012</v>
      </c>
      <c r="E398" s="61" t="s">
        <v>53</v>
      </c>
      <c r="F398" s="61">
        <v>8600072</v>
      </c>
      <c r="G398" s="61" t="s">
        <v>866</v>
      </c>
      <c r="H398" s="75">
        <v>19000</v>
      </c>
      <c r="I398" s="62" t="s">
        <v>49</v>
      </c>
      <c r="J398" s="61" t="s">
        <v>867</v>
      </c>
      <c r="K398" s="62">
        <v>458</v>
      </c>
      <c r="L398" s="61"/>
      <c r="M398" s="61"/>
      <c r="N398" s="61"/>
      <c r="O398" s="61"/>
      <c r="P398" s="61">
        <f t="shared" si="18"/>
        <v>6</v>
      </c>
      <c r="Q398" s="61">
        <f t="shared" si="19"/>
        <v>2020</v>
      </c>
      <c r="R398" s="100">
        <f t="shared" si="20"/>
        <v>30</v>
      </c>
    </row>
    <row r="399" spans="1:18" x14ac:dyDescent="0.2">
      <c r="A399" s="69">
        <v>44044</v>
      </c>
      <c r="B399" s="61" t="s">
        <v>222</v>
      </c>
      <c r="C399" s="61" t="s">
        <v>18</v>
      </c>
      <c r="D399" s="73">
        <v>44135</v>
      </c>
      <c r="E399" s="61" t="s">
        <v>65</v>
      </c>
      <c r="F399" s="61">
        <v>40888145</v>
      </c>
      <c r="G399" s="61" t="s">
        <v>176</v>
      </c>
      <c r="H399" s="75">
        <v>40000</v>
      </c>
      <c r="I399" s="62" t="s">
        <v>49</v>
      </c>
      <c r="J399" s="61" t="s">
        <v>177</v>
      </c>
      <c r="K399" s="62">
        <v>459</v>
      </c>
      <c r="L399" s="61"/>
      <c r="M399" s="64">
        <v>44154</v>
      </c>
      <c r="N399" s="61"/>
      <c r="O399" s="61"/>
      <c r="P399" s="61">
        <f t="shared" si="18"/>
        <v>10</v>
      </c>
      <c r="Q399" s="61">
        <f t="shared" si="19"/>
        <v>2020</v>
      </c>
      <c r="R399" s="100">
        <f t="shared" si="20"/>
        <v>31</v>
      </c>
    </row>
    <row r="400" spans="1:18" x14ac:dyDescent="0.2">
      <c r="A400" s="69">
        <v>44044</v>
      </c>
      <c r="B400" s="61" t="s">
        <v>222</v>
      </c>
      <c r="C400" s="61" t="s">
        <v>18</v>
      </c>
      <c r="D400" s="73">
        <v>44135</v>
      </c>
      <c r="E400" s="61" t="s">
        <v>65</v>
      </c>
      <c r="F400" s="61">
        <v>40888147</v>
      </c>
      <c r="G400" s="61" t="s">
        <v>176</v>
      </c>
      <c r="H400" s="75">
        <v>40000</v>
      </c>
      <c r="I400" s="62" t="s">
        <v>97</v>
      </c>
      <c r="J400" s="61" t="s">
        <v>177</v>
      </c>
      <c r="K400" s="62">
        <v>460</v>
      </c>
      <c r="L400" s="61"/>
      <c r="M400" s="64" t="s">
        <v>1061</v>
      </c>
      <c r="N400" s="61" t="s">
        <v>1041</v>
      </c>
      <c r="O400" s="61"/>
      <c r="P400" s="61">
        <f t="shared" si="18"/>
        <v>10</v>
      </c>
      <c r="Q400" s="61">
        <f t="shared" si="19"/>
        <v>2020</v>
      </c>
      <c r="R400" s="100">
        <f t="shared" si="20"/>
        <v>31</v>
      </c>
    </row>
    <row r="401" spans="1:18" x14ac:dyDescent="0.2">
      <c r="A401" s="69">
        <v>44047</v>
      </c>
      <c r="B401" s="61" t="s">
        <v>278</v>
      </c>
      <c r="C401" s="61" t="s">
        <v>18</v>
      </c>
      <c r="D401" s="73">
        <v>44063</v>
      </c>
      <c r="E401" s="61" t="s">
        <v>47</v>
      </c>
      <c r="F401" s="61">
        <v>80897218</v>
      </c>
      <c r="G401" s="61" t="s">
        <v>281</v>
      </c>
      <c r="H401" s="75">
        <v>4000</v>
      </c>
      <c r="I401" s="62" t="s">
        <v>97</v>
      </c>
      <c r="J401" s="61" t="s">
        <v>282</v>
      </c>
      <c r="K401" s="62">
        <v>461</v>
      </c>
      <c r="L401" s="61"/>
      <c r="M401" s="64">
        <v>44076</v>
      </c>
      <c r="N401" s="61" t="s">
        <v>258</v>
      </c>
      <c r="O401" s="61"/>
      <c r="P401" s="61">
        <f t="shared" si="18"/>
        <v>8</v>
      </c>
      <c r="Q401" s="61">
        <f t="shared" si="19"/>
        <v>2020</v>
      </c>
      <c r="R401" s="100">
        <f t="shared" si="20"/>
        <v>20</v>
      </c>
    </row>
    <row r="402" spans="1:18" x14ac:dyDescent="0.2">
      <c r="A402" s="69">
        <v>44057</v>
      </c>
      <c r="B402" s="61" t="s">
        <v>762</v>
      </c>
      <c r="C402" s="61" t="s">
        <v>18</v>
      </c>
      <c r="D402" s="73">
        <v>44079</v>
      </c>
      <c r="E402" s="61" t="s">
        <v>148</v>
      </c>
      <c r="F402" s="61">
        <v>22180672</v>
      </c>
      <c r="G402" s="61" t="s">
        <v>870</v>
      </c>
      <c r="H402" s="75">
        <v>23300</v>
      </c>
      <c r="I402" s="62" t="s">
        <v>49</v>
      </c>
      <c r="J402" s="61" t="s">
        <v>871</v>
      </c>
      <c r="K402" s="62">
        <v>462</v>
      </c>
      <c r="L402" s="61"/>
      <c r="M402" s="64">
        <v>44082</v>
      </c>
      <c r="N402" s="61"/>
      <c r="O402" s="61"/>
      <c r="P402" s="61">
        <f t="shared" si="18"/>
        <v>9</v>
      </c>
      <c r="Q402" s="61">
        <f t="shared" si="19"/>
        <v>2020</v>
      </c>
      <c r="R402" s="100">
        <f t="shared" si="20"/>
        <v>5</v>
      </c>
    </row>
    <row r="403" spans="1:18" x14ac:dyDescent="0.2">
      <c r="A403" s="69">
        <v>44061</v>
      </c>
      <c r="B403" s="61" t="s">
        <v>823</v>
      </c>
      <c r="C403" s="61" t="s">
        <v>18</v>
      </c>
      <c r="D403" s="73">
        <v>44097</v>
      </c>
      <c r="E403" s="61" t="s">
        <v>47</v>
      </c>
      <c r="F403" s="61">
        <v>80484352</v>
      </c>
      <c r="G403" s="61" t="s">
        <v>824</v>
      </c>
      <c r="H403" s="75">
        <v>12805</v>
      </c>
      <c r="I403" s="62" t="s">
        <v>97</v>
      </c>
      <c r="J403" s="61" t="s">
        <v>825</v>
      </c>
      <c r="K403" s="62">
        <v>463</v>
      </c>
      <c r="L403" s="61"/>
      <c r="M403" s="64">
        <v>44081</v>
      </c>
      <c r="N403" s="61" t="s">
        <v>139</v>
      </c>
      <c r="O403" s="61"/>
      <c r="P403" s="61">
        <f t="shared" si="18"/>
        <v>9</v>
      </c>
      <c r="Q403" s="61">
        <f t="shared" si="19"/>
        <v>2020</v>
      </c>
      <c r="R403" s="100">
        <f t="shared" si="20"/>
        <v>23</v>
      </c>
    </row>
    <row r="404" spans="1:18" x14ac:dyDescent="0.2">
      <c r="A404" s="69">
        <v>44057</v>
      </c>
      <c r="B404" s="61" t="s">
        <v>368</v>
      </c>
      <c r="C404" s="61" t="s">
        <v>18</v>
      </c>
      <c r="D404" s="73">
        <v>44068</v>
      </c>
      <c r="E404" s="61" t="s">
        <v>57</v>
      </c>
      <c r="F404" s="61">
        <v>3591839</v>
      </c>
      <c r="G404" s="61" t="s">
        <v>874</v>
      </c>
      <c r="H404" s="75">
        <v>6500</v>
      </c>
      <c r="I404" s="62" t="s">
        <v>97</v>
      </c>
      <c r="J404" s="61" t="s">
        <v>200</v>
      </c>
      <c r="K404" s="62">
        <v>464</v>
      </c>
      <c r="L404" s="61"/>
      <c r="M404" s="64">
        <v>44065</v>
      </c>
      <c r="N404" s="61" t="s">
        <v>199</v>
      </c>
      <c r="O404" s="61"/>
      <c r="P404" s="61">
        <f t="shared" si="18"/>
        <v>8</v>
      </c>
      <c r="Q404" s="61">
        <f t="shared" si="19"/>
        <v>2020</v>
      </c>
      <c r="R404" s="100">
        <f t="shared" si="20"/>
        <v>25</v>
      </c>
    </row>
    <row r="405" spans="1:18" x14ac:dyDescent="0.2">
      <c r="A405" s="69">
        <v>44065</v>
      </c>
      <c r="B405" s="61" t="s">
        <v>439</v>
      </c>
      <c r="C405" s="61" t="s">
        <v>18</v>
      </c>
      <c r="D405" s="73">
        <v>44063</v>
      </c>
      <c r="E405" s="61" t="s">
        <v>43</v>
      </c>
      <c r="F405" s="61">
        <v>17919860</v>
      </c>
      <c r="G405" s="61" t="s">
        <v>562</v>
      </c>
      <c r="H405" s="75">
        <v>7623</v>
      </c>
      <c r="I405" s="62" t="s">
        <v>97</v>
      </c>
      <c r="J405" s="61" t="s">
        <v>568</v>
      </c>
      <c r="K405" s="62">
        <v>465</v>
      </c>
      <c r="L405" s="61"/>
      <c r="M405" s="64">
        <v>44068</v>
      </c>
      <c r="N405" s="61" t="s">
        <v>757</v>
      </c>
      <c r="O405" s="61"/>
      <c r="P405" s="61">
        <f t="shared" si="18"/>
        <v>8</v>
      </c>
      <c r="Q405" s="61">
        <f t="shared" si="19"/>
        <v>2020</v>
      </c>
      <c r="R405" s="100">
        <f t="shared" si="20"/>
        <v>20</v>
      </c>
    </row>
    <row r="406" spans="1:18" x14ac:dyDescent="0.2">
      <c r="A406" s="69">
        <v>44065</v>
      </c>
      <c r="B406" s="61" t="s">
        <v>28</v>
      </c>
      <c r="C406" s="61" t="s">
        <v>18</v>
      </c>
      <c r="D406" s="73">
        <v>44104</v>
      </c>
      <c r="E406" s="61" t="s">
        <v>53</v>
      </c>
      <c r="F406" s="61">
        <v>45000099</v>
      </c>
      <c r="G406" s="61" t="s">
        <v>875</v>
      </c>
      <c r="H406" s="75">
        <v>12310</v>
      </c>
      <c r="I406" s="62" t="s">
        <v>97</v>
      </c>
      <c r="J406" s="61" t="s">
        <v>876</v>
      </c>
      <c r="K406" s="62">
        <v>466</v>
      </c>
      <c r="L406" s="61"/>
      <c r="M406" s="64">
        <v>44081</v>
      </c>
      <c r="N406" s="61" t="s">
        <v>139</v>
      </c>
      <c r="O406" s="61"/>
      <c r="P406" s="61">
        <f t="shared" si="18"/>
        <v>9</v>
      </c>
      <c r="Q406" s="61">
        <f t="shared" si="19"/>
        <v>2020</v>
      </c>
      <c r="R406" s="100">
        <f t="shared" si="20"/>
        <v>30</v>
      </c>
    </row>
    <row r="407" spans="1:18" x14ac:dyDescent="0.2">
      <c r="A407" s="69">
        <v>44065</v>
      </c>
      <c r="B407" s="61" t="s">
        <v>28</v>
      </c>
      <c r="C407" s="61" t="s">
        <v>18</v>
      </c>
      <c r="D407" s="73">
        <v>44135</v>
      </c>
      <c r="E407" s="61" t="s">
        <v>61</v>
      </c>
      <c r="F407" s="61">
        <v>81413707</v>
      </c>
      <c r="G407" s="61" t="s">
        <v>877</v>
      </c>
      <c r="H407" s="75">
        <v>10000</v>
      </c>
      <c r="I407" s="62" t="s">
        <v>97</v>
      </c>
      <c r="J407" s="61" t="s">
        <v>878</v>
      </c>
      <c r="K407" s="62">
        <v>467</v>
      </c>
      <c r="L407" s="61"/>
      <c r="M407" s="64">
        <v>44096</v>
      </c>
      <c r="N407" s="61" t="s">
        <v>897</v>
      </c>
      <c r="O407" s="61"/>
      <c r="P407" s="61">
        <f t="shared" si="18"/>
        <v>10</v>
      </c>
      <c r="Q407" s="61">
        <f t="shared" si="19"/>
        <v>2020</v>
      </c>
      <c r="R407" s="100">
        <f t="shared" si="20"/>
        <v>31</v>
      </c>
    </row>
    <row r="408" spans="1:18" x14ac:dyDescent="0.2">
      <c r="A408" s="69">
        <v>44065</v>
      </c>
      <c r="B408" s="61" t="s">
        <v>28</v>
      </c>
      <c r="C408" s="61" t="s">
        <v>18</v>
      </c>
      <c r="D408" s="73">
        <v>44165</v>
      </c>
      <c r="E408" s="61" t="s">
        <v>61</v>
      </c>
      <c r="F408" s="61">
        <v>81413708</v>
      </c>
      <c r="G408" s="61" t="s">
        <v>877</v>
      </c>
      <c r="H408" s="75">
        <v>12000</v>
      </c>
      <c r="I408" s="62" t="s">
        <v>97</v>
      </c>
      <c r="J408" s="61" t="s">
        <v>878</v>
      </c>
      <c r="K408" s="62">
        <v>468</v>
      </c>
      <c r="L408" s="61"/>
      <c r="M408" s="64">
        <v>44070</v>
      </c>
      <c r="N408" s="61" t="s">
        <v>833</v>
      </c>
      <c r="O408" s="61"/>
      <c r="P408" s="61">
        <f t="shared" si="18"/>
        <v>11</v>
      </c>
      <c r="Q408" s="61">
        <f t="shared" si="19"/>
        <v>2020</v>
      </c>
      <c r="R408" s="100">
        <f t="shared" si="20"/>
        <v>30</v>
      </c>
    </row>
    <row r="409" spans="1:18" x14ac:dyDescent="0.2">
      <c r="A409" s="69">
        <v>44065</v>
      </c>
      <c r="B409" s="61" t="s">
        <v>28</v>
      </c>
      <c r="C409" s="61" t="s">
        <v>18</v>
      </c>
      <c r="D409" s="73">
        <v>44196</v>
      </c>
      <c r="E409" s="61" t="s">
        <v>61</v>
      </c>
      <c r="F409" s="61">
        <v>81413709</v>
      </c>
      <c r="G409" s="61" t="s">
        <v>877</v>
      </c>
      <c r="H409" s="75">
        <v>12000</v>
      </c>
      <c r="I409" s="62" t="s">
        <v>97</v>
      </c>
      <c r="J409" s="61" t="s">
        <v>878</v>
      </c>
      <c r="K409" s="62">
        <v>469</v>
      </c>
      <c r="L409" s="61"/>
      <c r="M409" s="64">
        <v>44111</v>
      </c>
      <c r="N409" s="61" t="s">
        <v>934</v>
      </c>
      <c r="O409" s="61"/>
      <c r="P409" s="61">
        <f t="shared" si="18"/>
        <v>12</v>
      </c>
      <c r="Q409" s="61">
        <f t="shared" si="19"/>
        <v>2020</v>
      </c>
      <c r="R409" s="100">
        <f t="shared" si="20"/>
        <v>31</v>
      </c>
    </row>
    <row r="410" spans="1:18" x14ac:dyDescent="0.2">
      <c r="A410" s="69">
        <v>44070</v>
      </c>
      <c r="B410" s="61" t="s">
        <v>158</v>
      </c>
      <c r="C410" s="61" t="s">
        <v>18</v>
      </c>
      <c r="D410" s="73">
        <v>44063</v>
      </c>
      <c r="E410" s="61" t="s">
        <v>47</v>
      </c>
      <c r="F410" s="61">
        <v>78737687</v>
      </c>
      <c r="G410" s="61" t="s">
        <v>879</v>
      </c>
      <c r="H410" s="75">
        <v>2000</v>
      </c>
      <c r="I410" s="62" t="s">
        <v>97</v>
      </c>
      <c r="J410" s="61" t="s">
        <v>880</v>
      </c>
      <c r="K410" s="62">
        <v>470</v>
      </c>
      <c r="L410" s="61"/>
      <c r="M410" s="64">
        <v>44076</v>
      </c>
      <c r="N410" s="61" t="s">
        <v>258</v>
      </c>
      <c r="O410" s="61"/>
      <c r="P410" s="61">
        <f t="shared" si="18"/>
        <v>8</v>
      </c>
      <c r="Q410" s="61">
        <f t="shared" si="19"/>
        <v>2020</v>
      </c>
      <c r="R410" s="100">
        <f t="shared" si="20"/>
        <v>20</v>
      </c>
    </row>
    <row r="411" spans="1:18" x14ac:dyDescent="0.2">
      <c r="A411" s="69">
        <v>44070</v>
      </c>
      <c r="B411" s="61" t="s">
        <v>158</v>
      </c>
      <c r="C411" s="61" t="s">
        <v>18</v>
      </c>
      <c r="D411" s="73">
        <v>44103</v>
      </c>
      <c r="E411" s="61" t="s">
        <v>53</v>
      </c>
      <c r="F411" s="61">
        <v>45000029</v>
      </c>
      <c r="G411" s="61" t="s">
        <v>881</v>
      </c>
      <c r="H411" s="75">
        <v>6054</v>
      </c>
      <c r="I411" s="62" t="s">
        <v>97</v>
      </c>
      <c r="J411" s="61" t="s">
        <v>882</v>
      </c>
      <c r="K411" s="62">
        <v>471</v>
      </c>
      <c r="L411" s="61"/>
      <c r="M411" s="64">
        <v>44081</v>
      </c>
      <c r="N411" s="61" t="s">
        <v>139</v>
      </c>
      <c r="O411" s="61"/>
      <c r="P411" s="61">
        <f t="shared" si="18"/>
        <v>9</v>
      </c>
      <c r="Q411" s="61">
        <f t="shared" si="19"/>
        <v>2020</v>
      </c>
      <c r="R411" s="100">
        <f t="shared" si="20"/>
        <v>29</v>
      </c>
    </row>
    <row r="412" spans="1:18" x14ac:dyDescent="0.2">
      <c r="A412" s="69">
        <v>44071</v>
      </c>
      <c r="B412" s="61" t="s">
        <v>883</v>
      </c>
      <c r="C412" s="61" t="s">
        <v>18</v>
      </c>
      <c r="D412" s="73">
        <v>44071</v>
      </c>
      <c r="E412" s="61" t="s">
        <v>47</v>
      </c>
      <c r="F412" s="61">
        <v>76685428</v>
      </c>
      <c r="G412" s="61" t="s">
        <v>884</v>
      </c>
      <c r="H412" s="75">
        <v>14825</v>
      </c>
      <c r="I412" s="62" t="s">
        <v>49</v>
      </c>
      <c r="J412" s="61" t="s">
        <v>885</v>
      </c>
      <c r="K412" s="62">
        <v>472</v>
      </c>
      <c r="L412" s="61"/>
      <c r="M412" s="64">
        <v>44082</v>
      </c>
      <c r="N412" s="61"/>
      <c r="O412" s="61"/>
      <c r="P412" s="61">
        <f t="shared" si="18"/>
        <v>8</v>
      </c>
      <c r="Q412" s="61">
        <f t="shared" si="19"/>
        <v>2020</v>
      </c>
      <c r="R412" s="100">
        <f t="shared" si="20"/>
        <v>28</v>
      </c>
    </row>
    <row r="413" spans="1:18" x14ac:dyDescent="0.2">
      <c r="A413" s="69">
        <v>44071</v>
      </c>
      <c r="B413" s="61" t="s">
        <v>212</v>
      </c>
      <c r="C413" s="61" t="s">
        <v>18</v>
      </c>
      <c r="D413" s="73">
        <v>44128</v>
      </c>
      <c r="E413" s="61" t="s">
        <v>185</v>
      </c>
      <c r="F413" s="61">
        <v>537144</v>
      </c>
      <c r="G413" s="61" t="s">
        <v>886</v>
      </c>
      <c r="H413" s="75">
        <v>30000</v>
      </c>
      <c r="I413" s="62" t="s">
        <v>97</v>
      </c>
      <c r="J413" s="61" t="s">
        <v>211</v>
      </c>
      <c r="K413" s="62">
        <v>473</v>
      </c>
      <c r="L413" s="61"/>
      <c r="M413" s="64">
        <v>44081</v>
      </c>
      <c r="N413" s="61" t="s">
        <v>139</v>
      </c>
      <c r="O413" s="61"/>
      <c r="P413" s="61">
        <f t="shared" si="18"/>
        <v>10</v>
      </c>
      <c r="Q413" s="61">
        <f t="shared" si="19"/>
        <v>2020</v>
      </c>
      <c r="R413" s="100">
        <f t="shared" si="20"/>
        <v>24</v>
      </c>
    </row>
    <row r="414" spans="1:18" x14ac:dyDescent="0.2">
      <c r="A414" s="69">
        <v>44071</v>
      </c>
      <c r="B414" s="61" t="s">
        <v>212</v>
      </c>
      <c r="C414" s="61" t="s">
        <v>18</v>
      </c>
      <c r="D414" s="73">
        <v>44145</v>
      </c>
      <c r="E414" s="61" t="s">
        <v>185</v>
      </c>
      <c r="F414" s="61">
        <v>537145</v>
      </c>
      <c r="G414" s="61" t="s">
        <v>886</v>
      </c>
      <c r="H414" s="75">
        <v>20384</v>
      </c>
      <c r="I414" s="62" t="s">
        <v>97</v>
      </c>
      <c r="J414" s="61" t="s">
        <v>211</v>
      </c>
      <c r="K414" s="62">
        <v>474</v>
      </c>
      <c r="L414" s="61"/>
      <c r="M414" s="64">
        <v>44111</v>
      </c>
      <c r="N414" s="61" t="s">
        <v>934</v>
      </c>
      <c r="O414" s="61"/>
      <c r="P414" s="61">
        <f t="shared" si="18"/>
        <v>11</v>
      </c>
      <c r="Q414" s="61">
        <f t="shared" si="19"/>
        <v>2020</v>
      </c>
      <c r="R414" s="100">
        <f t="shared" si="20"/>
        <v>10</v>
      </c>
    </row>
    <row r="415" spans="1:18" x14ac:dyDescent="0.2">
      <c r="A415" s="69">
        <v>44075</v>
      </c>
      <c r="B415" s="61" t="s">
        <v>212</v>
      </c>
      <c r="C415" s="61" t="s">
        <v>18</v>
      </c>
      <c r="D415" s="73">
        <v>44128</v>
      </c>
      <c r="E415" s="61" t="s">
        <v>53</v>
      </c>
      <c r="F415" s="61">
        <v>39400086</v>
      </c>
      <c r="G415" s="61" t="s">
        <v>890</v>
      </c>
      <c r="H415" s="75">
        <v>10000</v>
      </c>
      <c r="I415" s="62" t="s">
        <v>49</v>
      </c>
      <c r="J415" s="61" t="s">
        <v>891</v>
      </c>
      <c r="K415" s="62">
        <v>475</v>
      </c>
      <c r="L415" s="61"/>
      <c r="M415" s="61"/>
      <c r="N415" s="61"/>
      <c r="O415" s="61" t="s">
        <v>1062</v>
      </c>
      <c r="P415" s="61">
        <f t="shared" si="18"/>
        <v>10</v>
      </c>
      <c r="Q415" s="61">
        <f t="shared" si="19"/>
        <v>2020</v>
      </c>
      <c r="R415" s="100">
        <f t="shared" si="20"/>
        <v>24</v>
      </c>
    </row>
    <row r="416" spans="1:18" x14ac:dyDescent="0.2">
      <c r="A416" s="69">
        <v>44075</v>
      </c>
      <c r="B416" s="61" t="s">
        <v>212</v>
      </c>
      <c r="C416" s="61" t="s">
        <v>18</v>
      </c>
      <c r="D416" s="73">
        <v>44100</v>
      </c>
      <c r="E416" s="61" t="s">
        <v>53</v>
      </c>
      <c r="F416" s="61">
        <v>39400085</v>
      </c>
      <c r="G416" s="61" t="s">
        <v>890</v>
      </c>
      <c r="H416" s="75">
        <v>10000</v>
      </c>
      <c r="I416" s="62" t="s">
        <v>97</v>
      </c>
      <c r="J416" s="61" t="s">
        <v>891</v>
      </c>
      <c r="K416" s="62">
        <v>476</v>
      </c>
      <c r="L416" s="61"/>
      <c r="M416" s="64"/>
      <c r="N416" s="61"/>
      <c r="O416" s="61"/>
      <c r="P416" s="61">
        <f t="shared" si="18"/>
        <v>9</v>
      </c>
      <c r="Q416" s="61">
        <f t="shared" si="19"/>
        <v>2020</v>
      </c>
      <c r="R416" s="100">
        <f t="shared" si="20"/>
        <v>26</v>
      </c>
    </row>
    <row r="417" spans="1:18" x14ac:dyDescent="0.2">
      <c r="A417" s="69">
        <v>44092</v>
      </c>
      <c r="B417" s="61" t="s">
        <v>42</v>
      </c>
      <c r="C417" s="61" t="s">
        <v>18</v>
      </c>
      <c r="D417" s="73">
        <v>44114</v>
      </c>
      <c r="E417" s="61" t="s">
        <v>43</v>
      </c>
      <c r="F417" s="61">
        <v>16087599</v>
      </c>
      <c r="G417" s="61" t="s">
        <v>617</v>
      </c>
      <c r="H417" s="75">
        <v>19728</v>
      </c>
      <c r="I417" s="62" t="s">
        <v>49</v>
      </c>
      <c r="J417" s="61" t="s">
        <v>619</v>
      </c>
      <c r="K417" s="62">
        <v>477</v>
      </c>
      <c r="L417" s="61"/>
      <c r="M417" s="61"/>
      <c r="N417" s="61"/>
      <c r="O417" s="61"/>
      <c r="P417" s="61">
        <f t="shared" si="18"/>
        <v>10</v>
      </c>
      <c r="Q417" s="61">
        <f t="shared" si="19"/>
        <v>2020</v>
      </c>
      <c r="R417" s="100">
        <f t="shared" si="20"/>
        <v>10</v>
      </c>
    </row>
    <row r="418" spans="1:18" x14ac:dyDescent="0.2">
      <c r="A418" s="69">
        <v>44092</v>
      </c>
      <c r="B418" s="61" t="s">
        <v>42</v>
      </c>
      <c r="C418" s="61" t="s">
        <v>18</v>
      </c>
      <c r="D418" s="73">
        <v>44121</v>
      </c>
      <c r="E418" s="61" t="s">
        <v>43</v>
      </c>
      <c r="F418" s="61">
        <v>18676113</v>
      </c>
      <c r="G418" s="61" t="s">
        <v>893</v>
      </c>
      <c r="H418" s="75">
        <v>20000</v>
      </c>
      <c r="I418" s="62" t="s">
        <v>97</v>
      </c>
      <c r="J418" s="61" t="s">
        <v>894</v>
      </c>
      <c r="K418" s="62">
        <v>478</v>
      </c>
      <c r="L418" s="61"/>
      <c r="M418" s="64">
        <v>44102</v>
      </c>
      <c r="N418" s="61" t="s">
        <v>139</v>
      </c>
      <c r="O418" s="61"/>
      <c r="P418" s="61">
        <f t="shared" si="18"/>
        <v>10</v>
      </c>
      <c r="Q418" s="61">
        <f t="shared" si="19"/>
        <v>2020</v>
      </c>
      <c r="R418" s="100">
        <f t="shared" si="20"/>
        <v>17</v>
      </c>
    </row>
    <row r="419" spans="1:18" x14ac:dyDescent="0.2">
      <c r="A419" s="69">
        <v>44092</v>
      </c>
      <c r="B419" s="61" t="s">
        <v>42</v>
      </c>
      <c r="C419" s="61" t="s">
        <v>18</v>
      </c>
      <c r="D419" s="125">
        <v>44145</v>
      </c>
      <c r="E419" s="61" t="s">
        <v>57</v>
      </c>
      <c r="F419" s="61">
        <v>71359</v>
      </c>
      <c r="G419" s="61" t="s">
        <v>411</v>
      </c>
      <c r="H419" s="75">
        <v>11689.07</v>
      </c>
      <c r="I419" s="62" t="s">
        <v>97</v>
      </c>
      <c r="J419" s="61" t="s">
        <v>412</v>
      </c>
      <c r="K419" s="62">
        <v>479</v>
      </c>
      <c r="L419" s="61"/>
      <c r="M419" s="64">
        <v>44175</v>
      </c>
      <c r="N419" s="61" t="s">
        <v>222</v>
      </c>
      <c r="O419" s="61"/>
      <c r="P419" s="61">
        <f t="shared" si="18"/>
        <v>11</v>
      </c>
      <c r="Q419" s="61">
        <f t="shared" si="19"/>
        <v>2020</v>
      </c>
      <c r="R419" s="100">
        <f t="shared" si="20"/>
        <v>10</v>
      </c>
    </row>
    <row r="420" spans="1:18" x14ac:dyDescent="0.2">
      <c r="A420" s="69">
        <v>44095</v>
      </c>
      <c r="B420" s="61" t="s">
        <v>762</v>
      </c>
      <c r="C420" s="61" t="s">
        <v>18</v>
      </c>
      <c r="D420" s="73">
        <v>44104</v>
      </c>
      <c r="E420" s="61" t="s">
        <v>47</v>
      </c>
      <c r="F420" s="61">
        <v>80012402</v>
      </c>
      <c r="G420" s="61" t="s">
        <v>895</v>
      </c>
      <c r="H420" s="75">
        <v>7132</v>
      </c>
      <c r="I420" s="62" t="s">
        <v>295</v>
      </c>
      <c r="J420" s="61" t="s">
        <v>896</v>
      </c>
      <c r="K420" s="62">
        <v>480</v>
      </c>
      <c r="L420" s="61"/>
      <c r="M420" s="64">
        <v>44104</v>
      </c>
      <c r="N420" s="61"/>
      <c r="O420" s="61"/>
      <c r="P420" s="61">
        <f t="shared" si="18"/>
        <v>9</v>
      </c>
      <c r="Q420" s="61">
        <f t="shared" si="19"/>
        <v>2020</v>
      </c>
      <c r="R420" s="100">
        <f t="shared" si="20"/>
        <v>30</v>
      </c>
    </row>
    <row r="421" spans="1:18" x14ac:dyDescent="0.2">
      <c r="A421" s="69">
        <v>44095</v>
      </c>
      <c r="B421" s="61" t="s">
        <v>762</v>
      </c>
      <c r="C421" s="61" t="s">
        <v>18</v>
      </c>
      <c r="D421" s="73">
        <v>44119</v>
      </c>
      <c r="E421" s="61" t="s">
        <v>47</v>
      </c>
      <c r="F421" s="61">
        <v>80315384</v>
      </c>
      <c r="G421" s="61" t="s">
        <v>167</v>
      </c>
      <c r="H421" s="75">
        <v>2000</v>
      </c>
      <c r="I421" s="62" t="s">
        <v>97</v>
      </c>
      <c r="J421" s="61" t="s">
        <v>168</v>
      </c>
      <c r="K421" s="62">
        <v>481</v>
      </c>
      <c r="L421" s="61"/>
      <c r="M421" s="64">
        <v>44102</v>
      </c>
      <c r="N421" s="61" t="s">
        <v>199</v>
      </c>
      <c r="O421" s="61"/>
      <c r="P421" s="61">
        <f t="shared" si="18"/>
        <v>10</v>
      </c>
      <c r="Q421" s="61">
        <f t="shared" si="19"/>
        <v>2020</v>
      </c>
      <c r="R421" s="100">
        <f t="shared" si="20"/>
        <v>15</v>
      </c>
    </row>
    <row r="422" spans="1:18" x14ac:dyDescent="0.2">
      <c r="A422" s="69">
        <v>44103</v>
      </c>
      <c r="B422" s="61" t="s">
        <v>42</v>
      </c>
      <c r="C422" s="61" t="s">
        <v>18</v>
      </c>
      <c r="D422" s="73">
        <v>44102</v>
      </c>
      <c r="E422" s="61" t="s">
        <v>47</v>
      </c>
      <c r="F422" s="61">
        <v>79909353</v>
      </c>
      <c r="G422" s="61" t="s">
        <v>804</v>
      </c>
      <c r="H422" s="75">
        <v>4000</v>
      </c>
      <c r="I422" s="62" t="s">
        <v>49</v>
      </c>
      <c r="J422" s="61" t="s">
        <v>506</v>
      </c>
      <c r="K422" s="62">
        <v>482</v>
      </c>
      <c r="L422" s="61"/>
      <c r="M422" s="64">
        <v>44104</v>
      </c>
      <c r="N422" s="61"/>
      <c r="O422" s="61"/>
      <c r="P422" s="61">
        <f t="shared" si="18"/>
        <v>9</v>
      </c>
      <c r="Q422" s="61">
        <f t="shared" si="19"/>
        <v>2020</v>
      </c>
      <c r="R422" s="100">
        <f t="shared" si="20"/>
        <v>28</v>
      </c>
    </row>
    <row r="423" spans="1:18" x14ac:dyDescent="0.2">
      <c r="A423" s="69">
        <v>44103</v>
      </c>
      <c r="B423" s="61" t="s">
        <v>42</v>
      </c>
      <c r="C423" s="61" t="s">
        <v>18</v>
      </c>
      <c r="D423" s="73">
        <v>44109</v>
      </c>
      <c r="E423" s="61" t="s">
        <v>47</v>
      </c>
      <c r="F423" s="61">
        <v>79909354</v>
      </c>
      <c r="G423" s="61" t="s">
        <v>804</v>
      </c>
      <c r="H423" s="75">
        <v>5000</v>
      </c>
      <c r="I423" s="62" t="s">
        <v>97</v>
      </c>
      <c r="J423" s="61" t="s">
        <v>506</v>
      </c>
      <c r="K423" s="62">
        <v>483</v>
      </c>
      <c r="L423" s="61"/>
      <c r="M423" s="64">
        <v>44118</v>
      </c>
      <c r="N423" s="61" t="s">
        <v>996</v>
      </c>
      <c r="O423" s="61"/>
      <c r="P423" s="61">
        <f t="shared" si="18"/>
        <v>10</v>
      </c>
      <c r="Q423" s="61">
        <f t="shared" si="19"/>
        <v>2020</v>
      </c>
      <c r="R423" s="100">
        <f t="shared" si="20"/>
        <v>5</v>
      </c>
    </row>
    <row r="424" spans="1:18" x14ac:dyDescent="0.2">
      <c r="A424" s="69">
        <v>44103</v>
      </c>
      <c r="B424" s="61" t="s">
        <v>42</v>
      </c>
      <c r="C424" s="61" t="s">
        <v>18</v>
      </c>
      <c r="D424" s="73">
        <v>44113</v>
      </c>
      <c r="E424" s="61" t="s">
        <v>47</v>
      </c>
      <c r="F424" s="61">
        <v>79909355</v>
      </c>
      <c r="G424" s="61" t="s">
        <v>804</v>
      </c>
      <c r="H424" s="75">
        <v>5000</v>
      </c>
      <c r="I424" s="62" t="s">
        <v>49</v>
      </c>
      <c r="J424" s="61" t="s">
        <v>506</v>
      </c>
      <c r="K424" s="62">
        <v>484</v>
      </c>
      <c r="L424" s="61"/>
      <c r="M424" s="61"/>
      <c r="N424" s="61"/>
      <c r="O424" s="61"/>
      <c r="P424" s="61">
        <f t="shared" si="18"/>
        <v>10</v>
      </c>
      <c r="Q424" s="61">
        <f t="shared" si="19"/>
        <v>2020</v>
      </c>
      <c r="R424" s="100">
        <f t="shared" si="20"/>
        <v>9</v>
      </c>
    </row>
    <row r="425" spans="1:18" x14ac:dyDescent="0.2">
      <c r="A425" s="69">
        <v>44103</v>
      </c>
      <c r="B425" s="61" t="s">
        <v>42</v>
      </c>
      <c r="C425" s="61" t="s">
        <v>18</v>
      </c>
      <c r="D425" s="73">
        <v>44120</v>
      </c>
      <c r="E425" s="61" t="s">
        <v>47</v>
      </c>
      <c r="F425" s="61">
        <v>79909356</v>
      </c>
      <c r="G425" s="61" t="s">
        <v>804</v>
      </c>
      <c r="H425" s="75">
        <v>12000</v>
      </c>
      <c r="I425" s="62" t="s">
        <v>49</v>
      </c>
      <c r="J425" s="61" t="s">
        <v>506</v>
      </c>
      <c r="K425" s="62">
        <v>485</v>
      </c>
      <c r="L425" s="61"/>
      <c r="M425" s="64">
        <v>44140</v>
      </c>
      <c r="N425" s="61"/>
      <c r="O425" s="61"/>
      <c r="P425" s="61">
        <f t="shared" si="18"/>
        <v>10</v>
      </c>
      <c r="Q425" s="61">
        <f t="shared" si="19"/>
        <v>2020</v>
      </c>
      <c r="R425" s="100">
        <f t="shared" si="20"/>
        <v>16</v>
      </c>
    </row>
    <row r="426" spans="1:18" x14ac:dyDescent="0.2">
      <c r="A426" s="69">
        <v>44104</v>
      </c>
      <c r="B426" s="61" t="s">
        <v>212</v>
      </c>
      <c r="C426" s="61" t="s">
        <v>18</v>
      </c>
      <c r="D426" s="73">
        <v>44098</v>
      </c>
      <c r="E426" s="61" t="s">
        <v>185</v>
      </c>
      <c r="F426" s="61">
        <v>537143</v>
      </c>
      <c r="G426" s="61" t="s">
        <v>898</v>
      </c>
      <c r="H426" s="75">
        <v>12596</v>
      </c>
      <c r="I426" s="62" t="s">
        <v>49</v>
      </c>
      <c r="J426" s="61" t="s">
        <v>211</v>
      </c>
      <c r="K426" s="62">
        <v>486</v>
      </c>
      <c r="L426" s="61"/>
      <c r="M426" s="64">
        <v>44104</v>
      </c>
      <c r="N426" s="61"/>
      <c r="O426" s="61"/>
      <c r="P426" s="61">
        <f t="shared" si="18"/>
        <v>9</v>
      </c>
      <c r="Q426" s="61">
        <f t="shared" si="19"/>
        <v>2020</v>
      </c>
      <c r="R426" s="100">
        <f t="shared" si="20"/>
        <v>24</v>
      </c>
    </row>
    <row r="427" spans="1:18" x14ac:dyDescent="0.2">
      <c r="A427" s="69">
        <v>44104</v>
      </c>
      <c r="B427" s="61" t="s">
        <v>212</v>
      </c>
      <c r="C427" s="61" t="s">
        <v>18</v>
      </c>
      <c r="D427" s="73">
        <v>44120</v>
      </c>
      <c r="E427" s="61" t="s">
        <v>123</v>
      </c>
      <c r="F427" s="61">
        <v>62198453</v>
      </c>
      <c r="G427" s="61" t="s">
        <v>192</v>
      </c>
      <c r="H427" s="75">
        <v>8000</v>
      </c>
      <c r="I427" s="62" t="s">
        <v>97</v>
      </c>
      <c r="J427" s="61" t="s">
        <v>193</v>
      </c>
      <c r="K427" s="62">
        <v>487</v>
      </c>
      <c r="L427" s="61"/>
      <c r="M427" s="64">
        <v>44144</v>
      </c>
      <c r="N427" s="61" t="s">
        <v>139</v>
      </c>
      <c r="O427" s="61"/>
      <c r="P427" s="61">
        <f t="shared" si="18"/>
        <v>10</v>
      </c>
      <c r="Q427" s="61">
        <f t="shared" si="19"/>
        <v>2020</v>
      </c>
      <c r="R427" s="100">
        <f t="shared" si="20"/>
        <v>16</v>
      </c>
    </row>
    <row r="428" spans="1:18" x14ac:dyDescent="0.2">
      <c r="A428" s="69">
        <v>44104</v>
      </c>
      <c r="B428" s="61" t="s">
        <v>212</v>
      </c>
      <c r="C428" s="61" t="s">
        <v>18</v>
      </c>
      <c r="D428" s="73">
        <v>44130</v>
      </c>
      <c r="E428" s="61" t="s">
        <v>123</v>
      </c>
      <c r="F428" s="61">
        <v>62198454</v>
      </c>
      <c r="G428" s="61" t="s">
        <v>192</v>
      </c>
      <c r="H428" s="75">
        <v>8240</v>
      </c>
      <c r="I428" s="62" t="s">
        <v>97</v>
      </c>
      <c r="J428" s="61" t="s">
        <v>193</v>
      </c>
      <c r="K428" s="62">
        <v>488</v>
      </c>
      <c r="L428" s="61"/>
      <c r="M428" s="64">
        <v>44140</v>
      </c>
      <c r="N428" s="61" t="s">
        <v>139</v>
      </c>
      <c r="O428" s="61"/>
      <c r="P428" s="61">
        <f t="shared" si="18"/>
        <v>10</v>
      </c>
      <c r="Q428" s="61">
        <f t="shared" si="19"/>
        <v>2020</v>
      </c>
      <c r="R428" s="100">
        <f t="shared" si="20"/>
        <v>26</v>
      </c>
    </row>
    <row r="429" spans="1:18" x14ac:dyDescent="0.2">
      <c r="A429" s="69">
        <v>44105</v>
      </c>
      <c r="B429" s="61" t="s">
        <v>835</v>
      </c>
      <c r="C429" s="61" t="s">
        <v>18</v>
      </c>
      <c r="D429" s="73">
        <v>44065</v>
      </c>
      <c r="E429" s="61" t="s">
        <v>79</v>
      </c>
      <c r="F429" s="61">
        <v>61363645</v>
      </c>
      <c r="G429" s="61" t="s">
        <v>80</v>
      </c>
      <c r="H429" s="75">
        <v>15000</v>
      </c>
      <c r="I429" s="62" t="s">
        <v>97</v>
      </c>
      <c r="J429" s="61" t="s">
        <v>81</v>
      </c>
      <c r="K429" s="62">
        <v>489</v>
      </c>
      <c r="L429" s="61"/>
      <c r="M429" s="64">
        <v>44105</v>
      </c>
      <c r="N429" s="61" t="s">
        <v>139</v>
      </c>
      <c r="O429" s="61"/>
      <c r="P429" s="61">
        <f t="shared" si="18"/>
        <v>8</v>
      </c>
      <c r="Q429" s="61">
        <f t="shared" si="19"/>
        <v>2020</v>
      </c>
      <c r="R429" s="100">
        <f t="shared" si="20"/>
        <v>22</v>
      </c>
    </row>
    <row r="430" spans="1:18" x14ac:dyDescent="0.2">
      <c r="A430" s="69">
        <v>44105</v>
      </c>
      <c r="B430" s="61" t="s">
        <v>835</v>
      </c>
      <c r="C430" s="61" t="s">
        <v>18</v>
      </c>
      <c r="D430" s="73">
        <v>44065</v>
      </c>
      <c r="E430" s="61" t="s">
        <v>57</v>
      </c>
      <c r="F430" s="61">
        <v>45577</v>
      </c>
      <c r="G430" s="61" t="s">
        <v>864</v>
      </c>
      <c r="H430" s="75">
        <v>15000</v>
      </c>
      <c r="I430" s="62" t="s">
        <v>97</v>
      </c>
      <c r="J430" s="61" t="s">
        <v>865</v>
      </c>
      <c r="K430" s="62">
        <v>490</v>
      </c>
      <c r="L430" s="61"/>
      <c r="M430" s="64">
        <v>44105</v>
      </c>
      <c r="N430" s="61" t="s">
        <v>139</v>
      </c>
      <c r="O430" s="61"/>
      <c r="P430" s="61">
        <f t="shared" si="18"/>
        <v>8</v>
      </c>
      <c r="Q430" s="61">
        <f t="shared" si="19"/>
        <v>2020</v>
      </c>
      <c r="R430" s="100">
        <f t="shared" si="20"/>
        <v>22</v>
      </c>
    </row>
    <row r="431" spans="1:18" x14ac:dyDescent="0.2">
      <c r="A431" s="69">
        <v>44105</v>
      </c>
      <c r="B431" s="61" t="s">
        <v>835</v>
      </c>
      <c r="C431" s="61" t="s">
        <v>18</v>
      </c>
      <c r="D431" s="73">
        <v>44066</v>
      </c>
      <c r="E431" s="61" t="s">
        <v>53</v>
      </c>
      <c r="F431" s="61">
        <v>15301193</v>
      </c>
      <c r="G431" s="61" t="s">
        <v>54</v>
      </c>
      <c r="H431" s="75">
        <v>5000</v>
      </c>
      <c r="I431" s="62" t="s">
        <v>1070</v>
      </c>
      <c r="J431" s="61" t="s">
        <v>55</v>
      </c>
      <c r="K431" s="62">
        <v>491</v>
      </c>
      <c r="L431" s="61"/>
      <c r="M431" s="64">
        <v>44105</v>
      </c>
      <c r="N431" s="61" t="s">
        <v>139</v>
      </c>
      <c r="O431" s="61"/>
      <c r="P431" s="61">
        <f t="shared" si="18"/>
        <v>8</v>
      </c>
      <c r="Q431" s="61">
        <f t="shared" si="19"/>
        <v>2020</v>
      </c>
      <c r="R431" s="100">
        <f t="shared" si="20"/>
        <v>23</v>
      </c>
    </row>
    <row r="432" spans="1:18" x14ac:dyDescent="0.2">
      <c r="A432" s="69">
        <v>44105</v>
      </c>
      <c r="B432" s="61" t="s">
        <v>835</v>
      </c>
      <c r="C432" s="61" t="s">
        <v>18</v>
      </c>
      <c r="D432" s="73">
        <v>44067</v>
      </c>
      <c r="E432" s="61" t="s">
        <v>849</v>
      </c>
      <c r="F432" s="61">
        <v>82977591</v>
      </c>
      <c r="G432" s="61" t="s">
        <v>899</v>
      </c>
      <c r="H432" s="75">
        <v>12454.62</v>
      </c>
      <c r="I432" s="62" t="s">
        <v>97</v>
      </c>
      <c r="J432" s="61" t="s">
        <v>900</v>
      </c>
      <c r="K432" s="62">
        <v>492</v>
      </c>
      <c r="L432" s="61"/>
      <c r="M432" s="64">
        <v>44105</v>
      </c>
      <c r="N432" s="61" t="s">
        <v>139</v>
      </c>
      <c r="O432" s="61"/>
      <c r="P432" s="61">
        <f t="shared" si="18"/>
        <v>8</v>
      </c>
      <c r="Q432" s="61">
        <f t="shared" si="19"/>
        <v>2020</v>
      </c>
      <c r="R432" s="100">
        <f t="shared" si="20"/>
        <v>24</v>
      </c>
    </row>
    <row r="433" spans="1:18" x14ac:dyDescent="0.2">
      <c r="A433" s="69">
        <v>44105</v>
      </c>
      <c r="B433" s="61" t="s">
        <v>835</v>
      </c>
      <c r="C433" s="61" t="s">
        <v>18</v>
      </c>
      <c r="D433" s="73">
        <v>44068</v>
      </c>
      <c r="E433" s="61" t="s">
        <v>491</v>
      </c>
      <c r="F433" s="61">
        <v>24559540</v>
      </c>
      <c r="G433" s="61" t="s">
        <v>901</v>
      </c>
      <c r="H433" s="75">
        <v>20000</v>
      </c>
      <c r="I433" s="62" t="s">
        <v>97</v>
      </c>
      <c r="J433" s="61" t="s">
        <v>902</v>
      </c>
      <c r="K433" s="62">
        <v>493</v>
      </c>
      <c r="L433" s="61"/>
      <c r="M433" s="64">
        <v>44105</v>
      </c>
      <c r="N433" s="61" t="s">
        <v>139</v>
      </c>
      <c r="O433" s="61"/>
      <c r="P433" s="61">
        <f t="shared" si="18"/>
        <v>8</v>
      </c>
      <c r="Q433" s="61">
        <f t="shared" si="19"/>
        <v>2020</v>
      </c>
      <c r="R433" s="100">
        <f t="shared" si="20"/>
        <v>25</v>
      </c>
    </row>
    <row r="434" spans="1:18" x14ac:dyDescent="0.2">
      <c r="A434" s="69">
        <v>44105</v>
      </c>
      <c r="B434" s="61" t="s">
        <v>835</v>
      </c>
      <c r="C434" s="61" t="s">
        <v>18</v>
      </c>
      <c r="D434" s="73">
        <v>44068</v>
      </c>
      <c r="E434" s="61" t="s">
        <v>43</v>
      </c>
      <c r="F434" s="61">
        <v>17142705</v>
      </c>
      <c r="G434" s="61" t="s">
        <v>903</v>
      </c>
      <c r="H434" s="75">
        <v>27588.43</v>
      </c>
      <c r="I434" s="62" t="s">
        <v>97</v>
      </c>
      <c r="J434" s="61" t="s">
        <v>904</v>
      </c>
      <c r="K434" s="62">
        <v>494</v>
      </c>
      <c r="L434" s="61"/>
      <c r="M434" s="64">
        <v>44105</v>
      </c>
      <c r="N434" s="61" t="s">
        <v>139</v>
      </c>
      <c r="O434" s="61"/>
      <c r="P434" s="61">
        <f t="shared" si="18"/>
        <v>8</v>
      </c>
      <c r="Q434" s="61">
        <f t="shared" si="19"/>
        <v>2020</v>
      </c>
      <c r="R434" s="100">
        <f t="shared" si="20"/>
        <v>25</v>
      </c>
    </row>
    <row r="435" spans="1:18" x14ac:dyDescent="0.2">
      <c r="A435" s="69">
        <v>44105</v>
      </c>
      <c r="B435" s="61" t="s">
        <v>835</v>
      </c>
      <c r="C435" s="61" t="s">
        <v>18</v>
      </c>
      <c r="D435" s="73">
        <v>44069</v>
      </c>
      <c r="E435" s="61" t="s">
        <v>53</v>
      </c>
      <c r="F435" s="61">
        <v>15301194</v>
      </c>
      <c r="G435" s="61" t="s">
        <v>54</v>
      </c>
      <c r="H435" s="75">
        <v>5000</v>
      </c>
      <c r="I435" s="62" t="s">
        <v>1070</v>
      </c>
      <c r="J435" s="61" t="s">
        <v>55</v>
      </c>
      <c r="K435" s="62">
        <v>495</v>
      </c>
      <c r="L435" s="61"/>
      <c r="M435" s="64">
        <v>44105</v>
      </c>
      <c r="N435" s="61" t="s">
        <v>139</v>
      </c>
      <c r="O435" s="61"/>
      <c r="P435" s="61">
        <f t="shared" si="18"/>
        <v>8</v>
      </c>
      <c r="Q435" s="61">
        <f t="shared" si="19"/>
        <v>2020</v>
      </c>
      <c r="R435" s="100">
        <f t="shared" si="20"/>
        <v>26</v>
      </c>
    </row>
    <row r="436" spans="1:18" x14ac:dyDescent="0.2">
      <c r="A436" s="69">
        <v>44105</v>
      </c>
      <c r="B436" s="61" t="s">
        <v>835</v>
      </c>
      <c r="C436" s="61" t="s">
        <v>18</v>
      </c>
      <c r="D436" s="73">
        <v>44070</v>
      </c>
      <c r="E436" s="61" t="s">
        <v>57</v>
      </c>
      <c r="F436" s="61">
        <v>473115</v>
      </c>
      <c r="G436" s="61" t="s">
        <v>118</v>
      </c>
      <c r="H436" s="75">
        <v>30000</v>
      </c>
      <c r="I436" s="62" t="s">
        <v>97</v>
      </c>
      <c r="J436" s="61" t="s">
        <v>119</v>
      </c>
      <c r="K436" s="62">
        <v>496</v>
      </c>
      <c r="L436" s="61"/>
      <c r="M436" s="64">
        <v>44105</v>
      </c>
      <c r="N436" s="61" t="s">
        <v>139</v>
      </c>
      <c r="O436" s="61"/>
      <c r="P436" s="61">
        <f t="shared" si="18"/>
        <v>8</v>
      </c>
      <c r="Q436" s="61">
        <f t="shared" si="19"/>
        <v>2020</v>
      </c>
      <c r="R436" s="100">
        <f t="shared" si="20"/>
        <v>27</v>
      </c>
    </row>
    <row r="437" spans="1:18" x14ac:dyDescent="0.2">
      <c r="A437" s="69">
        <v>44105</v>
      </c>
      <c r="B437" s="61" t="s">
        <v>835</v>
      </c>
      <c r="C437" s="61" t="s">
        <v>18</v>
      </c>
      <c r="D437" s="73">
        <v>44071</v>
      </c>
      <c r="E437" s="61" t="s">
        <v>57</v>
      </c>
      <c r="F437" s="61">
        <v>157</v>
      </c>
      <c r="G437" s="61" t="s">
        <v>905</v>
      </c>
      <c r="H437" s="75">
        <v>20000</v>
      </c>
      <c r="I437" s="62" t="s">
        <v>97</v>
      </c>
      <c r="J437" s="61" t="s">
        <v>906</v>
      </c>
      <c r="K437" s="62">
        <v>497</v>
      </c>
      <c r="L437" s="61"/>
      <c r="M437" s="64">
        <v>44105</v>
      </c>
      <c r="N437" s="61" t="s">
        <v>139</v>
      </c>
      <c r="O437" s="61"/>
      <c r="P437" s="61">
        <f t="shared" si="18"/>
        <v>8</v>
      </c>
      <c r="Q437" s="61">
        <f t="shared" si="19"/>
        <v>2020</v>
      </c>
      <c r="R437" s="100">
        <f t="shared" si="20"/>
        <v>28</v>
      </c>
    </row>
    <row r="438" spans="1:18" x14ac:dyDescent="0.2">
      <c r="A438" s="69">
        <v>44105</v>
      </c>
      <c r="B438" s="61" t="s">
        <v>835</v>
      </c>
      <c r="C438" s="61" t="s">
        <v>18</v>
      </c>
      <c r="D438" s="73">
        <v>44072</v>
      </c>
      <c r="E438" s="61" t="s">
        <v>53</v>
      </c>
      <c r="F438" s="61">
        <v>15301195</v>
      </c>
      <c r="G438" s="61" t="s">
        <v>54</v>
      </c>
      <c r="H438" s="75">
        <v>5000</v>
      </c>
      <c r="I438" s="62" t="s">
        <v>97</v>
      </c>
      <c r="J438" s="61" t="s">
        <v>55</v>
      </c>
      <c r="K438" s="62">
        <v>498</v>
      </c>
      <c r="L438" s="61"/>
      <c r="M438" s="64">
        <v>44105</v>
      </c>
      <c r="N438" s="61" t="s">
        <v>139</v>
      </c>
      <c r="O438" s="61"/>
      <c r="P438" s="61">
        <f t="shared" si="18"/>
        <v>8</v>
      </c>
      <c r="Q438" s="61">
        <f t="shared" si="19"/>
        <v>2020</v>
      </c>
      <c r="R438" s="100">
        <f t="shared" si="20"/>
        <v>29</v>
      </c>
    </row>
    <row r="439" spans="1:18" x14ac:dyDescent="0.2">
      <c r="A439" s="69">
        <v>44105</v>
      </c>
      <c r="B439" s="61" t="s">
        <v>835</v>
      </c>
      <c r="C439" s="61" t="s">
        <v>18</v>
      </c>
      <c r="D439" s="73">
        <v>44073</v>
      </c>
      <c r="E439" s="61" t="s">
        <v>57</v>
      </c>
      <c r="F439" s="61">
        <v>869</v>
      </c>
      <c r="G439" s="61" t="s">
        <v>84</v>
      </c>
      <c r="H439" s="75">
        <v>15000</v>
      </c>
      <c r="I439" s="62" t="s">
        <v>97</v>
      </c>
      <c r="J439" s="61" t="s">
        <v>85</v>
      </c>
      <c r="K439" s="62">
        <v>499</v>
      </c>
      <c r="L439" s="61"/>
      <c r="M439" s="64">
        <v>44105</v>
      </c>
      <c r="N439" s="61" t="s">
        <v>139</v>
      </c>
      <c r="O439" s="61"/>
      <c r="P439" s="61">
        <f t="shared" si="18"/>
        <v>8</v>
      </c>
      <c r="Q439" s="61">
        <f t="shared" si="19"/>
        <v>2020</v>
      </c>
      <c r="R439" s="100">
        <f t="shared" si="20"/>
        <v>30</v>
      </c>
    </row>
    <row r="440" spans="1:18" x14ac:dyDescent="0.2">
      <c r="A440" s="69">
        <v>44105</v>
      </c>
      <c r="B440" s="61" t="s">
        <v>835</v>
      </c>
      <c r="C440" s="61" t="s">
        <v>18</v>
      </c>
      <c r="D440" s="73">
        <v>44073</v>
      </c>
      <c r="E440" s="61" t="s">
        <v>849</v>
      </c>
      <c r="F440" s="61">
        <v>832555340</v>
      </c>
      <c r="G440" s="61" t="s">
        <v>850</v>
      </c>
      <c r="H440" s="75">
        <v>18000</v>
      </c>
      <c r="I440" s="62" t="s">
        <v>97</v>
      </c>
      <c r="J440" s="61" t="s">
        <v>851</v>
      </c>
      <c r="K440" s="62">
        <v>500</v>
      </c>
      <c r="L440" s="61"/>
      <c r="M440" s="64">
        <v>44105</v>
      </c>
      <c r="N440" s="61" t="s">
        <v>139</v>
      </c>
      <c r="O440" s="61"/>
      <c r="P440" s="61">
        <f t="shared" si="18"/>
        <v>8</v>
      </c>
      <c r="Q440" s="61">
        <f t="shared" si="19"/>
        <v>2020</v>
      </c>
      <c r="R440" s="100">
        <f t="shared" si="20"/>
        <v>30</v>
      </c>
    </row>
    <row r="441" spans="1:18" x14ac:dyDescent="0.2">
      <c r="A441" s="69">
        <v>44105</v>
      </c>
      <c r="B441" s="61" t="s">
        <v>835</v>
      </c>
      <c r="C441" s="61" t="s">
        <v>18</v>
      </c>
      <c r="D441" s="73">
        <v>44073</v>
      </c>
      <c r="E441" s="61" t="s">
        <v>57</v>
      </c>
      <c r="F441" s="61">
        <v>5910406</v>
      </c>
      <c r="G441" s="61" t="s">
        <v>907</v>
      </c>
      <c r="H441" s="75">
        <v>21711</v>
      </c>
      <c r="I441" s="62" t="s">
        <v>97</v>
      </c>
      <c r="J441" s="61" t="s">
        <v>908</v>
      </c>
      <c r="K441" s="62">
        <v>501</v>
      </c>
      <c r="L441" s="61"/>
      <c r="M441" s="64">
        <v>44105</v>
      </c>
      <c r="N441" s="61" t="s">
        <v>139</v>
      </c>
      <c r="O441" s="61"/>
      <c r="P441" s="61">
        <f t="shared" si="18"/>
        <v>8</v>
      </c>
      <c r="Q441" s="61">
        <f t="shared" si="19"/>
        <v>2020</v>
      </c>
      <c r="R441" s="100">
        <f t="shared" si="20"/>
        <v>30</v>
      </c>
    </row>
    <row r="442" spans="1:18" x14ac:dyDescent="0.2">
      <c r="A442" s="69">
        <v>44105</v>
      </c>
      <c r="B442" s="61" t="s">
        <v>835</v>
      </c>
      <c r="C442" s="61" t="s">
        <v>18</v>
      </c>
      <c r="D442" s="73">
        <v>44073</v>
      </c>
      <c r="E442" s="61" t="s">
        <v>491</v>
      </c>
      <c r="F442" s="61">
        <v>27680352</v>
      </c>
      <c r="G442" s="61" t="s">
        <v>909</v>
      </c>
      <c r="H442" s="75">
        <v>10000</v>
      </c>
      <c r="I442" s="62" t="s">
        <v>97</v>
      </c>
      <c r="J442" s="61" t="s">
        <v>910</v>
      </c>
      <c r="K442" s="62">
        <v>502</v>
      </c>
      <c r="L442" s="61"/>
      <c r="M442" s="64">
        <v>44105</v>
      </c>
      <c r="N442" s="61" t="s">
        <v>94</v>
      </c>
      <c r="O442" s="61"/>
      <c r="P442" s="61">
        <f t="shared" si="18"/>
        <v>8</v>
      </c>
      <c r="Q442" s="61">
        <f t="shared" si="19"/>
        <v>2020</v>
      </c>
      <c r="R442" s="100">
        <f t="shared" si="20"/>
        <v>30</v>
      </c>
    </row>
    <row r="443" spans="1:18" x14ac:dyDescent="0.2">
      <c r="A443" s="69">
        <v>44105</v>
      </c>
      <c r="B443" s="61" t="s">
        <v>835</v>
      </c>
      <c r="C443" s="61" t="s">
        <v>18</v>
      </c>
      <c r="D443" s="73">
        <v>44073</v>
      </c>
      <c r="E443" s="61" t="s">
        <v>53</v>
      </c>
      <c r="F443" s="61">
        <v>70400226</v>
      </c>
      <c r="G443" s="61" t="s">
        <v>320</v>
      </c>
      <c r="H443" s="75">
        <v>10000</v>
      </c>
      <c r="I443" s="62" t="s">
        <v>97</v>
      </c>
      <c r="J443" s="61" t="s">
        <v>293</v>
      </c>
      <c r="K443" s="62">
        <v>503</v>
      </c>
      <c r="L443" s="61"/>
      <c r="M443" s="64">
        <v>44105</v>
      </c>
      <c r="N443" s="61" t="s">
        <v>94</v>
      </c>
      <c r="O443" s="61"/>
      <c r="P443" s="61">
        <f t="shared" si="18"/>
        <v>8</v>
      </c>
      <c r="Q443" s="61">
        <f t="shared" si="19"/>
        <v>2020</v>
      </c>
      <c r="R443" s="100">
        <f t="shared" si="20"/>
        <v>30</v>
      </c>
    </row>
    <row r="444" spans="1:18" x14ac:dyDescent="0.2">
      <c r="A444" s="69">
        <v>44105</v>
      </c>
      <c r="B444" s="61" t="s">
        <v>835</v>
      </c>
      <c r="C444" s="61" t="s">
        <v>18</v>
      </c>
      <c r="D444" s="73">
        <v>44073</v>
      </c>
      <c r="E444" s="61" t="s">
        <v>170</v>
      </c>
      <c r="F444" s="61">
        <v>92316766</v>
      </c>
      <c r="G444" s="61" t="s">
        <v>911</v>
      </c>
      <c r="H444" s="75">
        <v>15000</v>
      </c>
      <c r="I444" s="62" t="s">
        <v>97</v>
      </c>
      <c r="J444" s="61" t="s">
        <v>912</v>
      </c>
      <c r="K444" s="62">
        <v>504</v>
      </c>
      <c r="L444" s="61"/>
      <c r="M444" s="64">
        <v>44105</v>
      </c>
      <c r="N444" s="61" t="s">
        <v>94</v>
      </c>
      <c r="O444" s="61"/>
      <c r="P444" s="61">
        <f t="shared" si="18"/>
        <v>8</v>
      </c>
      <c r="Q444" s="61">
        <f t="shared" si="19"/>
        <v>2020</v>
      </c>
      <c r="R444" s="100">
        <f t="shared" si="20"/>
        <v>30</v>
      </c>
    </row>
    <row r="445" spans="1:18" x14ac:dyDescent="0.2">
      <c r="A445" s="69">
        <v>44105</v>
      </c>
      <c r="B445" s="61" t="s">
        <v>835</v>
      </c>
      <c r="C445" s="61" t="s">
        <v>18</v>
      </c>
      <c r="D445" s="73">
        <v>44074</v>
      </c>
      <c r="E445" s="61" t="s">
        <v>53</v>
      </c>
      <c r="F445" s="61">
        <v>510</v>
      </c>
      <c r="G445" s="61" t="s">
        <v>913</v>
      </c>
      <c r="H445" s="75">
        <v>10000</v>
      </c>
      <c r="I445" s="62" t="s">
        <v>97</v>
      </c>
      <c r="J445" s="61" t="s">
        <v>914</v>
      </c>
      <c r="K445" s="62">
        <v>505</v>
      </c>
      <c r="L445" s="61"/>
      <c r="M445" s="64">
        <v>44105</v>
      </c>
      <c r="N445" s="61" t="s">
        <v>94</v>
      </c>
      <c r="O445" s="61"/>
      <c r="P445" s="61">
        <f t="shared" si="18"/>
        <v>8</v>
      </c>
      <c r="Q445" s="61">
        <f t="shared" si="19"/>
        <v>2020</v>
      </c>
      <c r="R445" s="100">
        <f t="shared" si="20"/>
        <v>31</v>
      </c>
    </row>
    <row r="446" spans="1:18" x14ac:dyDescent="0.2">
      <c r="A446" s="69">
        <v>44105</v>
      </c>
      <c r="B446" s="61" t="s">
        <v>835</v>
      </c>
      <c r="C446" s="61" t="s">
        <v>18</v>
      </c>
      <c r="D446" s="73">
        <v>44074</v>
      </c>
      <c r="E446" s="61" t="s">
        <v>53</v>
      </c>
      <c r="F446" s="61">
        <v>15301196</v>
      </c>
      <c r="G446" s="61" t="s">
        <v>54</v>
      </c>
      <c r="H446" s="75">
        <v>5000</v>
      </c>
      <c r="I446" s="62" t="s">
        <v>97</v>
      </c>
      <c r="J446" s="61" t="s">
        <v>55</v>
      </c>
      <c r="K446" s="62">
        <v>506</v>
      </c>
      <c r="L446" s="61"/>
      <c r="M446" s="64">
        <v>44105</v>
      </c>
      <c r="N446" s="61" t="s">
        <v>94</v>
      </c>
      <c r="O446" s="61"/>
      <c r="P446" s="61">
        <f t="shared" si="18"/>
        <v>8</v>
      </c>
      <c r="Q446" s="61">
        <f t="shared" si="19"/>
        <v>2020</v>
      </c>
      <c r="R446" s="100">
        <f t="shared" si="20"/>
        <v>31</v>
      </c>
    </row>
    <row r="447" spans="1:18" x14ac:dyDescent="0.2">
      <c r="A447" s="69">
        <v>44105</v>
      </c>
      <c r="B447" s="61" t="s">
        <v>835</v>
      </c>
      <c r="C447" s="61" t="s">
        <v>18</v>
      </c>
      <c r="D447" s="73">
        <v>44074</v>
      </c>
      <c r="E447" s="61" t="s">
        <v>57</v>
      </c>
      <c r="F447" s="61">
        <v>158</v>
      </c>
      <c r="G447" s="61" t="s">
        <v>905</v>
      </c>
      <c r="H447" s="75">
        <v>20000</v>
      </c>
      <c r="I447" s="62" t="s">
        <v>97</v>
      </c>
      <c r="J447" s="61" t="s">
        <v>906</v>
      </c>
      <c r="K447" s="62">
        <v>507</v>
      </c>
      <c r="L447" s="61"/>
      <c r="M447" s="64">
        <v>44105</v>
      </c>
      <c r="N447" s="61" t="s">
        <v>94</v>
      </c>
      <c r="O447" s="61"/>
      <c r="P447" s="61">
        <f t="shared" si="18"/>
        <v>8</v>
      </c>
      <c r="Q447" s="61">
        <f t="shared" si="19"/>
        <v>2020</v>
      </c>
      <c r="R447" s="100">
        <f t="shared" si="20"/>
        <v>31</v>
      </c>
    </row>
    <row r="448" spans="1:18" x14ac:dyDescent="0.2">
      <c r="A448" s="69">
        <v>44105</v>
      </c>
      <c r="B448" s="61" t="s">
        <v>835</v>
      </c>
      <c r="C448" s="61" t="s">
        <v>18</v>
      </c>
      <c r="D448" s="73">
        <v>44074</v>
      </c>
      <c r="E448" s="61" t="s">
        <v>43</v>
      </c>
      <c r="F448" s="61">
        <v>18465860</v>
      </c>
      <c r="G448" s="61" t="s">
        <v>915</v>
      </c>
      <c r="H448" s="75">
        <v>8179</v>
      </c>
      <c r="I448" s="62" t="s">
        <v>97</v>
      </c>
      <c r="J448" s="61" t="s">
        <v>916</v>
      </c>
      <c r="K448" s="62">
        <v>508</v>
      </c>
      <c r="L448" s="61"/>
      <c r="M448" s="64">
        <v>44105</v>
      </c>
      <c r="N448" s="61" t="s">
        <v>934</v>
      </c>
      <c r="O448" s="61"/>
      <c r="P448" s="61">
        <f t="shared" si="18"/>
        <v>8</v>
      </c>
      <c r="Q448" s="61">
        <f t="shared" si="19"/>
        <v>2020</v>
      </c>
      <c r="R448" s="100">
        <f t="shared" si="20"/>
        <v>31</v>
      </c>
    </row>
    <row r="449" spans="1:18" x14ac:dyDescent="0.2">
      <c r="A449" s="69">
        <v>44105</v>
      </c>
      <c r="B449" s="61" t="s">
        <v>835</v>
      </c>
      <c r="C449" s="61" t="s">
        <v>18</v>
      </c>
      <c r="D449" s="73">
        <v>44079</v>
      </c>
      <c r="E449" s="61" t="s">
        <v>312</v>
      </c>
      <c r="F449" s="61">
        <v>7703292</v>
      </c>
      <c r="G449" s="61" t="s">
        <v>313</v>
      </c>
      <c r="H449" s="75">
        <v>23241</v>
      </c>
      <c r="I449" s="62" t="s">
        <v>97</v>
      </c>
      <c r="J449" s="61" t="s">
        <v>314</v>
      </c>
      <c r="K449" s="62">
        <v>509</v>
      </c>
      <c r="L449" s="61"/>
      <c r="M449" s="64">
        <v>44105</v>
      </c>
      <c r="N449" s="61" t="s">
        <v>23</v>
      </c>
      <c r="O449" s="61"/>
      <c r="P449" s="61">
        <f t="shared" si="18"/>
        <v>9</v>
      </c>
      <c r="Q449" s="61">
        <f t="shared" si="19"/>
        <v>2020</v>
      </c>
      <c r="R449" s="100">
        <f t="shared" si="20"/>
        <v>5</v>
      </c>
    </row>
    <row r="450" spans="1:18" x14ac:dyDescent="0.2">
      <c r="A450" s="69">
        <v>44105</v>
      </c>
      <c r="B450" s="61" t="s">
        <v>835</v>
      </c>
      <c r="C450" s="61" t="s">
        <v>18</v>
      </c>
      <c r="D450" s="73">
        <v>44080</v>
      </c>
      <c r="E450" s="61" t="s">
        <v>53</v>
      </c>
      <c r="F450" s="61">
        <v>239</v>
      </c>
      <c r="G450" s="61" t="s">
        <v>306</v>
      </c>
      <c r="H450" s="75">
        <v>11927</v>
      </c>
      <c r="I450" s="62" t="s">
        <v>97</v>
      </c>
      <c r="J450" s="61" t="s">
        <v>307</v>
      </c>
      <c r="K450" s="62">
        <v>510</v>
      </c>
      <c r="L450" s="61"/>
      <c r="M450" s="64">
        <v>44111</v>
      </c>
      <c r="N450" s="61" t="s">
        <v>934</v>
      </c>
      <c r="O450" s="61"/>
      <c r="P450" s="61">
        <f t="shared" ref="P450:P513" si="21">MONTH(D450)</f>
        <v>9</v>
      </c>
      <c r="Q450" s="61">
        <f t="shared" ref="Q450:Q513" si="22">YEAR(D450)</f>
        <v>2020</v>
      </c>
      <c r="R450" s="100">
        <f t="shared" si="20"/>
        <v>6</v>
      </c>
    </row>
    <row r="451" spans="1:18" x14ac:dyDescent="0.2">
      <c r="A451" s="69">
        <v>44105</v>
      </c>
      <c r="B451" s="61" t="s">
        <v>835</v>
      </c>
      <c r="C451" s="61" t="s">
        <v>18</v>
      </c>
      <c r="D451" s="73">
        <v>44080</v>
      </c>
      <c r="E451" s="61" t="s">
        <v>43</v>
      </c>
      <c r="F451" s="61">
        <v>17505358</v>
      </c>
      <c r="G451" s="61" t="s">
        <v>118</v>
      </c>
      <c r="H451" s="75">
        <v>19170.330000000002</v>
      </c>
      <c r="I451" s="62" t="s">
        <v>49</v>
      </c>
      <c r="J451" s="61" t="s">
        <v>119</v>
      </c>
      <c r="K451" s="62">
        <v>511</v>
      </c>
      <c r="L451" s="61"/>
      <c r="M451" s="64">
        <v>44113</v>
      </c>
      <c r="N451" s="61"/>
      <c r="O451" s="61"/>
      <c r="P451" s="61">
        <f t="shared" si="21"/>
        <v>9</v>
      </c>
      <c r="Q451" s="61">
        <f t="shared" si="22"/>
        <v>2020</v>
      </c>
      <c r="R451" s="100">
        <f t="shared" ref="R451:R514" si="23">DAY(D451)</f>
        <v>6</v>
      </c>
    </row>
    <row r="452" spans="1:18" x14ac:dyDescent="0.2">
      <c r="A452" s="69">
        <v>44105</v>
      </c>
      <c r="B452" s="61" t="s">
        <v>835</v>
      </c>
      <c r="C452" s="61" t="s">
        <v>18</v>
      </c>
      <c r="D452" s="73">
        <v>44080</v>
      </c>
      <c r="E452" s="61" t="s">
        <v>491</v>
      </c>
      <c r="F452" s="61">
        <v>27410058</v>
      </c>
      <c r="G452" s="61" t="s">
        <v>917</v>
      </c>
      <c r="H452" s="75">
        <v>47000</v>
      </c>
      <c r="I452" s="62" t="s">
        <v>295</v>
      </c>
      <c r="J452" s="61" t="s">
        <v>918</v>
      </c>
      <c r="K452" s="62">
        <v>512</v>
      </c>
      <c r="L452" s="61"/>
      <c r="M452" s="64">
        <v>44113</v>
      </c>
      <c r="N452" s="61"/>
      <c r="O452" s="61"/>
      <c r="P452" s="61">
        <f t="shared" si="21"/>
        <v>9</v>
      </c>
      <c r="Q452" s="61">
        <f t="shared" si="22"/>
        <v>2020</v>
      </c>
      <c r="R452" s="100">
        <f t="shared" si="23"/>
        <v>6</v>
      </c>
    </row>
    <row r="453" spans="1:18" x14ac:dyDescent="0.2">
      <c r="A453" s="69">
        <v>44105</v>
      </c>
      <c r="B453" s="61" t="s">
        <v>835</v>
      </c>
      <c r="C453" s="61" t="s">
        <v>18</v>
      </c>
      <c r="D453" s="73">
        <v>44082</v>
      </c>
      <c r="E453" s="61" t="s">
        <v>65</v>
      </c>
      <c r="F453" s="61">
        <v>40676284</v>
      </c>
      <c r="G453" s="61" t="s">
        <v>90</v>
      </c>
      <c r="H453" s="75">
        <v>8839.9500000000007</v>
      </c>
      <c r="I453" s="62" t="s">
        <v>49</v>
      </c>
      <c r="J453" s="61" t="s">
        <v>91</v>
      </c>
      <c r="K453" s="62">
        <v>513</v>
      </c>
      <c r="L453" s="61"/>
      <c r="M453" s="64">
        <v>44113</v>
      </c>
      <c r="N453" s="61"/>
      <c r="O453" s="61"/>
      <c r="P453" s="61">
        <f t="shared" si="21"/>
        <v>9</v>
      </c>
      <c r="Q453" s="61">
        <f t="shared" si="22"/>
        <v>2020</v>
      </c>
      <c r="R453" s="100">
        <f t="shared" si="23"/>
        <v>8</v>
      </c>
    </row>
    <row r="454" spans="1:18" x14ac:dyDescent="0.2">
      <c r="A454" s="69">
        <v>44105</v>
      </c>
      <c r="B454" s="61" t="s">
        <v>835</v>
      </c>
      <c r="C454" s="61" t="s">
        <v>18</v>
      </c>
      <c r="D454" s="73">
        <v>44082</v>
      </c>
      <c r="E454" s="61" t="s">
        <v>65</v>
      </c>
      <c r="F454" s="61">
        <v>40676283</v>
      </c>
      <c r="G454" s="61" t="s">
        <v>90</v>
      </c>
      <c r="H454" s="75">
        <v>10150.02</v>
      </c>
      <c r="I454" s="62" t="s">
        <v>97</v>
      </c>
      <c r="J454" s="61" t="s">
        <v>91</v>
      </c>
      <c r="K454" s="62">
        <v>514</v>
      </c>
      <c r="L454" s="61"/>
      <c r="M454" s="64">
        <v>44111</v>
      </c>
      <c r="N454" s="61" t="s">
        <v>934</v>
      </c>
      <c r="O454" s="61"/>
      <c r="P454" s="61">
        <f t="shared" si="21"/>
        <v>9</v>
      </c>
      <c r="Q454" s="61">
        <f t="shared" si="22"/>
        <v>2020</v>
      </c>
      <c r="R454" s="100">
        <f t="shared" si="23"/>
        <v>8</v>
      </c>
    </row>
    <row r="455" spans="1:18" x14ac:dyDescent="0.2">
      <c r="A455" s="69">
        <v>44105</v>
      </c>
      <c r="B455" s="61" t="s">
        <v>835</v>
      </c>
      <c r="C455" s="61" t="s">
        <v>18</v>
      </c>
      <c r="D455" s="73">
        <v>44082</v>
      </c>
      <c r="E455" s="61" t="s">
        <v>65</v>
      </c>
      <c r="F455" s="61">
        <v>40676282</v>
      </c>
      <c r="G455" s="61" t="s">
        <v>90</v>
      </c>
      <c r="H455" s="75">
        <v>17073.34</v>
      </c>
      <c r="I455" s="62" t="s">
        <v>49</v>
      </c>
      <c r="J455" s="61" t="s">
        <v>91</v>
      </c>
      <c r="K455" s="62">
        <v>515</v>
      </c>
      <c r="L455" s="61"/>
      <c r="M455" s="64">
        <v>44119</v>
      </c>
      <c r="N455" s="61"/>
      <c r="O455" s="61"/>
      <c r="P455" s="61">
        <f t="shared" si="21"/>
        <v>9</v>
      </c>
      <c r="Q455" s="61">
        <f t="shared" si="22"/>
        <v>2020</v>
      </c>
      <c r="R455" s="100">
        <f t="shared" si="23"/>
        <v>8</v>
      </c>
    </row>
    <row r="456" spans="1:18" x14ac:dyDescent="0.2">
      <c r="A456" s="69">
        <v>44105</v>
      </c>
      <c r="B456" s="61" t="s">
        <v>835</v>
      </c>
      <c r="C456" s="61" t="s">
        <v>18</v>
      </c>
      <c r="D456" s="73">
        <v>44083</v>
      </c>
      <c r="E456" s="61" t="s">
        <v>53</v>
      </c>
      <c r="F456" s="61">
        <v>15301199</v>
      </c>
      <c r="G456" s="61" t="s">
        <v>54</v>
      </c>
      <c r="H456" s="75">
        <v>5000</v>
      </c>
      <c r="I456" s="62" t="s">
        <v>97</v>
      </c>
      <c r="J456" s="61" t="s">
        <v>55</v>
      </c>
      <c r="K456" s="62">
        <v>516</v>
      </c>
      <c r="L456" s="61"/>
      <c r="M456" s="64">
        <v>44113</v>
      </c>
      <c r="N456" s="61" t="s">
        <v>258</v>
      </c>
      <c r="O456" s="61"/>
      <c r="P456" s="61">
        <f t="shared" si="21"/>
        <v>9</v>
      </c>
      <c r="Q456" s="61">
        <f t="shared" si="22"/>
        <v>2020</v>
      </c>
      <c r="R456" s="100">
        <f t="shared" si="23"/>
        <v>9</v>
      </c>
    </row>
    <row r="457" spans="1:18" x14ac:dyDescent="0.2">
      <c r="A457" s="69">
        <v>44105</v>
      </c>
      <c r="B457" s="61" t="s">
        <v>835</v>
      </c>
      <c r="C457" s="61" t="s">
        <v>18</v>
      </c>
      <c r="D457" s="73">
        <v>44084</v>
      </c>
      <c r="E457" s="61" t="s">
        <v>53</v>
      </c>
      <c r="F457" s="61">
        <v>511</v>
      </c>
      <c r="G457" s="61" t="s">
        <v>919</v>
      </c>
      <c r="H457" s="75">
        <v>14000</v>
      </c>
      <c r="I457" s="62" t="s">
        <v>49</v>
      </c>
      <c r="J457" s="61" t="s">
        <v>914</v>
      </c>
      <c r="K457" s="62">
        <v>517</v>
      </c>
      <c r="L457" s="61"/>
      <c r="M457" s="64">
        <v>44119</v>
      </c>
      <c r="N457" s="61"/>
      <c r="O457" s="61"/>
      <c r="P457" s="61">
        <f t="shared" si="21"/>
        <v>9</v>
      </c>
      <c r="Q457" s="61">
        <f t="shared" si="22"/>
        <v>2020</v>
      </c>
      <c r="R457" s="100">
        <f t="shared" si="23"/>
        <v>10</v>
      </c>
    </row>
    <row r="458" spans="1:18" x14ac:dyDescent="0.2">
      <c r="A458" s="69">
        <v>44105</v>
      </c>
      <c r="B458" s="61" t="s">
        <v>835</v>
      </c>
      <c r="C458" s="61" t="s">
        <v>18</v>
      </c>
      <c r="D458" s="73">
        <v>44084</v>
      </c>
      <c r="E458" s="61" t="s">
        <v>57</v>
      </c>
      <c r="F458" s="61">
        <v>5910405</v>
      </c>
      <c r="G458" s="61" t="s">
        <v>907</v>
      </c>
      <c r="H458" s="75">
        <v>19587</v>
      </c>
      <c r="I458" s="62" t="s">
        <v>49</v>
      </c>
      <c r="J458" s="61" t="s">
        <v>908</v>
      </c>
      <c r="K458" s="62">
        <v>518</v>
      </c>
      <c r="L458" s="61"/>
      <c r="M458" s="64">
        <v>44117</v>
      </c>
      <c r="N458" s="61"/>
      <c r="O458" s="61"/>
      <c r="P458" s="61">
        <f t="shared" si="21"/>
        <v>9</v>
      </c>
      <c r="Q458" s="61">
        <f t="shared" si="22"/>
        <v>2020</v>
      </c>
      <c r="R458" s="100">
        <f t="shared" si="23"/>
        <v>10</v>
      </c>
    </row>
    <row r="459" spans="1:18" x14ac:dyDescent="0.2">
      <c r="A459" s="69">
        <v>44105</v>
      </c>
      <c r="B459" s="61" t="s">
        <v>835</v>
      </c>
      <c r="C459" s="61" t="s">
        <v>18</v>
      </c>
      <c r="D459" s="73">
        <v>44085</v>
      </c>
      <c r="E459" s="61" t="s">
        <v>123</v>
      </c>
      <c r="F459" s="61">
        <v>82624877</v>
      </c>
      <c r="G459" s="61" t="s">
        <v>920</v>
      </c>
      <c r="H459" s="75">
        <v>32969.22</v>
      </c>
      <c r="I459" s="62" t="s">
        <v>49</v>
      </c>
      <c r="J459" s="61" t="s">
        <v>473</v>
      </c>
      <c r="K459" s="62">
        <v>519</v>
      </c>
      <c r="L459" s="61"/>
      <c r="M459" s="64">
        <v>44119</v>
      </c>
      <c r="N459" s="61"/>
      <c r="O459" s="61"/>
      <c r="P459" s="61">
        <f t="shared" si="21"/>
        <v>9</v>
      </c>
      <c r="Q459" s="61">
        <f t="shared" si="22"/>
        <v>2020</v>
      </c>
      <c r="R459" s="100">
        <f t="shared" si="23"/>
        <v>11</v>
      </c>
    </row>
    <row r="460" spans="1:18" x14ac:dyDescent="0.2">
      <c r="A460" s="69">
        <v>44105</v>
      </c>
      <c r="B460" s="61" t="s">
        <v>835</v>
      </c>
      <c r="C460" s="61" t="s">
        <v>18</v>
      </c>
      <c r="D460" s="73">
        <v>44085</v>
      </c>
      <c r="E460" s="61" t="s">
        <v>57</v>
      </c>
      <c r="F460" s="61">
        <v>1679729</v>
      </c>
      <c r="G460" s="61" t="s">
        <v>921</v>
      </c>
      <c r="H460" s="75">
        <v>10126</v>
      </c>
      <c r="I460" s="62" t="s">
        <v>49</v>
      </c>
      <c r="J460" s="61" t="s">
        <v>922</v>
      </c>
      <c r="K460" s="62">
        <v>520</v>
      </c>
      <c r="L460" s="61"/>
      <c r="M460" s="64">
        <v>44119</v>
      </c>
      <c r="N460" s="61"/>
      <c r="O460" s="61"/>
      <c r="P460" s="61">
        <f t="shared" si="21"/>
        <v>9</v>
      </c>
      <c r="Q460" s="61">
        <f t="shared" si="22"/>
        <v>2020</v>
      </c>
      <c r="R460" s="100">
        <f t="shared" si="23"/>
        <v>11</v>
      </c>
    </row>
    <row r="461" spans="1:18" x14ac:dyDescent="0.2">
      <c r="A461" s="69">
        <v>44105</v>
      </c>
      <c r="B461" s="61" t="s">
        <v>835</v>
      </c>
      <c r="C461" s="61" t="s">
        <v>18</v>
      </c>
      <c r="D461" s="73">
        <v>44086</v>
      </c>
      <c r="E461" s="61" t="s">
        <v>57</v>
      </c>
      <c r="F461" s="61">
        <v>473116</v>
      </c>
      <c r="G461" s="61" t="s">
        <v>118</v>
      </c>
      <c r="H461" s="75">
        <v>30000</v>
      </c>
      <c r="I461" s="62" t="s">
        <v>49</v>
      </c>
      <c r="J461" s="61" t="s">
        <v>119</v>
      </c>
      <c r="K461" s="62">
        <v>521</v>
      </c>
      <c r="L461" s="61"/>
      <c r="M461" s="64">
        <v>44119</v>
      </c>
      <c r="N461" s="61"/>
      <c r="O461" s="61"/>
      <c r="P461" s="61">
        <f t="shared" si="21"/>
        <v>9</v>
      </c>
      <c r="Q461" s="61">
        <f t="shared" si="22"/>
        <v>2020</v>
      </c>
      <c r="R461" s="100">
        <f t="shared" si="23"/>
        <v>12</v>
      </c>
    </row>
    <row r="462" spans="1:18" x14ac:dyDescent="0.2">
      <c r="A462" s="69">
        <v>44105</v>
      </c>
      <c r="B462" s="61" t="s">
        <v>835</v>
      </c>
      <c r="C462" s="61" t="s">
        <v>18</v>
      </c>
      <c r="D462" s="73">
        <v>44086</v>
      </c>
      <c r="E462" s="61" t="s">
        <v>57</v>
      </c>
      <c r="F462" s="61">
        <v>4695815</v>
      </c>
      <c r="G462" s="61" t="s">
        <v>843</v>
      </c>
      <c r="H462" s="75">
        <v>34200</v>
      </c>
      <c r="I462" s="62" t="s">
        <v>97</v>
      </c>
      <c r="J462" s="61" t="s">
        <v>844</v>
      </c>
      <c r="K462" s="62">
        <v>522</v>
      </c>
      <c r="L462" s="61"/>
      <c r="M462" s="64">
        <v>44120</v>
      </c>
      <c r="N462" s="61" t="s">
        <v>997</v>
      </c>
      <c r="O462" s="61"/>
      <c r="P462" s="61">
        <f t="shared" si="21"/>
        <v>9</v>
      </c>
      <c r="Q462" s="61">
        <f t="shared" si="22"/>
        <v>2020</v>
      </c>
      <c r="R462" s="100">
        <f t="shared" si="23"/>
        <v>12</v>
      </c>
    </row>
    <row r="463" spans="1:18" x14ac:dyDescent="0.2">
      <c r="A463" s="69">
        <v>44105</v>
      </c>
      <c r="B463" s="61" t="s">
        <v>835</v>
      </c>
      <c r="C463" s="61" t="s">
        <v>18</v>
      </c>
      <c r="D463" s="73">
        <v>44086</v>
      </c>
      <c r="E463" s="61" t="s">
        <v>923</v>
      </c>
      <c r="F463" s="61">
        <v>53495164</v>
      </c>
      <c r="G463" s="61" t="s">
        <v>924</v>
      </c>
      <c r="H463" s="75">
        <v>6325</v>
      </c>
      <c r="I463" s="62" t="s">
        <v>97</v>
      </c>
      <c r="J463" s="61" t="s">
        <v>925</v>
      </c>
      <c r="K463" s="62">
        <v>523</v>
      </c>
      <c r="L463" s="61"/>
      <c r="M463" s="64">
        <v>44105</v>
      </c>
      <c r="N463" s="61" t="s">
        <v>934</v>
      </c>
      <c r="O463" s="61"/>
      <c r="P463" s="61">
        <f t="shared" si="21"/>
        <v>9</v>
      </c>
      <c r="Q463" s="61">
        <f t="shared" si="22"/>
        <v>2020</v>
      </c>
      <c r="R463" s="100">
        <f t="shared" si="23"/>
        <v>12</v>
      </c>
    </row>
    <row r="464" spans="1:18" x14ac:dyDescent="0.2">
      <c r="A464" s="69">
        <v>44105</v>
      </c>
      <c r="B464" s="61" t="s">
        <v>835</v>
      </c>
      <c r="C464" s="61" t="s">
        <v>18</v>
      </c>
      <c r="D464" s="73">
        <v>44089</v>
      </c>
      <c r="E464" s="61" t="s">
        <v>57</v>
      </c>
      <c r="F464" s="61">
        <v>1705</v>
      </c>
      <c r="G464" s="61" t="s">
        <v>926</v>
      </c>
      <c r="H464" s="75">
        <v>13290</v>
      </c>
      <c r="I464" s="62" t="s">
        <v>49</v>
      </c>
      <c r="J464" s="61" t="s">
        <v>927</v>
      </c>
      <c r="K464" s="62">
        <v>524</v>
      </c>
      <c r="L464" s="61"/>
      <c r="M464" s="64">
        <v>44126</v>
      </c>
      <c r="N464" s="61"/>
      <c r="O464" s="61"/>
      <c r="P464" s="61">
        <f t="shared" si="21"/>
        <v>9</v>
      </c>
      <c r="Q464" s="61">
        <f t="shared" si="22"/>
        <v>2020</v>
      </c>
      <c r="R464" s="100">
        <f t="shared" si="23"/>
        <v>15</v>
      </c>
    </row>
    <row r="465" spans="1:18" x14ac:dyDescent="0.2">
      <c r="A465" s="69">
        <v>44105</v>
      </c>
      <c r="B465" s="61" t="s">
        <v>835</v>
      </c>
      <c r="C465" s="61" t="s">
        <v>18</v>
      </c>
      <c r="D465" s="73">
        <v>44092</v>
      </c>
      <c r="E465" s="61" t="s">
        <v>57</v>
      </c>
      <c r="F465" s="61">
        <v>159</v>
      </c>
      <c r="G465" s="61" t="s">
        <v>905</v>
      </c>
      <c r="H465" s="75">
        <v>20000</v>
      </c>
      <c r="I465" s="62" t="s">
        <v>49</v>
      </c>
      <c r="J465" s="61" t="s">
        <v>906</v>
      </c>
      <c r="K465" s="62">
        <v>525</v>
      </c>
      <c r="L465" s="61"/>
      <c r="M465" s="64">
        <v>44126</v>
      </c>
      <c r="N465" s="61"/>
      <c r="O465" s="61"/>
      <c r="P465" s="61">
        <f t="shared" si="21"/>
        <v>9</v>
      </c>
      <c r="Q465" s="61">
        <f t="shared" si="22"/>
        <v>2020</v>
      </c>
      <c r="R465" s="100">
        <f t="shared" si="23"/>
        <v>18</v>
      </c>
    </row>
    <row r="466" spans="1:18" x14ac:dyDescent="0.2">
      <c r="A466" s="69">
        <v>44105</v>
      </c>
      <c r="B466" s="61" t="s">
        <v>835</v>
      </c>
      <c r="C466" s="61" t="s">
        <v>18</v>
      </c>
      <c r="D466" s="73">
        <v>44102</v>
      </c>
      <c r="E466" s="61" t="s">
        <v>491</v>
      </c>
      <c r="F466" s="61">
        <v>27420839</v>
      </c>
      <c r="G466" s="61" t="s">
        <v>928</v>
      </c>
      <c r="H466" s="75">
        <v>42475</v>
      </c>
      <c r="I466" s="62" t="s">
        <v>49</v>
      </c>
      <c r="J466" s="61" t="s">
        <v>929</v>
      </c>
      <c r="K466" s="62">
        <v>526</v>
      </c>
      <c r="L466" s="61"/>
      <c r="M466" s="64">
        <v>44109</v>
      </c>
      <c r="N466" s="61"/>
      <c r="O466" s="61"/>
      <c r="P466" s="61">
        <f t="shared" si="21"/>
        <v>9</v>
      </c>
      <c r="Q466" s="61">
        <f t="shared" si="22"/>
        <v>2020</v>
      </c>
      <c r="R466" s="100">
        <f t="shared" si="23"/>
        <v>28</v>
      </c>
    </row>
    <row r="467" spans="1:18" x14ac:dyDescent="0.2">
      <c r="A467" s="69">
        <v>44105</v>
      </c>
      <c r="B467" s="61" t="s">
        <v>835</v>
      </c>
      <c r="C467" s="61" t="s">
        <v>18</v>
      </c>
      <c r="D467" s="73">
        <v>44104</v>
      </c>
      <c r="E467" s="61" t="s">
        <v>43</v>
      </c>
      <c r="F467" s="61">
        <v>15851931</v>
      </c>
      <c r="G467" s="61" t="s">
        <v>930</v>
      </c>
      <c r="H467" s="75">
        <v>12500</v>
      </c>
      <c r="I467" s="62" t="s">
        <v>49</v>
      </c>
      <c r="J467" s="61" t="s">
        <v>931</v>
      </c>
      <c r="K467" s="62">
        <v>527</v>
      </c>
      <c r="L467" s="61"/>
      <c r="M467" s="64">
        <v>44126</v>
      </c>
      <c r="N467" s="61"/>
      <c r="O467" s="61"/>
      <c r="P467" s="61">
        <f t="shared" si="21"/>
        <v>9</v>
      </c>
      <c r="Q467" s="61">
        <f t="shared" si="22"/>
        <v>2020</v>
      </c>
      <c r="R467" s="100">
        <f t="shared" si="23"/>
        <v>30</v>
      </c>
    </row>
    <row r="468" spans="1:18" x14ac:dyDescent="0.2">
      <c r="A468" s="69">
        <v>44105</v>
      </c>
      <c r="B468" s="61" t="s">
        <v>835</v>
      </c>
      <c r="C468" s="61" t="s">
        <v>18</v>
      </c>
      <c r="D468" s="73">
        <v>44104</v>
      </c>
      <c r="E468" s="61" t="s">
        <v>849</v>
      </c>
      <c r="F468" s="61">
        <v>82846190</v>
      </c>
      <c r="G468" s="61" t="s">
        <v>297</v>
      </c>
      <c r="H468" s="75">
        <v>20000</v>
      </c>
      <c r="I468" s="62" t="s">
        <v>295</v>
      </c>
      <c r="J468" s="61" t="s">
        <v>298</v>
      </c>
      <c r="K468" s="62">
        <v>528</v>
      </c>
      <c r="L468" s="61"/>
      <c r="M468" s="64">
        <v>44126</v>
      </c>
      <c r="N468" s="61"/>
      <c r="O468" s="61"/>
      <c r="P468" s="61">
        <f t="shared" si="21"/>
        <v>9</v>
      </c>
      <c r="Q468" s="61">
        <f t="shared" si="22"/>
        <v>2020</v>
      </c>
      <c r="R468" s="100">
        <f t="shared" si="23"/>
        <v>30</v>
      </c>
    </row>
    <row r="469" spans="1:18" x14ac:dyDescent="0.2">
      <c r="A469" s="69">
        <v>44105</v>
      </c>
      <c r="B469" s="61" t="s">
        <v>835</v>
      </c>
      <c r="C469" s="61" t="s">
        <v>18</v>
      </c>
      <c r="D469" s="73">
        <v>44114</v>
      </c>
      <c r="E469" s="61" t="s">
        <v>491</v>
      </c>
      <c r="F469" s="61">
        <v>26853437</v>
      </c>
      <c r="G469" s="61" t="s">
        <v>932</v>
      </c>
      <c r="H469" s="75">
        <v>22393</v>
      </c>
      <c r="I469" s="62" t="s">
        <v>49</v>
      </c>
      <c r="J469" s="61" t="s">
        <v>933</v>
      </c>
      <c r="K469" s="62">
        <v>529</v>
      </c>
      <c r="L469" s="61"/>
      <c r="M469" s="61"/>
      <c r="N469" s="61"/>
      <c r="O469" s="61"/>
      <c r="P469" s="61">
        <f t="shared" si="21"/>
        <v>10</v>
      </c>
      <c r="Q469" s="61">
        <f t="shared" si="22"/>
        <v>2020</v>
      </c>
      <c r="R469" s="100">
        <f t="shared" si="23"/>
        <v>10</v>
      </c>
    </row>
    <row r="470" spans="1:18" x14ac:dyDescent="0.2">
      <c r="A470" s="69">
        <v>44105</v>
      </c>
      <c r="B470" s="61" t="s">
        <v>835</v>
      </c>
      <c r="C470" s="61" t="s">
        <v>18</v>
      </c>
      <c r="D470" s="73">
        <v>44117</v>
      </c>
      <c r="E470" s="61" t="s">
        <v>53</v>
      </c>
      <c r="F470" s="61">
        <v>70400231</v>
      </c>
      <c r="G470" s="61" t="s">
        <v>320</v>
      </c>
      <c r="H470" s="75">
        <v>28000</v>
      </c>
      <c r="I470" s="62" t="s">
        <v>49</v>
      </c>
      <c r="J470" s="61" t="s">
        <v>293</v>
      </c>
      <c r="K470" s="62">
        <v>530</v>
      </c>
      <c r="L470" s="61"/>
      <c r="M470" s="61"/>
      <c r="N470" s="61"/>
      <c r="O470" s="61"/>
      <c r="P470" s="61">
        <f t="shared" si="21"/>
        <v>10</v>
      </c>
      <c r="Q470" s="61">
        <f t="shared" si="22"/>
        <v>2020</v>
      </c>
      <c r="R470" s="100">
        <f t="shared" si="23"/>
        <v>13</v>
      </c>
    </row>
    <row r="471" spans="1:18" x14ac:dyDescent="0.2">
      <c r="A471" s="69">
        <v>44111</v>
      </c>
      <c r="B471" s="61" t="s">
        <v>212</v>
      </c>
      <c r="C471" s="61" t="s">
        <v>18</v>
      </c>
      <c r="D471" s="73">
        <v>44141</v>
      </c>
      <c r="E471" s="61" t="s">
        <v>123</v>
      </c>
      <c r="F471" s="61">
        <v>63212129</v>
      </c>
      <c r="G471" s="61" t="s">
        <v>226</v>
      </c>
      <c r="H471" s="75">
        <v>7330</v>
      </c>
      <c r="I471" s="62" t="s">
        <v>97</v>
      </c>
      <c r="J471" s="61" t="s">
        <v>228</v>
      </c>
      <c r="K471" s="62">
        <v>531</v>
      </c>
      <c r="L471" s="61"/>
      <c r="M471" s="64">
        <v>44118</v>
      </c>
      <c r="N471" s="61" t="s">
        <v>996</v>
      </c>
      <c r="O471" s="61"/>
      <c r="P471" s="61">
        <f t="shared" si="21"/>
        <v>11</v>
      </c>
      <c r="Q471" s="61">
        <f t="shared" si="22"/>
        <v>2020</v>
      </c>
      <c r="R471" s="100">
        <f t="shared" si="23"/>
        <v>6</v>
      </c>
    </row>
    <row r="472" spans="1:18" x14ac:dyDescent="0.2">
      <c r="A472" s="69">
        <v>44111</v>
      </c>
      <c r="B472" s="61" t="s">
        <v>212</v>
      </c>
      <c r="C472" s="61" t="s">
        <v>18</v>
      </c>
      <c r="D472" s="73">
        <v>44148</v>
      </c>
      <c r="E472" s="61" t="s">
        <v>123</v>
      </c>
      <c r="F472" s="61">
        <v>63212130</v>
      </c>
      <c r="G472" s="61" t="s">
        <v>226</v>
      </c>
      <c r="H472" s="75">
        <v>10000</v>
      </c>
      <c r="I472" s="62" t="s">
        <v>97</v>
      </c>
      <c r="J472" s="61" t="s">
        <v>228</v>
      </c>
      <c r="K472" s="62">
        <v>532</v>
      </c>
      <c r="L472" s="61"/>
      <c r="M472" s="64">
        <v>44153</v>
      </c>
      <c r="N472" s="61" t="s">
        <v>1058</v>
      </c>
      <c r="O472" s="61"/>
      <c r="P472" s="61">
        <f t="shared" si="21"/>
        <v>11</v>
      </c>
      <c r="Q472" s="61">
        <f t="shared" si="22"/>
        <v>2020</v>
      </c>
      <c r="R472" s="100">
        <f t="shared" si="23"/>
        <v>13</v>
      </c>
    </row>
    <row r="473" spans="1:18" x14ac:dyDescent="0.2">
      <c r="A473" s="69">
        <v>44111</v>
      </c>
      <c r="B473" s="61" t="s">
        <v>212</v>
      </c>
      <c r="C473" s="61" t="s">
        <v>18</v>
      </c>
      <c r="D473" s="73">
        <v>44155</v>
      </c>
      <c r="E473" s="61" t="s">
        <v>123</v>
      </c>
      <c r="F473" s="61">
        <v>63434691</v>
      </c>
      <c r="G473" s="61" t="s">
        <v>226</v>
      </c>
      <c r="H473" s="75">
        <v>10000</v>
      </c>
      <c r="I473" s="62" t="s">
        <v>97</v>
      </c>
      <c r="J473" s="61" t="s">
        <v>228</v>
      </c>
      <c r="K473" s="62">
        <v>533</v>
      </c>
      <c r="L473" s="61"/>
      <c r="M473" s="64">
        <v>44144</v>
      </c>
      <c r="N473" s="61" t="s">
        <v>139</v>
      </c>
      <c r="O473" s="61"/>
      <c r="P473" s="61">
        <f t="shared" si="21"/>
        <v>11</v>
      </c>
      <c r="Q473" s="61">
        <f t="shared" si="22"/>
        <v>2020</v>
      </c>
      <c r="R473" s="100">
        <f t="shared" si="23"/>
        <v>20</v>
      </c>
    </row>
    <row r="474" spans="1:18" x14ac:dyDescent="0.2">
      <c r="A474" s="69">
        <v>44111</v>
      </c>
      <c r="B474" s="61" t="s">
        <v>212</v>
      </c>
      <c r="C474" s="61" t="s">
        <v>18</v>
      </c>
      <c r="D474" s="73">
        <v>44169</v>
      </c>
      <c r="E474" s="61" t="s">
        <v>123</v>
      </c>
      <c r="F474" s="61">
        <v>63434692</v>
      </c>
      <c r="G474" s="61" t="s">
        <v>226</v>
      </c>
      <c r="H474" s="75">
        <v>10000</v>
      </c>
      <c r="I474" s="62" t="s">
        <v>97</v>
      </c>
      <c r="J474" s="61" t="s">
        <v>228</v>
      </c>
      <c r="K474" s="62">
        <v>534</v>
      </c>
      <c r="L474" s="61"/>
      <c r="M474" s="64">
        <v>44139</v>
      </c>
      <c r="N474" s="61" t="s">
        <v>1041</v>
      </c>
      <c r="O474" s="61"/>
      <c r="P474" s="61">
        <f t="shared" si="21"/>
        <v>12</v>
      </c>
      <c r="Q474" s="61">
        <f t="shared" si="22"/>
        <v>2020</v>
      </c>
      <c r="R474" s="100">
        <f t="shared" si="23"/>
        <v>4</v>
      </c>
    </row>
    <row r="475" spans="1:18" x14ac:dyDescent="0.2">
      <c r="A475" s="69">
        <v>44111</v>
      </c>
      <c r="B475" s="61" t="s">
        <v>212</v>
      </c>
      <c r="C475" s="61" t="s">
        <v>18</v>
      </c>
      <c r="D475" s="73">
        <v>44176</v>
      </c>
      <c r="E475" s="61" t="s">
        <v>123</v>
      </c>
      <c r="F475" s="61">
        <v>63434693</v>
      </c>
      <c r="G475" s="61" t="s">
        <v>226</v>
      </c>
      <c r="H475" s="75">
        <v>10000</v>
      </c>
      <c r="I475" s="62" t="s">
        <v>97</v>
      </c>
      <c r="J475" s="61" t="s">
        <v>228</v>
      </c>
      <c r="K475" s="62">
        <v>535</v>
      </c>
      <c r="L475" s="61"/>
      <c r="M475" s="64">
        <v>44111</v>
      </c>
      <c r="N475" s="61" t="s">
        <v>934</v>
      </c>
      <c r="O475" s="61"/>
      <c r="P475" s="61">
        <f t="shared" si="21"/>
        <v>12</v>
      </c>
      <c r="Q475" s="61">
        <f t="shared" si="22"/>
        <v>2020</v>
      </c>
      <c r="R475" s="100">
        <f t="shared" si="23"/>
        <v>11</v>
      </c>
    </row>
    <row r="476" spans="1:18" x14ac:dyDescent="0.2">
      <c r="A476" s="69">
        <v>44112</v>
      </c>
      <c r="B476" s="61" t="s">
        <v>936</v>
      </c>
      <c r="C476" s="61" t="s">
        <v>18</v>
      </c>
      <c r="D476" s="73">
        <v>44111</v>
      </c>
      <c r="E476" s="61" t="s">
        <v>123</v>
      </c>
      <c r="F476" s="61">
        <v>61250371</v>
      </c>
      <c r="G476" s="61" t="s">
        <v>937</v>
      </c>
      <c r="H476" s="75">
        <v>27000</v>
      </c>
      <c r="I476" s="62" t="s">
        <v>49</v>
      </c>
      <c r="J476" s="61" t="s">
        <v>938</v>
      </c>
      <c r="K476" s="62">
        <v>536</v>
      </c>
      <c r="L476" s="61"/>
      <c r="M476" s="64">
        <v>44117</v>
      </c>
      <c r="N476" s="61"/>
      <c r="O476" s="61"/>
      <c r="P476" s="61">
        <f t="shared" si="21"/>
        <v>10</v>
      </c>
      <c r="Q476" s="61">
        <f t="shared" si="22"/>
        <v>2020</v>
      </c>
      <c r="R476" s="100">
        <f t="shared" si="23"/>
        <v>7</v>
      </c>
    </row>
    <row r="477" spans="1:18" x14ac:dyDescent="0.2">
      <c r="A477" s="69">
        <v>44118</v>
      </c>
      <c r="B477" s="61" t="s">
        <v>158</v>
      </c>
      <c r="C477" s="61" t="s">
        <v>18</v>
      </c>
      <c r="D477" s="73">
        <v>44111</v>
      </c>
      <c r="E477" s="61" t="s">
        <v>47</v>
      </c>
      <c r="F477" s="61">
        <v>78914341</v>
      </c>
      <c r="G477" s="61" t="s">
        <v>216</v>
      </c>
      <c r="H477" s="75">
        <v>5900</v>
      </c>
      <c r="I477" s="62" t="s">
        <v>97</v>
      </c>
      <c r="J477" s="61" t="s">
        <v>217</v>
      </c>
      <c r="K477" s="62">
        <v>537</v>
      </c>
      <c r="L477" s="61"/>
      <c r="M477" s="64">
        <v>44133</v>
      </c>
      <c r="N477" s="61" t="s">
        <v>258</v>
      </c>
      <c r="O477" s="61"/>
      <c r="P477" s="61">
        <f t="shared" si="21"/>
        <v>10</v>
      </c>
      <c r="Q477" s="61">
        <f t="shared" si="22"/>
        <v>2020</v>
      </c>
      <c r="R477" s="100">
        <f t="shared" si="23"/>
        <v>7</v>
      </c>
    </row>
    <row r="478" spans="1:18" x14ac:dyDescent="0.2">
      <c r="A478" s="69">
        <v>44118</v>
      </c>
      <c r="B478" s="61" t="s">
        <v>158</v>
      </c>
      <c r="C478" s="61" t="s">
        <v>18</v>
      </c>
      <c r="D478" s="73">
        <v>44152</v>
      </c>
      <c r="E478" s="61" t="s">
        <v>47</v>
      </c>
      <c r="F478" s="61">
        <v>78914344</v>
      </c>
      <c r="G478" s="61" t="s">
        <v>216</v>
      </c>
      <c r="H478" s="75">
        <v>5900</v>
      </c>
      <c r="I478" s="62" t="s">
        <v>49</v>
      </c>
      <c r="J478" s="61" t="s">
        <v>217</v>
      </c>
      <c r="K478" s="62">
        <v>538</v>
      </c>
      <c r="L478" s="61"/>
      <c r="M478" s="64">
        <v>44160</v>
      </c>
      <c r="N478" s="61"/>
      <c r="O478" s="61"/>
      <c r="P478" s="61">
        <f t="shared" si="21"/>
        <v>11</v>
      </c>
      <c r="Q478" s="61">
        <f t="shared" si="22"/>
        <v>2020</v>
      </c>
      <c r="R478" s="100">
        <f t="shared" si="23"/>
        <v>17</v>
      </c>
    </row>
    <row r="479" spans="1:18" x14ac:dyDescent="0.2">
      <c r="A479" s="69">
        <v>44133</v>
      </c>
      <c r="B479" s="61" t="s">
        <v>278</v>
      </c>
      <c r="C479" s="61" t="s">
        <v>18</v>
      </c>
      <c r="D479" s="73">
        <v>44146</v>
      </c>
      <c r="E479" s="61" t="s">
        <v>57</v>
      </c>
      <c r="F479" s="61">
        <v>2062</v>
      </c>
      <c r="G479" s="61" t="s">
        <v>281</v>
      </c>
      <c r="H479" s="75">
        <v>5000</v>
      </c>
      <c r="I479" s="62" t="s">
        <v>97</v>
      </c>
      <c r="J479" s="61" t="s">
        <v>282</v>
      </c>
      <c r="K479" s="62">
        <v>539</v>
      </c>
      <c r="L479" s="61"/>
      <c r="M479" s="64">
        <v>44175</v>
      </c>
      <c r="N479" s="61" t="s">
        <v>222</v>
      </c>
      <c r="O479" s="61"/>
      <c r="P479" s="61">
        <f t="shared" si="21"/>
        <v>11</v>
      </c>
      <c r="Q479" s="61">
        <f t="shared" si="22"/>
        <v>2020</v>
      </c>
      <c r="R479" s="100">
        <f t="shared" si="23"/>
        <v>11</v>
      </c>
    </row>
    <row r="480" spans="1:18" x14ac:dyDescent="0.2">
      <c r="A480" s="69">
        <v>44134</v>
      </c>
      <c r="B480" s="61" t="s">
        <v>195</v>
      </c>
      <c r="C480" s="61" t="s">
        <v>18</v>
      </c>
      <c r="D480" s="73">
        <v>44176</v>
      </c>
      <c r="E480" s="61" t="s">
        <v>53</v>
      </c>
      <c r="F480" s="61">
        <v>36300372</v>
      </c>
      <c r="G480" s="61" t="s">
        <v>998</v>
      </c>
      <c r="H480" s="75">
        <v>10000</v>
      </c>
      <c r="I480" s="62" t="s">
        <v>97</v>
      </c>
      <c r="J480" s="61" t="s">
        <v>999</v>
      </c>
      <c r="K480" s="62">
        <v>540</v>
      </c>
      <c r="L480" s="61"/>
      <c r="M480" s="64">
        <v>44139</v>
      </c>
      <c r="N480" s="61" t="s">
        <v>23</v>
      </c>
      <c r="O480" s="61"/>
      <c r="P480" s="61">
        <f t="shared" si="21"/>
        <v>12</v>
      </c>
      <c r="Q480" s="61">
        <f t="shared" si="22"/>
        <v>2020</v>
      </c>
      <c r="R480" s="100">
        <f t="shared" si="23"/>
        <v>11</v>
      </c>
    </row>
    <row r="481" spans="1:18" x14ac:dyDescent="0.2">
      <c r="A481" s="69">
        <v>44138</v>
      </c>
      <c r="B481" s="61" t="s">
        <v>835</v>
      </c>
      <c r="C481" s="61" t="s">
        <v>18</v>
      </c>
      <c r="D481" s="73">
        <v>44095</v>
      </c>
      <c r="E481" s="61" t="s">
        <v>65</v>
      </c>
      <c r="F481" s="61">
        <v>22398399</v>
      </c>
      <c r="G481" s="61" t="s">
        <v>1000</v>
      </c>
      <c r="H481" s="75">
        <v>29500</v>
      </c>
      <c r="I481" s="62" t="s">
        <v>295</v>
      </c>
      <c r="J481" s="61" t="s">
        <v>1001</v>
      </c>
      <c r="K481" s="62">
        <v>541</v>
      </c>
      <c r="L481" s="61"/>
      <c r="M481" s="64">
        <v>44140</v>
      </c>
      <c r="N481" s="61" t="s">
        <v>94</v>
      </c>
      <c r="O481" s="61"/>
      <c r="P481" s="61">
        <f t="shared" si="21"/>
        <v>9</v>
      </c>
      <c r="Q481" s="61">
        <f t="shared" si="22"/>
        <v>2020</v>
      </c>
      <c r="R481" s="100">
        <f t="shared" si="23"/>
        <v>21</v>
      </c>
    </row>
    <row r="482" spans="1:18" x14ac:dyDescent="0.2">
      <c r="A482" s="69">
        <v>44138</v>
      </c>
      <c r="B482" s="61" t="s">
        <v>835</v>
      </c>
      <c r="C482" s="61" t="s">
        <v>18</v>
      </c>
      <c r="D482" s="73">
        <v>44102</v>
      </c>
      <c r="E482" s="61" t="s">
        <v>53</v>
      </c>
      <c r="F482" s="61">
        <v>70400230</v>
      </c>
      <c r="G482" s="61" t="s">
        <v>320</v>
      </c>
      <c r="H482" s="75">
        <v>28000</v>
      </c>
      <c r="I482" s="62" t="s">
        <v>49</v>
      </c>
      <c r="J482" s="61" t="s">
        <v>293</v>
      </c>
      <c r="K482" s="62">
        <v>542</v>
      </c>
      <c r="L482" s="64"/>
      <c r="M482" s="64">
        <v>44160</v>
      </c>
      <c r="N482" s="61"/>
      <c r="O482" s="61" t="s">
        <v>1060</v>
      </c>
      <c r="P482" s="61">
        <f t="shared" si="21"/>
        <v>9</v>
      </c>
      <c r="Q482" s="61">
        <f t="shared" si="22"/>
        <v>2020</v>
      </c>
      <c r="R482" s="100">
        <f t="shared" si="23"/>
        <v>28</v>
      </c>
    </row>
    <row r="483" spans="1:18" x14ac:dyDescent="0.2">
      <c r="A483" s="69">
        <v>44138</v>
      </c>
      <c r="B483" s="61" t="s">
        <v>835</v>
      </c>
      <c r="C483" s="61" t="s">
        <v>18</v>
      </c>
      <c r="D483" s="73">
        <v>44104</v>
      </c>
      <c r="E483" s="61" t="s">
        <v>57</v>
      </c>
      <c r="F483" s="61">
        <v>873</v>
      </c>
      <c r="G483" s="61" t="s">
        <v>84</v>
      </c>
      <c r="H483" s="75">
        <v>14775</v>
      </c>
      <c r="I483" s="62" t="s">
        <v>97</v>
      </c>
      <c r="J483" s="61" t="s">
        <v>85</v>
      </c>
      <c r="K483" s="62">
        <v>543</v>
      </c>
      <c r="L483" s="61"/>
      <c r="M483" s="64">
        <v>44139</v>
      </c>
      <c r="N483" s="61" t="s">
        <v>1041</v>
      </c>
      <c r="O483" s="61"/>
      <c r="P483" s="61">
        <f t="shared" si="21"/>
        <v>9</v>
      </c>
      <c r="Q483" s="61">
        <f t="shared" si="22"/>
        <v>2020</v>
      </c>
      <c r="R483" s="100">
        <f t="shared" si="23"/>
        <v>30</v>
      </c>
    </row>
    <row r="484" spans="1:18" x14ac:dyDescent="0.2">
      <c r="A484" s="69">
        <v>44138</v>
      </c>
      <c r="B484" s="61" t="s">
        <v>835</v>
      </c>
      <c r="C484" s="61" t="s">
        <v>18</v>
      </c>
      <c r="D484" s="73">
        <v>44104</v>
      </c>
      <c r="E484" s="61" t="s">
        <v>43</v>
      </c>
      <c r="F484" s="61">
        <v>15851932</v>
      </c>
      <c r="G484" s="61" t="s">
        <v>930</v>
      </c>
      <c r="H484" s="75">
        <v>12500</v>
      </c>
      <c r="I484" s="62" t="s">
        <v>97</v>
      </c>
      <c r="J484" s="61" t="s">
        <v>931</v>
      </c>
      <c r="K484" s="62">
        <v>544</v>
      </c>
      <c r="L484" s="61"/>
      <c r="M484" s="64">
        <v>44139</v>
      </c>
      <c r="N484" s="61" t="s">
        <v>1041</v>
      </c>
      <c r="O484" s="61"/>
      <c r="P484" s="61">
        <f t="shared" si="21"/>
        <v>9</v>
      </c>
      <c r="Q484" s="61">
        <f t="shared" si="22"/>
        <v>2020</v>
      </c>
      <c r="R484" s="100">
        <f t="shared" si="23"/>
        <v>30</v>
      </c>
    </row>
    <row r="485" spans="1:18" s="59" customFormat="1" x14ac:dyDescent="0.2">
      <c r="A485" s="69">
        <v>44138</v>
      </c>
      <c r="B485" s="61" t="s">
        <v>835</v>
      </c>
      <c r="C485" s="61" t="s">
        <v>18</v>
      </c>
      <c r="D485" s="73">
        <v>44104</v>
      </c>
      <c r="E485" s="61" t="s">
        <v>57</v>
      </c>
      <c r="F485" s="61">
        <v>807781</v>
      </c>
      <c r="G485" s="61" t="s">
        <v>1002</v>
      </c>
      <c r="H485" s="75">
        <v>20000</v>
      </c>
      <c r="I485" s="62" t="s">
        <v>1070</v>
      </c>
      <c r="J485" s="61" t="s">
        <v>1003</v>
      </c>
      <c r="K485" s="62">
        <v>545</v>
      </c>
      <c r="L485" s="61"/>
      <c r="M485" s="64">
        <v>44140</v>
      </c>
      <c r="N485" s="61" t="s">
        <v>139</v>
      </c>
      <c r="O485" s="61"/>
      <c r="P485" s="61">
        <f t="shared" si="21"/>
        <v>9</v>
      </c>
      <c r="Q485" s="61">
        <f t="shared" si="22"/>
        <v>2020</v>
      </c>
      <c r="R485" s="100">
        <f t="shared" si="23"/>
        <v>30</v>
      </c>
    </row>
    <row r="486" spans="1:18" s="59" customFormat="1" x14ac:dyDescent="0.2">
      <c r="A486" s="69">
        <v>44138</v>
      </c>
      <c r="B486" s="61" t="s">
        <v>835</v>
      </c>
      <c r="C486" s="61" t="s">
        <v>18</v>
      </c>
      <c r="D486" s="73">
        <v>44104</v>
      </c>
      <c r="E486" s="61" t="s">
        <v>57</v>
      </c>
      <c r="F486" s="61">
        <v>160</v>
      </c>
      <c r="G486" s="61" t="s">
        <v>905</v>
      </c>
      <c r="H486" s="75">
        <v>20000</v>
      </c>
      <c r="I486" s="62" t="s">
        <v>97</v>
      </c>
      <c r="J486" s="61" t="s">
        <v>906</v>
      </c>
      <c r="K486" s="62">
        <v>546</v>
      </c>
      <c r="L486" s="61"/>
      <c r="M486" s="64">
        <v>44140</v>
      </c>
      <c r="N486" s="61" t="s">
        <v>139</v>
      </c>
      <c r="O486" s="61"/>
      <c r="P486" s="61">
        <f t="shared" si="21"/>
        <v>9</v>
      </c>
      <c r="Q486" s="61">
        <f t="shared" si="22"/>
        <v>2020</v>
      </c>
      <c r="R486" s="100">
        <f t="shared" si="23"/>
        <v>30</v>
      </c>
    </row>
    <row r="487" spans="1:18" s="59" customFormat="1" x14ac:dyDescent="0.2">
      <c r="A487" s="69">
        <v>44138</v>
      </c>
      <c r="B487" s="61" t="s">
        <v>835</v>
      </c>
      <c r="C487" s="61" t="s">
        <v>18</v>
      </c>
      <c r="D487" s="73">
        <v>44104</v>
      </c>
      <c r="E487" s="61" t="s">
        <v>53</v>
      </c>
      <c r="F487" s="61">
        <v>70400229</v>
      </c>
      <c r="G487" s="61" t="s">
        <v>320</v>
      </c>
      <c r="H487" s="75">
        <v>15578</v>
      </c>
      <c r="I487" s="62" t="s">
        <v>97</v>
      </c>
      <c r="J487" s="61" t="s">
        <v>293</v>
      </c>
      <c r="K487" s="62">
        <v>547</v>
      </c>
      <c r="L487" s="61"/>
      <c r="M487" s="64">
        <v>44140</v>
      </c>
      <c r="N487" s="61" t="s">
        <v>139</v>
      </c>
      <c r="O487" s="61"/>
      <c r="P487" s="61">
        <f t="shared" si="21"/>
        <v>9</v>
      </c>
      <c r="Q487" s="61">
        <f t="shared" si="22"/>
        <v>2020</v>
      </c>
      <c r="R487" s="100">
        <f t="shared" si="23"/>
        <v>30</v>
      </c>
    </row>
    <row r="488" spans="1:18" s="59" customFormat="1" x14ac:dyDescent="0.2">
      <c r="A488" s="69">
        <v>44138</v>
      </c>
      <c r="B488" s="61" t="s">
        <v>835</v>
      </c>
      <c r="C488" s="61" t="s">
        <v>18</v>
      </c>
      <c r="D488" s="73">
        <v>44104</v>
      </c>
      <c r="E488" s="61" t="s">
        <v>170</v>
      </c>
      <c r="F488" s="61">
        <v>92288818</v>
      </c>
      <c r="G488" s="61" t="s">
        <v>1004</v>
      </c>
      <c r="H488" s="75">
        <v>12000</v>
      </c>
      <c r="I488" s="62" t="s">
        <v>97</v>
      </c>
      <c r="J488" s="61" t="s">
        <v>1005</v>
      </c>
      <c r="K488" s="62">
        <v>548</v>
      </c>
      <c r="L488" s="61"/>
      <c r="M488" s="64">
        <v>44140</v>
      </c>
      <c r="N488" s="61" t="s">
        <v>139</v>
      </c>
      <c r="O488" s="61"/>
      <c r="P488" s="61">
        <f t="shared" si="21"/>
        <v>9</v>
      </c>
      <c r="Q488" s="61">
        <f t="shared" si="22"/>
        <v>2020</v>
      </c>
      <c r="R488" s="100">
        <f t="shared" si="23"/>
        <v>30</v>
      </c>
    </row>
    <row r="489" spans="1:18" s="59" customFormat="1" x14ac:dyDescent="0.2">
      <c r="A489" s="69">
        <v>44138</v>
      </c>
      <c r="B489" s="61" t="s">
        <v>835</v>
      </c>
      <c r="C489" s="61" t="s">
        <v>18</v>
      </c>
      <c r="D489" s="73">
        <v>44105</v>
      </c>
      <c r="E489" s="61" t="s">
        <v>57</v>
      </c>
      <c r="F489" s="61">
        <v>1899</v>
      </c>
      <c r="G489" s="61" t="s">
        <v>1006</v>
      </c>
      <c r="H489" s="75">
        <v>10000</v>
      </c>
      <c r="I489" s="62" t="s">
        <v>49</v>
      </c>
      <c r="J489" s="61" t="s">
        <v>1007</v>
      </c>
      <c r="K489" s="62">
        <v>549</v>
      </c>
      <c r="L489" s="61"/>
      <c r="M489" s="64">
        <v>44140</v>
      </c>
      <c r="N489" s="61"/>
      <c r="O489" s="61"/>
      <c r="P489" s="61">
        <f t="shared" si="21"/>
        <v>10</v>
      </c>
      <c r="Q489" s="61">
        <f t="shared" si="22"/>
        <v>2020</v>
      </c>
      <c r="R489" s="100">
        <f t="shared" si="23"/>
        <v>1</v>
      </c>
    </row>
    <row r="490" spans="1:18" s="59" customFormat="1" x14ac:dyDescent="0.2">
      <c r="A490" s="69">
        <v>44138</v>
      </c>
      <c r="B490" s="61" t="s">
        <v>835</v>
      </c>
      <c r="C490" s="61" t="s">
        <v>18</v>
      </c>
      <c r="D490" s="73">
        <v>44105</v>
      </c>
      <c r="E490" s="61" t="s">
        <v>57</v>
      </c>
      <c r="F490" s="61">
        <v>1202979</v>
      </c>
      <c r="G490" s="61" t="s">
        <v>1008</v>
      </c>
      <c r="H490" s="75">
        <v>17700</v>
      </c>
      <c r="I490" s="62" t="s">
        <v>97</v>
      </c>
      <c r="J490" s="61" t="s">
        <v>1009</v>
      </c>
      <c r="K490" s="62">
        <v>550</v>
      </c>
      <c r="L490" s="61"/>
      <c r="M490" s="64">
        <v>44140</v>
      </c>
      <c r="N490" s="61" t="s">
        <v>139</v>
      </c>
      <c r="O490" s="61"/>
      <c r="P490" s="61">
        <f t="shared" si="21"/>
        <v>10</v>
      </c>
      <c r="Q490" s="61">
        <f t="shared" si="22"/>
        <v>2020</v>
      </c>
      <c r="R490" s="100">
        <f t="shared" si="23"/>
        <v>1</v>
      </c>
    </row>
    <row r="491" spans="1:18" s="59" customFormat="1" x14ac:dyDescent="0.2">
      <c r="A491" s="69">
        <v>44138</v>
      </c>
      <c r="B491" s="61" t="s">
        <v>835</v>
      </c>
      <c r="C491" s="61" t="s">
        <v>18</v>
      </c>
      <c r="D491" s="73">
        <v>44106</v>
      </c>
      <c r="E491" s="61" t="s">
        <v>43</v>
      </c>
      <c r="F491" s="61">
        <v>90109446</v>
      </c>
      <c r="G491" s="61" t="s">
        <v>1010</v>
      </c>
      <c r="H491" s="75">
        <v>15000</v>
      </c>
      <c r="I491" s="62" t="s">
        <v>49</v>
      </c>
      <c r="J491" s="61" t="s">
        <v>1011</v>
      </c>
      <c r="K491" s="62">
        <v>551</v>
      </c>
      <c r="L491" s="61"/>
      <c r="M491" s="64">
        <v>44140</v>
      </c>
      <c r="N491" s="61"/>
      <c r="O491" s="61"/>
      <c r="P491" s="61">
        <f t="shared" si="21"/>
        <v>10</v>
      </c>
      <c r="Q491" s="61">
        <f t="shared" si="22"/>
        <v>2020</v>
      </c>
      <c r="R491" s="100">
        <f t="shared" si="23"/>
        <v>2</v>
      </c>
    </row>
    <row r="492" spans="1:18" s="59" customFormat="1" x14ac:dyDescent="0.2">
      <c r="A492" s="69">
        <v>44138</v>
      </c>
      <c r="B492" s="61" t="s">
        <v>835</v>
      </c>
      <c r="C492" s="61" t="s">
        <v>18</v>
      </c>
      <c r="D492" s="73">
        <v>44107</v>
      </c>
      <c r="E492" s="61" t="s">
        <v>1012</v>
      </c>
      <c r="F492" s="61">
        <v>65562978</v>
      </c>
      <c r="G492" s="61" t="s">
        <v>1013</v>
      </c>
      <c r="H492" s="75">
        <v>22500</v>
      </c>
      <c r="I492" s="62" t="s">
        <v>49</v>
      </c>
      <c r="J492" s="61" t="s">
        <v>1014</v>
      </c>
      <c r="K492" s="62">
        <v>552</v>
      </c>
      <c r="L492" s="61"/>
      <c r="M492" s="64">
        <v>44140</v>
      </c>
      <c r="N492" s="61"/>
      <c r="O492" s="61"/>
      <c r="P492" s="61">
        <f t="shared" si="21"/>
        <v>10</v>
      </c>
      <c r="Q492" s="61">
        <f t="shared" si="22"/>
        <v>2020</v>
      </c>
      <c r="R492" s="100">
        <f t="shared" si="23"/>
        <v>3</v>
      </c>
    </row>
    <row r="493" spans="1:18" s="59" customFormat="1" x14ac:dyDescent="0.2">
      <c r="A493" s="69">
        <v>44138</v>
      </c>
      <c r="B493" s="61" t="s">
        <v>835</v>
      </c>
      <c r="C493" s="61" t="s">
        <v>18</v>
      </c>
      <c r="D493" s="73">
        <v>44109</v>
      </c>
      <c r="E493" s="61" t="s">
        <v>57</v>
      </c>
      <c r="F493" s="61">
        <v>153804</v>
      </c>
      <c r="G493" s="61" t="s">
        <v>1015</v>
      </c>
      <c r="H493" s="75">
        <v>11311.37</v>
      </c>
      <c r="I493" s="62" t="s">
        <v>97</v>
      </c>
      <c r="J493" s="61" t="s">
        <v>1016</v>
      </c>
      <c r="K493" s="62">
        <v>553</v>
      </c>
      <c r="L493" s="61"/>
      <c r="M493" s="64">
        <v>44144</v>
      </c>
      <c r="N493" s="61" t="s">
        <v>139</v>
      </c>
      <c r="O493" s="61"/>
      <c r="P493" s="61">
        <f t="shared" si="21"/>
        <v>10</v>
      </c>
      <c r="Q493" s="61">
        <f t="shared" si="22"/>
        <v>2020</v>
      </c>
      <c r="R493" s="100">
        <f t="shared" si="23"/>
        <v>5</v>
      </c>
    </row>
    <row r="494" spans="1:18" s="59" customFormat="1" x14ac:dyDescent="0.2">
      <c r="A494" s="69">
        <v>44138</v>
      </c>
      <c r="B494" s="61" t="s">
        <v>835</v>
      </c>
      <c r="C494" s="61" t="s">
        <v>18</v>
      </c>
      <c r="D494" s="73">
        <v>44110</v>
      </c>
      <c r="E494" s="61" t="s">
        <v>53</v>
      </c>
      <c r="F494" s="61">
        <v>240</v>
      </c>
      <c r="G494" s="61" t="s">
        <v>306</v>
      </c>
      <c r="H494" s="75">
        <v>11927</v>
      </c>
      <c r="I494" s="62" t="s">
        <v>97</v>
      </c>
      <c r="J494" s="61" t="s">
        <v>307</v>
      </c>
      <c r="K494" s="62">
        <v>554</v>
      </c>
      <c r="L494" s="61"/>
      <c r="M494" s="64">
        <v>44147</v>
      </c>
      <c r="N494" s="61" t="s">
        <v>222</v>
      </c>
      <c r="O494" s="61"/>
      <c r="P494" s="61">
        <f t="shared" si="21"/>
        <v>10</v>
      </c>
      <c r="Q494" s="61">
        <f t="shared" si="22"/>
        <v>2020</v>
      </c>
      <c r="R494" s="100">
        <f t="shared" si="23"/>
        <v>6</v>
      </c>
    </row>
    <row r="495" spans="1:18" s="59" customFormat="1" x14ac:dyDescent="0.2">
      <c r="A495" s="69">
        <v>44138</v>
      </c>
      <c r="B495" s="61" t="s">
        <v>835</v>
      </c>
      <c r="C495" s="61" t="s">
        <v>18</v>
      </c>
      <c r="D495" s="73">
        <v>44110</v>
      </c>
      <c r="E495" s="61" t="s">
        <v>43</v>
      </c>
      <c r="F495" s="61">
        <v>73994249</v>
      </c>
      <c r="G495" s="61" t="s">
        <v>1017</v>
      </c>
      <c r="H495" s="75">
        <v>30000</v>
      </c>
      <c r="I495" s="62" t="s">
        <v>97</v>
      </c>
      <c r="J495" s="61" t="s">
        <v>1018</v>
      </c>
      <c r="K495" s="62">
        <v>555</v>
      </c>
      <c r="L495" s="61"/>
      <c r="M495" s="64">
        <v>44140</v>
      </c>
      <c r="N495" s="61" t="s">
        <v>139</v>
      </c>
      <c r="O495" s="61"/>
      <c r="P495" s="61">
        <f t="shared" si="21"/>
        <v>10</v>
      </c>
      <c r="Q495" s="61">
        <f t="shared" si="22"/>
        <v>2020</v>
      </c>
      <c r="R495" s="100">
        <f t="shared" si="23"/>
        <v>6</v>
      </c>
    </row>
    <row r="496" spans="1:18" s="59" customFormat="1" x14ac:dyDescent="0.2">
      <c r="A496" s="69">
        <v>44138</v>
      </c>
      <c r="B496" s="61" t="s">
        <v>835</v>
      </c>
      <c r="C496" s="61" t="s">
        <v>18</v>
      </c>
      <c r="D496" s="73">
        <v>44114</v>
      </c>
      <c r="E496" s="61" t="s">
        <v>79</v>
      </c>
      <c r="F496" s="61">
        <v>61544622</v>
      </c>
      <c r="G496" s="61" t="s">
        <v>1019</v>
      </c>
      <c r="H496" s="75">
        <v>15000</v>
      </c>
      <c r="I496" s="62" t="s">
        <v>97</v>
      </c>
      <c r="J496" s="61" t="s">
        <v>1020</v>
      </c>
      <c r="K496" s="62">
        <v>556</v>
      </c>
      <c r="L496" s="61"/>
      <c r="M496" s="64">
        <v>44144</v>
      </c>
      <c r="N496" s="61" t="s">
        <v>833</v>
      </c>
      <c r="O496" s="61"/>
      <c r="P496" s="61">
        <f t="shared" si="21"/>
        <v>10</v>
      </c>
      <c r="Q496" s="61">
        <f t="shared" si="22"/>
        <v>2020</v>
      </c>
      <c r="R496" s="100">
        <f t="shared" si="23"/>
        <v>10</v>
      </c>
    </row>
    <row r="497" spans="1:18" s="59" customFormat="1" x14ac:dyDescent="0.2">
      <c r="A497" s="69">
        <v>44138</v>
      </c>
      <c r="B497" s="61" t="s">
        <v>835</v>
      </c>
      <c r="C497" s="61" t="s">
        <v>18</v>
      </c>
      <c r="D497" s="73">
        <v>44114</v>
      </c>
      <c r="E497" s="61" t="s">
        <v>43</v>
      </c>
      <c r="F497" s="61">
        <v>16641701</v>
      </c>
      <c r="G497" s="61" t="s">
        <v>1021</v>
      </c>
      <c r="H497" s="75">
        <v>10000</v>
      </c>
      <c r="I497" s="62" t="s">
        <v>97</v>
      </c>
      <c r="J497" s="61" t="s">
        <v>1022</v>
      </c>
      <c r="K497" s="62">
        <v>557</v>
      </c>
      <c r="L497" s="61"/>
      <c r="M497" s="64">
        <v>44152</v>
      </c>
      <c r="N497" s="61" t="s">
        <v>199</v>
      </c>
      <c r="O497" s="61"/>
      <c r="P497" s="61">
        <f t="shared" si="21"/>
        <v>10</v>
      </c>
      <c r="Q497" s="61">
        <f t="shared" si="22"/>
        <v>2020</v>
      </c>
      <c r="R497" s="100">
        <f t="shared" si="23"/>
        <v>10</v>
      </c>
    </row>
    <row r="498" spans="1:18" s="59" customFormat="1" x14ac:dyDescent="0.2">
      <c r="A498" s="69">
        <v>44138</v>
      </c>
      <c r="B498" s="61" t="s">
        <v>835</v>
      </c>
      <c r="C498" s="61" t="s">
        <v>18</v>
      </c>
      <c r="D498" s="73">
        <v>44114</v>
      </c>
      <c r="E498" s="61" t="s">
        <v>491</v>
      </c>
      <c r="F498" s="61">
        <v>26762745</v>
      </c>
      <c r="G498" s="61" t="s">
        <v>1023</v>
      </c>
      <c r="H498" s="75">
        <v>21000</v>
      </c>
      <c r="I498" s="62" t="s">
        <v>97</v>
      </c>
      <c r="J498" s="61" t="s">
        <v>1024</v>
      </c>
      <c r="K498" s="62">
        <v>558</v>
      </c>
      <c r="L498" s="61"/>
      <c r="M498" s="64">
        <v>44140</v>
      </c>
      <c r="N498" s="61" t="s">
        <v>139</v>
      </c>
      <c r="O498" s="61"/>
      <c r="P498" s="61">
        <f t="shared" si="21"/>
        <v>10</v>
      </c>
      <c r="Q498" s="61">
        <f t="shared" si="22"/>
        <v>2020</v>
      </c>
      <c r="R498" s="100">
        <f t="shared" si="23"/>
        <v>10</v>
      </c>
    </row>
    <row r="499" spans="1:18" s="59" customFormat="1" x14ac:dyDescent="0.2">
      <c r="A499" s="69">
        <v>44138</v>
      </c>
      <c r="B499" s="61" t="s">
        <v>835</v>
      </c>
      <c r="C499" s="61" t="s">
        <v>18</v>
      </c>
      <c r="D499" s="73">
        <v>44114</v>
      </c>
      <c r="E499" s="61" t="s">
        <v>53</v>
      </c>
      <c r="F499" s="61">
        <v>72800040</v>
      </c>
      <c r="G499" s="61" t="s">
        <v>1025</v>
      </c>
      <c r="H499" s="75">
        <v>22388</v>
      </c>
      <c r="I499" s="62" t="s">
        <v>97</v>
      </c>
      <c r="J499" s="61" t="s">
        <v>1026</v>
      </c>
      <c r="K499" s="62">
        <v>559</v>
      </c>
      <c r="L499" s="61"/>
      <c r="M499" s="64">
        <v>44144</v>
      </c>
      <c r="N499" s="61" t="s">
        <v>139</v>
      </c>
      <c r="O499" s="61"/>
      <c r="P499" s="61">
        <f t="shared" si="21"/>
        <v>10</v>
      </c>
      <c r="Q499" s="61">
        <f t="shared" si="22"/>
        <v>2020</v>
      </c>
      <c r="R499" s="100">
        <f t="shared" si="23"/>
        <v>10</v>
      </c>
    </row>
    <row r="500" spans="1:18" s="59" customFormat="1" x14ac:dyDescent="0.2">
      <c r="A500" s="69">
        <v>44138</v>
      </c>
      <c r="B500" s="61" t="s">
        <v>835</v>
      </c>
      <c r="C500" s="61" t="s">
        <v>18</v>
      </c>
      <c r="D500" s="73">
        <v>44114</v>
      </c>
      <c r="E500" s="61" t="s">
        <v>65</v>
      </c>
      <c r="F500" s="61">
        <v>41644200</v>
      </c>
      <c r="G500" s="61" t="s">
        <v>66</v>
      </c>
      <c r="H500" s="75">
        <v>20000</v>
      </c>
      <c r="I500" s="62" t="s">
        <v>97</v>
      </c>
      <c r="J500" s="61" t="s">
        <v>67</v>
      </c>
      <c r="K500" s="62">
        <v>560</v>
      </c>
      <c r="L500" s="61"/>
      <c r="M500" s="64">
        <v>44145</v>
      </c>
      <c r="N500" s="61" t="s">
        <v>323</v>
      </c>
      <c r="O500" s="61"/>
      <c r="P500" s="61">
        <f t="shared" si="21"/>
        <v>10</v>
      </c>
      <c r="Q500" s="61">
        <f t="shared" si="22"/>
        <v>2020</v>
      </c>
      <c r="R500" s="100">
        <f t="shared" si="23"/>
        <v>10</v>
      </c>
    </row>
    <row r="501" spans="1:18" s="59" customFormat="1" x14ac:dyDescent="0.2">
      <c r="A501" s="69">
        <v>44138</v>
      </c>
      <c r="B501" s="61" t="s">
        <v>835</v>
      </c>
      <c r="C501" s="61" t="s">
        <v>18</v>
      </c>
      <c r="D501" s="73">
        <v>44116</v>
      </c>
      <c r="E501" s="61" t="s">
        <v>312</v>
      </c>
      <c r="F501" s="61">
        <v>7703294</v>
      </c>
      <c r="G501" s="61" t="s">
        <v>313</v>
      </c>
      <c r="H501" s="75">
        <v>20000</v>
      </c>
      <c r="I501" s="62" t="s">
        <v>97</v>
      </c>
      <c r="J501" s="61" t="s">
        <v>314</v>
      </c>
      <c r="K501" s="62">
        <v>561</v>
      </c>
      <c r="L501" s="61"/>
      <c r="M501" s="64">
        <v>44144</v>
      </c>
      <c r="N501" s="61" t="s">
        <v>139</v>
      </c>
      <c r="O501" s="61"/>
      <c r="P501" s="61">
        <f t="shared" si="21"/>
        <v>10</v>
      </c>
      <c r="Q501" s="61">
        <f t="shared" si="22"/>
        <v>2020</v>
      </c>
      <c r="R501" s="100">
        <f t="shared" si="23"/>
        <v>12</v>
      </c>
    </row>
    <row r="502" spans="1:18" s="59" customFormat="1" x14ac:dyDescent="0.2">
      <c r="A502" s="69">
        <v>44138</v>
      </c>
      <c r="B502" s="61" t="s">
        <v>835</v>
      </c>
      <c r="C502" s="61" t="s">
        <v>18</v>
      </c>
      <c r="D502" s="73">
        <v>44118</v>
      </c>
      <c r="E502" s="61" t="s">
        <v>53</v>
      </c>
      <c r="F502" s="61">
        <v>70400240</v>
      </c>
      <c r="G502" s="61" t="s">
        <v>320</v>
      </c>
      <c r="H502" s="75">
        <v>20000</v>
      </c>
      <c r="I502" s="62" t="s">
        <v>97</v>
      </c>
      <c r="J502" s="61" t="s">
        <v>293</v>
      </c>
      <c r="K502" s="62">
        <v>562</v>
      </c>
      <c r="L502" s="61"/>
      <c r="M502" s="64">
        <v>44144</v>
      </c>
      <c r="N502" s="61" t="s">
        <v>1046</v>
      </c>
      <c r="O502" s="61"/>
      <c r="P502" s="61">
        <f t="shared" si="21"/>
        <v>10</v>
      </c>
      <c r="Q502" s="61">
        <f t="shared" si="22"/>
        <v>2020</v>
      </c>
      <c r="R502" s="100">
        <f t="shared" si="23"/>
        <v>14</v>
      </c>
    </row>
    <row r="503" spans="1:18" s="59" customFormat="1" x14ac:dyDescent="0.2">
      <c r="A503" s="69">
        <v>44138</v>
      </c>
      <c r="B503" s="61" t="s">
        <v>835</v>
      </c>
      <c r="C503" s="61" t="s">
        <v>18</v>
      </c>
      <c r="D503" s="73">
        <v>44119</v>
      </c>
      <c r="E503" s="61" t="s">
        <v>57</v>
      </c>
      <c r="F503" s="61">
        <v>874</v>
      </c>
      <c r="G503" s="61" t="s">
        <v>84</v>
      </c>
      <c r="H503" s="75">
        <v>15000</v>
      </c>
      <c r="I503" s="62" t="s">
        <v>97</v>
      </c>
      <c r="J503" s="61" t="s">
        <v>85</v>
      </c>
      <c r="K503" s="62">
        <v>563</v>
      </c>
      <c r="L503" s="61"/>
      <c r="M503" s="64">
        <v>44140</v>
      </c>
      <c r="N503" s="61" t="s">
        <v>139</v>
      </c>
      <c r="O503" s="61"/>
      <c r="P503" s="61">
        <f t="shared" si="21"/>
        <v>10</v>
      </c>
      <c r="Q503" s="61">
        <f t="shared" si="22"/>
        <v>2020</v>
      </c>
      <c r="R503" s="100">
        <f t="shared" si="23"/>
        <v>15</v>
      </c>
    </row>
    <row r="504" spans="1:18" s="59" customFormat="1" x14ac:dyDescent="0.2">
      <c r="A504" s="69">
        <v>44138</v>
      </c>
      <c r="B504" s="61" t="s">
        <v>835</v>
      </c>
      <c r="C504" s="61" t="s">
        <v>18</v>
      </c>
      <c r="D504" s="73">
        <v>44119</v>
      </c>
      <c r="E504" s="61" t="s">
        <v>43</v>
      </c>
      <c r="F504" s="61">
        <v>19012153</v>
      </c>
      <c r="G504" s="61" t="s">
        <v>308</v>
      </c>
      <c r="H504" s="75">
        <v>25000</v>
      </c>
      <c r="I504" s="62" t="s">
        <v>97</v>
      </c>
      <c r="J504" s="61" t="s">
        <v>309</v>
      </c>
      <c r="K504" s="62">
        <v>564</v>
      </c>
      <c r="L504" s="61"/>
      <c r="M504" s="64">
        <v>44140</v>
      </c>
      <c r="N504" s="61" t="s">
        <v>139</v>
      </c>
      <c r="O504" s="61"/>
      <c r="P504" s="61">
        <f t="shared" si="21"/>
        <v>10</v>
      </c>
      <c r="Q504" s="61">
        <f t="shared" si="22"/>
        <v>2020</v>
      </c>
      <c r="R504" s="100">
        <f t="shared" si="23"/>
        <v>15</v>
      </c>
    </row>
    <row r="505" spans="1:18" s="59" customFormat="1" x14ac:dyDescent="0.2">
      <c r="A505" s="69">
        <v>44138</v>
      </c>
      <c r="B505" s="61" t="s">
        <v>835</v>
      </c>
      <c r="C505" s="61" t="s">
        <v>18</v>
      </c>
      <c r="D505" s="73">
        <v>44119</v>
      </c>
      <c r="E505" s="61" t="s">
        <v>491</v>
      </c>
      <c r="F505" s="61">
        <v>27686521</v>
      </c>
      <c r="G505" s="61" t="s">
        <v>1027</v>
      </c>
      <c r="H505" s="75">
        <v>25000</v>
      </c>
      <c r="I505" s="62" t="s">
        <v>97</v>
      </c>
      <c r="J505" s="61" t="s">
        <v>1028</v>
      </c>
      <c r="K505" s="62">
        <v>565</v>
      </c>
      <c r="L505" s="61"/>
      <c r="M505" s="64">
        <v>44144</v>
      </c>
      <c r="N505" s="61" t="s">
        <v>833</v>
      </c>
      <c r="O505" s="61"/>
      <c r="P505" s="61">
        <f t="shared" si="21"/>
        <v>10</v>
      </c>
      <c r="Q505" s="61">
        <f t="shared" si="22"/>
        <v>2020</v>
      </c>
      <c r="R505" s="100">
        <f t="shared" si="23"/>
        <v>15</v>
      </c>
    </row>
    <row r="506" spans="1:18" s="59" customFormat="1" x14ac:dyDescent="0.2">
      <c r="A506" s="69">
        <v>44138</v>
      </c>
      <c r="B506" s="61" t="s">
        <v>835</v>
      </c>
      <c r="C506" s="61" t="s">
        <v>18</v>
      </c>
      <c r="D506" s="73">
        <v>44119</v>
      </c>
      <c r="E506" s="61" t="s">
        <v>170</v>
      </c>
      <c r="F506" s="61">
        <v>89909962</v>
      </c>
      <c r="G506" s="61" t="s">
        <v>1029</v>
      </c>
      <c r="H506" s="75">
        <v>27081</v>
      </c>
      <c r="I506" s="62" t="s">
        <v>97</v>
      </c>
      <c r="J506" s="61" t="s">
        <v>1030</v>
      </c>
      <c r="K506" s="62">
        <v>566</v>
      </c>
      <c r="L506" s="61"/>
      <c r="M506" s="64">
        <v>44144</v>
      </c>
      <c r="N506" s="61" t="s">
        <v>139</v>
      </c>
      <c r="O506" s="61"/>
      <c r="P506" s="61">
        <f t="shared" si="21"/>
        <v>10</v>
      </c>
      <c r="Q506" s="61">
        <f t="shared" si="22"/>
        <v>2020</v>
      </c>
      <c r="R506" s="100">
        <f t="shared" si="23"/>
        <v>15</v>
      </c>
    </row>
    <row r="507" spans="1:18" s="59" customFormat="1" x14ac:dyDescent="0.2">
      <c r="A507" s="69">
        <v>44138</v>
      </c>
      <c r="B507" s="61" t="s">
        <v>835</v>
      </c>
      <c r="C507" s="61" t="s">
        <v>18</v>
      </c>
      <c r="D507" s="73">
        <v>44120</v>
      </c>
      <c r="E507" s="61" t="s">
        <v>849</v>
      </c>
      <c r="F507" s="61">
        <v>82846191</v>
      </c>
      <c r="G507" s="61" t="s">
        <v>297</v>
      </c>
      <c r="H507" s="75">
        <v>20000</v>
      </c>
      <c r="I507" s="62" t="s">
        <v>1070</v>
      </c>
      <c r="J507" s="61" t="s">
        <v>298</v>
      </c>
      <c r="K507" s="62">
        <v>567</v>
      </c>
      <c r="L507" s="61"/>
      <c r="M507" s="64">
        <v>44144</v>
      </c>
      <c r="N507" s="61" t="s">
        <v>139</v>
      </c>
      <c r="O507" s="61" t="s">
        <v>1071</v>
      </c>
      <c r="P507" s="61">
        <f t="shared" si="21"/>
        <v>10</v>
      </c>
      <c r="Q507" s="61">
        <f t="shared" si="22"/>
        <v>2020</v>
      </c>
      <c r="R507" s="100">
        <f t="shared" si="23"/>
        <v>16</v>
      </c>
    </row>
    <row r="508" spans="1:18" s="59" customFormat="1" x14ac:dyDescent="0.2">
      <c r="A508" s="69">
        <v>44138</v>
      </c>
      <c r="B508" s="61" t="s">
        <v>835</v>
      </c>
      <c r="C508" s="61" t="s">
        <v>18</v>
      </c>
      <c r="D508" s="73">
        <v>44122</v>
      </c>
      <c r="E508" s="61" t="s">
        <v>53</v>
      </c>
      <c r="F508" s="61">
        <v>70400232</v>
      </c>
      <c r="G508" s="61" t="s">
        <v>320</v>
      </c>
      <c r="H508" s="75">
        <v>28000</v>
      </c>
      <c r="I508" s="62" t="s">
        <v>97</v>
      </c>
      <c r="J508" s="61" t="s">
        <v>293</v>
      </c>
      <c r="K508" s="62">
        <v>568</v>
      </c>
      <c r="L508" s="61"/>
      <c r="M508" s="64">
        <v>44144</v>
      </c>
      <c r="N508" s="61" t="s">
        <v>139</v>
      </c>
      <c r="O508" s="61"/>
      <c r="P508" s="61">
        <f t="shared" si="21"/>
        <v>10</v>
      </c>
      <c r="Q508" s="61">
        <f t="shared" si="22"/>
        <v>2020</v>
      </c>
      <c r="R508" s="100">
        <f t="shared" si="23"/>
        <v>18</v>
      </c>
    </row>
    <row r="509" spans="1:18" s="59" customFormat="1" x14ac:dyDescent="0.2">
      <c r="A509" s="69">
        <v>44138</v>
      </c>
      <c r="B509" s="61" t="s">
        <v>835</v>
      </c>
      <c r="C509" s="61" t="s">
        <v>18</v>
      </c>
      <c r="D509" s="73">
        <v>44122</v>
      </c>
      <c r="E509" s="61" t="s">
        <v>43</v>
      </c>
      <c r="F509" s="61">
        <v>15637147</v>
      </c>
      <c r="G509" s="61" t="s">
        <v>1031</v>
      </c>
      <c r="H509" s="75">
        <v>23367</v>
      </c>
      <c r="I509" s="62" t="s">
        <v>49</v>
      </c>
      <c r="J509" s="61" t="s">
        <v>1032</v>
      </c>
      <c r="K509" s="62">
        <v>569</v>
      </c>
      <c r="L509" s="61"/>
      <c r="M509" s="64">
        <v>44147</v>
      </c>
      <c r="N509" s="61"/>
      <c r="O509" s="61"/>
      <c r="P509" s="61">
        <f t="shared" si="21"/>
        <v>10</v>
      </c>
      <c r="Q509" s="61">
        <f t="shared" si="22"/>
        <v>2020</v>
      </c>
      <c r="R509" s="100">
        <f t="shared" si="23"/>
        <v>18</v>
      </c>
    </row>
    <row r="510" spans="1:18" s="59" customFormat="1" x14ac:dyDescent="0.2">
      <c r="A510" s="69">
        <v>44138</v>
      </c>
      <c r="B510" s="61" t="s">
        <v>835</v>
      </c>
      <c r="C510" s="61" t="s">
        <v>18</v>
      </c>
      <c r="D510" s="73">
        <v>44124</v>
      </c>
      <c r="E510" s="61" t="s">
        <v>123</v>
      </c>
      <c r="F510" s="61">
        <v>24972498</v>
      </c>
      <c r="G510" s="61" t="s">
        <v>1033</v>
      </c>
      <c r="H510" s="75">
        <v>24820</v>
      </c>
      <c r="I510" s="62" t="s">
        <v>97</v>
      </c>
      <c r="J510" s="61" t="s">
        <v>1034</v>
      </c>
      <c r="K510" s="62">
        <v>570</v>
      </c>
      <c r="L510" s="61"/>
      <c r="M510" s="64">
        <v>44140</v>
      </c>
      <c r="N510" s="61" t="s">
        <v>139</v>
      </c>
      <c r="O510" s="61"/>
      <c r="P510" s="61">
        <f t="shared" si="21"/>
        <v>10</v>
      </c>
      <c r="Q510" s="61">
        <f t="shared" si="22"/>
        <v>2020</v>
      </c>
      <c r="R510" s="100">
        <f t="shared" si="23"/>
        <v>20</v>
      </c>
    </row>
    <row r="511" spans="1:18" s="59" customFormat="1" x14ac:dyDescent="0.2">
      <c r="A511" s="69">
        <v>44138</v>
      </c>
      <c r="B511" s="61" t="s">
        <v>835</v>
      </c>
      <c r="C511" s="61" t="s">
        <v>18</v>
      </c>
      <c r="D511" s="73">
        <v>44124</v>
      </c>
      <c r="E511" s="61" t="s">
        <v>65</v>
      </c>
      <c r="F511" s="61">
        <v>40676291</v>
      </c>
      <c r="G511" s="61" t="s">
        <v>90</v>
      </c>
      <c r="H511" s="75">
        <v>40000</v>
      </c>
      <c r="I511" s="62" t="s">
        <v>49</v>
      </c>
      <c r="J511" s="61" t="s">
        <v>91</v>
      </c>
      <c r="K511" s="62">
        <v>571</v>
      </c>
      <c r="L511" s="61"/>
      <c r="M511" s="64">
        <v>44147</v>
      </c>
      <c r="N511" s="61"/>
      <c r="O511" s="61"/>
      <c r="P511" s="61">
        <f t="shared" si="21"/>
        <v>10</v>
      </c>
      <c r="Q511" s="61">
        <f t="shared" si="22"/>
        <v>2020</v>
      </c>
      <c r="R511" s="100">
        <f t="shared" si="23"/>
        <v>20</v>
      </c>
    </row>
    <row r="512" spans="1:18" s="59" customFormat="1" x14ac:dyDescent="0.2">
      <c r="A512" s="69">
        <v>44138</v>
      </c>
      <c r="B512" s="61" t="s">
        <v>835</v>
      </c>
      <c r="C512" s="61" t="s">
        <v>18</v>
      </c>
      <c r="D512" s="73">
        <v>44124</v>
      </c>
      <c r="E512" s="61" t="s">
        <v>57</v>
      </c>
      <c r="F512" s="61">
        <v>136068</v>
      </c>
      <c r="G512" s="61" t="s">
        <v>1035</v>
      </c>
      <c r="H512" s="75">
        <v>25000</v>
      </c>
      <c r="I512" s="62" t="s">
        <v>97</v>
      </c>
      <c r="J512" s="61" t="s">
        <v>1036</v>
      </c>
      <c r="K512" s="62">
        <v>572</v>
      </c>
      <c r="L512" s="61"/>
      <c r="M512" s="64">
        <v>44144</v>
      </c>
      <c r="N512" s="61" t="s">
        <v>139</v>
      </c>
      <c r="O512" s="61"/>
      <c r="P512" s="61">
        <f t="shared" si="21"/>
        <v>10</v>
      </c>
      <c r="Q512" s="61">
        <f t="shared" si="22"/>
        <v>2020</v>
      </c>
      <c r="R512" s="100">
        <f t="shared" si="23"/>
        <v>20</v>
      </c>
    </row>
    <row r="513" spans="1:18" s="59" customFormat="1" x14ac:dyDescent="0.2">
      <c r="A513" s="69">
        <v>44138</v>
      </c>
      <c r="B513" s="61" t="s">
        <v>835</v>
      </c>
      <c r="C513" s="61" t="s">
        <v>18</v>
      </c>
      <c r="D513" s="73">
        <v>44126</v>
      </c>
      <c r="E513" s="61" t="s">
        <v>840</v>
      </c>
      <c r="F513" s="61">
        <v>892028</v>
      </c>
      <c r="G513" s="61" t="s">
        <v>1037</v>
      </c>
      <c r="H513" s="75">
        <v>12000</v>
      </c>
      <c r="I513" s="62" t="s">
        <v>97</v>
      </c>
      <c r="J513" s="61" t="s">
        <v>1038</v>
      </c>
      <c r="K513" s="62">
        <v>573</v>
      </c>
      <c r="L513" s="61"/>
      <c r="M513" s="64">
        <v>44139</v>
      </c>
      <c r="N513" s="61" t="s">
        <v>1041</v>
      </c>
      <c r="O513" s="61"/>
      <c r="P513" s="61">
        <f t="shared" si="21"/>
        <v>10</v>
      </c>
      <c r="Q513" s="61">
        <f t="shared" si="22"/>
        <v>2020</v>
      </c>
      <c r="R513" s="100">
        <f t="shared" si="23"/>
        <v>22</v>
      </c>
    </row>
    <row r="514" spans="1:18" s="59" customFormat="1" x14ac:dyDescent="0.2">
      <c r="A514" s="69">
        <v>44138</v>
      </c>
      <c r="B514" s="61" t="s">
        <v>835</v>
      </c>
      <c r="C514" s="61" t="s">
        <v>18</v>
      </c>
      <c r="D514" s="73">
        <v>44127</v>
      </c>
      <c r="E514" s="61" t="s">
        <v>849</v>
      </c>
      <c r="F514" s="61">
        <v>82846192</v>
      </c>
      <c r="G514" s="61" t="s">
        <v>297</v>
      </c>
      <c r="H514" s="75">
        <v>20000</v>
      </c>
      <c r="I514" s="62" t="s">
        <v>97</v>
      </c>
      <c r="J514" s="61" t="s">
        <v>298</v>
      </c>
      <c r="K514" s="62">
        <v>574</v>
      </c>
      <c r="L514" s="61"/>
      <c r="M514" s="64">
        <v>44144</v>
      </c>
      <c r="N514" s="61" t="s">
        <v>1047</v>
      </c>
      <c r="O514" s="61"/>
      <c r="P514" s="61">
        <f t="shared" ref="P514:P577" si="24">MONTH(D514)</f>
        <v>10</v>
      </c>
      <c r="Q514" s="61">
        <f t="shared" ref="Q514:Q577" si="25">YEAR(D514)</f>
        <v>2020</v>
      </c>
      <c r="R514" s="100">
        <f t="shared" si="23"/>
        <v>23</v>
      </c>
    </row>
    <row r="515" spans="1:18" s="59" customFormat="1" x14ac:dyDescent="0.2">
      <c r="A515" s="69">
        <v>44138</v>
      </c>
      <c r="B515" s="61" t="s">
        <v>835</v>
      </c>
      <c r="C515" s="61" t="s">
        <v>18</v>
      </c>
      <c r="D515" s="73">
        <v>44127</v>
      </c>
      <c r="E515" s="61" t="s">
        <v>491</v>
      </c>
      <c r="F515" s="61">
        <v>27761055</v>
      </c>
      <c r="G515" s="61" t="s">
        <v>901</v>
      </c>
      <c r="H515" s="75">
        <v>25000</v>
      </c>
      <c r="I515" s="62" t="s">
        <v>97</v>
      </c>
      <c r="J515" s="61" t="s">
        <v>902</v>
      </c>
      <c r="K515" s="62">
        <v>575</v>
      </c>
      <c r="L515" s="61"/>
      <c r="M515" s="64">
        <v>44144</v>
      </c>
      <c r="N515" s="61" t="s">
        <v>139</v>
      </c>
      <c r="O515" s="61"/>
      <c r="P515" s="61">
        <f t="shared" si="24"/>
        <v>10</v>
      </c>
      <c r="Q515" s="61">
        <f t="shared" si="25"/>
        <v>2020</v>
      </c>
      <c r="R515" s="100">
        <f t="shared" ref="R515:R578" si="26">DAY(D515)</f>
        <v>23</v>
      </c>
    </row>
    <row r="516" spans="1:18" s="59" customFormat="1" x14ac:dyDescent="0.2">
      <c r="A516" s="69">
        <v>44138</v>
      </c>
      <c r="B516" s="61" t="s">
        <v>835</v>
      </c>
      <c r="C516" s="61" t="s">
        <v>18</v>
      </c>
      <c r="D516" s="73">
        <v>44128</v>
      </c>
      <c r="E516" s="61" t="s">
        <v>65</v>
      </c>
      <c r="F516" s="61">
        <v>42575201</v>
      </c>
      <c r="G516" s="61" t="s">
        <v>66</v>
      </c>
      <c r="H516" s="75">
        <v>20000</v>
      </c>
      <c r="I516" s="62" t="s">
        <v>49</v>
      </c>
      <c r="J516" s="61" t="s">
        <v>67</v>
      </c>
      <c r="K516" s="62">
        <v>576</v>
      </c>
      <c r="L516" s="61"/>
      <c r="M516" s="64">
        <v>44152</v>
      </c>
      <c r="N516" s="61"/>
      <c r="O516" s="61"/>
      <c r="P516" s="61">
        <f t="shared" si="24"/>
        <v>10</v>
      </c>
      <c r="Q516" s="61">
        <f t="shared" si="25"/>
        <v>2020</v>
      </c>
      <c r="R516" s="100">
        <f t="shared" si="26"/>
        <v>24</v>
      </c>
    </row>
    <row r="517" spans="1:18" s="59" customFormat="1" x14ac:dyDescent="0.2">
      <c r="A517" s="69">
        <v>44138</v>
      </c>
      <c r="B517" s="61" t="s">
        <v>835</v>
      </c>
      <c r="C517" s="61" t="s">
        <v>18</v>
      </c>
      <c r="D517" s="73">
        <v>44129</v>
      </c>
      <c r="E517" s="61" t="s">
        <v>148</v>
      </c>
      <c r="F517" s="61">
        <v>21316546</v>
      </c>
      <c r="G517" s="61" t="s">
        <v>290</v>
      </c>
      <c r="H517" s="75">
        <v>30000</v>
      </c>
      <c r="I517" s="62" t="s">
        <v>49</v>
      </c>
      <c r="J517" s="61" t="s">
        <v>291</v>
      </c>
      <c r="K517" s="62">
        <v>577</v>
      </c>
      <c r="L517" s="61"/>
      <c r="M517" s="64">
        <v>44152</v>
      </c>
      <c r="N517" s="61"/>
      <c r="O517" s="61"/>
      <c r="P517" s="61">
        <f t="shared" si="24"/>
        <v>10</v>
      </c>
      <c r="Q517" s="61">
        <f t="shared" si="25"/>
        <v>2020</v>
      </c>
      <c r="R517" s="100">
        <f t="shared" si="26"/>
        <v>25</v>
      </c>
    </row>
    <row r="518" spans="1:18" s="59" customFormat="1" x14ac:dyDescent="0.2">
      <c r="A518" s="69">
        <v>44138</v>
      </c>
      <c r="B518" s="61" t="s">
        <v>835</v>
      </c>
      <c r="C518" s="61" t="s">
        <v>18</v>
      </c>
      <c r="D518" s="73">
        <v>44135</v>
      </c>
      <c r="E518" s="61" t="s">
        <v>65</v>
      </c>
      <c r="F518" s="61">
        <v>23205118</v>
      </c>
      <c r="G518" s="61" t="s">
        <v>1039</v>
      </c>
      <c r="H518" s="75">
        <v>40000</v>
      </c>
      <c r="I518" s="62" t="s">
        <v>49</v>
      </c>
      <c r="J518" s="61" t="s">
        <v>1040</v>
      </c>
      <c r="K518" s="62">
        <v>578</v>
      </c>
      <c r="L518" s="61"/>
      <c r="M518" s="64">
        <v>44154</v>
      </c>
      <c r="N518" s="61"/>
      <c r="O518" s="61"/>
      <c r="P518" s="61">
        <f t="shared" si="24"/>
        <v>10</v>
      </c>
      <c r="Q518" s="61">
        <f t="shared" si="25"/>
        <v>2020</v>
      </c>
      <c r="R518" s="100">
        <f t="shared" si="26"/>
        <v>31</v>
      </c>
    </row>
    <row r="519" spans="1:18" s="59" customFormat="1" x14ac:dyDescent="0.2">
      <c r="A519" s="69">
        <v>44144</v>
      </c>
      <c r="B519" s="61" t="s">
        <v>212</v>
      </c>
      <c r="C519" s="61" t="s">
        <v>18</v>
      </c>
      <c r="D519" s="125">
        <v>44237</v>
      </c>
      <c r="E519" s="61" t="s">
        <v>185</v>
      </c>
      <c r="F519" s="61">
        <v>537179</v>
      </c>
      <c r="G519" s="61" t="s">
        <v>898</v>
      </c>
      <c r="H519" s="75">
        <v>35056</v>
      </c>
      <c r="I519" s="62" t="s">
        <v>49</v>
      </c>
      <c r="J519" s="61" t="s">
        <v>211</v>
      </c>
      <c r="K519" s="62">
        <v>579</v>
      </c>
      <c r="L519" s="61"/>
      <c r="M519" s="64">
        <v>44244</v>
      </c>
      <c r="N519" s="61"/>
      <c r="O519" s="61"/>
      <c r="P519" s="61">
        <f t="shared" si="24"/>
        <v>2</v>
      </c>
      <c r="Q519" s="61">
        <f t="shared" si="25"/>
        <v>2021</v>
      </c>
      <c r="R519" s="100">
        <f t="shared" si="26"/>
        <v>10</v>
      </c>
    </row>
    <row r="520" spans="1:18" s="59" customFormat="1" x14ac:dyDescent="0.2">
      <c r="A520" s="69">
        <v>44144</v>
      </c>
      <c r="B520" s="61" t="s">
        <v>212</v>
      </c>
      <c r="C520" s="61" t="s">
        <v>18</v>
      </c>
      <c r="D520" s="73">
        <v>44194</v>
      </c>
      <c r="E520" s="61" t="s">
        <v>123</v>
      </c>
      <c r="F520" s="61">
        <v>66959340</v>
      </c>
      <c r="G520" s="61" t="s">
        <v>1042</v>
      </c>
      <c r="H520" s="75">
        <v>28659</v>
      </c>
      <c r="I520" s="62" t="s">
        <v>97</v>
      </c>
      <c r="J520" s="61" t="s">
        <v>1043</v>
      </c>
      <c r="K520" s="62">
        <v>580</v>
      </c>
      <c r="L520" s="61"/>
      <c r="M520" s="64">
        <v>44144</v>
      </c>
      <c r="N520" s="61" t="s">
        <v>139</v>
      </c>
      <c r="O520" s="61"/>
      <c r="P520" s="61">
        <f t="shared" si="24"/>
        <v>12</v>
      </c>
      <c r="Q520" s="61">
        <f t="shared" si="25"/>
        <v>2020</v>
      </c>
      <c r="R520" s="100">
        <f t="shared" si="26"/>
        <v>29</v>
      </c>
    </row>
    <row r="521" spans="1:18" s="59" customFormat="1" x14ac:dyDescent="0.2">
      <c r="A521" s="69">
        <v>44144</v>
      </c>
      <c r="B521" s="61" t="s">
        <v>212</v>
      </c>
      <c r="C521" s="61" t="s">
        <v>18</v>
      </c>
      <c r="D521" s="73">
        <v>44178</v>
      </c>
      <c r="E521" s="61" t="s">
        <v>123</v>
      </c>
      <c r="F521" s="61">
        <v>66959328</v>
      </c>
      <c r="G521" s="61" t="s">
        <v>1042</v>
      </c>
      <c r="H521" s="75">
        <v>19130</v>
      </c>
      <c r="I521" s="62" t="s">
        <v>97</v>
      </c>
      <c r="J521" s="61" t="s">
        <v>1043</v>
      </c>
      <c r="K521" s="62">
        <v>581</v>
      </c>
      <c r="L521" s="61"/>
      <c r="M521" s="64">
        <v>44144</v>
      </c>
      <c r="N521" s="61" t="s">
        <v>139</v>
      </c>
      <c r="O521" s="61"/>
      <c r="P521" s="61">
        <f t="shared" si="24"/>
        <v>12</v>
      </c>
      <c r="Q521" s="61">
        <f t="shared" si="25"/>
        <v>2020</v>
      </c>
      <c r="R521" s="100">
        <f t="shared" si="26"/>
        <v>13</v>
      </c>
    </row>
    <row r="522" spans="1:18" s="59" customFormat="1" x14ac:dyDescent="0.2">
      <c r="A522" s="69">
        <v>44144</v>
      </c>
      <c r="B522" s="61" t="s">
        <v>212</v>
      </c>
      <c r="C522" s="61" t="s">
        <v>18</v>
      </c>
      <c r="D522" s="73">
        <v>44163</v>
      </c>
      <c r="E522" s="61" t="s">
        <v>123</v>
      </c>
      <c r="F522" s="61">
        <v>66959327</v>
      </c>
      <c r="G522" s="61" t="s">
        <v>1042</v>
      </c>
      <c r="H522" s="75">
        <v>20000</v>
      </c>
      <c r="I522" s="62" t="s">
        <v>97</v>
      </c>
      <c r="J522" s="61" t="s">
        <v>1043</v>
      </c>
      <c r="K522" s="62">
        <v>582</v>
      </c>
      <c r="L522" s="61"/>
      <c r="M522" s="64">
        <v>44144</v>
      </c>
      <c r="N522" s="61" t="s">
        <v>139</v>
      </c>
      <c r="O522" s="61"/>
      <c r="P522" s="61">
        <f t="shared" si="24"/>
        <v>11</v>
      </c>
      <c r="Q522" s="61">
        <f t="shared" si="25"/>
        <v>2020</v>
      </c>
      <c r="R522" s="100">
        <f t="shared" si="26"/>
        <v>28</v>
      </c>
    </row>
    <row r="523" spans="1:18" s="59" customFormat="1" x14ac:dyDescent="0.2">
      <c r="A523" s="69">
        <v>44144</v>
      </c>
      <c r="B523" s="61" t="s">
        <v>212</v>
      </c>
      <c r="C523" s="61" t="s">
        <v>18</v>
      </c>
      <c r="D523" s="73">
        <v>44132</v>
      </c>
      <c r="E523" s="61" t="s">
        <v>43</v>
      </c>
      <c r="F523" s="61">
        <v>15594987</v>
      </c>
      <c r="G523" s="61" t="s">
        <v>1044</v>
      </c>
      <c r="H523" s="75">
        <v>15600</v>
      </c>
      <c r="I523" s="62" t="s">
        <v>49</v>
      </c>
      <c r="J523" s="61" t="s">
        <v>1045</v>
      </c>
      <c r="K523" s="62">
        <v>583</v>
      </c>
      <c r="L523" s="61"/>
      <c r="M523" s="64">
        <v>44152</v>
      </c>
      <c r="N523" s="61"/>
      <c r="O523" s="61"/>
      <c r="P523" s="61">
        <f t="shared" si="24"/>
        <v>10</v>
      </c>
      <c r="Q523" s="61">
        <f t="shared" si="25"/>
        <v>2020</v>
      </c>
      <c r="R523" s="100">
        <f t="shared" si="26"/>
        <v>28</v>
      </c>
    </row>
    <row r="524" spans="1:18" s="59" customFormat="1" x14ac:dyDescent="0.2">
      <c r="A524" s="69">
        <v>44144</v>
      </c>
      <c r="B524" s="61" t="s">
        <v>212</v>
      </c>
      <c r="C524" s="61" t="s">
        <v>18</v>
      </c>
      <c r="D524" s="73">
        <v>44227</v>
      </c>
      <c r="E524" s="61" t="s">
        <v>185</v>
      </c>
      <c r="F524" s="61">
        <v>537178</v>
      </c>
      <c r="G524" s="61" t="s">
        <v>898</v>
      </c>
      <c r="H524" s="75">
        <v>17641.8</v>
      </c>
      <c r="I524" s="62" t="s">
        <v>49</v>
      </c>
      <c r="J524" s="61" t="s">
        <v>211</v>
      </c>
      <c r="K524" s="62">
        <v>584</v>
      </c>
      <c r="L524" s="61"/>
      <c r="M524" s="64">
        <v>44229</v>
      </c>
      <c r="N524" s="61"/>
      <c r="O524" s="61" t="s">
        <v>1110</v>
      </c>
      <c r="P524" s="61">
        <f t="shared" si="24"/>
        <v>1</v>
      </c>
      <c r="Q524" s="61">
        <f t="shared" si="25"/>
        <v>2021</v>
      </c>
      <c r="R524" s="100">
        <f t="shared" si="26"/>
        <v>31</v>
      </c>
    </row>
    <row r="525" spans="1:18" s="59" customFormat="1" x14ac:dyDescent="0.2">
      <c r="A525" s="69">
        <v>44144</v>
      </c>
      <c r="B525" s="61" t="s">
        <v>212</v>
      </c>
      <c r="C525" s="61" t="s">
        <v>18</v>
      </c>
      <c r="D525" s="73">
        <v>44211</v>
      </c>
      <c r="E525" s="61" t="s">
        <v>185</v>
      </c>
      <c r="F525" s="61">
        <v>537177</v>
      </c>
      <c r="G525" s="61" t="s">
        <v>898</v>
      </c>
      <c r="H525" s="75">
        <v>19602</v>
      </c>
      <c r="I525" s="62" t="s">
        <v>97</v>
      </c>
      <c r="J525" s="61" t="s">
        <v>211</v>
      </c>
      <c r="K525" s="62">
        <v>585</v>
      </c>
      <c r="L525" s="61"/>
      <c r="M525" s="64">
        <v>44144</v>
      </c>
      <c r="N525" s="61" t="s">
        <v>833</v>
      </c>
      <c r="O525" s="61"/>
      <c r="P525" s="61">
        <f t="shared" si="24"/>
        <v>1</v>
      </c>
      <c r="Q525" s="61">
        <f t="shared" si="25"/>
        <v>2021</v>
      </c>
      <c r="R525" s="100">
        <f t="shared" si="26"/>
        <v>15</v>
      </c>
    </row>
    <row r="526" spans="1:18" s="59" customFormat="1" x14ac:dyDescent="0.2">
      <c r="A526" s="69">
        <v>44144</v>
      </c>
      <c r="B526" s="61" t="s">
        <v>212</v>
      </c>
      <c r="C526" s="61" t="s">
        <v>18</v>
      </c>
      <c r="D526" s="73">
        <v>44206</v>
      </c>
      <c r="E526" s="61" t="s">
        <v>185</v>
      </c>
      <c r="F526" s="61">
        <v>537174</v>
      </c>
      <c r="G526" s="61" t="s">
        <v>898</v>
      </c>
      <c r="H526" s="75">
        <v>51909</v>
      </c>
      <c r="I526" s="62" t="s">
        <v>97</v>
      </c>
      <c r="J526" s="61" t="s">
        <v>211</v>
      </c>
      <c r="K526" s="62">
        <v>586</v>
      </c>
      <c r="L526" s="61"/>
      <c r="M526" s="64">
        <v>44144</v>
      </c>
      <c r="N526" s="61" t="s">
        <v>139</v>
      </c>
      <c r="O526" s="61"/>
      <c r="P526" s="61">
        <f t="shared" si="24"/>
        <v>1</v>
      </c>
      <c r="Q526" s="61">
        <f t="shared" si="25"/>
        <v>2021</v>
      </c>
      <c r="R526" s="100">
        <f t="shared" si="26"/>
        <v>10</v>
      </c>
    </row>
    <row r="527" spans="1:18" s="59" customFormat="1" x14ac:dyDescent="0.2">
      <c r="A527" s="69">
        <v>44144</v>
      </c>
      <c r="B527" s="61" t="s">
        <v>212</v>
      </c>
      <c r="C527" s="61" t="s">
        <v>18</v>
      </c>
      <c r="D527" s="73">
        <v>44184</v>
      </c>
      <c r="E527" s="61" t="s">
        <v>185</v>
      </c>
      <c r="F527" s="61">
        <v>537173</v>
      </c>
      <c r="G527" s="61" t="s">
        <v>898</v>
      </c>
      <c r="H527" s="75">
        <v>25482.6</v>
      </c>
      <c r="I527" s="62" t="s">
        <v>97</v>
      </c>
      <c r="J527" s="61" t="s">
        <v>211</v>
      </c>
      <c r="K527" s="62">
        <v>587</v>
      </c>
      <c r="L527" s="61"/>
      <c r="M527" s="64">
        <v>44144</v>
      </c>
      <c r="N527" s="61" t="s">
        <v>139</v>
      </c>
      <c r="O527" s="61"/>
      <c r="P527" s="61">
        <f t="shared" si="24"/>
        <v>12</v>
      </c>
      <c r="Q527" s="61">
        <f t="shared" si="25"/>
        <v>2020</v>
      </c>
      <c r="R527" s="100">
        <f t="shared" si="26"/>
        <v>19</v>
      </c>
    </row>
    <row r="528" spans="1:18" s="59" customFormat="1" x14ac:dyDescent="0.2">
      <c r="A528" s="69">
        <v>44144</v>
      </c>
      <c r="B528" s="61" t="s">
        <v>883</v>
      </c>
      <c r="C528" s="61" t="s">
        <v>18</v>
      </c>
      <c r="D528" s="73">
        <v>44150</v>
      </c>
      <c r="E528" s="61" t="s">
        <v>47</v>
      </c>
      <c r="F528" s="61">
        <v>76685438</v>
      </c>
      <c r="G528" s="61" t="s">
        <v>884</v>
      </c>
      <c r="H528" s="75">
        <v>19880</v>
      </c>
      <c r="I528" s="62" t="s">
        <v>49</v>
      </c>
      <c r="J528" s="61" t="s">
        <v>885</v>
      </c>
      <c r="K528" s="62">
        <v>588</v>
      </c>
      <c r="L528" s="61"/>
      <c r="M528" s="64">
        <v>44160</v>
      </c>
      <c r="N528" s="61"/>
      <c r="O528" s="61"/>
      <c r="P528" s="61">
        <f t="shared" si="24"/>
        <v>11</v>
      </c>
      <c r="Q528" s="61">
        <f t="shared" si="25"/>
        <v>2020</v>
      </c>
      <c r="R528" s="100">
        <f t="shared" si="26"/>
        <v>15</v>
      </c>
    </row>
    <row r="529" spans="1:18" s="59" customFormat="1" x14ac:dyDescent="0.2">
      <c r="A529" s="69">
        <v>44145</v>
      </c>
      <c r="B529" s="61" t="s">
        <v>42</v>
      </c>
      <c r="C529" s="61" t="s">
        <v>18</v>
      </c>
      <c r="D529" s="73">
        <v>44200</v>
      </c>
      <c r="E529" s="61" t="s">
        <v>65</v>
      </c>
      <c r="F529" s="61">
        <v>41694918</v>
      </c>
      <c r="G529" s="61" t="s">
        <v>1048</v>
      </c>
      <c r="H529" s="75">
        <v>3900</v>
      </c>
      <c r="I529" s="62" t="s">
        <v>97</v>
      </c>
      <c r="J529" s="61" t="s">
        <v>1049</v>
      </c>
      <c r="K529" s="62">
        <v>589</v>
      </c>
      <c r="L529" s="61"/>
      <c r="M529" s="64">
        <v>43841</v>
      </c>
      <c r="N529" s="61" t="s">
        <v>258</v>
      </c>
      <c r="O529" s="61"/>
      <c r="P529" s="61">
        <f t="shared" si="24"/>
        <v>1</v>
      </c>
      <c r="Q529" s="61">
        <f t="shared" si="25"/>
        <v>2021</v>
      </c>
      <c r="R529" s="100">
        <f t="shared" si="26"/>
        <v>4</v>
      </c>
    </row>
    <row r="530" spans="1:18" s="59" customFormat="1" x14ac:dyDescent="0.2">
      <c r="A530" s="69">
        <v>44145</v>
      </c>
      <c r="B530" s="61" t="s">
        <v>42</v>
      </c>
      <c r="C530" s="61" t="s">
        <v>18</v>
      </c>
      <c r="D530" s="73">
        <v>44160</v>
      </c>
      <c r="E530" s="61" t="s">
        <v>47</v>
      </c>
      <c r="F530" s="61">
        <v>81830625</v>
      </c>
      <c r="G530" s="61" t="s">
        <v>1050</v>
      </c>
      <c r="H530" s="75">
        <v>5100</v>
      </c>
      <c r="I530" s="62" t="s">
        <v>49</v>
      </c>
      <c r="J530" s="61" t="s">
        <v>1051</v>
      </c>
      <c r="K530" s="62">
        <v>590</v>
      </c>
      <c r="L530" s="61"/>
      <c r="M530" s="64">
        <v>44160</v>
      </c>
      <c r="N530" s="61"/>
      <c r="O530" s="61"/>
      <c r="P530" s="61">
        <f t="shared" si="24"/>
        <v>11</v>
      </c>
      <c r="Q530" s="61">
        <f t="shared" si="25"/>
        <v>2020</v>
      </c>
      <c r="R530" s="100">
        <f t="shared" si="26"/>
        <v>25</v>
      </c>
    </row>
    <row r="531" spans="1:18" s="59" customFormat="1" x14ac:dyDescent="0.2">
      <c r="A531" s="69">
        <v>44145</v>
      </c>
      <c r="B531" s="61" t="s">
        <v>42</v>
      </c>
      <c r="C531" s="61" t="s">
        <v>18</v>
      </c>
      <c r="D531" s="73">
        <v>44216</v>
      </c>
      <c r="E531" s="61" t="s">
        <v>57</v>
      </c>
      <c r="F531" s="61">
        <v>71533</v>
      </c>
      <c r="G531" s="61" t="s">
        <v>411</v>
      </c>
      <c r="H531" s="75">
        <v>10921</v>
      </c>
      <c r="I531" s="62" t="s">
        <v>97</v>
      </c>
      <c r="J531" s="61" t="s">
        <v>412</v>
      </c>
      <c r="K531" s="62">
        <v>591</v>
      </c>
      <c r="L531" s="61"/>
      <c r="M531" s="64">
        <v>44175</v>
      </c>
      <c r="N531" s="61" t="s">
        <v>94</v>
      </c>
      <c r="O531" s="61"/>
      <c r="P531" s="61">
        <f t="shared" si="24"/>
        <v>1</v>
      </c>
      <c r="Q531" s="61">
        <f t="shared" si="25"/>
        <v>2021</v>
      </c>
      <c r="R531" s="100">
        <f t="shared" si="26"/>
        <v>20</v>
      </c>
    </row>
    <row r="532" spans="1:18" s="59" customFormat="1" x14ac:dyDescent="0.2">
      <c r="A532" s="69">
        <v>44145</v>
      </c>
      <c r="B532" s="61" t="s">
        <v>42</v>
      </c>
      <c r="C532" s="61" t="s">
        <v>18</v>
      </c>
      <c r="D532" s="73">
        <v>44207</v>
      </c>
      <c r="E532" s="61" t="s">
        <v>57</v>
      </c>
      <c r="F532" s="61">
        <v>71532</v>
      </c>
      <c r="G532" s="61" t="s">
        <v>411</v>
      </c>
      <c r="H532" s="75">
        <v>10700</v>
      </c>
      <c r="I532" s="62" t="s">
        <v>49</v>
      </c>
      <c r="J532" s="61" t="s">
        <v>412</v>
      </c>
      <c r="K532" s="62">
        <v>592</v>
      </c>
      <c r="L532" s="61"/>
      <c r="M532" s="64">
        <v>44210</v>
      </c>
      <c r="N532" s="61"/>
      <c r="O532" s="61"/>
      <c r="P532" s="61">
        <f t="shared" si="24"/>
        <v>1</v>
      </c>
      <c r="Q532" s="61">
        <f t="shared" si="25"/>
        <v>2021</v>
      </c>
      <c r="R532" s="100">
        <f t="shared" si="26"/>
        <v>11</v>
      </c>
    </row>
    <row r="533" spans="1:18" s="59" customFormat="1" x14ac:dyDescent="0.2">
      <c r="A533" s="69">
        <v>44145</v>
      </c>
      <c r="B533" s="61" t="s">
        <v>42</v>
      </c>
      <c r="C533" s="61" t="s">
        <v>18</v>
      </c>
      <c r="D533" s="73">
        <v>44198</v>
      </c>
      <c r="E533" s="61" t="s">
        <v>57</v>
      </c>
      <c r="F533" s="61">
        <v>71531</v>
      </c>
      <c r="G533" s="61" t="s">
        <v>411</v>
      </c>
      <c r="H533" s="75">
        <v>10700</v>
      </c>
      <c r="I533" s="62" t="s">
        <v>97</v>
      </c>
      <c r="J533" s="61" t="s">
        <v>412</v>
      </c>
      <c r="K533" s="62">
        <v>593</v>
      </c>
      <c r="L533" s="61"/>
      <c r="M533" s="64">
        <v>44175</v>
      </c>
      <c r="N533" s="61" t="s">
        <v>94</v>
      </c>
      <c r="O533" s="61"/>
      <c r="P533" s="61">
        <f t="shared" si="24"/>
        <v>1</v>
      </c>
      <c r="Q533" s="61">
        <f t="shared" si="25"/>
        <v>2021</v>
      </c>
      <c r="R533" s="100">
        <f t="shared" si="26"/>
        <v>2</v>
      </c>
    </row>
    <row r="534" spans="1:18" s="59" customFormat="1" x14ac:dyDescent="0.2">
      <c r="A534" s="69">
        <v>44145</v>
      </c>
      <c r="B534" s="61" t="s">
        <v>42</v>
      </c>
      <c r="C534" s="61" t="s">
        <v>18</v>
      </c>
      <c r="D534" s="73">
        <v>44191</v>
      </c>
      <c r="E534" s="61" t="s">
        <v>57</v>
      </c>
      <c r="F534" s="61">
        <v>71530</v>
      </c>
      <c r="G534" s="61" t="s">
        <v>411</v>
      </c>
      <c r="H534" s="75">
        <v>10700</v>
      </c>
      <c r="I534" s="62" t="s">
        <v>97</v>
      </c>
      <c r="J534" s="61" t="s">
        <v>412</v>
      </c>
      <c r="K534" s="62">
        <v>594</v>
      </c>
      <c r="L534" s="61"/>
      <c r="M534" s="64">
        <v>44175</v>
      </c>
      <c r="N534" s="61" t="s">
        <v>94</v>
      </c>
      <c r="O534" s="61"/>
      <c r="P534" s="61">
        <f t="shared" si="24"/>
        <v>12</v>
      </c>
      <c r="Q534" s="61">
        <f t="shared" si="25"/>
        <v>2020</v>
      </c>
      <c r="R534" s="100">
        <f t="shared" si="26"/>
        <v>26</v>
      </c>
    </row>
    <row r="535" spans="1:18" s="59" customFormat="1" x14ac:dyDescent="0.2">
      <c r="A535" s="69">
        <v>44145</v>
      </c>
      <c r="B535" s="61" t="s">
        <v>42</v>
      </c>
      <c r="C535" s="61" t="s">
        <v>18</v>
      </c>
      <c r="D535" s="73">
        <v>44147</v>
      </c>
      <c r="E535" s="61" t="s">
        <v>57</v>
      </c>
      <c r="F535" s="61">
        <v>9310</v>
      </c>
      <c r="G535" s="61" t="s">
        <v>1052</v>
      </c>
      <c r="H535" s="75">
        <v>5000</v>
      </c>
      <c r="I535" s="62" t="s">
        <v>97</v>
      </c>
      <c r="J535" s="61" t="s">
        <v>1053</v>
      </c>
      <c r="K535" s="62">
        <v>595</v>
      </c>
      <c r="L535" s="61"/>
      <c r="M535" s="64">
        <v>44175</v>
      </c>
      <c r="N535" s="61" t="s">
        <v>222</v>
      </c>
      <c r="O535" s="61"/>
      <c r="P535" s="61">
        <f t="shared" si="24"/>
        <v>11</v>
      </c>
      <c r="Q535" s="61">
        <f t="shared" si="25"/>
        <v>2020</v>
      </c>
      <c r="R535" s="100">
        <f t="shared" si="26"/>
        <v>12</v>
      </c>
    </row>
    <row r="536" spans="1:18" s="59" customFormat="1" x14ac:dyDescent="0.2">
      <c r="A536" s="69">
        <v>44145</v>
      </c>
      <c r="B536" s="61" t="s">
        <v>42</v>
      </c>
      <c r="C536" s="61" t="s">
        <v>18</v>
      </c>
      <c r="D536" s="73">
        <v>44137</v>
      </c>
      <c r="E536" s="61" t="s">
        <v>57</v>
      </c>
      <c r="F536" s="61">
        <v>1539149</v>
      </c>
      <c r="G536" s="61" t="s">
        <v>1054</v>
      </c>
      <c r="H536" s="75">
        <v>42472.39</v>
      </c>
      <c r="I536" s="62" t="s">
        <v>49</v>
      </c>
      <c r="J536" s="61" t="s">
        <v>1055</v>
      </c>
      <c r="K536" s="62">
        <v>596</v>
      </c>
      <c r="L536" s="61"/>
      <c r="M536" s="64">
        <v>44154</v>
      </c>
      <c r="N536" s="61"/>
      <c r="O536" s="61"/>
      <c r="P536" s="61">
        <f t="shared" si="24"/>
        <v>11</v>
      </c>
      <c r="Q536" s="61">
        <f t="shared" si="25"/>
        <v>2020</v>
      </c>
      <c r="R536" s="100">
        <f t="shared" si="26"/>
        <v>2</v>
      </c>
    </row>
    <row r="537" spans="1:18" s="59" customFormat="1" x14ac:dyDescent="0.2">
      <c r="A537" s="69">
        <v>44181</v>
      </c>
      <c r="B537" s="61" t="s">
        <v>28</v>
      </c>
      <c r="C537" s="61" t="s">
        <v>18</v>
      </c>
      <c r="D537" s="73">
        <v>44240</v>
      </c>
      <c r="E537" s="61" t="s">
        <v>47</v>
      </c>
      <c r="F537" s="61">
        <v>83621601</v>
      </c>
      <c r="G537" s="61" t="s">
        <v>725</v>
      </c>
      <c r="H537" s="75">
        <v>5838</v>
      </c>
      <c r="I537" s="62" t="s">
        <v>49</v>
      </c>
      <c r="J537" s="61" t="s">
        <v>726</v>
      </c>
      <c r="K537" s="62">
        <v>597</v>
      </c>
      <c r="L537" s="61"/>
      <c r="M537" s="64">
        <v>44244</v>
      </c>
      <c r="N537" s="61"/>
      <c r="O537" s="61"/>
      <c r="P537" s="61">
        <f t="shared" si="24"/>
        <v>2</v>
      </c>
      <c r="Q537" s="61">
        <f t="shared" si="25"/>
        <v>2021</v>
      </c>
      <c r="R537" s="100">
        <f t="shared" si="26"/>
        <v>13</v>
      </c>
    </row>
    <row r="538" spans="1:18" s="59" customFormat="1" x14ac:dyDescent="0.2">
      <c r="A538" s="69">
        <v>44181</v>
      </c>
      <c r="B538" s="61" t="s">
        <v>28</v>
      </c>
      <c r="C538" s="61" t="s">
        <v>18</v>
      </c>
      <c r="D538" s="73">
        <v>44247</v>
      </c>
      <c r="E538" s="61" t="s">
        <v>47</v>
      </c>
      <c r="F538" s="61">
        <v>83621602</v>
      </c>
      <c r="G538" s="61" t="s">
        <v>725</v>
      </c>
      <c r="H538" s="75">
        <v>5838</v>
      </c>
      <c r="I538" s="62" t="s">
        <v>49</v>
      </c>
      <c r="J538" s="61" t="s">
        <v>726</v>
      </c>
      <c r="K538" s="62">
        <v>598</v>
      </c>
      <c r="L538" s="61"/>
      <c r="M538" s="64">
        <v>44249</v>
      </c>
      <c r="N538" s="61"/>
      <c r="O538" s="61"/>
      <c r="P538" s="61">
        <f t="shared" si="24"/>
        <v>2</v>
      </c>
      <c r="Q538" s="61">
        <f t="shared" si="25"/>
        <v>2021</v>
      </c>
      <c r="R538" s="100">
        <f t="shared" si="26"/>
        <v>20</v>
      </c>
    </row>
    <row r="539" spans="1:18" s="59" customFormat="1" x14ac:dyDescent="0.2">
      <c r="A539" s="69">
        <v>44181</v>
      </c>
      <c r="B539" s="61" t="s">
        <v>28</v>
      </c>
      <c r="C539" s="61" t="s">
        <v>18</v>
      </c>
      <c r="D539" s="73">
        <v>44254</v>
      </c>
      <c r="E539" s="61" t="s">
        <v>47</v>
      </c>
      <c r="F539" s="61">
        <v>83621603</v>
      </c>
      <c r="G539" s="61" t="s">
        <v>725</v>
      </c>
      <c r="H539" s="75">
        <v>5838</v>
      </c>
      <c r="I539" s="62" t="s">
        <v>49</v>
      </c>
      <c r="J539" s="61" t="s">
        <v>726</v>
      </c>
      <c r="K539" s="62">
        <v>599</v>
      </c>
      <c r="L539" s="61"/>
      <c r="M539" s="64">
        <v>44256</v>
      </c>
      <c r="N539" s="61"/>
      <c r="O539" s="61"/>
      <c r="P539" s="61">
        <f t="shared" si="24"/>
        <v>2</v>
      </c>
      <c r="Q539" s="61">
        <f t="shared" si="25"/>
        <v>2021</v>
      </c>
      <c r="R539" s="100">
        <f t="shared" si="26"/>
        <v>27</v>
      </c>
    </row>
    <row r="540" spans="1:18" s="59" customFormat="1" x14ac:dyDescent="0.2">
      <c r="A540" s="69">
        <v>44181</v>
      </c>
      <c r="B540" s="61" t="s">
        <v>28</v>
      </c>
      <c r="C540" s="61" t="s">
        <v>18</v>
      </c>
      <c r="D540" s="73">
        <v>44265</v>
      </c>
      <c r="E540" s="61" t="s">
        <v>47</v>
      </c>
      <c r="F540" s="61">
        <v>83621604</v>
      </c>
      <c r="G540" s="61" t="s">
        <v>725</v>
      </c>
      <c r="H540" s="75">
        <v>5838</v>
      </c>
      <c r="I540" s="62" t="s">
        <v>49</v>
      </c>
      <c r="J540" s="61" t="s">
        <v>726</v>
      </c>
      <c r="K540" s="62">
        <v>600</v>
      </c>
      <c r="L540" s="61"/>
      <c r="M540" s="64">
        <v>44270</v>
      </c>
      <c r="N540" s="61"/>
      <c r="O540" s="61"/>
      <c r="P540" s="61">
        <f t="shared" si="24"/>
        <v>3</v>
      </c>
      <c r="Q540" s="61">
        <f t="shared" si="25"/>
        <v>2021</v>
      </c>
      <c r="R540" s="100">
        <f t="shared" si="26"/>
        <v>10</v>
      </c>
    </row>
    <row r="541" spans="1:18" s="59" customFormat="1" x14ac:dyDescent="0.2">
      <c r="A541" s="69">
        <v>44181</v>
      </c>
      <c r="B541" s="61" t="s">
        <v>28</v>
      </c>
      <c r="C541" s="61" t="s">
        <v>18</v>
      </c>
      <c r="D541" s="73">
        <v>44268</v>
      </c>
      <c r="E541" s="61" t="s">
        <v>47</v>
      </c>
      <c r="F541" s="61">
        <v>83621605</v>
      </c>
      <c r="G541" s="61" t="s">
        <v>725</v>
      </c>
      <c r="H541" s="75">
        <v>5838</v>
      </c>
      <c r="I541" s="62" t="s">
        <v>49</v>
      </c>
      <c r="J541" s="61" t="s">
        <v>726</v>
      </c>
      <c r="K541" s="62">
        <v>601</v>
      </c>
      <c r="L541" s="61"/>
      <c r="M541" s="64">
        <v>44270</v>
      </c>
      <c r="N541" s="61"/>
      <c r="O541" s="61"/>
      <c r="P541" s="61">
        <f t="shared" si="24"/>
        <v>3</v>
      </c>
      <c r="Q541" s="61">
        <f t="shared" si="25"/>
        <v>2021</v>
      </c>
      <c r="R541" s="100">
        <f t="shared" si="26"/>
        <v>13</v>
      </c>
    </row>
    <row r="542" spans="1:18" s="59" customFormat="1" x14ac:dyDescent="0.2">
      <c r="A542" s="69">
        <v>44181</v>
      </c>
      <c r="B542" s="61" t="s">
        <v>28</v>
      </c>
      <c r="C542" s="61" t="s">
        <v>18</v>
      </c>
      <c r="D542" s="73">
        <v>44272</v>
      </c>
      <c r="E542" s="61" t="s">
        <v>47</v>
      </c>
      <c r="F542" s="61">
        <v>83621606</v>
      </c>
      <c r="G542" s="61" t="s">
        <v>725</v>
      </c>
      <c r="H542" s="75">
        <v>5838</v>
      </c>
      <c r="I542" s="62" t="s">
        <v>97</v>
      </c>
      <c r="J542" s="61" t="s">
        <v>726</v>
      </c>
      <c r="K542" s="62">
        <v>602</v>
      </c>
      <c r="L542" s="61"/>
      <c r="M542" s="64">
        <v>44274</v>
      </c>
      <c r="N542" s="61" t="s">
        <v>1125</v>
      </c>
      <c r="O542" s="61"/>
      <c r="P542" s="61">
        <f t="shared" si="24"/>
        <v>3</v>
      </c>
      <c r="Q542" s="61">
        <f t="shared" si="25"/>
        <v>2021</v>
      </c>
      <c r="R542" s="100">
        <f t="shared" si="26"/>
        <v>17</v>
      </c>
    </row>
    <row r="543" spans="1:18" s="59" customFormat="1" x14ac:dyDescent="0.2">
      <c r="A543" s="69">
        <v>44187</v>
      </c>
      <c r="B543" s="61" t="s">
        <v>212</v>
      </c>
      <c r="C543" s="61" t="s">
        <v>18</v>
      </c>
      <c r="D543" s="73">
        <v>44251</v>
      </c>
      <c r="E543" s="61" t="s">
        <v>123</v>
      </c>
      <c r="F543" s="61">
        <v>6343411</v>
      </c>
      <c r="G543" s="61" t="s">
        <v>226</v>
      </c>
      <c r="H543" s="75">
        <v>14000</v>
      </c>
      <c r="I543" s="62" t="s">
        <v>49</v>
      </c>
      <c r="J543" s="61" t="s">
        <v>228</v>
      </c>
      <c r="K543" s="62">
        <v>603</v>
      </c>
      <c r="L543" s="61"/>
      <c r="M543" s="64">
        <v>44251</v>
      </c>
      <c r="N543" s="61" t="s">
        <v>1118</v>
      </c>
      <c r="O543" s="61"/>
      <c r="P543" s="61">
        <f t="shared" si="24"/>
        <v>2</v>
      </c>
      <c r="Q543" s="61">
        <f t="shared" si="25"/>
        <v>2021</v>
      </c>
      <c r="R543" s="100">
        <f t="shared" si="26"/>
        <v>24</v>
      </c>
    </row>
    <row r="544" spans="1:18" s="59" customFormat="1" x14ac:dyDescent="0.2">
      <c r="A544" s="69">
        <v>44187</v>
      </c>
      <c r="B544" s="61" t="s">
        <v>212</v>
      </c>
      <c r="C544" s="61" t="s">
        <v>18</v>
      </c>
      <c r="D544" s="73">
        <v>44264</v>
      </c>
      <c r="E544" s="61" t="s">
        <v>123</v>
      </c>
      <c r="F544" s="61">
        <v>6343412</v>
      </c>
      <c r="G544" s="61" t="s">
        <v>226</v>
      </c>
      <c r="H544" s="75">
        <v>14000</v>
      </c>
      <c r="I544" s="62" t="s">
        <v>97</v>
      </c>
      <c r="J544" s="61" t="s">
        <v>228</v>
      </c>
      <c r="K544" s="62">
        <v>604</v>
      </c>
      <c r="L544" s="61"/>
      <c r="M544" s="64">
        <v>44274</v>
      </c>
      <c r="N544" s="61" t="s">
        <v>1125</v>
      </c>
      <c r="O544" s="61"/>
      <c r="P544" s="61">
        <f t="shared" si="24"/>
        <v>3</v>
      </c>
      <c r="Q544" s="61">
        <f t="shared" si="25"/>
        <v>2021</v>
      </c>
      <c r="R544" s="100">
        <f t="shared" si="26"/>
        <v>9</v>
      </c>
    </row>
    <row r="545" spans="1:18" s="59" customFormat="1" x14ac:dyDescent="0.2">
      <c r="A545" s="69">
        <v>44187</v>
      </c>
      <c r="B545" s="61" t="s">
        <v>212</v>
      </c>
      <c r="C545" s="61" t="s">
        <v>18</v>
      </c>
      <c r="D545" s="73">
        <v>44271</v>
      </c>
      <c r="E545" s="61" t="s">
        <v>123</v>
      </c>
      <c r="F545" s="61">
        <v>6343413</v>
      </c>
      <c r="G545" s="61" t="s">
        <v>226</v>
      </c>
      <c r="H545" s="75">
        <v>14000</v>
      </c>
      <c r="I545" s="62" t="s">
        <v>150</v>
      </c>
      <c r="J545" s="61" t="s">
        <v>228</v>
      </c>
      <c r="K545" s="62">
        <v>605</v>
      </c>
      <c r="L545" s="61"/>
      <c r="M545" s="64">
        <v>44263</v>
      </c>
      <c r="N545" s="61"/>
      <c r="O545" s="61"/>
      <c r="P545" s="61">
        <f t="shared" si="24"/>
        <v>3</v>
      </c>
      <c r="Q545" s="61">
        <f t="shared" si="25"/>
        <v>2021</v>
      </c>
      <c r="R545" s="100">
        <f t="shared" si="26"/>
        <v>16</v>
      </c>
    </row>
    <row r="546" spans="1:18" s="59" customFormat="1" x14ac:dyDescent="0.2">
      <c r="A546" s="69">
        <v>44187</v>
      </c>
      <c r="B546" s="61" t="s">
        <v>212</v>
      </c>
      <c r="C546" s="61" t="s">
        <v>18</v>
      </c>
      <c r="D546" s="73">
        <v>44278</v>
      </c>
      <c r="E546" s="61" t="s">
        <v>123</v>
      </c>
      <c r="F546" s="61">
        <v>6343414</v>
      </c>
      <c r="G546" s="61" t="s">
        <v>226</v>
      </c>
      <c r="H546" s="75">
        <v>14000</v>
      </c>
      <c r="I546" s="62" t="s">
        <v>150</v>
      </c>
      <c r="J546" s="61" t="s">
        <v>228</v>
      </c>
      <c r="K546" s="62">
        <v>606</v>
      </c>
      <c r="L546" s="61"/>
      <c r="M546" s="61"/>
      <c r="N546" s="61"/>
      <c r="O546" s="61"/>
      <c r="P546" s="61">
        <f t="shared" si="24"/>
        <v>3</v>
      </c>
      <c r="Q546" s="61">
        <f t="shared" si="25"/>
        <v>2021</v>
      </c>
      <c r="R546" s="100">
        <f t="shared" si="26"/>
        <v>23</v>
      </c>
    </row>
    <row r="547" spans="1:18" s="59" customFormat="1" x14ac:dyDescent="0.2">
      <c r="A547" s="69">
        <v>44187</v>
      </c>
      <c r="B547" s="61" t="s">
        <v>212</v>
      </c>
      <c r="C547" s="61" t="s">
        <v>18</v>
      </c>
      <c r="D547" s="73">
        <v>44285</v>
      </c>
      <c r="E547" s="61" t="s">
        <v>123</v>
      </c>
      <c r="F547" s="61">
        <v>6343415</v>
      </c>
      <c r="G547" s="61" t="s">
        <v>226</v>
      </c>
      <c r="H547" s="75">
        <v>14672</v>
      </c>
      <c r="I547" s="62" t="s">
        <v>150</v>
      </c>
      <c r="J547" s="61" t="s">
        <v>228</v>
      </c>
      <c r="K547" s="62">
        <v>607</v>
      </c>
      <c r="L547" s="61"/>
      <c r="M547" s="61"/>
      <c r="N547" s="61"/>
      <c r="O547" s="61"/>
      <c r="P547" s="61">
        <f t="shared" si="24"/>
        <v>3</v>
      </c>
      <c r="Q547" s="61">
        <f t="shared" si="25"/>
        <v>2021</v>
      </c>
      <c r="R547" s="100">
        <f t="shared" si="26"/>
        <v>30</v>
      </c>
    </row>
    <row r="548" spans="1:18" s="59" customFormat="1" x14ac:dyDescent="0.2">
      <c r="A548" s="69">
        <v>44194</v>
      </c>
      <c r="B548" s="61" t="s">
        <v>212</v>
      </c>
      <c r="C548" s="61" t="s">
        <v>18</v>
      </c>
      <c r="D548" s="73">
        <v>44189</v>
      </c>
      <c r="E548" s="61" t="s">
        <v>57</v>
      </c>
      <c r="F548" s="61">
        <v>1278</v>
      </c>
      <c r="G548" s="61" t="s">
        <v>1068</v>
      </c>
      <c r="H548" s="75">
        <v>14668</v>
      </c>
      <c r="I548" s="62" t="s">
        <v>49</v>
      </c>
      <c r="J548" s="61" t="s">
        <v>1069</v>
      </c>
      <c r="K548" s="62">
        <v>608</v>
      </c>
      <c r="L548" s="61"/>
      <c r="M548" s="64">
        <v>43841</v>
      </c>
      <c r="N548" s="61"/>
      <c r="O548" s="61"/>
      <c r="P548" s="61">
        <f t="shared" si="24"/>
        <v>12</v>
      </c>
      <c r="Q548" s="61">
        <f t="shared" si="25"/>
        <v>2020</v>
      </c>
      <c r="R548" s="100">
        <f t="shared" si="26"/>
        <v>24</v>
      </c>
    </row>
    <row r="549" spans="1:18" s="59" customFormat="1" x14ac:dyDescent="0.2">
      <c r="A549" s="69">
        <v>44194</v>
      </c>
      <c r="B549" s="61" t="s">
        <v>212</v>
      </c>
      <c r="C549" s="61" t="s">
        <v>18</v>
      </c>
      <c r="D549" s="73">
        <v>44199</v>
      </c>
      <c r="E549" s="61" t="s">
        <v>57</v>
      </c>
      <c r="F549" s="61">
        <v>1279</v>
      </c>
      <c r="G549" s="61" t="s">
        <v>1068</v>
      </c>
      <c r="H549" s="75">
        <v>14668</v>
      </c>
      <c r="I549" s="62" t="s">
        <v>49</v>
      </c>
      <c r="J549" s="61" t="s">
        <v>1069</v>
      </c>
      <c r="K549" s="62">
        <v>609</v>
      </c>
      <c r="L549" s="61"/>
      <c r="M549" s="64">
        <v>43841</v>
      </c>
      <c r="N549" s="61"/>
      <c r="O549" s="61"/>
      <c r="P549" s="61">
        <f t="shared" si="24"/>
        <v>1</v>
      </c>
      <c r="Q549" s="61">
        <f t="shared" si="25"/>
        <v>2021</v>
      </c>
      <c r="R549" s="100">
        <f t="shared" si="26"/>
        <v>3</v>
      </c>
    </row>
    <row r="550" spans="1:18" s="59" customFormat="1" x14ac:dyDescent="0.2">
      <c r="A550" s="69">
        <v>44208</v>
      </c>
      <c r="B550" s="61" t="s">
        <v>222</v>
      </c>
      <c r="C550" s="61" t="s">
        <v>18</v>
      </c>
      <c r="D550" s="73">
        <v>44275</v>
      </c>
      <c r="E550" s="61" t="s">
        <v>65</v>
      </c>
      <c r="F550" s="61">
        <v>43202703</v>
      </c>
      <c r="G550" s="61" t="s">
        <v>176</v>
      </c>
      <c r="H550" s="75">
        <v>50000</v>
      </c>
      <c r="I550" s="62" t="s">
        <v>150</v>
      </c>
      <c r="J550" s="61" t="s">
        <v>177</v>
      </c>
      <c r="K550" s="62">
        <v>610</v>
      </c>
      <c r="L550" s="61"/>
      <c r="M550" s="61"/>
      <c r="N550" s="61"/>
      <c r="O550" s="61"/>
      <c r="P550" s="61">
        <f t="shared" si="24"/>
        <v>3</v>
      </c>
      <c r="Q550" s="61">
        <f t="shared" si="25"/>
        <v>2021</v>
      </c>
      <c r="R550" s="100">
        <f t="shared" si="26"/>
        <v>20</v>
      </c>
    </row>
    <row r="551" spans="1:18" s="59" customFormat="1" x14ac:dyDescent="0.2">
      <c r="A551" s="69">
        <v>44208</v>
      </c>
      <c r="B551" s="61" t="s">
        <v>222</v>
      </c>
      <c r="C551" s="61" t="s">
        <v>18</v>
      </c>
      <c r="D551" s="73">
        <v>44286</v>
      </c>
      <c r="E551" s="61" t="s">
        <v>65</v>
      </c>
      <c r="F551" s="61">
        <v>4322704</v>
      </c>
      <c r="G551" s="61" t="s">
        <v>176</v>
      </c>
      <c r="H551" s="75">
        <v>50000</v>
      </c>
      <c r="I551" s="62" t="s">
        <v>150</v>
      </c>
      <c r="J551" s="61" t="s">
        <v>177</v>
      </c>
      <c r="K551" s="62">
        <v>611</v>
      </c>
      <c r="L551" s="61"/>
      <c r="M551" s="61"/>
      <c r="N551" s="61"/>
      <c r="O551" s="61"/>
      <c r="P551" s="61">
        <f t="shared" si="24"/>
        <v>3</v>
      </c>
      <c r="Q551" s="61">
        <f t="shared" si="25"/>
        <v>2021</v>
      </c>
      <c r="R551" s="100">
        <f t="shared" si="26"/>
        <v>31</v>
      </c>
    </row>
    <row r="552" spans="1:18" s="59" customFormat="1" x14ac:dyDescent="0.2">
      <c r="A552" s="69">
        <v>44214</v>
      </c>
      <c r="B552" s="61" t="s">
        <v>835</v>
      </c>
      <c r="C552" s="61" t="s">
        <v>18</v>
      </c>
      <c r="D552" s="73">
        <v>44227</v>
      </c>
      <c r="E552" s="61" t="s">
        <v>491</v>
      </c>
      <c r="F552" s="61">
        <v>27895005</v>
      </c>
      <c r="G552" s="61" t="s">
        <v>1098</v>
      </c>
      <c r="H552" s="75">
        <v>35000</v>
      </c>
      <c r="I552" s="62" t="s">
        <v>49</v>
      </c>
      <c r="J552" s="61" t="s">
        <v>1099</v>
      </c>
      <c r="K552" s="62">
        <v>612</v>
      </c>
      <c r="L552" s="61"/>
      <c r="M552" s="61"/>
      <c r="N552" s="61"/>
      <c r="O552" s="61"/>
      <c r="P552" s="61">
        <f t="shared" si="24"/>
        <v>1</v>
      </c>
      <c r="Q552" s="61">
        <f t="shared" si="25"/>
        <v>2021</v>
      </c>
      <c r="R552" s="100">
        <f t="shared" si="26"/>
        <v>31</v>
      </c>
    </row>
    <row r="553" spans="1:18" s="59" customFormat="1" x14ac:dyDescent="0.2">
      <c r="A553" s="69">
        <v>44214</v>
      </c>
      <c r="B553" s="61" t="s">
        <v>835</v>
      </c>
      <c r="C553" s="61" t="s">
        <v>18</v>
      </c>
      <c r="D553" s="73">
        <v>44227</v>
      </c>
      <c r="E553" s="61" t="s">
        <v>65</v>
      </c>
      <c r="F553" s="61">
        <v>42900980</v>
      </c>
      <c r="G553" s="61" t="s">
        <v>299</v>
      </c>
      <c r="H553" s="75">
        <v>34099.019999999997</v>
      </c>
      <c r="I553" s="62" t="s">
        <v>49</v>
      </c>
      <c r="J553" s="61" t="s">
        <v>300</v>
      </c>
      <c r="K553" s="62">
        <v>613</v>
      </c>
      <c r="L553" s="61"/>
      <c r="M553" s="61"/>
      <c r="N553" s="61"/>
      <c r="O553" s="61"/>
      <c r="P553" s="61">
        <f t="shared" si="24"/>
        <v>1</v>
      </c>
      <c r="Q553" s="61">
        <f t="shared" si="25"/>
        <v>2021</v>
      </c>
      <c r="R553" s="100">
        <f t="shared" si="26"/>
        <v>31</v>
      </c>
    </row>
    <row r="554" spans="1:18" s="59" customFormat="1" x14ac:dyDescent="0.2">
      <c r="A554" s="69">
        <v>44214</v>
      </c>
      <c r="B554" s="61" t="s">
        <v>835</v>
      </c>
      <c r="C554" s="61" t="s">
        <v>18</v>
      </c>
      <c r="D554" s="73">
        <v>44221</v>
      </c>
      <c r="E554" s="61" t="s">
        <v>1100</v>
      </c>
      <c r="F554" s="61">
        <v>7706419</v>
      </c>
      <c r="G554" s="61" t="s">
        <v>1101</v>
      </c>
      <c r="H554" s="75">
        <v>50000</v>
      </c>
      <c r="I554" s="62" t="s">
        <v>49</v>
      </c>
      <c r="J554" s="61" t="s">
        <v>1102</v>
      </c>
      <c r="K554" s="62">
        <v>614</v>
      </c>
      <c r="L554" s="61"/>
      <c r="M554" s="64">
        <v>44223</v>
      </c>
      <c r="N554" s="61"/>
      <c r="O554" s="61"/>
      <c r="P554" s="61">
        <f t="shared" si="24"/>
        <v>1</v>
      </c>
      <c r="Q554" s="61">
        <f t="shared" si="25"/>
        <v>2021</v>
      </c>
      <c r="R554" s="100">
        <f t="shared" si="26"/>
        <v>25</v>
      </c>
    </row>
    <row r="555" spans="1:18" s="59" customFormat="1" x14ac:dyDescent="0.2">
      <c r="A555" s="69">
        <v>44214</v>
      </c>
      <c r="B555" s="61" t="s">
        <v>835</v>
      </c>
      <c r="C555" s="61" t="s">
        <v>18</v>
      </c>
      <c r="D555" s="73">
        <v>44215</v>
      </c>
      <c r="E555" s="61" t="s">
        <v>491</v>
      </c>
      <c r="F555" s="61">
        <v>27850998</v>
      </c>
      <c r="G555" s="61" t="s">
        <v>1103</v>
      </c>
      <c r="H555" s="75">
        <v>43896</v>
      </c>
      <c r="I555" s="62" t="s">
        <v>49</v>
      </c>
      <c r="J555" s="61" t="s">
        <v>1104</v>
      </c>
      <c r="K555" s="62">
        <v>615</v>
      </c>
      <c r="L555" s="61"/>
      <c r="M555" s="64">
        <v>44223</v>
      </c>
      <c r="N555" s="61"/>
      <c r="O555" s="61"/>
      <c r="P555" s="61">
        <f t="shared" si="24"/>
        <v>1</v>
      </c>
      <c r="Q555" s="61">
        <f t="shared" si="25"/>
        <v>2021</v>
      </c>
      <c r="R555" s="100">
        <f t="shared" si="26"/>
        <v>19</v>
      </c>
    </row>
    <row r="556" spans="1:18" s="59" customFormat="1" x14ac:dyDescent="0.2">
      <c r="A556" s="69">
        <v>44214</v>
      </c>
      <c r="B556" s="61" t="s">
        <v>835</v>
      </c>
      <c r="C556" s="61" t="s">
        <v>18</v>
      </c>
      <c r="D556" s="73">
        <v>44212</v>
      </c>
      <c r="E556" s="61" t="s">
        <v>57</v>
      </c>
      <c r="F556" s="61">
        <v>136122</v>
      </c>
      <c r="G556" s="61" t="s">
        <v>1035</v>
      </c>
      <c r="H556" s="75">
        <v>35000</v>
      </c>
      <c r="I556" s="62" t="s">
        <v>97</v>
      </c>
      <c r="J556" s="61" t="s">
        <v>1036</v>
      </c>
      <c r="K556" s="62">
        <v>616</v>
      </c>
      <c r="L556" s="61"/>
      <c r="M556" s="64">
        <v>44215</v>
      </c>
      <c r="N556" s="61" t="s">
        <v>1107</v>
      </c>
      <c r="O556" s="61"/>
      <c r="P556" s="61">
        <f t="shared" si="24"/>
        <v>1</v>
      </c>
      <c r="Q556" s="61">
        <f t="shared" si="25"/>
        <v>2021</v>
      </c>
      <c r="R556" s="100">
        <f t="shared" si="26"/>
        <v>16</v>
      </c>
    </row>
    <row r="557" spans="1:18" s="59" customFormat="1" x14ac:dyDescent="0.2">
      <c r="A557" s="69">
        <v>44214</v>
      </c>
      <c r="B557" s="61" t="s">
        <v>835</v>
      </c>
      <c r="C557" s="61" t="s">
        <v>18</v>
      </c>
      <c r="D557" s="73">
        <v>44206</v>
      </c>
      <c r="E557" s="61" t="s">
        <v>43</v>
      </c>
      <c r="F557" s="61">
        <v>14382012</v>
      </c>
      <c r="G557" s="61" t="s">
        <v>1105</v>
      </c>
      <c r="H557" s="75">
        <v>52422</v>
      </c>
      <c r="I557" s="62" t="s">
        <v>49</v>
      </c>
      <c r="J557" s="61" t="s">
        <v>1106</v>
      </c>
      <c r="K557" s="62">
        <v>617</v>
      </c>
      <c r="L557" s="61"/>
      <c r="M557" s="64">
        <v>44223</v>
      </c>
      <c r="N557" s="61"/>
      <c r="O557" s="61"/>
      <c r="P557" s="61">
        <f t="shared" si="24"/>
        <v>1</v>
      </c>
      <c r="Q557" s="61">
        <f t="shared" si="25"/>
        <v>2021</v>
      </c>
      <c r="R557" s="100">
        <f t="shared" si="26"/>
        <v>10</v>
      </c>
    </row>
    <row r="558" spans="1:18" s="59" customFormat="1" x14ac:dyDescent="0.2">
      <c r="A558" s="69">
        <v>44214</v>
      </c>
      <c r="B558" s="61" t="s">
        <v>835</v>
      </c>
      <c r="C558" s="61" t="s">
        <v>18</v>
      </c>
      <c r="D558" s="73">
        <v>44201</v>
      </c>
      <c r="E558" s="61" t="s">
        <v>43</v>
      </c>
      <c r="F558" s="61">
        <v>73994250</v>
      </c>
      <c r="G558" s="61" t="s">
        <v>1017</v>
      </c>
      <c r="H558" s="75">
        <v>35000</v>
      </c>
      <c r="I558" s="62" t="s">
        <v>49</v>
      </c>
      <c r="J558" s="61" t="s">
        <v>1018</v>
      </c>
      <c r="K558" s="62">
        <v>618</v>
      </c>
      <c r="L558" s="61"/>
      <c r="M558" s="64">
        <v>44223</v>
      </c>
      <c r="N558" s="61"/>
      <c r="O558" s="61"/>
      <c r="P558" s="61">
        <f t="shared" si="24"/>
        <v>1</v>
      </c>
      <c r="Q558" s="61">
        <f t="shared" si="25"/>
        <v>2021</v>
      </c>
      <c r="R558" s="100">
        <f t="shared" si="26"/>
        <v>5</v>
      </c>
    </row>
    <row r="559" spans="1:18" s="59" customFormat="1" x14ac:dyDescent="0.2">
      <c r="A559" s="69">
        <v>44214</v>
      </c>
      <c r="B559" s="61" t="s">
        <v>835</v>
      </c>
      <c r="C559" s="61" t="s">
        <v>18</v>
      </c>
      <c r="D559" s="73">
        <v>44196</v>
      </c>
      <c r="E559" s="61" t="s">
        <v>491</v>
      </c>
      <c r="F559" s="61">
        <v>27895003</v>
      </c>
      <c r="G559" s="61" t="s">
        <v>1098</v>
      </c>
      <c r="H559" s="75">
        <v>35000</v>
      </c>
      <c r="I559" s="62" t="s">
        <v>49</v>
      </c>
      <c r="J559" s="61" t="s">
        <v>1099</v>
      </c>
      <c r="K559" s="62">
        <v>619</v>
      </c>
      <c r="L559" s="61"/>
      <c r="M559" s="64">
        <v>44215</v>
      </c>
      <c r="N559" s="61"/>
      <c r="O559" s="61"/>
      <c r="P559" s="61">
        <f t="shared" si="24"/>
        <v>12</v>
      </c>
      <c r="Q559" s="61">
        <f t="shared" si="25"/>
        <v>2020</v>
      </c>
      <c r="R559" s="100">
        <f t="shared" si="26"/>
        <v>31</v>
      </c>
    </row>
    <row r="560" spans="1:18" s="59" customFormat="1" x14ac:dyDescent="0.2">
      <c r="A560" s="69">
        <v>44214</v>
      </c>
      <c r="B560" s="61" t="s">
        <v>835</v>
      </c>
      <c r="C560" s="61" t="s">
        <v>18</v>
      </c>
      <c r="D560" s="73">
        <v>44195</v>
      </c>
      <c r="E560" s="61" t="s">
        <v>491</v>
      </c>
      <c r="F560" s="61">
        <v>27680368</v>
      </c>
      <c r="G560" s="61" t="s">
        <v>909</v>
      </c>
      <c r="H560" s="75">
        <v>30000</v>
      </c>
      <c r="I560" s="62" t="s">
        <v>49</v>
      </c>
      <c r="J560" s="61" t="s">
        <v>910</v>
      </c>
      <c r="K560" s="62">
        <v>620</v>
      </c>
      <c r="L560" s="61"/>
      <c r="M560" s="64">
        <v>44215</v>
      </c>
      <c r="N560" s="61"/>
      <c r="O560" s="61"/>
      <c r="P560" s="61">
        <f t="shared" si="24"/>
        <v>12</v>
      </c>
      <c r="Q560" s="61">
        <f t="shared" si="25"/>
        <v>2020</v>
      </c>
      <c r="R560" s="100">
        <f t="shared" si="26"/>
        <v>30</v>
      </c>
    </row>
    <row r="561" spans="1:18" s="59" customFormat="1" x14ac:dyDescent="0.2">
      <c r="A561" s="69">
        <v>44214</v>
      </c>
      <c r="B561" s="61" t="s">
        <v>835</v>
      </c>
      <c r="C561" s="61" t="s">
        <v>18</v>
      </c>
      <c r="D561" s="73">
        <v>44195</v>
      </c>
      <c r="E561" s="61" t="s">
        <v>491</v>
      </c>
      <c r="F561" s="61">
        <v>27376451</v>
      </c>
      <c r="G561" s="61" t="s">
        <v>845</v>
      </c>
      <c r="H561" s="75">
        <v>50000</v>
      </c>
      <c r="I561" s="62" t="s">
        <v>49</v>
      </c>
      <c r="J561" s="61" t="s">
        <v>846</v>
      </c>
      <c r="K561" s="62">
        <v>621</v>
      </c>
      <c r="L561" s="61"/>
      <c r="M561" s="64">
        <v>44215</v>
      </c>
      <c r="N561" s="61"/>
      <c r="O561" s="61"/>
      <c r="P561" s="61">
        <f t="shared" si="24"/>
        <v>12</v>
      </c>
      <c r="Q561" s="61">
        <f t="shared" si="25"/>
        <v>2020</v>
      </c>
      <c r="R561" s="100">
        <f t="shared" si="26"/>
        <v>30</v>
      </c>
    </row>
    <row r="562" spans="1:18" s="59" customFormat="1" x14ac:dyDescent="0.2">
      <c r="A562" s="69">
        <v>44215</v>
      </c>
      <c r="B562" s="61" t="s">
        <v>212</v>
      </c>
      <c r="C562" s="61" t="s">
        <v>18</v>
      </c>
      <c r="D562" s="73">
        <v>44243</v>
      </c>
      <c r="E562" s="61" t="s">
        <v>123</v>
      </c>
      <c r="F562" s="61">
        <v>62198465</v>
      </c>
      <c r="G562" s="61" t="s">
        <v>192</v>
      </c>
      <c r="H562" s="75">
        <v>15000</v>
      </c>
      <c r="I562" s="62" t="s">
        <v>49</v>
      </c>
      <c r="J562" s="61" t="s">
        <v>193</v>
      </c>
      <c r="K562" s="62">
        <v>622</v>
      </c>
      <c r="L562" s="61"/>
      <c r="M562" s="64">
        <v>44244</v>
      </c>
      <c r="N562" s="61"/>
      <c r="O562" s="61"/>
      <c r="P562" s="61">
        <f t="shared" si="24"/>
        <v>2</v>
      </c>
      <c r="Q562" s="61">
        <f t="shared" si="25"/>
        <v>2021</v>
      </c>
      <c r="R562" s="100">
        <f t="shared" si="26"/>
        <v>16</v>
      </c>
    </row>
    <row r="563" spans="1:18" s="59" customFormat="1" x14ac:dyDescent="0.2">
      <c r="A563" s="69">
        <v>44215</v>
      </c>
      <c r="B563" s="61" t="s">
        <v>212</v>
      </c>
      <c r="C563" s="61" t="s">
        <v>18</v>
      </c>
      <c r="D563" s="73">
        <v>44255</v>
      </c>
      <c r="E563" s="61" t="s">
        <v>123</v>
      </c>
      <c r="F563" s="61">
        <v>62198467</v>
      </c>
      <c r="G563" s="61" t="s">
        <v>192</v>
      </c>
      <c r="H563" s="75">
        <v>16283</v>
      </c>
      <c r="I563" s="62" t="s">
        <v>49</v>
      </c>
      <c r="J563" s="61" t="s">
        <v>193</v>
      </c>
      <c r="K563" s="62">
        <v>623</v>
      </c>
      <c r="L563" s="61"/>
      <c r="M563" s="64">
        <v>44256</v>
      </c>
      <c r="N563" s="61"/>
      <c r="O563" s="61"/>
      <c r="P563" s="61">
        <f t="shared" si="24"/>
        <v>2</v>
      </c>
      <c r="Q563" s="61">
        <f t="shared" si="25"/>
        <v>2021</v>
      </c>
      <c r="R563" s="100">
        <f t="shared" si="26"/>
        <v>28</v>
      </c>
    </row>
    <row r="564" spans="1:18" s="59" customFormat="1" x14ac:dyDescent="0.2">
      <c r="A564" s="69">
        <v>44222</v>
      </c>
      <c r="B564" s="61" t="s">
        <v>212</v>
      </c>
      <c r="C564" s="61" t="s">
        <v>18</v>
      </c>
      <c r="D564" s="73">
        <v>44225</v>
      </c>
      <c r="E564" s="61" t="s">
        <v>57</v>
      </c>
      <c r="F564" s="61">
        <v>3591849</v>
      </c>
      <c r="G564" s="61" t="s">
        <v>874</v>
      </c>
      <c r="H564" s="75">
        <v>6800</v>
      </c>
      <c r="I564" s="62" t="s">
        <v>49</v>
      </c>
      <c r="J564" s="61" t="s">
        <v>200</v>
      </c>
      <c r="K564" s="62">
        <v>624</v>
      </c>
      <c r="L564" s="61"/>
      <c r="M564" s="61"/>
      <c r="N564" s="61"/>
      <c r="O564" s="61"/>
      <c r="P564" s="61">
        <f t="shared" si="24"/>
        <v>1</v>
      </c>
      <c r="Q564" s="61">
        <f t="shared" si="25"/>
        <v>2021</v>
      </c>
      <c r="R564" s="100">
        <f t="shared" si="26"/>
        <v>29</v>
      </c>
    </row>
    <row r="565" spans="1:18" s="59" customFormat="1" x14ac:dyDescent="0.2">
      <c r="A565" s="69">
        <v>44222</v>
      </c>
      <c r="B565" s="61" t="s">
        <v>212</v>
      </c>
      <c r="C565" s="61" t="s">
        <v>18</v>
      </c>
      <c r="D565" s="73">
        <v>44286</v>
      </c>
      <c r="E565" s="61" t="s">
        <v>65</v>
      </c>
      <c r="F565" s="61">
        <v>41034490</v>
      </c>
      <c r="G565" s="61" t="s">
        <v>874</v>
      </c>
      <c r="H565" s="75">
        <v>10000</v>
      </c>
      <c r="I565" s="62" t="s">
        <v>97</v>
      </c>
      <c r="J565" s="61" t="s">
        <v>200</v>
      </c>
      <c r="K565" s="62">
        <v>625</v>
      </c>
      <c r="L565" s="61"/>
      <c r="M565" s="64">
        <v>44278</v>
      </c>
      <c r="N565" s="61" t="s">
        <v>1125</v>
      </c>
      <c r="O565" s="61"/>
      <c r="P565" s="61">
        <f t="shared" si="24"/>
        <v>3</v>
      </c>
      <c r="Q565" s="61">
        <f t="shared" si="25"/>
        <v>2021</v>
      </c>
      <c r="R565" s="100">
        <f t="shared" si="26"/>
        <v>31</v>
      </c>
    </row>
    <row r="566" spans="1:18" s="59" customFormat="1" x14ac:dyDescent="0.2">
      <c r="A566" s="69">
        <v>44231</v>
      </c>
      <c r="B566" s="61" t="s">
        <v>28</v>
      </c>
      <c r="C566" s="61" t="s">
        <v>18</v>
      </c>
      <c r="D566" s="73">
        <v>44316</v>
      </c>
      <c r="E566" s="61" t="s">
        <v>61</v>
      </c>
      <c r="F566" s="61">
        <v>81413724</v>
      </c>
      <c r="G566" s="61" t="s">
        <v>877</v>
      </c>
      <c r="H566" s="75">
        <v>13041</v>
      </c>
      <c r="I566" s="62" t="s">
        <v>150</v>
      </c>
      <c r="J566" s="61" t="s">
        <v>878</v>
      </c>
      <c r="K566" s="62">
        <v>626</v>
      </c>
      <c r="L566" s="61"/>
      <c r="M566" s="61" t="s">
        <v>359</v>
      </c>
      <c r="N566" s="61"/>
      <c r="O566" s="61" t="s">
        <v>359</v>
      </c>
      <c r="P566" s="61">
        <f t="shared" si="24"/>
        <v>4</v>
      </c>
      <c r="Q566" s="61">
        <f t="shared" si="25"/>
        <v>2021</v>
      </c>
      <c r="R566" s="100">
        <f t="shared" si="26"/>
        <v>30</v>
      </c>
    </row>
    <row r="567" spans="1:18" s="59" customFormat="1" x14ac:dyDescent="0.2">
      <c r="A567" s="69">
        <v>44231</v>
      </c>
      <c r="B567" s="61" t="s">
        <v>28</v>
      </c>
      <c r="C567" s="61" t="s">
        <v>18</v>
      </c>
      <c r="D567" s="73">
        <v>44347</v>
      </c>
      <c r="E567" s="61" t="s">
        <v>61</v>
      </c>
      <c r="F567" s="61">
        <v>81413725</v>
      </c>
      <c r="G567" s="61" t="s">
        <v>877</v>
      </c>
      <c r="H567" s="75">
        <v>25000</v>
      </c>
      <c r="I567" s="62" t="s">
        <v>49</v>
      </c>
      <c r="J567" s="61" t="s">
        <v>878</v>
      </c>
      <c r="K567" s="62">
        <v>627</v>
      </c>
      <c r="L567" s="61"/>
      <c r="M567" s="61" t="s">
        <v>359</v>
      </c>
      <c r="N567" s="61"/>
      <c r="O567" s="61" t="s">
        <v>359</v>
      </c>
      <c r="P567" s="61">
        <f t="shared" si="24"/>
        <v>5</v>
      </c>
      <c r="Q567" s="61">
        <f t="shared" si="25"/>
        <v>2021</v>
      </c>
      <c r="R567" s="100">
        <f t="shared" si="26"/>
        <v>31</v>
      </c>
    </row>
    <row r="568" spans="1:18" s="59" customFormat="1" x14ac:dyDescent="0.2">
      <c r="A568" s="69">
        <v>44231</v>
      </c>
      <c r="B568" s="61" t="s">
        <v>28</v>
      </c>
      <c r="C568" s="61" t="s">
        <v>18</v>
      </c>
      <c r="D568" s="73">
        <v>44377</v>
      </c>
      <c r="E568" s="61" t="s">
        <v>61</v>
      </c>
      <c r="F568" s="61">
        <v>81413726</v>
      </c>
      <c r="G568" s="61" t="s">
        <v>877</v>
      </c>
      <c r="H568" s="75">
        <v>25000</v>
      </c>
      <c r="I568" s="62" t="s">
        <v>150</v>
      </c>
      <c r="J568" s="61" t="s">
        <v>878</v>
      </c>
      <c r="K568" s="62">
        <v>628</v>
      </c>
      <c r="L568" s="61"/>
      <c r="M568" s="61"/>
      <c r="N568" s="61"/>
      <c r="O568" s="61"/>
      <c r="P568" s="61">
        <f t="shared" si="24"/>
        <v>6</v>
      </c>
      <c r="Q568" s="61">
        <f t="shared" si="25"/>
        <v>2021</v>
      </c>
      <c r="R568" s="100">
        <f t="shared" si="26"/>
        <v>30</v>
      </c>
    </row>
    <row r="569" spans="1:18" s="59" customFormat="1" x14ac:dyDescent="0.2">
      <c r="A569" s="69">
        <v>44231</v>
      </c>
      <c r="B569" s="61" t="s">
        <v>28</v>
      </c>
      <c r="C569" s="61" t="s">
        <v>18</v>
      </c>
      <c r="D569" s="73">
        <v>44408</v>
      </c>
      <c r="E569" s="61" t="s">
        <v>61</v>
      </c>
      <c r="F569" s="61">
        <v>81413727</v>
      </c>
      <c r="G569" s="61" t="s">
        <v>877</v>
      </c>
      <c r="H569" s="75">
        <v>25000</v>
      </c>
      <c r="I569" s="62" t="s">
        <v>49</v>
      </c>
      <c r="J569" s="61" t="s">
        <v>878</v>
      </c>
      <c r="K569" s="62">
        <v>629</v>
      </c>
      <c r="L569" s="61"/>
      <c r="M569" s="64">
        <v>44294</v>
      </c>
      <c r="N569" s="61"/>
      <c r="O569" s="61"/>
      <c r="P569" s="61">
        <f t="shared" si="24"/>
        <v>7</v>
      </c>
      <c r="Q569" s="61">
        <f t="shared" si="25"/>
        <v>2021</v>
      </c>
      <c r="R569" s="100">
        <f t="shared" si="26"/>
        <v>31</v>
      </c>
    </row>
    <row r="570" spans="1:18" s="59" customFormat="1" x14ac:dyDescent="0.2">
      <c r="A570" s="69">
        <v>44231</v>
      </c>
      <c r="B570" s="61" t="s">
        <v>28</v>
      </c>
      <c r="C570" s="61" t="s">
        <v>18</v>
      </c>
      <c r="D570" s="73">
        <v>44439</v>
      </c>
      <c r="E570" s="61" t="s">
        <v>61</v>
      </c>
      <c r="F570" s="61">
        <v>81413728</v>
      </c>
      <c r="G570" s="61" t="s">
        <v>877</v>
      </c>
      <c r="H570" s="75">
        <v>25000</v>
      </c>
      <c r="I570" s="62" t="s">
        <v>97</v>
      </c>
      <c r="J570" s="61" t="s">
        <v>878</v>
      </c>
      <c r="K570" s="62">
        <v>630</v>
      </c>
      <c r="L570" s="61"/>
      <c r="M570" s="64">
        <v>44440</v>
      </c>
      <c r="N570" s="61" t="s">
        <v>757</v>
      </c>
      <c r="O570" s="61" t="s">
        <v>1273</v>
      </c>
      <c r="P570" s="61">
        <f t="shared" si="24"/>
        <v>8</v>
      </c>
      <c r="Q570" s="61">
        <f t="shared" si="25"/>
        <v>2021</v>
      </c>
      <c r="R570" s="100">
        <f t="shared" si="26"/>
        <v>31</v>
      </c>
    </row>
    <row r="571" spans="1:18" s="59" customFormat="1" x14ac:dyDescent="0.2">
      <c r="A571" s="69">
        <v>44237</v>
      </c>
      <c r="B571" s="61" t="s">
        <v>212</v>
      </c>
      <c r="C571" s="61" t="s">
        <v>18</v>
      </c>
      <c r="D571" s="73">
        <v>44286</v>
      </c>
      <c r="E571" s="61" t="s">
        <v>65</v>
      </c>
      <c r="F571" s="61">
        <v>40184949</v>
      </c>
      <c r="G571" s="61" t="s">
        <v>874</v>
      </c>
      <c r="H571" s="75">
        <v>15000</v>
      </c>
      <c r="I571" s="62" t="s">
        <v>97</v>
      </c>
      <c r="J571" s="61" t="s">
        <v>200</v>
      </c>
      <c r="K571" s="62">
        <v>631</v>
      </c>
      <c r="L571" s="61"/>
      <c r="M571" s="64">
        <v>44284</v>
      </c>
      <c r="N571" s="61" t="s">
        <v>139</v>
      </c>
      <c r="O571" s="61"/>
      <c r="P571" s="61">
        <f t="shared" si="24"/>
        <v>3</v>
      </c>
      <c r="Q571" s="61">
        <f t="shared" si="25"/>
        <v>2021</v>
      </c>
      <c r="R571" s="100">
        <f t="shared" si="26"/>
        <v>31</v>
      </c>
    </row>
    <row r="572" spans="1:18" s="59" customFormat="1" x14ac:dyDescent="0.2">
      <c r="A572" s="69">
        <v>44245</v>
      </c>
      <c r="B572" s="61" t="s">
        <v>42</v>
      </c>
      <c r="C572" s="61" t="s">
        <v>18</v>
      </c>
      <c r="D572" s="73">
        <v>44239</v>
      </c>
      <c r="E572" s="61" t="s">
        <v>47</v>
      </c>
      <c r="F572" s="61">
        <v>83090557</v>
      </c>
      <c r="G572" s="61" t="s">
        <v>333</v>
      </c>
      <c r="H572" s="75">
        <v>5900</v>
      </c>
      <c r="I572" s="62" t="s">
        <v>49</v>
      </c>
      <c r="J572" s="61" t="s">
        <v>545</v>
      </c>
      <c r="K572" s="62">
        <v>632</v>
      </c>
      <c r="L572" s="61"/>
      <c r="M572" s="61"/>
      <c r="N572" s="61"/>
      <c r="O572" s="61"/>
      <c r="P572" s="61">
        <f t="shared" si="24"/>
        <v>2</v>
      </c>
      <c r="Q572" s="61">
        <f t="shared" si="25"/>
        <v>2021</v>
      </c>
      <c r="R572" s="100">
        <f t="shared" si="26"/>
        <v>12</v>
      </c>
    </row>
    <row r="573" spans="1:18" s="59" customFormat="1" x14ac:dyDescent="0.2">
      <c r="A573" s="69">
        <v>44245</v>
      </c>
      <c r="B573" s="61" t="s">
        <v>42</v>
      </c>
      <c r="C573" s="61" t="s">
        <v>18</v>
      </c>
      <c r="D573" s="73">
        <v>44255</v>
      </c>
      <c r="E573" s="61" t="s">
        <v>47</v>
      </c>
      <c r="F573" s="61">
        <v>83090559</v>
      </c>
      <c r="G573" s="61" t="s">
        <v>333</v>
      </c>
      <c r="H573" s="75">
        <v>6640</v>
      </c>
      <c r="I573" s="62" t="s">
        <v>49</v>
      </c>
      <c r="J573" s="61" t="s">
        <v>545</v>
      </c>
      <c r="K573" s="62">
        <v>633</v>
      </c>
      <c r="L573" s="61"/>
      <c r="M573" s="64">
        <v>44256</v>
      </c>
      <c r="N573" s="61"/>
      <c r="O573" s="61"/>
      <c r="P573" s="61">
        <f t="shared" si="24"/>
        <v>2</v>
      </c>
      <c r="Q573" s="61">
        <f t="shared" si="25"/>
        <v>2021</v>
      </c>
      <c r="R573" s="100">
        <f t="shared" si="26"/>
        <v>28</v>
      </c>
    </row>
    <row r="574" spans="1:18" s="59" customFormat="1" x14ac:dyDescent="0.2">
      <c r="A574" s="69">
        <v>44245</v>
      </c>
      <c r="B574" s="61" t="s">
        <v>212</v>
      </c>
      <c r="C574" s="61" t="s">
        <v>18</v>
      </c>
      <c r="D574" s="73">
        <v>44311</v>
      </c>
      <c r="E574" s="61" t="s">
        <v>65</v>
      </c>
      <c r="F574" s="61">
        <v>40184950</v>
      </c>
      <c r="G574" s="61" t="s">
        <v>874</v>
      </c>
      <c r="H574" s="75">
        <v>15000</v>
      </c>
      <c r="I574" s="62" t="s">
        <v>49</v>
      </c>
      <c r="J574" s="61" t="s">
        <v>200</v>
      </c>
      <c r="K574" s="62">
        <v>634</v>
      </c>
      <c r="L574" s="61"/>
      <c r="M574" s="64">
        <v>44312</v>
      </c>
      <c r="N574" s="61"/>
      <c r="O574" s="61"/>
      <c r="P574" s="61">
        <f t="shared" si="24"/>
        <v>4</v>
      </c>
      <c r="Q574" s="61">
        <f t="shared" si="25"/>
        <v>2021</v>
      </c>
      <c r="R574" s="100">
        <f t="shared" si="26"/>
        <v>25</v>
      </c>
    </row>
    <row r="575" spans="1:18" s="59" customFormat="1" x14ac:dyDescent="0.2">
      <c r="A575" s="69">
        <v>44250</v>
      </c>
      <c r="B575" s="61" t="s">
        <v>212</v>
      </c>
      <c r="C575" s="61" t="s">
        <v>18</v>
      </c>
      <c r="D575" s="73">
        <v>44275</v>
      </c>
      <c r="E575" s="61" t="s">
        <v>185</v>
      </c>
      <c r="F575" s="61">
        <v>542860</v>
      </c>
      <c r="G575" s="61" t="s">
        <v>1114</v>
      </c>
      <c r="H575" s="75">
        <v>32140</v>
      </c>
      <c r="I575" s="62" t="s">
        <v>150</v>
      </c>
      <c r="J575" s="61" t="s">
        <v>211</v>
      </c>
      <c r="K575" s="62">
        <v>635</v>
      </c>
      <c r="L575" s="61"/>
      <c r="M575" s="61"/>
      <c r="N575" s="61"/>
      <c r="O575" s="61"/>
      <c r="P575" s="61">
        <f t="shared" si="24"/>
        <v>3</v>
      </c>
      <c r="Q575" s="61">
        <f t="shared" si="25"/>
        <v>2021</v>
      </c>
      <c r="R575" s="100">
        <f t="shared" si="26"/>
        <v>20</v>
      </c>
    </row>
    <row r="576" spans="1:18" s="59" customFormat="1" x14ac:dyDescent="0.2">
      <c r="A576" s="69">
        <v>44251</v>
      </c>
      <c r="B576" s="61" t="s">
        <v>195</v>
      </c>
      <c r="C576" s="61" t="s">
        <v>18</v>
      </c>
      <c r="D576" s="73">
        <v>44270</v>
      </c>
      <c r="E576" s="61" t="s">
        <v>65</v>
      </c>
      <c r="F576" s="61">
        <v>38918122</v>
      </c>
      <c r="G576" s="61" t="s">
        <v>196</v>
      </c>
      <c r="H576" s="75">
        <v>20000</v>
      </c>
      <c r="I576" s="62" t="s">
        <v>150</v>
      </c>
      <c r="J576" s="61" t="s">
        <v>197</v>
      </c>
      <c r="K576" s="62">
        <v>636</v>
      </c>
      <c r="L576" s="61"/>
      <c r="M576" s="61"/>
      <c r="N576" s="61"/>
      <c r="O576" s="61"/>
      <c r="P576" s="61">
        <f t="shared" si="24"/>
        <v>3</v>
      </c>
      <c r="Q576" s="61">
        <f t="shared" si="25"/>
        <v>2021</v>
      </c>
      <c r="R576" s="100">
        <f t="shared" si="26"/>
        <v>15</v>
      </c>
    </row>
    <row r="577" spans="1:18" s="59" customFormat="1" x14ac:dyDescent="0.2">
      <c r="A577" s="69">
        <v>44253</v>
      </c>
      <c r="B577" s="61" t="s">
        <v>762</v>
      </c>
      <c r="C577" s="61" t="s">
        <v>18</v>
      </c>
      <c r="D577" s="73">
        <v>44242</v>
      </c>
      <c r="E577" s="61" t="s">
        <v>170</v>
      </c>
      <c r="F577" s="61">
        <v>92990403</v>
      </c>
      <c r="G577" s="61" t="s">
        <v>1116</v>
      </c>
      <c r="H577" s="75">
        <v>9000</v>
      </c>
      <c r="I577" s="62" t="s">
        <v>49</v>
      </c>
      <c r="J577" s="61" t="s">
        <v>1117</v>
      </c>
      <c r="K577" s="62">
        <v>637</v>
      </c>
      <c r="L577" s="61"/>
      <c r="M577" s="61"/>
      <c r="N577" s="61"/>
      <c r="O577" s="61"/>
      <c r="P577" s="61">
        <f t="shared" si="24"/>
        <v>2</v>
      </c>
      <c r="Q577" s="61">
        <f t="shared" si="25"/>
        <v>2021</v>
      </c>
      <c r="R577" s="100">
        <f t="shared" si="26"/>
        <v>15</v>
      </c>
    </row>
    <row r="578" spans="1:18" s="59" customFormat="1" x14ac:dyDescent="0.2">
      <c r="A578" s="69">
        <v>44253</v>
      </c>
      <c r="B578" s="61" t="s">
        <v>42</v>
      </c>
      <c r="C578" s="61" t="s">
        <v>18</v>
      </c>
      <c r="D578" s="73">
        <v>44255</v>
      </c>
      <c r="E578" s="61" t="s">
        <v>47</v>
      </c>
      <c r="F578" s="61">
        <v>83701469</v>
      </c>
      <c r="G578" s="61" t="s">
        <v>167</v>
      </c>
      <c r="H578" s="75">
        <v>3332</v>
      </c>
      <c r="I578" s="62" t="s">
        <v>49</v>
      </c>
      <c r="J578" s="61" t="s">
        <v>168</v>
      </c>
      <c r="K578" s="62">
        <v>638</v>
      </c>
      <c r="L578" s="61"/>
      <c r="M578" s="64">
        <v>44256</v>
      </c>
      <c r="N578" s="61"/>
      <c r="O578" s="61"/>
      <c r="P578" s="61">
        <f t="shared" ref="P578:P641" si="27">MONTH(D578)</f>
        <v>2</v>
      </c>
      <c r="Q578" s="61">
        <f t="shared" ref="Q578:Q641" si="28">YEAR(D578)</f>
        <v>2021</v>
      </c>
      <c r="R578" s="100">
        <f t="shared" si="26"/>
        <v>28</v>
      </c>
    </row>
    <row r="579" spans="1:18" s="59" customFormat="1" x14ac:dyDescent="0.2">
      <c r="A579" s="69">
        <v>44253</v>
      </c>
      <c r="B579" s="61" t="s">
        <v>42</v>
      </c>
      <c r="C579" s="61" t="s">
        <v>18</v>
      </c>
      <c r="D579" s="73">
        <v>44270</v>
      </c>
      <c r="E579" s="61" t="s">
        <v>47</v>
      </c>
      <c r="F579" s="61">
        <v>83701470</v>
      </c>
      <c r="G579" s="61" t="s">
        <v>167</v>
      </c>
      <c r="H579" s="75">
        <v>3500</v>
      </c>
      <c r="I579" s="62" t="s">
        <v>49</v>
      </c>
      <c r="J579" s="61" t="s">
        <v>168</v>
      </c>
      <c r="K579" s="62">
        <v>639</v>
      </c>
      <c r="L579" s="61"/>
      <c r="M579" s="64">
        <v>44270</v>
      </c>
      <c r="N579" s="61"/>
      <c r="O579" s="61"/>
      <c r="P579" s="61">
        <f t="shared" si="27"/>
        <v>3</v>
      </c>
      <c r="Q579" s="61">
        <f t="shared" si="28"/>
        <v>2021</v>
      </c>
      <c r="R579" s="100">
        <f t="shared" ref="R579:R642" si="29">DAY(D579)</f>
        <v>15</v>
      </c>
    </row>
    <row r="580" spans="1:18" s="59" customFormat="1" x14ac:dyDescent="0.2">
      <c r="A580" s="69">
        <v>44253</v>
      </c>
      <c r="B580" s="61" t="s">
        <v>42</v>
      </c>
      <c r="C580" s="61" t="s">
        <v>18</v>
      </c>
      <c r="D580" s="73">
        <v>44286</v>
      </c>
      <c r="E580" s="61" t="s">
        <v>47</v>
      </c>
      <c r="F580" s="61">
        <v>83701471</v>
      </c>
      <c r="G580" s="61" t="s">
        <v>167</v>
      </c>
      <c r="H580" s="75">
        <v>3500</v>
      </c>
      <c r="I580" s="62" t="s">
        <v>97</v>
      </c>
      <c r="J580" s="61" t="s">
        <v>168</v>
      </c>
      <c r="K580" s="62">
        <v>640</v>
      </c>
      <c r="L580" s="61"/>
      <c r="M580" s="64">
        <v>44284</v>
      </c>
      <c r="N580" s="61" t="s">
        <v>139</v>
      </c>
      <c r="O580" s="61"/>
      <c r="P580" s="61">
        <f t="shared" si="27"/>
        <v>3</v>
      </c>
      <c r="Q580" s="61">
        <f t="shared" si="28"/>
        <v>2021</v>
      </c>
      <c r="R580" s="100">
        <f t="shared" si="29"/>
        <v>31</v>
      </c>
    </row>
    <row r="581" spans="1:18" s="59" customFormat="1" x14ac:dyDescent="0.2">
      <c r="A581" s="69">
        <v>44264</v>
      </c>
      <c r="B581" s="61" t="s">
        <v>835</v>
      </c>
      <c r="C581" s="61" t="s">
        <v>18</v>
      </c>
      <c r="D581" s="73">
        <v>44254</v>
      </c>
      <c r="E581" s="61" t="s">
        <v>53</v>
      </c>
      <c r="F581" s="61" t="s">
        <v>1120</v>
      </c>
      <c r="G581" s="61" t="s">
        <v>836</v>
      </c>
      <c r="H581" s="75">
        <v>117000</v>
      </c>
      <c r="I581" s="62" t="s">
        <v>49</v>
      </c>
      <c r="J581" s="61" t="s">
        <v>837</v>
      </c>
      <c r="K581" s="62">
        <v>641</v>
      </c>
      <c r="L581" s="61"/>
      <c r="M581" s="64">
        <v>44264</v>
      </c>
      <c r="N581" s="61"/>
      <c r="O581" s="61" t="s">
        <v>1121</v>
      </c>
      <c r="P581" s="61">
        <f t="shared" si="27"/>
        <v>2</v>
      </c>
      <c r="Q581" s="61">
        <f t="shared" si="28"/>
        <v>2021</v>
      </c>
      <c r="R581" s="100">
        <f t="shared" si="29"/>
        <v>27</v>
      </c>
    </row>
    <row r="582" spans="1:18" s="59" customFormat="1" x14ac:dyDescent="0.2">
      <c r="A582" s="69">
        <v>44258</v>
      </c>
      <c r="B582" s="61" t="s">
        <v>212</v>
      </c>
      <c r="C582" s="61" t="s">
        <v>18</v>
      </c>
      <c r="D582" s="73">
        <v>44316</v>
      </c>
      <c r="E582" s="61" t="s">
        <v>65</v>
      </c>
      <c r="F582" s="61">
        <v>40184820</v>
      </c>
      <c r="G582" s="61" t="s">
        <v>874</v>
      </c>
      <c r="H582" s="75">
        <v>6550</v>
      </c>
      <c r="I582" s="62" t="s">
        <v>49</v>
      </c>
      <c r="J582" s="61" t="s">
        <v>200</v>
      </c>
      <c r="K582" s="62">
        <v>642</v>
      </c>
      <c r="L582" s="61"/>
      <c r="M582" s="64">
        <v>44316</v>
      </c>
      <c r="N582" s="61"/>
      <c r="O582" s="61"/>
      <c r="P582" s="61">
        <f t="shared" si="27"/>
        <v>4</v>
      </c>
      <c r="Q582" s="61">
        <f t="shared" si="28"/>
        <v>2021</v>
      </c>
      <c r="R582" s="100">
        <f t="shared" si="29"/>
        <v>30</v>
      </c>
    </row>
    <row r="583" spans="1:18" s="59" customFormat="1" x14ac:dyDescent="0.2">
      <c r="A583" s="69">
        <v>44267</v>
      </c>
      <c r="B583" s="61" t="s">
        <v>835</v>
      </c>
      <c r="C583" s="61" t="s">
        <v>18</v>
      </c>
      <c r="D583" s="73">
        <v>44260</v>
      </c>
      <c r="E583" s="61" t="s">
        <v>53</v>
      </c>
      <c r="F583" s="61" t="s">
        <v>1122</v>
      </c>
      <c r="G583" s="61" t="s">
        <v>836</v>
      </c>
      <c r="H583" s="75">
        <v>117000</v>
      </c>
      <c r="I583" s="62" t="s">
        <v>49</v>
      </c>
      <c r="J583" s="61" t="s">
        <v>837</v>
      </c>
      <c r="K583" s="62">
        <v>643</v>
      </c>
      <c r="L583" s="61"/>
      <c r="M583" s="61"/>
      <c r="N583" s="61"/>
      <c r="O583" s="61"/>
      <c r="P583" s="61">
        <f t="shared" si="27"/>
        <v>3</v>
      </c>
      <c r="Q583" s="61">
        <f t="shared" si="28"/>
        <v>2021</v>
      </c>
      <c r="R583" s="100">
        <f t="shared" si="29"/>
        <v>5</v>
      </c>
    </row>
    <row r="584" spans="1:18" s="59" customFormat="1" x14ac:dyDescent="0.2">
      <c r="A584" s="69">
        <v>44267</v>
      </c>
      <c r="B584" s="61" t="s">
        <v>23</v>
      </c>
      <c r="C584" s="61" t="s">
        <v>18</v>
      </c>
      <c r="D584" s="73">
        <v>44286</v>
      </c>
      <c r="E584" s="61" t="s">
        <v>53</v>
      </c>
      <c r="F584" s="61">
        <v>406</v>
      </c>
      <c r="G584" s="61" t="s">
        <v>1123</v>
      </c>
      <c r="H584" s="75">
        <v>25000</v>
      </c>
      <c r="I584" s="62" t="s">
        <v>97</v>
      </c>
      <c r="J584" s="61" t="s">
        <v>1124</v>
      </c>
      <c r="K584" s="62">
        <v>644</v>
      </c>
      <c r="L584" s="61"/>
      <c r="M584" s="64">
        <v>44274</v>
      </c>
      <c r="N584" s="61" t="s">
        <v>1125</v>
      </c>
      <c r="O584" s="61"/>
      <c r="P584" s="61">
        <f t="shared" si="27"/>
        <v>3</v>
      </c>
      <c r="Q584" s="61">
        <f t="shared" si="28"/>
        <v>2021</v>
      </c>
      <c r="R584" s="100">
        <f t="shared" si="29"/>
        <v>31</v>
      </c>
    </row>
    <row r="585" spans="1:18" s="59" customFormat="1" x14ac:dyDescent="0.2">
      <c r="A585" s="69">
        <v>44239</v>
      </c>
      <c r="B585" s="61" t="s">
        <v>23</v>
      </c>
      <c r="C585" s="61" t="s">
        <v>18</v>
      </c>
      <c r="D585" s="73">
        <v>44316</v>
      </c>
      <c r="E585" s="61" t="s">
        <v>43</v>
      </c>
      <c r="F585" s="61">
        <v>222729417</v>
      </c>
      <c r="G585" s="61" t="s">
        <v>930</v>
      </c>
      <c r="H585" s="75">
        <v>23000</v>
      </c>
      <c r="I585" s="62" t="s">
        <v>49</v>
      </c>
      <c r="J585" s="61" t="s">
        <v>931</v>
      </c>
      <c r="K585" s="62">
        <v>645</v>
      </c>
      <c r="L585" s="61"/>
      <c r="M585" s="64">
        <v>44316</v>
      </c>
      <c r="N585" s="61"/>
      <c r="O585" s="61"/>
      <c r="P585" s="61">
        <f t="shared" si="27"/>
        <v>4</v>
      </c>
      <c r="Q585" s="61">
        <f t="shared" si="28"/>
        <v>2021</v>
      </c>
      <c r="R585" s="100">
        <f t="shared" si="29"/>
        <v>30</v>
      </c>
    </row>
    <row r="586" spans="1:18" s="59" customFormat="1" x14ac:dyDescent="0.2">
      <c r="A586" s="69">
        <v>44268</v>
      </c>
      <c r="B586" s="61" t="s">
        <v>42</v>
      </c>
      <c r="C586" s="61" t="s">
        <v>18</v>
      </c>
      <c r="D586" s="73">
        <v>44301</v>
      </c>
      <c r="E586" s="61" t="s">
        <v>79</v>
      </c>
      <c r="F586" s="61">
        <v>62319955</v>
      </c>
      <c r="G586" s="61" t="s">
        <v>167</v>
      </c>
      <c r="H586" s="75">
        <v>3500</v>
      </c>
      <c r="I586" s="62" t="s">
        <v>49</v>
      </c>
      <c r="J586" s="61" t="s">
        <v>168</v>
      </c>
      <c r="K586" s="62">
        <v>646</v>
      </c>
      <c r="L586" s="61"/>
      <c r="M586" s="64">
        <v>44301</v>
      </c>
      <c r="N586" s="61"/>
      <c r="O586" s="61"/>
      <c r="P586" s="61">
        <f t="shared" si="27"/>
        <v>4</v>
      </c>
      <c r="Q586" s="61">
        <f t="shared" si="28"/>
        <v>2021</v>
      </c>
      <c r="R586" s="100">
        <f t="shared" si="29"/>
        <v>15</v>
      </c>
    </row>
    <row r="587" spans="1:18" s="59" customFormat="1" x14ac:dyDescent="0.2">
      <c r="A587" s="69">
        <v>44268</v>
      </c>
      <c r="B587" s="61" t="s">
        <v>42</v>
      </c>
      <c r="C587" s="61" t="s">
        <v>18</v>
      </c>
      <c r="D587" s="73">
        <v>44316</v>
      </c>
      <c r="E587" s="61" t="s">
        <v>79</v>
      </c>
      <c r="F587" s="61">
        <v>62319956</v>
      </c>
      <c r="G587" s="61" t="s">
        <v>167</v>
      </c>
      <c r="H587" s="75">
        <v>3500</v>
      </c>
      <c r="I587" s="62" t="s">
        <v>49</v>
      </c>
      <c r="J587" s="61" t="s">
        <v>168</v>
      </c>
      <c r="K587" s="62">
        <v>647</v>
      </c>
      <c r="L587" s="61"/>
      <c r="M587" s="64">
        <v>44316</v>
      </c>
      <c r="N587" s="61"/>
      <c r="O587" s="61"/>
      <c r="P587" s="61">
        <f t="shared" si="27"/>
        <v>4</v>
      </c>
      <c r="Q587" s="61">
        <f t="shared" si="28"/>
        <v>2021</v>
      </c>
      <c r="R587" s="100">
        <f t="shared" si="29"/>
        <v>30</v>
      </c>
    </row>
    <row r="588" spans="1:18" s="59" customFormat="1" x14ac:dyDescent="0.2">
      <c r="A588" s="69">
        <v>44274</v>
      </c>
      <c r="B588" s="61" t="s">
        <v>1126</v>
      </c>
      <c r="C588" s="61" t="s">
        <v>18</v>
      </c>
      <c r="D588" s="73">
        <v>44270</v>
      </c>
      <c r="E588" s="61" t="s">
        <v>182</v>
      </c>
      <c r="F588" s="61">
        <v>22401419</v>
      </c>
      <c r="G588" s="61" t="s">
        <v>1127</v>
      </c>
      <c r="H588" s="75">
        <v>18000</v>
      </c>
      <c r="I588" s="62" t="s">
        <v>97</v>
      </c>
      <c r="J588" s="61" t="s">
        <v>1128</v>
      </c>
      <c r="K588" s="62">
        <v>648</v>
      </c>
      <c r="L588" s="61"/>
      <c r="M588" s="64">
        <v>44274</v>
      </c>
      <c r="N588" s="61" t="s">
        <v>1125</v>
      </c>
      <c r="O588" s="61"/>
      <c r="P588" s="61">
        <f t="shared" si="27"/>
        <v>3</v>
      </c>
      <c r="Q588" s="61">
        <f t="shared" si="28"/>
        <v>2021</v>
      </c>
      <c r="R588" s="100">
        <f t="shared" si="29"/>
        <v>15</v>
      </c>
    </row>
    <row r="589" spans="1:18" s="59" customFormat="1" x14ac:dyDescent="0.2">
      <c r="A589" s="69">
        <v>44274</v>
      </c>
      <c r="B589" s="61" t="s">
        <v>1126</v>
      </c>
      <c r="C589" s="61" t="s">
        <v>18</v>
      </c>
      <c r="D589" s="73">
        <v>44271</v>
      </c>
      <c r="E589" s="61" t="s">
        <v>47</v>
      </c>
      <c r="F589" s="61">
        <v>62480739</v>
      </c>
      <c r="G589" s="61" t="s">
        <v>1129</v>
      </c>
      <c r="H589" s="75">
        <v>20000</v>
      </c>
      <c r="I589" s="62" t="s">
        <v>97</v>
      </c>
      <c r="J589" s="61" t="s">
        <v>1130</v>
      </c>
      <c r="K589" s="62">
        <v>649</v>
      </c>
      <c r="L589" s="61"/>
      <c r="M589" s="64">
        <v>44284</v>
      </c>
      <c r="N589" s="61" t="s">
        <v>139</v>
      </c>
      <c r="O589" s="61"/>
      <c r="P589" s="61">
        <f t="shared" si="27"/>
        <v>3</v>
      </c>
      <c r="Q589" s="61">
        <f t="shared" si="28"/>
        <v>2021</v>
      </c>
      <c r="R589" s="100">
        <f t="shared" si="29"/>
        <v>16</v>
      </c>
    </row>
    <row r="590" spans="1:18" s="59" customFormat="1" x14ac:dyDescent="0.2">
      <c r="A590" s="69">
        <v>44274</v>
      </c>
      <c r="B590" s="61" t="s">
        <v>1126</v>
      </c>
      <c r="C590" s="61" t="s">
        <v>18</v>
      </c>
      <c r="D590" s="73">
        <v>44257</v>
      </c>
      <c r="E590" s="61" t="s">
        <v>47</v>
      </c>
      <c r="F590" s="61">
        <v>82279857</v>
      </c>
      <c r="G590" s="61" t="s">
        <v>1131</v>
      </c>
      <c r="H590" s="75">
        <v>20000</v>
      </c>
      <c r="I590" s="62" t="s">
        <v>97</v>
      </c>
      <c r="J590" s="61" t="s">
        <v>1132</v>
      </c>
      <c r="K590" s="62">
        <v>650</v>
      </c>
      <c r="L590" s="61"/>
      <c r="M590" s="64">
        <v>44274</v>
      </c>
      <c r="N590" s="61" t="s">
        <v>222</v>
      </c>
      <c r="O590" s="61"/>
      <c r="P590" s="61">
        <f t="shared" si="27"/>
        <v>3</v>
      </c>
      <c r="Q590" s="61">
        <f t="shared" si="28"/>
        <v>2021</v>
      </c>
      <c r="R590" s="100">
        <f t="shared" si="29"/>
        <v>2</v>
      </c>
    </row>
    <row r="591" spans="1:18" s="59" customFormat="1" x14ac:dyDescent="0.2">
      <c r="A591" s="69">
        <v>44281</v>
      </c>
      <c r="B591" s="61" t="s">
        <v>835</v>
      </c>
      <c r="C591" s="61" t="s">
        <v>18</v>
      </c>
      <c r="D591" s="73">
        <v>44380</v>
      </c>
      <c r="E591" s="61" t="s">
        <v>491</v>
      </c>
      <c r="F591" s="61">
        <v>165</v>
      </c>
      <c r="G591" s="61" t="s">
        <v>1133</v>
      </c>
      <c r="H591" s="75">
        <v>22330.42</v>
      </c>
      <c r="I591" s="62" t="s">
        <v>49</v>
      </c>
      <c r="J591" s="61" t="s">
        <v>1134</v>
      </c>
      <c r="K591" s="62">
        <v>651</v>
      </c>
      <c r="L591" s="61"/>
      <c r="M591" s="64">
        <v>44380</v>
      </c>
      <c r="N591" s="61"/>
      <c r="O591" s="61" t="s">
        <v>1121</v>
      </c>
      <c r="P591" s="61">
        <f t="shared" si="27"/>
        <v>7</v>
      </c>
      <c r="Q591" s="61">
        <f t="shared" si="28"/>
        <v>2021</v>
      </c>
      <c r="R591" s="100">
        <f t="shared" si="29"/>
        <v>3</v>
      </c>
    </row>
    <row r="592" spans="1:18" s="59" customFormat="1" x14ac:dyDescent="0.2">
      <c r="A592" s="69">
        <v>44281</v>
      </c>
      <c r="B592" s="61" t="s">
        <v>835</v>
      </c>
      <c r="C592" s="61" t="s">
        <v>18</v>
      </c>
      <c r="D592" s="73">
        <v>44289</v>
      </c>
      <c r="E592" s="61" t="s">
        <v>491</v>
      </c>
      <c r="F592" s="61">
        <v>160</v>
      </c>
      <c r="G592" s="61" t="s">
        <v>1133</v>
      </c>
      <c r="H592" s="75">
        <v>22330</v>
      </c>
      <c r="I592" s="62" t="s">
        <v>49</v>
      </c>
      <c r="J592" s="61" t="s">
        <v>1134</v>
      </c>
      <c r="K592" s="62">
        <v>652</v>
      </c>
      <c r="L592" s="61"/>
      <c r="M592" s="64">
        <v>44291</v>
      </c>
      <c r="N592" s="61"/>
      <c r="O592" s="61" t="s">
        <v>1121</v>
      </c>
      <c r="P592" s="61">
        <f t="shared" si="27"/>
        <v>4</v>
      </c>
      <c r="Q592" s="61">
        <f t="shared" si="28"/>
        <v>2021</v>
      </c>
      <c r="R592" s="100">
        <f t="shared" si="29"/>
        <v>3</v>
      </c>
    </row>
    <row r="593" spans="1:19" s="59" customFormat="1" x14ac:dyDescent="0.2">
      <c r="A593" s="69">
        <v>44281</v>
      </c>
      <c r="B593" s="61" t="s">
        <v>835</v>
      </c>
      <c r="C593" s="61" t="s">
        <v>18</v>
      </c>
      <c r="D593" s="73">
        <v>44318</v>
      </c>
      <c r="E593" s="61" t="s">
        <v>491</v>
      </c>
      <c r="F593" s="61">
        <v>161</v>
      </c>
      <c r="G593" s="61" t="s">
        <v>1133</v>
      </c>
      <c r="H593" s="75">
        <v>22330</v>
      </c>
      <c r="I593" s="62" t="s">
        <v>49</v>
      </c>
      <c r="J593" s="61" t="s">
        <v>1134</v>
      </c>
      <c r="K593" s="62">
        <v>653</v>
      </c>
      <c r="L593" s="61"/>
      <c r="M593" s="64">
        <v>44321</v>
      </c>
      <c r="N593" s="61"/>
      <c r="O593" s="61" t="s">
        <v>1121</v>
      </c>
      <c r="P593" s="61">
        <f t="shared" si="27"/>
        <v>5</v>
      </c>
      <c r="Q593" s="61">
        <f t="shared" si="28"/>
        <v>2021</v>
      </c>
      <c r="R593" s="100">
        <f t="shared" si="29"/>
        <v>2</v>
      </c>
    </row>
    <row r="594" spans="1:19" s="59" customFormat="1" x14ac:dyDescent="0.2">
      <c r="A594" s="69">
        <v>44281</v>
      </c>
      <c r="B594" s="61" t="s">
        <v>835</v>
      </c>
      <c r="C594" s="61" t="s">
        <v>18</v>
      </c>
      <c r="D594" s="73">
        <v>44352</v>
      </c>
      <c r="E594" s="61" t="s">
        <v>491</v>
      </c>
      <c r="F594" s="61">
        <v>163</v>
      </c>
      <c r="G594" s="61" t="s">
        <v>1133</v>
      </c>
      <c r="H594" s="75">
        <v>22330</v>
      </c>
      <c r="I594" s="62" t="s">
        <v>49</v>
      </c>
      <c r="J594" s="61" t="s">
        <v>1134</v>
      </c>
      <c r="K594" s="62">
        <v>654</v>
      </c>
      <c r="L594" s="61"/>
      <c r="M594" s="61"/>
      <c r="N594" s="61"/>
      <c r="O594" s="61" t="s">
        <v>1121</v>
      </c>
      <c r="P594" s="61">
        <f t="shared" si="27"/>
        <v>6</v>
      </c>
      <c r="Q594" s="61">
        <f t="shared" si="28"/>
        <v>2021</v>
      </c>
      <c r="R594" s="100">
        <f t="shared" si="29"/>
        <v>5</v>
      </c>
    </row>
    <row r="595" spans="1:19" s="59" customFormat="1" x14ac:dyDescent="0.2">
      <c r="A595" s="69">
        <v>44284</v>
      </c>
      <c r="B595" s="61" t="s">
        <v>158</v>
      </c>
      <c r="C595" s="61" t="s">
        <v>18</v>
      </c>
      <c r="D595" s="73">
        <v>44285</v>
      </c>
      <c r="E595" s="61" t="s">
        <v>65</v>
      </c>
      <c r="F595" s="61">
        <v>43418557</v>
      </c>
      <c r="G595" s="61" t="s">
        <v>1136</v>
      </c>
      <c r="H595" s="75">
        <v>5000</v>
      </c>
      <c r="I595" s="62" t="s">
        <v>97</v>
      </c>
      <c r="J595" s="61" t="s">
        <v>1137</v>
      </c>
      <c r="K595" s="62">
        <v>655</v>
      </c>
      <c r="L595" s="61"/>
      <c r="M595" s="64">
        <v>44284</v>
      </c>
      <c r="N595" s="61" t="s">
        <v>139</v>
      </c>
      <c r="O595" s="61"/>
      <c r="P595" s="61">
        <f t="shared" si="27"/>
        <v>3</v>
      </c>
      <c r="Q595" s="61">
        <f t="shared" si="28"/>
        <v>2021</v>
      </c>
      <c r="R595" s="100">
        <f t="shared" si="29"/>
        <v>30</v>
      </c>
    </row>
    <row r="596" spans="1:19" s="59" customFormat="1" x14ac:dyDescent="0.2">
      <c r="A596" s="69">
        <v>44284</v>
      </c>
      <c r="B596" s="61" t="s">
        <v>158</v>
      </c>
      <c r="C596" s="61" t="s">
        <v>18</v>
      </c>
      <c r="D596" s="73">
        <v>44289</v>
      </c>
      <c r="E596" s="61" t="s">
        <v>123</v>
      </c>
      <c r="F596" s="61">
        <v>63902020</v>
      </c>
      <c r="G596" s="61" t="s">
        <v>1138</v>
      </c>
      <c r="H596" s="75">
        <v>85000</v>
      </c>
      <c r="I596" s="62" t="s">
        <v>97</v>
      </c>
      <c r="J596" s="61" t="s">
        <v>1139</v>
      </c>
      <c r="K596" s="62">
        <v>656</v>
      </c>
      <c r="L596" s="61"/>
      <c r="M596" s="64">
        <v>44284</v>
      </c>
      <c r="N596" s="61" t="s">
        <v>139</v>
      </c>
      <c r="O596" s="61"/>
      <c r="P596" s="61">
        <f t="shared" si="27"/>
        <v>4</v>
      </c>
      <c r="Q596" s="61">
        <f t="shared" si="28"/>
        <v>2021</v>
      </c>
      <c r="R596" s="100">
        <f t="shared" si="29"/>
        <v>3</v>
      </c>
    </row>
    <row r="597" spans="1:19" s="59" customFormat="1" x14ac:dyDescent="0.2">
      <c r="A597" s="69">
        <v>44284</v>
      </c>
      <c r="B597" s="61" t="s">
        <v>158</v>
      </c>
      <c r="C597" s="61" t="s">
        <v>18</v>
      </c>
      <c r="D597" s="73">
        <v>44291</v>
      </c>
      <c r="E597" s="61" t="s">
        <v>65</v>
      </c>
      <c r="F597" s="61">
        <v>43418558</v>
      </c>
      <c r="G597" s="61" t="s">
        <v>1136</v>
      </c>
      <c r="H597" s="75">
        <v>5000</v>
      </c>
      <c r="I597" s="62" t="s">
        <v>97</v>
      </c>
      <c r="J597" s="61" t="s">
        <v>1137</v>
      </c>
      <c r="K597" s="62">
        <v>657</v>
      </c>
      <c r="L597" s="61"/>
      <c r="M597" s="64">
        <v>44284</v>
      </c>
      <c r="N597" s="61" t="s">
        <v>139</v>
      </c>
      <c r="O597" s="61"/>
      <c r="P597" s="61">
        <f t="shared" si="27"/>
        <v>4</v>
      </c>
      <c r="Q597" s="61">
        <f t="shared" si="28"/>
        <v>2021</v>
      </c>
      <c r="R597" s="100">
        <f t="shared" si="29"/>
        <v>5</v>
      </c>
    </row>
    <row r="598" spans="1:19" s="59" customFormat="1" x14ac:dyDescent="0.2">
      <c r="A598" s="69">
        <v>44284</v>
      </c>
      <c r="B598" s="61" t="s">
        <v>158</v>
      </c>
      <c r="C598" s="61" t="s">
        <v>18</v>
      </c>
      <c r="D598" s="73">
        <v>44291</v>
      </c>
      <c r="E598" s="61" t="s">
        <v>47</v>
      </c>
      <c r="F598" s="61">
        <v>85011451</v>
      </c>
      <c r="G598" s="61" t="s">
        <v>768</v>
      </c>
      <c r="H598" s="75">
        <v>15000</v>
      </c>
      <c r="I598" s="62" t="s">
        <v>97</v>
      </c>
      <c r="J598" s="61" t="s">
        <v>769</v>
      </c>
      <c r="K598" s="62">
        <v>658</v>
      </c>
      <c r="L598" s="61"/>
      <c r="M598" s="64">
        <v>44284</v>
      </c>
      <c r="N598" s="61" t="s">
        <v>139</v>
      </c>
      <c r="O598" s="61"/>
      <c r="P598" s="61">
        <f t="shared" si="27"/>
        <v>4</v>
      </c>
      <c r="Q598" s="61">
        <f t="shared" si="28"/>
        <v>2021</v>
      </c>
      <c r="R598" s="100">
        <f t="shared" si="29"/>
        <v>5</v>
      </c>
    </row>
    <row r="599" spans="1:19" s="59" customFormat="1" x14ac:dyDescent="0.2">
      <c r="A599" s="69">
        <v>44284</v>
      </c>
      <c r="B599" s="61" t="s">
        <v>835</v>
      </c>
      <c r="C599" s="61" t="s">
        <v>18</v>
      </c>
      <c r="D599" s="73">
        <v>44299</v>
      </c>
      <c r="E599" s="61" t="s">
        <v>53</v>
      </c>
      <c r="F599" s="61">
        <v>15301408</v>
      </c>
      <c r="G599" s="61" t="s">
        <v>54</v>
      </c>
      <c r="H599" s="75">
        <v>7000</v>
      </c>
      <c r="I599" s="62" t="s">
        <v>49</v>
      </c>
      <c r="J599" s="61" t="s">
        <v>55</v>
      </c>
      <c r="K599" s="62">
        <v>659</v>
      </c>
      <c r="L599" s="61"/>
      <c r="M599" s="64">
        <v>44299</v>
      </c>
      <c r="N599" s="61"/>
      <c r="O599" s="61"/>
      <c r="P599" s="61">
        <f t="shared" si="27"/>
        <v>4</v>
      </c>
      <c r="Q599" s="61">
        <f t="shared" si="28"/>
        <v>2021</v>
      </c>
      <c r="R599" s="100">
        <f t="shared" si="29"/>
        <v>13</v>
      </c>
    </row>
    <row r="600" spans="1:19" s="59" customFormat="1" x14ac:dyDescent="0.2">
      <c r="A600" s="69">
        <v>44284</v>
      </c>
      <c r="B600" s="61" t="s">
        <v>835</v>
      </c>
      <c r="C600" s="61" t="s">
        <v>18</v>
      </c>
      <c r="D600" s="73">
        <v>44301</v>
      </c>
      <c r="E600" s="61" t="s">
        <v>65</v>
      </c>
      <c r="F600" s="61">
        <v>41752068</v>
      </c>
      <c r="G600" s="61" t="s">
        <v>82</v>
      </c>
      <c r="H600" s="75">
        <v>15000</v>
      </c>
      <c r="I600" s="62" t="s">
        <v>49</v>
      </c>
      <c r="J600" s="61" t="s">
        <v>83</v>
      </c>
      <c r="K600" s="62">
        <v>660</v>
      </c>
      <c r="L600" s="61"/>
      <c r="M600" s="64">
        <v>44301</v>
      </c>
      <c r="N600" s="61"/>
      <c r="O600" s="61"/>
      <c r="P600" s="61">
        <f t="shared" si="27"/>
        <v>4</v>
      </c>
      <c r="Q600" s="61">
        <f t="shared" si="28"/>
        <v>2021</v>
      </c>
      <c r="R600" s="100">
        <f t="shared" si="29"/>
        <v>15</v>
      </c>
    </row>
    <row r="601" spans="1:19" s="59" customFormat="1" x14ac:dyDescent="0.2">
      <c r="A601" s="69">
        <v>44284</v>
      </c>
      <c r="B601" s="61" t="s">
        <v>835</v>
      </c>
      <c r="C601" s="61" t="s">
        <v>18</v>
      </c>
      <c r="D601" s="73">
        <v>44302</v>
      </c>
      <c r="E601" s="61" t="s">
        <v>849</v>
      </c>
      <c r="F601" s="61">
        <v>83747573</v>
      </c>
      <c r="G601" s="61" t="s">
        <v>297</v>
      </c>
      <c r="H601" s="75">
        <v>15000</v>
      </c>
      <c r="I601" s="62" t="s">
        <v>49</v>
      </c>
      <c r="J601" s="61" t="s">
        <v>298</v>
      </c>
      <c r="K601" s="62">
        <v>661</v>
      </c>
      <c r="L601" s="61"/>
      <c r="M601" s="64">
        <v>44302</v>
      </c>
      <c r="N601" s="61"/>
      <c r="O601" s="61"/>
      <c r="P601" s="61">
        <f t="shared" si="27"/>
        <v>4</v>
      </c>
      <c r="Q601" s="61">
        <f t="shared" si="28"/>
        <v>2021</v>
      </c>
      <c r="R601" s="100">
        <f t="shared" si="29"/>
        <v>16</v>
      </c>
    </row>
    <row r="602" spans="1:19" s="59" customFormat="1" x14ac:dyDescent="0.2">
      <c r="A602" s="69">
        <v>44284</v>
      </c>
      <c r="B602" s="61" t="s">
        <v>835</v>
      </c>
      <c r="C602" s="61" t="s">
        <v>18</v>
      </c>
      <c r="D602" s="73">
        <v>44316</v>
      </c>
      <c r="E602" s="61" t="s">
        <v>170</v>
      </c>
      <c r="F602" s="61">
        <v>93010189</v>
      </c>
      <c r="G602" s="61" t="s">
        <v>1140</v>
      </c>
      <c r="H602" s="75">
        <v>35000</v>
      </c>
      <c r="I602" s="62" t="s">
        <v>49</v>
      </c>
      <c r="J602" s="61" t="s">
        <v>1141</v>
      </c>
      <c r="K602" s="62">
        <v>662</v>
      </c>
      <c r="L602" s="61"/>
      <c r="M602" s="64">
        <v>44316</v>
      </c>
      <c r="N602" s="61"/>
      <c r="O602" s="61"/>
      <c r="P602" s="61">
        <f t="shared" si="27"/>
        <v>4</v>
      </c>
      <c r="Q602" s="61">
        <f t="shared" si="28"/>
        <v>2021</v>
      </c>
      <c r="R602" s="100">
        <f t="shared" si="29"/>
        <v>30</v>
      </c>
    </row>
    <row r="603" spans="1:19" s="59" customFormat="1" x14ac:dyDescent="0.2">
      <c r="A603" s="69">
        <v>44284</v>
      </c>
      <c r="B603" s="61" t="s">
        <v>835</v>
      </c>
      <c r="C603" s="61" t="s">
        <v>18</v>
      </c>
      <c r="D603" s="73">
        <v>44316</v>
      </c>
      <c r="E603" s="61" t="s">
        <v>53</v>
      </c>
      <c r="F603" s="61">
        <v>70400286</v>
      </c>
      <c r="G603" s="61" t="s">
        <v>320</v>
      </c>
      <c r="H603" s="75">
        <v>25165</v>
      </c>
      <c r="I603" s="62" t="s">
        <v>49</v>
      </c>
      <c r="J603" s="61" t="s">
        <v>293</v>
      </c>
      <c r="K603" s="62">
        <v>663</v>
      </c>
      <c r="L603" s="61"/>
      <c r="M603" s="64">
        <v>44316</v>
      </c>
      <c r="N603" s="61"/>
      <c r="O603" s="61"/>
      <c r="P603" s="61">
        <f t="shared" si="27"/>
        <v>4</v>
      </c>
      <c r="Q603" s="61">
        <f t="shared" si="28"/>
        <v>2021</v>
      </c>
      <c r="R603" s="100">
        <f t="shared" si="29"/>
        <v>30</v>
      </c>
    </row>
    <row r="604" spans="1:19" s="59" customFormat="1" x14ac:dyDescent="0.2">
      <c r="A604" s="69">
        <v>44284</v>
      </c>
      <c r="B604" s="61" t="s">
        <v>835</v>
      </c>
      <c r="C604" s="61" t="s">
        <v>18</v>
      </c>
      <c r="D604" s="73">
        <v>44316</v>
      </c>
      <c r="E604" s="61" t="s">
        <v>65</v>
      </c>
      <c r="F604" s="61">
        <v>23205190</v>
      </c>
      <c r="G604" s="61" t="s">
        <v>1039</v>
      </c>
      <c r="H604" s="75">
        <v>35000</v>
      </c>
      <c r="I604" s="62" t="s">
        <v>49</v>
      </c>
      <c r="J604" s="61" t="s">
        <v>1040</v>
      </c>
      <c r="K604" s="62">
        <v>664</v>
      </c>
      <c r="L604" s="61"/>
      <c r="M604" s="64">
        <v>44316</v>
      </c>
      <c r="N604" s="61"/>
      <c r="O604" s="61"/>
      <c r="P604" s="61">
        <f t="shared" si="27"/>
        <v>4</v>
      </c>
      <c r="Q604" s="61">
        <f t="shared" si="28"/>
        <v>2021</v>
      </c>
      <c r="R604" s="100">
        <f t="shared" si="29"/>
        <v>30</v>
      </c>
    </row>
    <row r="605" spans="1:19" s="59" customFormat="1" x14ac:dyDescent="0.2">
      <c r="A605" s="69">
        <v>44284</v>
      </c>
      <c r="B605" s="61" t="s">
        <v>835</v>
      </c>
      <c r="C605" s="61" t="s">
        <v>18</v>
      </c>
      <c r="D605" s="73">
        <v>44321</v>
      </c>
      <c r="E605" s="61" t="s">
        <v>57</v>
      </c>
      <c r="F605" s="61">
        <v>532625</v>
      </c>
      <c r="G605" s="61" t="s">
        <v>1142</v>
      </c>
      <c r="H605" s="75">
        <v>60000</v>
      </c>
      <c r="I605" s="62" t="s">
        <v>150</v>
      </c>
      <c r="J605" s="61" t="s">
        <v>1143</v>
      </c>
      <c r="K605" s="62">
        <v>665</v>
      </c>
      <c r="L605" s="61"/>
      <c r="M605" s="64">
        <v>44305</v>
      </c>
      <c r="N605" s="61"/>
      <c r="O605" s="61"/>
      <c r="P605" s="61">
        <f t="shared" si="27"/>
        <v>5</v>
      </c>
      <c r="Q605" s="61">
        <f t="shared" si="28"/>
        <v>2021</v>
      </c>
      <c r="R605" s="100">
        <f t="shared" si="29"/>
        <v>5</v>
      </c>
    </row>
    <row r="606" spans="1:19" s="59" customFormat="1" x14ac:dyDescent="0.2">
      <c r="A606" s="69">
        <v>44284</v>
      </c>
      <c r="B606" s="61" t="s">
        <v>835</v>
      </c>
      <c r="C606" s="61" t="s">
        <v>18</v>
      </c>
      <c r="D606" s="73">
        <v>44326</v>
      </c>
      <c r="E606" s="61" t="s">
        <v>65</v>
      </c>
      <c r="F606" s="61">
        <v>41752079</v>
      </c>
      <c r="G606" s="61" t="s">
        <v>82</v>
      </c>
      <c r="H606" s="75">
        <v>10000</v>
      </c>
      <c r="I606" s="62" t="s">
        <v>150</v>
      </c>
      <c r="J606" s="61" t="s">
        <v>83</v>
      </c>
      <c r="K606" s="62">
        <v>666</v>
      </c>
      <c r="L606" s="61"/>
      <c r="M606" s="64">
        <v>44305</v>
      </c>
      <c r="N606" s="61"/>
      <c r="O606" s="61"/>
      <c r="P606" s="61">
        <f t="shared" si="27"/>
        <v>5</v>
      </c>
      <c r="Q606" s="61">
        <f t="shared" si="28"/>
        <v>2021</v>
      </c>
      <c r="R606" s="100">
        <f t="shared" si="29"/>
        <v>10</v>
      </c>
      <c r="S606" s="200"/>
    </row>
    <row r="607" spans="1:19" s="59" customFormat="1" x14ac:dyDescent="0.2">
      <c r="A607" s="69">
        <v>44284</v>
      </c>
      <c r="B607" s="61" t="s">
        <v>835</v>
      </c>
      <c r="C607" s="61" t="s">
        <v>18</v>
      </c>
      <c r="D607" s="73">
        <v>44327</v>
      </c>
      <c r="E607" s="61" t="s">
        <v>53</v>
      </c>
      <c r="F607" s="61">
        <v>70400290</v>
      </c>
      <c r="G607" s="61" t="s">
        <v>320</v>
      </c>
      <c r="H607" s="75">
        <v>25000</v>
      </c>
      <c r="I607" s="62" t="s">
        <v>150</v>
      </c>
      <c r="J607" s="61" t="s">
        <v>293</v>
      </c>
      <c r="K607" s="62">
        <v>667</v>
      </c>
      <c r="L607" s="61"/>
      <c r="M607" s="64">
        <v>44305</v>
      </c>
      <c r="N607" s="61"/>
      <c r="O607" s="61"/>
      <c r="P607" s="61">
        <f t="shared" si="27"/>
        <v>5</v>
      </c>
      <c r="Q607" s="61">
        <f t="shared" si="28"/>
        <v>2021</v>
      </c>
      <c r="R607" s="100">
        <f t="shared" si="29"/>
        <v>11</v>
      </c>
    </row>
    <row r="608" spans="1:19" s="59" customFormat="1" x14ac:dyDescent="0.2">
      <c r="A608" s="69">
        <v>44284</v>
      </c>
      <c r="B608" s="61" t="s">
        <v>835</v>
      </c>
      <c r="C608" s="61" t="s">
        <v>18</v>
      </c>
      <c r="D608" s="73">
        <v>44336</v>
      </c>
      <c r="E608" s="61" t="s">
        <v>65</v>
      </c>
      <c r="F608" s="61">
        <v>41752080</v>
      </c>
      <c r="G608" s="61" t="s">
        <v>82</v>
      </c>
      <c r="H608" s="75">
        <v>10000</v>
      </c>
      <c r="I608" s="62" t="s">
        <v>150</v>
      </c>
      <c r="J608" s="61" t="s">
        <v>83</v>
      </c>
      <c r="K608" s="62">
        <v>668</v>
      </c>
      <c r="L608" s="61"/>
      <c r="M608" s="64">
        <v>44301</v>
      </c>
      <c r="N608" s="61"/>
      <c r="O608" s="61"/>
      <c r="P608" s="61">
        <f t="shared" si="27"/>
        <v>5</v>
      </c>
      <c r="Q608" s="61">
        <f t="shared" si="28"/>
        <v>2021</v>
      </c>
      <c r="R608" s="100">
        <f t="shared" si="29"/>
        <v>20</v>
      </c>
    </row>
    <row r="609" spans="1:18" s="59" customFormat="1" x14ac:dyDescent="0.2">
      <c r="A609" s="69">
        <v>44284</v>
      </c>
      <c r="B609" s="61" t="s">
        <v>835</v>
      </c>
      <c r="C609" s="61" t="s">
        <v>18</v>
      </c>
      <c r="D609" s="73">
        <v>44345</v>
      </c>
      <c r="E609" s="61" t="s">
        <v>148</v>
      </c>
      <c r="F609" s="61">
        <v>23652656</v>
      </c>
      <c r="G609" s="61" t="s">
        <v>290</v>
      </c>
      <c r="H609" s="75">
        <v>36000</v>
      </c>
      <c r="I609" s="62" t="s">
        <v>150</v>
      </c>
      <c r="J609" s="61" t="s">
        <v>291</v>
      </c>
      <c r="K609" s="62">
        <v>669</v>
      </c>
      <c r="L609" s="61"/>
      <c r="M609" s="64">
        <v>44301</v>
      </c>
      <c r="N609" s="61"/>
      <c r="O609" s="61"/>
      <c r="P609" s="61">
        <f t="shared" si="27"/>
        <v>5</v>
      </c>
      <c r="Q609" s="61">
        <f t="shared" si="28"/>
        <v>2021</v>
      </c>
      <c r="R609" s="100">
        <f t="shared" si="29"/>
        <v>29</v>
      </c>
    </row>
    <row r="610" spans="1:18" s="59" customFormat="1" x14ac:dyDescent="0.2">
      <c r="A610" s="69">
        <v>44284</v>
      </c>
      <c r="B610" s="61" t="s">
        <v>835</v>
      </c>
      <c r="C610" s="61" t="s">
        <v>18</v>
      </c>
      <c r="D610" s="73">
        <v>44346</v>
      </c>
      <c r="E610" s="61" t="s">
        <v>53</v>
      </c>
      <c r="F610" s="61">
        <v>43600100</v>
      </c>
      <c r="G610" s="61" t="s">
        <v>1144</v>
      </c>
      <c r="H610" s="75">
        <v>31900</v>
      </c>
      <c r="I610" s="62" t="s">
        <v>150</v>
      </c>
      <c r="J610" s="61" t="s">
        <v>1145</v>
      </c>
      <c r="K610" s="62">
        <v>670</v>
      </c>
      <c r="L610" s="61"/>
      <c r="M610" s="64">
        <v>44305</v>
      </c>
      <c r="N610" s="61"/>
      <c r="O610" s="61"/>
      <c r="P610" s="61">
        <f t="shared" si="27"/>
        <v>5</v>
      </c>
      <c r="Q610" s="61">
        <f t="shared" si="28"/>
        <v>2021</v>
      </c>
      <c r="R610" s="100">
        <f t="shared" si="29"/>
        <v>30</v>
      </c>
    </row>
    <row r="611" spans="1:18" s="59" customFormat="1" x14ac:dyDescent="0.2">
      <c r="A611" s="69">
        <v>44291</v>
      </c>
      <c r="B611" s="61" t="s">
        <v>195</v>
      </c>
      <c r="C611" s="61" t="s">
        <v>18</v>
      </c>
      <c r="D611" s="73">
        <v>44344</v>
      </c>
      <c r="E611" s="61" t="s">
        <v>47</v>
      </c>
      <c r="F611" s="61">
        <v>84780335</v>
      </c>
      <c r="G611" s="61" t="s">
        <v>1146</v>
      </c>
      <c r="H611" s="75">
        <v>14115</v>
      </c>
      <c r="I611" s="62" t="s">
        <v>150</v>
      </c>
      <c r="J611" s="61" t="s">
        <v>1147</v>
      </c>
      <c r="K611" s="62">
        <v>671</v>
      </c>
      <c r="L611" s="61"/>
      <c r="M611" s="64">
        <v>44301</v>
      </c>
      <c r="N611" s="61"/>
      <c r="O611" s="61"/>
      <c r="P611" s="61">
        <f t="shared" si="27"/>
        <v>5</v>
      </c>
      <c r="Q611" s="61">
        <f t="shared" si="28"/>
        <v>2021</v>
      </c>
      <c r="R611" s="100">
        <f t="shared" si="29"/>
        <v>28</v>
      </c>
    </row>
    <row r="612" spans="1:18" s="59" customFormat="1" x14ac:dyDescent="0.2">
      <c r="A612" s="69">
        <v>44292</v>
      </c>
      <c r="B612" s="61" t="s">
        <v>212</v>
      </c>
      <c r="C612" s="61" t="s">
        <v>18</v>
      </c>
      <c r="D612" s="73">
        <v>44396</v>
      </c>
      <c r="E612" s="61" t="s">
        <v>65</v>
      </c>
      <c r="F612" s="61">
        <v>41034440</v>
      </c>
      <c r="G612" s="61" t="s">
        <v>874</v>
      </c>
      <c r="H612" s="75">
        <v>13575</v>
      </c>
      <c r="I612" s="62" t="s">
        <v>97</v>
      </c>
      <c r="J612" s="61" t="s">
        <v>200</v>
      </c>
      <c r="K612" s="62">
        <v>672</v>
      </c>
      <c r="L612" s="61"/>
      <c r="M612" s="64">
        <v>44396</v>
      </c>
      <c r="N612" s="61" t="s">
        <v>1227</v>
      </c>
      <c r="O612" s="61"/>
      <c r="P612" s="61">
        <f t="shared" si="27"/>
        <v>7</v>
      </c>
      <c r="Q612" s="61">
        <f t="shared" si="28"/>
        <v>2021</v>
      </c>
      <c r="R612" s="100">
        <f t="shared" si="29"/>
        <v>19</v>
      </c>
    </row>
    <row r="613" spans="1:18" s="59" customFormat="1" x14ac:dyDescent="0.2">
      <c r="A613" s="69">
        <v>44293</v>
      </c>
      <c r="B613" s="61" t="s">
        <v>762</v>
      </c>
      <c r="C613" s="61" t="s">
        <v>18</v>
      </c>
      <c r="D613" s="73">
        <v>44301</v>
      </c>
      <c r="E613" s="61" t="s">
        <v>123</v>
      </c>
      <c r="F613" s="61">
        <v>56672873</v>
      </c>
      <c r="G613" s="61" t="s">
        <v>1148</v>
      </c>
      <c r="H613" s="75">
        <v>20000</v>
      </c>
      <c r="I613" s="62" t="s">
        <v>49</v>
      </c>
      <c r="J613" s="61" t="s">
        <v>1149</v>
      </c>
      <c r="K613" s="62">
        <v>673</v>
      </c>
      <c r="L613" s="61"/>
      <c r="M613" s="64">
        <v>44301</v>
      </c>
      <c r="N613" s="61"/>
      <c r="O613" s="61"/>
      <c r="P613" s="61">
        <f t="shared" si="27"/>
        <v>4</v>
      </c>
      <c r="Q613" s="61">
        <f t="shared" si="28"/>
        <v>2021</v>
      </c>
      <c r="R613" s="100">
        <f t="shared" si="29"/>
        <v>15</v>
      </c>
    </row>
    <row r="614" spans="1:18" s="59" customFormat="1" x14ac:dyDescent="0.2">
      <c r="A614" s="69">
        <v>44295</v>
      </c>
      <c r="B614" s="61" t="s">
        <v>42</v>
      </c>
      <c r="C614" s="61" t="s">
        <v>18</v>
      </c>
      <c r="D614" s="73">
        <v>44301</v>
      </c>
      <c r="E614" s="61" t="s">
        <v>57</v>
      </c>
      <c r="F614" s="61">
        <v>971936</v>
      </c>
      <c r="G614" s="61" t="s">
        <v>1150</v>
      </c>
      <c r="H614" s="75">
        <v>5900</v>
      </c>
      <c r="I614" s="62" t="s">
        <v>49</v>
      </c>
      <c r="J614" s="61" t="s">
        <v>1151</v>
      </c>
      <c r="K614" s="62">
        <v>674</v>
      </c>
      <c r="L614" s="61"/>
      <c r="M614" s="64">
        <v>44301</v>
      </c>
      <c r="N614" s="61"/>
      <c r="O614" s="61"/>
      <c r="P614" s="61">
        <f t="shared" si="27"/>
        <v>4</v>
      </c>
      <c r="Q614" s="61">
        <f t="shared" si="28"/>
        <v>2021</v>
      </c>
      <c r="R614" s="100">
        <f t="shared" si="29"/>
        <v>15</v>
      </c>
    </row>
    <row r="615" spans="1:18" s="59" customFormat="1" x14ac:dyDescent="0.2">
      <c r="A615" s="69">
        <v>44295</v>
      </c>
      <c r="B615" s="61" t="s">
        <v>42</v>
      </c>
      <c r="C615" s="61" t="s">
        <v>18</v>
      </c>
      <c r="D615" s="73">
        <v>44326</v>
      </c>
      <c r="E615" s="61" t="s">
        <v>47</v>
      </c>
      <c r="F615" s="61">
        <v>85543964</v>
      </c>
      <c r="G615" s="61" t="s">
        <v>333</v>
      </c>
      <c r="H615" s="75">
        <v>4000</v>
      </c>
      <c r="I615" s="62" t="s">
        <v>150</v>
      </c>
      <c r="J615" s="61" t="s">
        <v>545</v>
      </c>
      <c r="K615" s="62">
        <v>675</v>
      </c>
      <c r="L615" s="61"/>
      <c r="M615" s="64">
        <v>44305</v>
      </c>
      <c r="N615" s="61"/>
      <c r="O615" s="61"/>
      <c r="P615" s="61">
        <f t="shared" si="27"/>
        <v>5</v>
      </c>
      <c r="Q615" s="61">
        <f t="shared" si="28"/>
        <v>2021</v>
      </c>
      <c r="R615" s="100">
        <f t="shared" si="29"/>
        <v>10</v>
      </c>
    </row>
    <row r="616" spans="1:18" s="59" customFormat="1" x14ac:dyDescent="0.2">
      <c r="A616" s="69">
        <v>44295</v>
      </c>
      <c r="B616" s="61" t="s">
        <v>42</v>
      </c>
      <c r="C616" s="61" t="s">
        <v>18</v>
      </c>
      <c r="D616" s="73">
        <v>44347</v>
      </c>
      <c r="E616" s="61" t="s">
        <v>47</v>
      </c>
      <c r="F616" s="61">
        <v>85543965</v>
      </c>
      <c r="G616" s="61" t="s">
        <v>333</v>
      </c>
      <c r="H616" s="75">
        <v>5000</v>
      </c>
      <c r="I616" s="62" t="s">
        <v>150</v>
      </c>
      <c r="J616" s="61" t="s">
        <v>545</v>
      </c>
      <c r="K616" s="62">
        <v>676</v>
      </c>
      <c r="L616" s="61"/>
      <c r="M616" s="64">
        <v>44305</v>
      </c>
      <c r="N616" s="61"/>
      <c r="O616" s="61"/>
      <c r="P616" s="61">
        <f t="shared" si="27"/>
        <v>5</v>
      </c>
      <c r="Q616" s="61">
        <f t="shared" si="28"/>
        <v>2021</v>
      </c>
      <c r="R616" s="100">
        <f t="shared" si="29"/>
        <v>31</v>
      </c>
    </row>
    <row r="617" spans="1:18" s="59" customFormat="1" x14ac:dyDescent="0.2">
      <c r="A617" s="69">
        <v>44295</v>
      </c>
      <c r="B617" s="61" t="s">
        <v>42</v>
      </c>
      <c r="C617" s="61" t="s">
        <v>18</v>
      </c>
      <c r="D617" s="73">
        <v>44357</v>
      </c>
      <c r="E617" s="61" t="s">
        <v>47</v>
      </c>
      <c r="F617" s="61">
        <v>85543966</v>
      </c>
      <c r="G617" s="61" t="s">
        <v>333</v>
      </c>
      <c r="H617" s="75">
        <v>5000</v>
      </c>
      <c r="I617" s="62" t="s">
        <v>150</v>
      </c>
      <c r="J617" s="61" t="s">
        <v>545</v>
      </c>
      <c r="K617" s="62">
        <v>677</v>
      </c>
      <c r="L617" s="61"/>
      <c r="M617" s="64">
        <v>44298</v>
      </c>
      <c r="N617" s="61"/>
      <c r="O617" s="61"/>
      <c r="P617" s="61">
        <f t="shared" si="27"/>
        <v>6</v>
      </c>
      <c r="Q617" s="61">
        <f t="shared" si="28"/>
        <v>2021</v>
      </c>
      <c r="R617" s="100">
        <f t="shared" si="29"/>
        <v>10</v>
      </c>
    </row>
    <row r="618" spans="1:18" s="59" customFormat="1" x14ac:dyDescent="0.2">
      <c r="A618" s="69">
        <v>44295</v>
      </c>
      <c r="B618" s="61" t="s">
        <v>42</v>
      </c>
      <c r="C618" s="61" t="s">
        <v>18</v>
      </c>
      <c r="D618" s="73">
        <v>44377</v>
      </c>
      <c r="E618" s="61" t="s">
        <v>47</v>
      </c>
      <c r="F618" s="61">
        <v>85543967</v>
      </c>
      <c r="G618" s="61" t="s">
        <v>333</v>
      </c>
      <c r="H618" s="75">
        <v>5000</v>
      </c>
      <c r="I618" s="62" t="s">
        <v>150</v>
      </c>
      <c r="J618" s="61" t="s">
        <v>545</v>
      </c>
      <c r="K618" s="62">
        <v>678</v>
      </c>
      <c r="L618" s="61"/>
      <c r="M618" s="64">
        <v>44298</v>
      </c>
      <c r="N618" s="61"/>
      <c r="O618" s="61"/>
      <c r="P618" s="61">
        <f t="shared" si="27"/>
        <v>6</v>
      </c>
      <c r="Q618" s="61">
        <f t="shared" si="28"/>
        <v>2021</v>
      </c>
      <c r="R618" s="100">
        <f t="shared" si="29"/>
        <v>30</v>
      </c>
    </row>
    <row r="619" spans="1:18" s="59" customFormat="1" x14ac:dyDescent="0.2">
      <c r="A619" s="69">
        <v>44295</v>
      </c>
      <c r="B619" s="61" t="s">
        <v>42</v>
      </c>
      <c r="C619" s="61" t="s">
        <v>18</v>
      </c>
      <c r="D619" s="73">
        <v>44387</v>
      </c>
      <c r="E619" s="61" t="s">
        <v>47</v>
      </c>
      <c r="F619" s="61">
        <v>85543968</v>
      </c>
      <c r="G619" s="61" t="s">
        <v>333</v>
      </c>
      <c r="H619" s="75">
        <v>5850</v>
      </c>
      <c r="I619" s="62" t="s">
        <v>150</v>
      </c>
      <c r="J619" s="61" t="s">
        <v>545</v>
      </c>
      <c r="K619" s="62">
        <v>679</v>
      </c>
      <c r="L619" s="61"/>
      <c r="M619" s="64">
        <v>44305</v>
      </c>
      <c r="N619" s="61"/>
      <c r="O619" s="61"/>
      <c r="P619" s="61">
        <f t="shared" si="27"/>
        <v>7</v>
      </c>
      <c r="Q619" s="61">
        <f t="shared" si="28"/>
        <v>2021</v>
      </c>
      <c r="R619" s="100">
        <f t="shared" si="29"/>
        <v>10</v>
      </c>
    </row>
    <row r="620" spans="1:18" s="59" customFormat="1" x14ac:dyDescent="0.2">
      <c r="A620" s="69">
        <v>44298</v>
      </c>
      <c r="B620" s="61" t="s">
        <v>195</v>
      </c>
      <c r="C620" s="61" t="s">
        <v>18</v>
      </c>
      <c r="D620" s="73">
        <v>44330</v>
      </c>
      <c r="E620" s="61" t="s">
        <v>47</v>
      </c>
      <c r="F620" s="61">
        <v>84780332</v>
      </c>
      <c r="G620" s="61" t="s">
        <v>1146</v>
      </c>
      <c r="H620" s="75">
        <v>10115</v>
      </c>
      <c r="I620" s="62" t="s">
        <v>150</v>
      </c>
      <c r="J620" s="61" t="s">
        <v>1147</v>
      </c>
      <c r="K620" s="62">
        <v>680</v>
      </c>
      <c r="L620" s="61"/>
      <c r="M620" s="64">
        <v>44301</v>
      </c>
      <c r="N620" s="61"/>
      <c r="O620" s="61"/>
      <c r="P620" s="61">
        <f t="shared" si="27"/>
        <v>5</v>
      </c>
      <c r="Q620" s="61">
        <f t="shared" si="28"/>
        <v>2021</v>
      </c>
      <c r="R620" s="100">
        <f t="shared" si="29"/>
        <v>14</v>
      </c>
    </row>
    <row r="621" spans="1:18" s="59" customFormat="1" x14ac:dyDescent="0.2">
      <c r="A621" s="69">
        <v>44305</v>
      </c>
      <c r="B621" s="61" t="s">
        <v>158</v>
      </c>
      <c r="C621" s="61" t="s">
        <v>18</v>
      </c>
      <c r="D621" s="73">
        <v>44311</v>
      </c>
      <c r="E621" s="61" t="s">
        <v>47</v>
      </c>
      <c r="F621" s="61">
        <v>85011452</v>
      </c>
      <c r="G621" s="61" t="s">
        <v>768</v>
      </c>
      <c r="H621" s="75">
        <v>11624</v>
      </c>
      <c r="I621" s="62" t="s">
        <v>49</v>
      </c>
      <c r="J621" s="61" t="s">
        <v>769</v>
      </c>
      <c r="K621" s="62">
        <v>681</v>
      </c>
      <c r="L621" s="61"/>
      <c r="M621" s="64">
        <v>44312</v>
      </c>
      <c r="N621" s="61"/>
      <c r="O621" s="61"/>
      <c r="P621" s="61">
        <f t="shared" si="27"/>
        <v>4</v>
      </c>
      <c r="Q621" s="61">
        <f t="shared" si="28"/>
        <v>2021</v>
      </c>
      <c r="R621" s="100">
        <f t="shared" si="29"/>
        <v>25</v>
      </c>
    </row>
    <row r="622" spans="1:18" s="59" customFormat="1" x14ac:dyDescent="0.2">
      <c r="A622" s="69">
        <v>44305</v>
      </c>
      <c r="B622" s="61" t="s">
        <v>158</v>
      </c>
      <c r="C622" s="61" t="s">
        <v>18</v>
      </c>
      <c r="D622" s="73">
        <v>44346</v>
      </c>
      <c r="E622" s="61" t="s">
        <v>47</v>
      </c>
      <c r="F622" s="61">
        <v>77592846</v>
      </c>
      <c r="G622" s="61" t="s">
        <v>1162</v>
      </c>
      <c r="H622" s="75">
        <v>21000</v>
      </c>
      <c r="I622" s="62" t="s">
        <v>49</v>
      </c>
      <c r="J622" s="61" t="s">
        <v>1163</v>
      </c>
      <c r="K622" s="62">
        <v>682</v>
      </c>
      <c r="L622" s="61"/>
      <c r="M622" s="64">
        <v>44347</v>
      </c>
      <c r="N622" s="61"/>
      <c r="O622" s="61"/>
      <c r="P622" s="61">
        <f t="shared" si="27"/>
        <v>5</v>
      </c>
      <c r="Q622" s="61">
        <f t="shared" si="28"/>
        <v>2021</v>
      </c>
      <c r="R622" s="100">
        <f t="shared" si="29"/>
        <v>30</v>
      </c>
    </row>
    <row r="623" spans="1:18" s="59" customFormat="1" x14ac:dyDescent="0.2">
      <c r="A623" s="69">
        <v>44306</v>
      </c>
      <c r="B623" s="61" t="s">
        <v>368</v>
      </c>
      <c r="C623" s="61" t="s">
        <v>18</v>
      </c>
      <c r="D623" s="73">
        <v>44316</v>
      </c>
      <c r="E623" s="61" t="s">
        <v>65</v>
      </c>
      <c r="F623" s="61">
        <v>41034500</v>
      </c>
      <c r="G623" s="61" t="s">
        <v>874</v>
      </c>
      <c r="H623" s="75">
        <v>10000</v>
      </c>
      <c r="I623" s="62" t="s">
        <v>49</v>
      </c>
      <c r="J623" s="61" t="s">
        <v>200</v>
      </c>
      <c r="K623" s="62">
        <v>683</v>
      </c>
      <c r="L623" s="61"/>
      <c r="M623" s="64">
        <v>44316</v>
      </c>
      <c r="N623" s="61"/>
      <c r="O623" s="61"/>
      <c r="P623" s="61">
        <f t="shared" si="27"/>
        <v>4</v>
      </c>
      <c r="Q623" s="61">
        <f t="shared" si="28"/>
        <v>2021</v>
      </c>
      <c r="R623" s="100">
        <f t="shared" si="29"/>
        <v>30</v>
      </c>
    </row>
    <row r="624" spans="1:18" s="59" customFormat="1" x14ac:dyDescent="0.2">
      <c r="A624" s="69">
        <v>44306</v>
      </c>
      <c r="B624" s="61" t="s">
        <v>368</v>
      </c>
      <c r="C624" s="61" t="s">
        <v>18</v>
      </c>
      <c r="D624" s="73">
        <v>44309</v>
      </c>
      <c r="E624" s="61" t="s">
        <v>57</v>
      </c>
      <c r="F624" s="61">
        <v>3591857</v>
      </c>
      <c r="G624" s="61" t="s">
        <v>874</v>
      </c>
      <c r="H624" s="75">
        <v>10000</v>
      </c>
      <c r="I624" s="62" t="s">
        <v>49</v>
      </c>
      <c r="J624" s="61" t="s">
        <v>200</v>
      </c>
      <c r="K624" s="62">
        <v>684</v>
      </c>
      <c r="L624" s="61"/>
      <c r="M624" s="64">
        <v>44309</v>
      </c>
      <c r="N624" s="61"/>
      <c r="O624" s="61"/>
      <c r="P624" s="61">
        <f t="shared" si="27"/>
        <v>4</v>
      </c>
      <c r="Q624" s="61">
        <f t="shared" si="28"/>
        <v>2021</v>
      </c>
      <c r="R624" s="100">
        <f t="shared" si="29"/>
        <v>23</v>
      </c>
    </row>
    <row r="625" spans="1:18" s="59" customFormat="1" x14ac:dyDescent="0.2">
      <c r="A625" s="69">
        <v>44308</v>
      </c>
      <c r="B625" s="61" t="s">
        <v>195</v>
      </c>
      <c r="C625" s="61" t="s">
        <v>18</v>
      </c>
      <c r="D625" s="73">
        <v>44309</v>
      </c>
      <c r="E625" s="61" t="s">
        <v>47</v>
      </c>
      <c r="F625" s="61">
        <v>84780329</v>
      </c>
      <c r="G625" s="61" t="s">
        <v>1146</v>
      </c>
      <c r="H625" s="75">
        <v>14115</v>
      </c>
      <c r="I625" s="62" t="s">
        <v>49</v>
      </c>
      <c r="J625" s="61" t="s">
        <v>1147</v>
      </c>
      <c r="K625" s="62">
        <v>685</v>
      </c>
      <c r="L625" s="61"/>
      <c r="M625" s="64">
        <v>44309</v>
      </c>
      <c r="N625" s="61"/>
      <c r="O625" s="61"/>
      <c r="P625" s="61">
        <f t="shared" si="27"/>
        <v>4</v>
      </c>
      <c r="Q625" s="61">
        <f t="shared" si="28"/>
        <v>2021</v>
      </c>
      <c r="R625" s="100">
        <f t="shared" si="29"/>
        <v>23</v>
      </c>
    </row>
    <row r="626" spans="1:18" s="59" customFormat="1" x14ac:dyDescent="0.2">
      <c r="A626" s="69">
        <v>44313</v>
      </c>
      <c r="B626" s="61" t="s">
        <v>212</v>
      </c>
      <c r="C626" s="61" t="s">
        <v>18</v>
      </c>
      <c r="D626" s="73">
        <v>44338</v>
      </c>
      <c r="E626" s="61" t="s">
        <v>123</v>
      </c>
      <c r="F626" s="61">
        <v>62198478</v>
      </c>
      <c r="G626" s="61" t="s">
        <v>192</v>
      </c>
      <c r="H626" s="75">
        <v>13000</v>
      </c>
      <c r="I626" s="62" t="s">
        <v>49</v>
      </c>
      <c r="J626" s="61" t="s">
        <v>193</v>
      </c>
      <c r="K626" s="62">
        <v>686</v>
      </c>
      <c r="L626" s="61"/>
      <c r="M626" s="64">
        <v>44342</v>
      </c>
      <c r="N626" s="61"/>
      <c r="O626" s="61"/>
      <c r="P626" s="61">
        <f t="shared" si="27"/>
        <v>5</v>
      </c>
      <c r="Q626" s="61">
        <f t="shared" si="28"/>
        <v>2021</v>
      </c>
      <c r="R626" s="100">
        <f t="shared" si="29"/>
        <v>22</v>
      </c>
    </row>
    <row r="627" spans="1:18" s="59" customFormat="1" x14ac:dyDescent="0.2">
      <c r="A627" s="69">
        <v>44313</v>
      </c>
      <c r="B627" s="61" t="s">
        <v>212</v>
      </c>
      <c r="C627" s="61" t="s">
        <v>18</v>
      </c>
      <c r="D627" s="73">
        <v>44347</v>
      </c>
      <c r="E627" s="61" t="s">
        <v>123</v>
      </c>
      <c r="F627" s="61">
        <v>62198479</v>
      </c>
      <c r="G627" s="61" t="s">
        <v>192</v>
      </c>
      <c r="H627" s="75">
        <v>13000</v>
      </c>
      <c r="I627" s="62" t="s">
        <v>49</v>
      </c>
      <c r="J627" s="61" t="s">
        <v>193</v>
      </c>
      <c r="K627" s="62">
        <v>687</v>
      </c>
      <c r="L627" s="61"/>
      <c r="M627" s="64">
        <v>44347</v>
      </c>
      <c r="N627" s="61"/>
      <c r="O627" s="61"/>
      <c r="P627" s="61">
        <f t="shared" si="27"/>
        <v>5</v>
      </c>
      <c r="Q627" s="61">
        <f t="shared" si="28"/>
        <v>2021</v>
      </c>
      <c r="R627" s="100">
        <f t="shared" si="29"/>
        <v>31</v>
      </c>
    </row>
    <row r="628" spans="1:18" s="59" customFormat="1" x14ac:dyDescent="0.2">
      <c r="A628" s="69">
        <v>44313</v>
      </c>
      <c r="B628" s="61" t="s">
        <v>212</v>
      </c>
      <c r="C628" s="61" t="s">
        <v>18</v>
      </c>
      <c r="D628" s="73">
        <v>44363</v>
      </c>
      <c r="E628" s="61" t="s">
        <v>123</v>
      </c>
      <c r="F628" s="61">
        <v>62198480</v>
      </c>
      <c r="G628" s="61" t="s">
        <v>192</v>
      </c>
      <c r="H628" s="75">
        <v>15315</v>
      </c>
      <c r="I628" s="62" t="s">
        <v>49</v>
      </c>
      <c r="J628" s="61" t="s">
        <v>193</v>
      </c>
      <c r="K628" s="62">
        <v>688</v>
      </c>
      <c r="L628" s="61"/>
      <c r="M628" s="64">
        <v>44369</v>
      </c>
      <c r="N628" s="61"/>
      <c r="O628" s="61"/>
      <c r="P628" s="61">
        <f t="shared" si="27"/>
        <v>6</v>
      </c>
      <c r="Q628" s="61">
        <f t="shared" si="28"/>
        <v>2021</v>
      </c>
      <c r="R628" s="100">
        <f t="shared" si="29"/>
        <v>16</v>
      </c>
    </row>
    <row r="629" spans="1:18" s="59" customFormat="1" x14ac:dyDescent="0.2">
      <c r="A629" s="69">
        <v>44316</v>
      </c>
      <c r="B629" s="61" t="s">
        <v>368</v>
      </c>
      <c r="C629" s="61" t="s">
        <v>18</v>
      </c>
      <c r="D629" s="73">
        <v>44417</v>
      </c>
      <c r="E629" s="61" t="s">
        <v>65</v>
      </c>
      <c r="F629" s="61">
        <v>41034441</v>
      </c>
      <c r="G629" s="61" t="s">
        <v>874</v>
      </c>
      <c r="H629" s="75">
        <v>13500</v>
      </c>
      <c r="I629" s="62" t="s">
        <v>97</v>
      </c>
      <c r="J629" s="61" t="s">
        <v>200</v>
      </c>
      <c r="K629" s="62">
        <v>689</v>
      </c>
      <c r="L629" s="61"/>
      <c r="M629" s="64">
        <v>44438</v>
      </c>
      <c r="N629" s="61" t="s">
        <v>23</v>
      </c>
      <c r="O629" s="61"/>
      <c r="P629" s="61">
        <f t="shared" si="27"/>
        <v>8</v>
      </c>
      <c r="Q629" s="61">
        <f t="shared" si="28"/>
        <v>2021</v>
      </c>
      <c r="R629" s="100">
        <f t="shared" si="29"/>
        <v>9</v>
      </c>
    </row>
    <row r="630" spans="1:18" s="59" customFormat="1" x14ac:dyDescent="0.2">
      <c r="A630" s="69">
        <v>44322</v>
      </c>
      <c r="B630" s="61" t="s">
        <v>823</v>
      </c>
      <c r="C630" s="61" t="s">
        <v>18</v>
      </c>
      <c r="D630" s="73">
        <v>44339</v>
      </c>
      <c r="E630" s="61" t="s">
        <v>47</v>
      </c>
      <c r="F630" s="61">
        <v>85485505</v>
      </c>
      <c r="G630" s="61" t="s">
        <v>824</v>
      </c>
      <c r="H630" s="75">
        <v>16030</v>
      </c>
      <c r="I630" s="62" t="s">
        <v>49</v>
      </c>
      <c r="J630" s="61" t="s">
        <v>825</v>
      </c>
      <c r="K630" s="62">
        <v>690</v>
      </c>
      <c r="L630" s="61"/>
      <c r="M630" s="64">
        <v>44342</v>
      </c>
      <c r="N630" s="61"/>
      <c r="O630" s="61"/>
      <c r="P630" s="61">
        <f t="shared" si="27"/>
        <v>5</v>
      </c>
      <c r="Q630" s="61">
        <f t="shared" si="28"/>
        <v>2021</v>
      </c>
      <c r="R630" s="100">
        <f t="shared" si="29"/>
        <v>23</v>
      </c>
    </row>
    <row r="631" spans="1:18" s="59" customFormat="1" x14ac:dyDescent="0.2">
      <c r="A631" s="69">
        <v>44322</v>
      </c>
      <c r="B631" s="61" t="s">
        <v>823</v>
      </c>
      <c r="C631" s="61" t="s">
        <v>18</v>
      </c>
      <c r="D631" s="73">
        <v>44357</v>
      </c>
      <c r="E631" s="61" t="s">
        <v>47</v>
      </c>
      <c r="F631" s="61">
        <v>85485506</v>
      </c>
      <c r="G631" s="61" t="s">
        <v>824</v>
      </c>
      <c r="H631" s="75">
        <v>16030</v>
      </c>
      <c r="I631" s="62" t="s">
        <v>49</v>
      </c>
      <c r="J631" s="61" t="s">
        <v>825</v>
      </c>
      <c r="K631" s="62">
        <v>691</v>
      </c>
      <c r="L631" s="61"/>
      <c r="M631" s="64">
        <v>44357</v>
      </c>
      <c r="N631" s="61"/>
      <c r="O631" s="61"/>
      <c r="P631" s="61">
        <f t="shared" si="27"/>
        <v>6</v>
      </c>
      <c r="Q631" s="61">
        <f t="shared" si="28"/>
        <v>2021</v>
      </c>
      <c r="R631" s="100">
        <f t="shared" si="29"/>
        <v>10</v>
      </c>
    </row>
    <row r="632" spans="1:18" s="59" customFormat="1" x14ac:dyDescent="0.2">
      <c r="A632" s="69">
        <v>44323</v>
      </c>
      <c r="B632" s="61" t="s">
        <v>158</v>
      </c>
      <c r="C632" s="61" t="s">
        <v>18</v>
      </c>
      <c r="D632" s="73">
        <v>44346</v>
      </c>
      <c r="E632" s="61" t="s">
        <v>47</v>
      </c>
      <c r="F632" s="61">
        <v>85425681</v>
      </c>
      <c r="G632" s="61" t="s">
        <v>216</v>
      </c>
      <c r="H632" s="75">
        <v>9548</v>
      </c>
      <c r="I632" s="62" t="s">
        <v>49</v>
      </c>
      <c r="J632" s="61" t="s">
        <v>217</v>
      </c>
      <c r="K632" s="62">
        <v>692</v>
      </c>
      <c r="L632" s="61"/>
      <c r="M632" s="64">
        <v>44347</v>
      </c>
      <c r="N632" s="61"/>
      <c r="O632" s="61"/>
      <c r="P632" s="61">
        <f t="shared" si="27"/>
        <v>5</v>
      </c>
      <c r="Q632" s="61">
        <f t="shared" si="28"/>
        <v>2021</v>
      </c>
      <c r="R632" s="100">
        <f t="shared" si="29"/>
        <v>30</v>
      </c>
    </row>
    <row r="633" spans="1:18" s="59" customFormat="1" x14ac:dyDescent="0.2">
      <c r="A633" s="69">
        <v>44323</v>
      </c>
      <c r="B633" s="61" t="s">
        <v>158</v>
      </c>
      <c r="C633" s="61" t="s">
        <v>18</v>
      </c>
      <c r="D633" s="73">
        <v>44353</v>
      </c>
      <c r="E633" s="61" t="s">
        <v>47</v>
      </c>
      <c r="F633" s="61">
        <v>85425682</v>
      </c>
      <c r="G633" s="61" t="s">
        <v>216</v>
      </c>
      <c r="H633" s="75">
        <v>9548</v>
      </c>
      <c r="I633" s="62" t="s">
        <v>49</v>
      </c>
      <c r="J633" s="61" t="s">
        <v>217</v>
      </c>
      <c r="K633" s="62">
        <v>693</v>
      </c>
      <c r="L633" s="61"/>
      <c r="M633" s="64">
        <v>44354</v>
      </c>
      <c r="N633" s="61"/>
      <c r="O633" s="61"/>
      <c r="P633" s="61">
        <f t="shared" si="27"/>
        <v>6</v>
      </c>
      <c r="Q633" s="61">
        <f t="shared" si="28"/>
        <v>2021</v>
      </c>
      <c r="R633" s="100">
        <f t="shared" si="29"/>
        <v>6</v>
      </c>
    </row>
    <row r="634" spans="1:18" s="59" customFormat="1" x14ac:dyDescent="0.2">
      <c r="A634" s="69">
        <v>44323</v>
      </c>
      <c r="B634" s="61" t="s">
        <v>158</v>
      </c>
      <c r="C634" s="61" t="s">
        <v>18</v>
      </c>
      <c r="D634" s="73">
        <v>44364</v>
      </c>
      <c r="E634" s="61" t="s">
        <v>47</v>
      </c>
      <c r="F634" s="61">
        <v>85138450</v>
      </c>
      <c r="G634" s="61" t="s">
        <v>1166</v>
      </c>
      <c r="H634" s="75">
        <v>15000</v>
      </c>
      <c r="I634" s="62" t="s">
        <v>49</v>
      </c>
      <c r="J634" s="61" t="s">
        <v>1165</v>
      </c>
      <c r="K634" s="62">
        <v>694</v>
      </c>
      <c r="L634" s="61"/>
      <c r="M634" s="64">
        <v>44364</v>
      </c>
      <c r="N634" s="61"/>
      <c r="O634" s="61"/>
      <c r="P634" s="61">
        <f t="shared" si="27"/>
        <v>6</v>
      </c>
      <c r="Q634" s="61">
        <f t="shared" si="28"/>
        <v>2021</v>
      </c>
      <c r="R634" s="100">
        <f t="shared" si="29"/>
        <v>17</v>
      </c>
    </row>
    <row r="635" spans="1:18" s="59" customFormat="1" x14ac:dyDescent="0.2">
      <c r="A635" s="69">
        <v>44330</v>
      </c>
      <c r="B635" s="61" t="s">
        <v>368</v>
      </c>
      <c r="C635" s="61" t="s">
        <v>18</v>
      </c>
      <c r="D635" s="73">
        <v>44408</v>
      </c>
      <c r="E635" s="61" t="s">
        <v>65</v>
      </c>
      <c r="F635" s="61">
        <v>41034612</v>
      </c>
      <c r="G635" s="61" t="s">
        <v>874</v>
      </c>
      <c r="H635" s="75">
        <v>10000</v>
      </c>
      <c r="I635" s="62" t="s">
        <v>49</v>
      </c>
      <c r="J635" s="61" t="s">
        <v>200</v>
      </c>
      <c r="K635" s="62">
        <v>695</v>
      </c>
      <c r="L635" s="61"/>
      <c r="M635" s="64">
        <v>44419</v>
      </c>
      <c r="N635" s="61"/>
      <c r="O635" s="61"/>
      <c r="P635" s="61">
        <f t="shared" si="27"/>
        <v>7</v>
      </c>
      <c r="Q635" s="61">
        <f t="shared" si="28"/>
        <v>2021</v>
      </c>
      <c r="R635" s="100">
        <f t="shared" si="29"/>
        <v>31</v>
      </c>
    </row>
    <row r="636" spans="1:18" s="59" customFormat="1" x14ac:dyDescent="0.2">
      <c r="A636" s="69">
        <v>44333</v>
      </c>
      <c r="B636" s="61" t="s">
        <v>42</v>
      </c>
      <c r="C636" s="61" t="s">
        <v>18</v>
      </c>
      <c r="D636" s="73">
        <v>44366</v>
      </c>
      <c r="E636" s="61" t="s">
        <v>47</v>
      </c>
      <c r="F636" s="61">
        <v>86218762</v>
      </c>
      <c r="G636" s="61" t="s">
        <v>1167</v>
      </c>
      <c r="H636" s="75">
        <v>7000</v>
      </c>
      <c r="I636" s="62" t="s">
        <v>295</v>
      </c>
      <c r="J636" s="61" t="s">
        <v>1169</v>
      </c>
      <c r="K636" s="62">
        <v>696</v>
      </c>
      <c r="L636" s="61"/>
      <c r="M636" s="64">
        <v>44350</v>
      </c>
      <c r="N636" s="61" t="s">
        <v>1263</v>
      </c>
      <c r="O636" s="61"/>
      <c r="P636" s="61">
        <f t="shared" si="27"/>
        <v>6</v>
      </c>
      <c r="Q636" s="61">
        <f t="shared" si="28"/>
        <v>2021</v>
      </c>
      <c r="R636" s="100">
        <f t="shared" si="29"/>
        <v>19</v>
      </c>
    </row>
    <row r="637" spans="1:18" s="59" customFormat="1" x14ac:dyDescent="0.2">
      <c r="A637" s="69">
        <v>44333</v>
      </c>
      <c r="B637" s="61" t="s">
        <v>42</v>
      </c>
      <c r="C637" s="61" t="s">
        <v>18</v>
      </c>
      <c r="D637" s="73">
        <v>44377</v>
      </c>
      <c r="E637" s="61" t="s">
        <v>47</v>
      </c>
      <c r="F637" s="61">
        <v>86218751</v>
      </c>
      <c r="G637" s="61" t="s">
        <v>1167</v>
      </c>
      <c r="H637" s="75">
        <v>8400</v>
      </c>
      <c r="I637" s="62" t="s">
        <v>49</v>
      </c>
      <c r="J637" s="61" t="s">
        <v>1169</v>
      </c>
      <c r="K637" s="62">
        <v>697</v>
      </c>
      <c r="L637" s="61"/>
      <c r="M637" s="64">
        <v>44377</v>
      </c>
      <c r="N637" s="61"/>
      <c r="O637" s="61"/>
      <c r="P637" s="61">
        <f t="shared" si="27"/>
        <v>6</v>
      </c>
      <c r="Q637" s="61">
        <f t="shared" si="28"/>
        <v>2021</v>
      </c>
      <c r="R637" s="100">
        <f t="shared" si="29"/>
        <v>30</v>
      </c>
    </row>
    <row r="638" spans="1:18" s="59" customFormat="1" x14ac:dyDescent="0.2">
      <c r="A638" s="69">
        <v>44333</v>
      </c>
      <c r="B638" s="61" t="s">
        <v>42</v>
      </c>
      <c r="C638" s="61" t="s">
        <v>18</v>
      </c>
      <c r="D638" s="73">
        <v>44359</v>
      </c>
      <c r="E638" s="61" t="s">
        <v>65</v>
      </c>
      <c r="F638" s="61">
        <v>44185306</v>
      </c>
      <c r="G638" s="61" t="s">
        <v>1168</v>
      </c>
      <c r="H638" s="75">
        <v>82800</v>
      </c>
      <c r="I638" s="62" t="s">
        <v>49</v>
      </c>
      <c r="J638" s="61" t="s">
        <v>1170</v>
      </c>
      <c r="K638" s="62">
        <v>698</v>
      </c>
      <c r="L638" s="61"/>
      <c r="M638" s="64">
        <v>44361</v>
      </c>
      <c r="N638" s="61"/>
      <c r="O638" s="61"/>
      <c r="P638" s="61">
        <f t="shared" si="27"/>
        <v>6</v>
      </c>
      <c r="Q638" s="61">
        <f t="shared" si="28"/>
        <v>2021</v>
      </c>
      <c r="R638" s="100">
        <f t="shared" si="29"/>
        <v>12</v>
      </c>
    </row>
    <row r="639" spans="1:18" s="59" customFormat="1" x14ac:dyDescent="0.2">
      <c r="A639" s="69">
        <v>44335</v>
      </c>
      <c r="B639" s="61" t="s">
        <v>368</v>
      </c>
      <c r="C639" s="61" t="s">
        <v>18</v>
      </c>
      <c r="D639" s="73">
        <v>44336</v>
      </c>
      <c r="E639" s="61" t="s">
        <v>47</v>
      </c>
      <c r="F639" s="61">
        <v>85457521</v>
      </c>
      <c r="G639" s="61" t="s">
        <v>1172</v>
      </c>
      <c r="H639" s="75">
        <v>18000</v>
      </c>
      <c r="I639" s="62" t="s">
        <v>49</v>
      </c>
      <c r="J639" s="61" t="s">
        <v>1171</v>
      </c>
      <c r="K639" s="62">
        <v>699</v>
      </c>
      <c r="L639" s="61"/>
      <c r="M639" s="61"/>
      <c r="N639" s="61"/>
      <c r="O639" s="61"/>
      <c r="P639" s="61">
        <f t="shared" si="27"/>
        <v>5</v>
      </c>
      <c r="Q639" s="61">
        <f t="shared" si="28"/>
        <v>2021</v>
      </c>
      <c r="R639" s="100">
        <f t="shared" si="29"/>
        <v>20</v>
      </c>
    </row>
    <row r="640" spans="1:18" s="59" customFormat="1" x14ac:dyDescent="0.2">
      <c r="A640" s="69">
        <v>44344</v>
      </c>
      <c r="B640" s="61" t="s">
        <v>42</v>
      </c>
      <c r="C640" s="61" t="s">
        <v>18</v>
      </c>
      <c r="D640" s="73">
        <v>44400</v>
      </c>
      <c r="E640" s="61" t="s">
        <v>47</v>
      </c>
      <c r="F640" s="61">
        <v>78413210</v>
      </c>
      <c r="G640" s="61" t="s">
        <v>1182</v>
      </c>
      <c r="H640" s="75">
        <v>20000</v>
      </c>
      <c r="I640" s="62" t="s">
        <v>49</v>
      </c>
      <c r="J640" s="61" t="s">
        <v>1183</v>
      </c>
      <c r="K640" s="62">
        <v>700</v>
      </c>
      <c r="L640" s="61"/>
      <c r="M640" s="64">
        <v>44418</v>
      </c>
      <c r="N640" s="61"/>
      <c r="O640" s="61"/>
      <c r="P640" s="61">
        <f t="shared" si="27"/>
        <v>7</v>
      </c>
      <c r="Q640" s="61">
        <f t="shared" si="28"/>
        <v>2021</v>
      </c>
      <c r="R640" s="100">
        <f t="shared" si="29"/>
        <v>23</v>
      </c>
    </row>
    <row r="641" spans="1:18" s="59" customFormat="1" x14ac:dyDescent="0.2">
      <c r="A641" s="69">
        <v>44344</v>
      </c>
      <c r="B641" s="61" t="s">
        <v>42</v>
      </c>
      <c r="C641" s="61" t="s">
        <v>18</v>
      </c>
      <c r="D641" s="73">
        <v>44428</v>
      </c>
      <c r="E641" s="61" t="s">
        <v>47</v>
      </c>
      <c r="F641" s="61">
        <v>78413211</v>
      </c>
      <c r="G641" s="61" t="s">
        <v>1182</v>
      </c>
      <c r="H641" s="75">
        <v>20000</v>
      </c>
      <c r="I641" s="62" t="s">
        <v>49</v>
      </c>
      <c r="J641" s="61" t="s">
        <v>1183</v>
      </c>
      <c r="K641" s="62">
        <v>701</v>
      </c>
      <c r="L641" s="61"/>
      <c r="M641" s="64">
        <v>44428</v>
      </c>
      <c r="N641" s="61"/>
      <c r="O641" s="61"/>
      <c r="P641" s="61">
        <f t="shared" si="27"/>
        <v>8</v>
      </c>
      <c r="Q641" s="61">
        <f t="shared" si="28"/>
        <v>2021</v>
      </c>
      <c r="R641" s="100">
        <f t="shared" si="29"/>
        <v>20</v>
      </c>
    </row>
    <row r="642" spans="1:18" s="59" customFormat="1" x14ac:dyDescent="0.2">
      <c r="A642" s="69">
        <v>44344</v>
      </c>
      <c r="B642" s="61" t="s">
        <v>762</v>
      </c>
      <c r="C642" s="61" t="s">
        <v>18</v>
      </c>
      <c r="D642" s="73">
        <v>44339</v>
      </c>
      <c r="E642" s="61" t="s">
        <v>47</v>
      </c>
      <c r="F642" s="61">
        <v>75546711</v>
      </c>
      <c r="G642" s="61" t="s">
        <v>1184</v>
      </c>
      <c r="H642" s="75">
        <v>83000</v>
      </c>
      <c r="I642" s="62" t="s">
        <v>49</v>
      </c>
      <c r="J642" s="61" t="s">
        <v>1187</v>
      </c>
      <c r="K642" s="62">
        <v>702</v>
      </c>
      <c r="L642" s="61"/>
      <c r="M642" s="64">
        <v>44347</v>
      </c>
      <c r="N642" s="61"/>
      <c r="O642" s="61"/>
      <c r="P642" s="61">
        <f t="shared" ref="P642:P705" si="30">MONTH(D642)</f>
        <v>5</v>
      </c>
      <c r="Q642" s="61">
        <f t="shared" ref="Q642:Q705" si="31">YEAR(D642)</f>
        <v>2021</v>
      </c>
      <c r="R642" s="100">
        <f t="shared" si="29"/>
        <v>23</v>
      </c>
    </row>
    <row r="643" spans="1:18" s="59" customFormat="1" x14ac:dyDescent="0.2">
      <c r="A643" s="69">
        <v>44344</v>
      </c>
      <c r="B643" s="61" t="s">
        <v>762</v>
      </c>
      <c r="C643" s="61" t="s">
        <v>18</v>
      </c>
      <c r="D643" s="73">
        <v>44345</v>
      </c>
      <c r="E643" s="61" t="s">
        <v>47</v>
      </c>
      <c r="F643" s="61">
        <v>16034421</v>
      </c>
      <c r="G643" s="61" t="s">
        <v>1185</v>
      </c>
      <c r="H643" s="75">
        <v>14000</v>
      </c>
      <c r="I643" s="62" t="s">
        <v>49</v>
      </c>
      <c r="J643" s="61" t="s">
        <v>1188</v>
      </c>
      <c r="K643" s="62">
        <v>703</v>
      </c>
      <c r="L643" s="61"/>
      <c r="M643" s="64">
        <v>44347</v>
      </c>
      <c r="N643" s="61"/>
      <c r="O643" s="61"/>
      <c r="P643" s="61">
        <f t="shared" si="30"/>
        <v>5</v>
      </c>
      <c r="Q643" s="61">
        <f t="shared" si="31"/>
        <v>2021</v>
      </c>
      <c r="R643" s="100">
        <f t="shared" ref="R643:R706" si="32">DAY(D643)</f>
        <v>29</v>
      </c>
    </row>
    <row r="644" spans="1:18" s="59" customFormat="1" x14ac:dyDescent="0.2">
      <c r="A644" s="69">
        <v>44344</v>
      </c>
      <c r="B644" s="61" t="s">
        <v>762</v>
      </c>
      <c r="C644" s="61" t="s">
        <v>18</v>
      </c>
      <c r="D644" s="73">
        <v>44354</v>
      </c>
      <c r="E644" s="61" t="s">
        <v>53</v>
      </c>
      <c r="F644" s="61">
        <v>4000</v>
      </c>
      <c r="G644" s="61" t="s">
        <v>1186</v>
      </c>
      <c r="H644" s="75">
        <v>50040</v>
      </c>
      <c r="I644" s="62" t="s">
        <v>49</v>
      </c>
      <c r="J644" s="61" t="s">
        <v>1189</v>
      </c>
      <c r="K644" s="62">
        <v>704</v>
      </c>
      <c r="L644" s="61"/>
      <c r="M644" s="64">
        <v>44354</v>
      </c>
      <c r="N644" s="61"/>
      <c r="O644" s="61"/>
      <c r="P644" s="61">
        <f t="shared" si="30"/>
        <v>6</v>
      </c>
      <c r="Q644" s="61">
        <f t="shared" si="31"/>
        <v>2021</v>
      </c>
      <c r="R644" s="100">
        <f t="shared" si="32"/>
        <v>7</v>
      </c>
    </row>
    <row r="645" spans="1:18" s="59" customFormat="1" x14ac:dyDescent="0.2">
      <c r="A645" s="69">
        <v>44347</v>
      </c>
      <c r="B645" s="61" t="s">
        <v>808</v>
      </c>
      <c r="C645" s="61" t="s">
        <v>18</v>
      </c>
      <c r="D645" s="73">
        <v>44375</v>
      </c>
      <c r="E645" s="61" t="s">
        <v>57</v>
      </c>
      <c r="F645" s="61">
        <v>476</v>
      </c>
      <c r="G645" s="61" t="s">
        <v>1190</v>
      </c>
      <c r="H645" s="75">
        <v>40000</v>
      </c>
      <c r="I645" s="62" t="s">
        <v>49</v>
      </c>
      <c r="J645" s="61" t="s">
        <v>810</v>
      </c>
      <c r="K645" s="62">
        <v>705</v>
      </c>
      <c r="L645" s="61"/>
      <c r="M645" s="64">
        <v>44375</v>
      </c>
      <c r="N645" s="61"/>
      <c r="O645" s="61"/>
      <c r="P645" s="61">
        <f t="shared" si="30"/>
        <v>6</v>
      </c>
      <c r="Q645" s="61">
        <f t="shared" si="31"/>
        <v>2021</v>
      </c>
      <c r="R645" s="100">
        <f t="shared" si="32"/>
        <v>28</v>
      </c>
    </row>
    <row r="646" spans="1:18" s="59" customFormat="1" x14ac:dyDescent="0.2">
      <c r="A646" s="69">
        <v>44347</v>
      </c>
      <c r="B646" s="61" t="s">
        <v>808</v>
      </c>
      <c r="C646" s="61" t="s">
        <v>18</v>
      </c>
      <c r="D646" s="73">
        <v>44390</v>
      </c>
      <c r="E646" s="61" t="s">
        <v>57</v>
      </c>
      <c r="F646" s="61">
        <v>477</v>
      </c>
      <c r="G646" s="61" t="s">
        <v>1190</v>
      </c>
      <c r="H646" s="75">
        <v>40000</v>
      </c>
      <c r="I646" s="62" t="s">
        <v>49</v>
      </c>
      <c r="J646" s="61" t="s">
        <v>810</v>
      </c>
      <c r="K646" s="62">
        <v>706</v>
      </c>
      <c r="L646" s="61"/>
      <c r="M646" s="64">
        <v>44396</v>
      </c>
      <c r="N646" s="61"/>
      <c r="O646" s="61"/>
      <c r="P646" s="61">
        <f t="shared" si="30"/>
        <v>7</v>
      </c>
      <c r="Q646" s="61">
        <f t="shared" si="31"/>
        <v>2021</v>
      </c>
      <c r="R646" s="100">
        <f t="shared" si="32"/>
        <v>13</v>
      </c>
    </row>
    <row r="647" spans="1:18" s="59" customFormat="1" x14ac:dyDescent="0.2">
      <c r="A647" s="69">
        <v>44347</v>
      </c>
      <c r="B647" s="61" t="s">
        <v>808</v>
      </c>
      <c r="C647" s="61" t="s">
        <v>18</v>
      </c>
      <c r="D647" s="73">
        <v>44406</v>
      </c>
      <c r="E647" s="61" t="s">
        <v>57</v>
      </c>
      <c r="F647" s="61">
        <v>478</v>
      </c>
      <c r="G647" s="61" t="s">
        <v>1190</v>
      </c>
      <c r="H647" s="75">
        <v>40000</v>
      </c>
      <c r="I647" s="62" t="s">
        <v>49</v>
      </c>
      <c r="J647" s="61" t="s">
        <v>810</v>
      </c>
      <c r="K647" s="62">
        <v>707</v>
      </c>
      <c r="L647" s="61"/>
      <c r="M647" s="61"/>
      <c r="N647" s="61"/>
      <c r="O647" s="61"/>
      <c r="P647" s="61">
        <f t="shared" si="30"/>
        <v>7</v>
      </c>
      <c r="Q647" s="61">
        <f t="shared" si="31"/>
        <v>2021</v>
      </c>
      <c r="R647" s="100">
        <f t="shared" si="32"/>
        <v>29</v>
      </c>
    </row>
    <row r="648" spans="1:18" s="59" customFormat="1" x14ac:dyDescent="0.2">
      <c r="A648" s="69">
        <v>44347</v>
      </c>
      <c r="B648" s="61" t="s">
        <v>808</v>
      </c>
      <c r="C648" s="61" t="s">
        <v>18</v>
      </c>
      <c r="D648" s="73">
        <v>44427</v>
      </c>
      <c r="E648" s="61" t="s">
        <v>57</v>
      </c>
      <c r="F648" s="61">
        <v>479</v>
      </c>
      <c r="G648" s="61" t="s">
        <v>1190</v>
      </c>
      <c r="H648" s="75">
        <v>47500</v>
      </c>
      <c r="I648" s="62" t="s">
        <v>97</v>
      </c>
      <c r="J648" s="61" t="s">
        <v>810</v>
      </c>
      <c r="K648" s="62">
        <v>708</v>
      </c>
      <c r="L648" s="61"/>
      <c r="M648" s="64">
        <v>44440</v>
      </c>
      <c r="N648" s="61" t="s">
        <v>757</v>
      </c>
      <c r="O648" s="61" t="s">
        <v>1273</v>
      </c>
      <c r="P648" s="61">
        <f t="shared" si="30"/>
        <v>8</v>
      </c>
      <c r="Q648" s="61">
        <f t="shared" si="31"/>
        <v>2021</v>
      </c>
      <c r="R648" s="100">
        <f t="shared" si="32"/>
        <v>19</v>
      </c>
    </row>
    <row r="649" spans="1:18" s="59" customFormat="1" x14ac:dyDescent="0.2">
      <c r="A649" s="69">
        <v>44347</v>
      </c>
      <c r="B649" s="61" t="s">
        <v>808</v>
      </c>
      <c r="C649" s="61" t="s">
        <v>18</v>
      </c>
      <c r="D649" s="73">
        <v>44433</v>
      </c>
      <c r="E649" s="61" t="s">
        <v>57</v>
      </c>
      <c r="F649" s="61">
        <v>480</v>
      </c>
      <c r="G649" s="61" t="s">
        <v>1190</v>
      </c>
      <c r="H649" s="75">
        <v>17500</v>
      </c>
      <c r="I649" s="62" t="s">
        <v>97</v>
      </c>
      <c r="J649" s="61" t="s">
        <v>810</v>
      </c>
      <c r="K649" s="62">
        <v>709</v>
      </c>
      <c r="L649" s="61"/>
      <c r="M649" s="64">
        <v>44425</v>
      </c>
      <c r="N649" s="61" t="s">
        <v>23</v>
      </c>
      <c r="O649" s="61"/>
      <c r="P649" s="61">
        <f t="shared" si="30"/>
        <v>8</v>
      </c>
      <c r="Q649" s="61">
        <f t="shared" si="31"/>
        <v>2021</v>
      </c>
      <c r="R649" s="100">
        <f t="shared" si="32"/>
        <v>25</v>
      </c>
    </row>
    <row r="650" spans="1:18" s="59" customFormat="1" x14ac:dyDescent="0.2">
      <c r="A650" s="69">
        <v>44348</v>
      </c>
      <c r="B650" s="61" t="s">
        <v>368</v>
      </c>
      <c r="C650" s="61" t="s">
        <v>18</v>
      </c>
      <c r="D650" s="73">
        <v>44377</v>
      </c>
      <c r="E650" s="61" t="s">
        <v>65</v>
      </c>
      <c r="F650" s="61">
        <v>41034577</v>
      </c>
      <c r="G650" s="61" t="s">
        <v>874</v>
      </c>
      <c r="H650" s="75">
        <v>15000</v>
      </c>
      <c r="I650" s="62" t="s">
        <v>49</v>
      </c>
      <c r="J650" s="61" t="s">
        <v>200</v>
      </c>
      <c r="K650" s="62">
        <v>710</v>
      </c>
      <c r="L650" s="61"/>
      <c r="M650" s="64">
        <v>44377</v>
      </c>
      <c r="N650" s="61"/>
      <c r="O650" s="61"/>
      <c r="P650" s="61">
        <f t="shared" si="30"/>
        <v>6</v>
      </c>
      <c r="Q650" s="61">
        <f t="shared" si="31"/>
        <v>2021</v>
      </c>
      <c r="R650" s="100">
        <f t="shared" si="32"/>
        <v>30</v>
      </c>
    </row>
    <row r="651" spans="1:18" s="59" customFormat="1" x14ac:dyDescent="0.2">
      <c r="A651" s="69">
        <v>44348</v>
      </c>
      <c r="B651" s="61" t="s">
        <v>368</v>
      </c>
      <c r="C651" s="61" t="s">
        <v>18</v>
      </c>
      <c r="D651" s="73">
        <v>44408</v>
      </c>
      <c r="E651" s="61" t="s">
        <v>65</v>
      </c>
      <c r="F651" s="61">
        <v>41034578</v>
      </c>
      <c r="G651" s="61" t="s">
        <v>874</v>
      </c>
      <c r="H651" s="75">
        <v>20000</v>
      </c>
      <c r="I651" s="62" t="s">
        <v>49</v>
      </c>
      <c r="J651" s="61" t="s">
        <v>200</v>
      </c>
      <c r="K651" s="62">
        <v>711</v>
      </c>
      <c r="L651" s="61"/>
      <c r="M651" s="64">
        <v>44412</v>
      </c>
      <c r="N651" s="61"/>
      <c r="O651" s="61"/>
      <c r="P651" s="61">
        <f t="shared" si="30"/>
        <v>7</v>
      </c>
      <c r="Q651" s="61">
        <f t="shared" si="31"/>
        <v>2021</v>
      </c>
      <c r="R651" s="100">
        <f t="shared" si="32"/>
        <v>31</v>
      </c>
    </row>
    <row r="652" spans="1:18" s="59" customFormat="1" x14ac:dyDescent="0.2">
      <c r="A652" s="69">
        <v>44348</v>
      </c>
      <c r="B652" s="61" t="s">
        <v>368</v>
      </c>
      <c r="C652" s="61" t="s">
        <v>18</v>
      </c>
      <c r="D652" s="73">
        <v>44439</v>
      </c>
      <c r="E652" s="61" t="s">
        <v>65</v>
      </c>
      <c r="F652" s="61">
        <v>41034579</v>
      </c>
      <c r="G652" s="61" t="s">
        <v>874</v>
      </c>
      <c r="H652" s="75">
        <v>20000</v>
      </c>
      <c r="I652" s="62" t="s">
        <v>97</v>
      </c>
      <c r="J652" s="61" t="s">
        <v>200</v>
      </c>
      <c r="K652" s="62">
        <v>712</v>
      </c>
      <c r="L652" s="61"/>
      <c r="M652" s="64">
        <v>44440</v>
      </c>
      <c r="N652" s="61" t="s">
        <v>1277</v>
      </c>
      <c r="O652" s="61"/>
      <c r="P652" s="61">
        <f t="shared" si="30"/>
        <v>8</v>
      </c>
      <c r="Q652" s="61">
        <f t="shared" si="31"/>
        <v>2021</v>
      </c>
      <c r="R652" s="100">
        <f t="shared" si="32"/>
        <v>31</v>
      </c>
    </row>
    <row r="653" spans="1:18" s="59" customFormat="1" x14ac:dyDescent="0.2">
      <c r="A653" s="69">
        <v>44348</v>
      </c>
      <c r="B653" s="61" t="s">
        <v>278</v>
      </c>
      <c r="C653" s="61" t="s">
        <v>18</v>
      </c>
      <c r="D653" s="73">
        <v>44391</v>
      </c>
      <c r="E653" s="61" t="s">
        <v>57</v>
      </c>
      <c r="F653" s="61">
        <v>2308</v>
      </c>
      <c r="G653" s="61" t="s">
        <v>281</v>
      </c>
      <c r="H653" s="75">
        <v>15700</v>
      </c>
      <c r="I653" s="62" t="s">
        <v>49</v>
      </c>
      <c r="J653" s="61" t="s">
        <v>282</v>
      </c>
      <c r="K653" s="62">
        <v>713</v>
      </c>
      <c r="L653" s="61"/>
      <c r="M653" s="64">
        <v>44396</v>
      </c>
      <c r="N653" s="61"/>
      <c r="O653" s="61"/>
      <c r="P653" s="61">
        <f t="shared" si="30"/>
        <v>7</v>
      </c>
      <c r="Q653" s="61">
        <f t="shared" si="31"/>
        <v>2021</v>
      </c>
      <c r="R653" s="100">
        <f t="shared" si="32"/>
        <v>14</v>
      </c>
    </row>
    <row r="654" spans="1:18" s="59" customFormat="1" x14ac:dyDescent="0.2">
      <c r="A654" s="69">
        <v>44350</v>
      </c>
      <c r="B654" s="61" t="s">
        <v>835</v>
      </c>
      <c r="C654" s="61" t="s">
        <v>18</v>
      </c>
      <c r="D654" s="73">
        <v>44335</v>
      </c>
      <c r="E654" s="61" t="s">
        <v>849</v>
      </c>
      <c r="F654" s="61">
        <v>84332878</v>
      </c>
      <c r="G654" s="61" t="s">
        <v>850</v>
      </c>
      <c r="H654" s="75">
        <v>19500</v>
      </c>
      <c r="I654" s="62" t="s">
        <v>49</v>
      </c>
      <c r="J654" s="61" t="s">
        <v>851</v>
      </c>
      <c r="K654" s="62">
        <v>714</v>
      </c>
      <c r="L654" s="61"/>
      <c r="M654" s="64">
        <v>44354</v>
      </c>
      <c r="N654" s="61"/>
      <c r="O654" s="61"/>
      <c r="P654" s="61">
        <f t="shared" si="30"/>
        <v>5</v>
      </c>
      <c r="Q654" s="61">
        <f t="shared" si="31"/>
        <v>2021</v>
      </c>
      <c r="R654" s="100">
        <f t="shared" si="32"/>
        <v>19</v>
      </c>
    </row>
    <row r="655" spans="1:18" s="59" customFormat="1" x14ac:dyDescent="0.2">
      <c r="A655" s="69">
        <v>44350</v>
      </c>
      <c r="B655" s="61" t="s">
        <v>835</v>
      </c>
      <c r="C655" s="61" t="s">
        <v>18</v>
      </c>
      <c r="D655" s="73">
        <v>44339</v>
      </c>
      <c r="E655" s="61" t="s">
        <v>43</v>
      </c>
      <c r="F655" s="61">
        <v>24346273</v>
      </c>
      <c r="G655" s="61" t="s">
        <v>51</v>
      </c>
      <c r="H655" s="75">
        <v>14564</v>
      </c>
      <c r="I655" s="62" t="s">
        <v>49</v>
      </c>
      <c r="J655" s="61" t="s">
        <v>52</v>
      </c>
      <c r="K655" s="62">
        <v>715</v>
      </c>
      <c r="L655" s="61"/>
      <c r="M655" s="64">
        <v>44354</v>
      </c>
      <c r="N655" s="61"/>
      <c r="O655" s="61"/>
      <c r="P655" s="61">
        <f t="shared" si="30"/>
        <v>5</v>
      </c>
      <c r="Q655" s="61">
        <f t="shared" si="31"/>
        <v>2021</v>
      </c>
      <c r="R655" s="100">
        <f t="shared" si="32"/>
        <v>23</v>
      </c>
    </row>
    <row r="656" spans="1:18" s="59" customFormat="1" x14ac:dyDescent="0.2">
      <c r="A656" s="69">
        <v>44350</v>
      </c>
      <c r="B656" s="61" t="s">
        <v>835</v>
      </c>
      <c r="C656" s="61" t="s">
        <v>18</v>
      </c>
      <c r="D656" s="73">
        <v>44347</v>
      </c>
      <c r="E656" s="61" t="s">
        <v>148</v>
      </c>
      <c r="F656" s="61">
        <v>24154427</v>
      </c>
      <c r="G656" s="61" t="s">
        <v>54</v>
      </c>
      <c r="H656" s="75">
        <v>15000</v>
      </c>
      <c r="I656" s="62" t="s">
        <v>49</v>
      </c>
      <c r="J656" s="61" t="s">
        <v>55</v>
      </c>
      <c r="K656" s="62">
        <v>716</v>
      </c>
      <c r="L656" s="61"/>
      <c r="M656" s="64">
        <v>44354</v>
      </c>
      <c r="N656" s="61"/>
      <c r="O656" s="61"/>
      <c r="P656" s="61">
        <f t="shared" si="30"/>
        <v>5</v>
      </c>
      <c r="Q656" s="61">
        <f t="shared" si="31"/>
        <v>2021</v>
      </c>
      <c r="R656" s="100">
        <f t="shared" si="32"/>
        <v>31</v>
      </c>
    </row>
    <row r="657" spans="1:18" s="59" customFormat="1" x14ac:dyDescent="0.2">
      <c r="A657" s="69">
        <v>44350</v>
      </c>
      <c r="B657" s="61" t="s">
        <v>835</v>
      </c>
      <c r="C657" s="61" t="s">
        <v>18</v>
      </c>
      <c r="D657" s="73">
        <v>44360</v>
      </c>
      <c r="E657" s="61" t="s">
        <v>43</v>
      </c>
      <c r="F657" s="61">
        <v>24346275</v>
      </c>
      <c r="G657" s="61" t="s">
        <v>51</v>
      </c>
      <c r="H657" s="75">
        <v>14564</v>
      </c>
      <c r="I657" s="62" t="s">
        <v>97</v>
      </c>
      <c r="J657" s="61" t="s">
        <v>52</v>
      </c>
      <c r="K657" s="62">
        <v>717</v>
      </c>
      <c r="L657" s="61"/>
      <c r="M657" s="64">
        <v>44361</v>
      </c>
      <c r="N657" s="61" t="s">
        <v>1199</v>
      </c>
      <c r="O657" s="61"/>
      <c r="P657" s="61">
        <f t="shared" si="30"/>
        <v>6</v>
      </c>
      <c r="Q657" s="61">
        <f t="shared" si="31"/>
        <v>2021</v>
      </c>
      <c r="R657" s="100">
        <f t="shared" si="32"/>
        <v>13</v>
      </c>
    </row>
    <row r="658" spans="1:18" s="59" customFormat="1" x14ac:dyDescent="0.2">
      <c r="A658" s="69">
        <v>44350</v>
      </c>
      <c r="B658" s="61" t="s">
        <v>835</v>
      </c>
      <c r="C658" s="61" t="s">
        <v>18</v>
      </c>
      <c r="D658" s="73">
        <v>44362</v>
      </c>
      <c r="E658" s="61" t="s">
        <v>79</v>
      </c>
      <c r="F658" s="61">
        <v>62253019</v>
      </c>
      <c r="G658" s="61" t="s">
        <v>1019</v>
      </c>
      <c r="H658" s="75">
        <v>20000</v>
      </c>
      <c r="I658" s="62" t="s">
        <v>49</v>
      </c>
      <c r="J658" s="61" t="s">
        <v>1020</v>
      </c>
      <c r="K658" s="62">
        <v>718</v>
      </c>
      <c r="L658" s="61"/>
      <c r="M658" s="64">
        <v>44364</v>
      </c>
      <c r="N658" s="61"/>
      <c r="O658" s="61"/>
      <c r="P658" s="61">
        <f t="shared" si="30"/>
        <v>6</v>
      </c>
      <c r="Q658" s="61">
        <f t="shared" si="31"/>
        <v>2021</v>
      </c>
      <c r="R658" s="100">
        <f t="shared" si="32"/>
        <v>15</v>
      </c>
    </row>
    <row r="659" spans="1:18" s="59" customFormat="1" x14ac:dyDescent="0.2">
      <c r="A659" s="69">
        <v>44350</v>
      </c>
      <c r="B659" s="61" t="s">
        <v>835</v>
      </c>
      <c r="C659" s="61" t="s">
        <v>18</v>
      </c>
      <c r="D659" s="73">
        <v>44374</v>
      </c>
      <c r="E659" s="61" t="s">
        <v>148</v>
      </c>
      <c r="F659" s="61">
        <v>23850286</v>
      </c>
      <c r="G659" s="61" t="s">
        <v>54</v>
      </c>
      <c r="H659" s="75">
        <v>15000</v>
      </c>
      <c r="I659" s="62" t="s">
        <v>49</v>
      </c>
      <c r="J659" s="61" t="s">
        <v>55</v>
      </c>
      <c r="K659" s="62">
        <v>719</v>
      </c>
      <c r="L659" s="61"/>
      <c r="M659" s="64">
        <v>44375</v>
      </c>
      <c r="N659" s="61"/>
      <c r="O659" s="61"/>
      <c r="P659" s="61">
        <f t="shared" si="30"/>
        <v>6</v>
      </c>
      <c r="Q659" s="61">
        <f t="shared" si="31"/>
        <v>2021</v>
      </c>
      <c r="R659" s="100">
        <f t="shared" si="32"/>
        <v>27</v>
      </c>
    </row>
    <row r="660" spans="1:18" s="59" customFormat="1" x14ac:dyDescent="0.2">
      <c r="A660" s="69">
        <v>44350</v>
      </c>
      <c r="B660" s="61" t="s">
        <v>835</v>
      </c>
      <c r="C660" s="61" t="s">
        <v>18</v>
      </c>
      <c r="D660" s="73">
        <v>44374</v>
      </c>
      <c r="E660" s="61" t="s">
        <v>491</v>
      </c>
      <c r="F660" s="61">
        <v>29401733</v>
      </c>
      <c r="G660" s="61" t="s">
        <v>909</v>
      </c>
      <c r="H660" s="75">
        <v>20000</v>
      </c>
      <c r="I660" s="62" t="s">
        <v>49</v>
      </c>
      <c r="J660" s="61" t="s">
        <v>910</v>
      </c>
      <c r="K660" s="62">
        <v>720</v>
      </c>
      <c r="L660" s="61"/>
      <c r="M660" s="64">
        <v>44375</v>
      </c>
      <c r="N660" s="61"/>
      <c r="O660" s="61"/>
      <c r="P660" s="61">
        <f t="shared" si="30"/>
        <v>6</v>
      </c>
      <c r="Q660" s="61">
        <f t="shared" si="31"/>
        <v>2021</v>
      </c>
      <c r="R660" s="100">
        <f t="shared" si="32"/>
        <v>27</v>
      </c>
    </row>
    <row r="661" spans="1:18" s="59" customFormat="1" x14ac:dyDescent="0.2">
      <c r="A661" s="69">
        <v>44350</v>
      </c>
      <c r="B661" s="61" t="s">
        <v>835</v>
      </c>
      <c r="C661" s="61" t="s">
        <v>18</v>
      </c>
      <c r="D661" s="73">
        <v>44377</v>
      </c>
      <c r="E661" s="61" t="s">
        <v>65</v>
      </c>
      <c r="F661" s="61">
        <v>44007102</v>
      </c>
      <c r="G661" s="61" t="s">
        <v>82</v>
      </c>
      <c r="H661" s="75">
        <v>15000</v>
      </c>
      <c r="I661" s="62" t="s">
        <v>49</v>
      </c>
      <c r="J661" s="61" t="s">
        <v>83</v>
      </c>
      <c r="K661" s="62">
        <v>721</v>
      </c>
      <c r="L661" s="61"/>
      <c r="M661" s="64">
        <v>44377</v>
      </c>
      <c r="N661" s="61"/>
      <c r="O661" s="61"/>
      <c r="P661" s="61">
        <f t="shared" si="30"/>
        <v>6</v>
      </c>
      <c r="Q661" s="61">
        <f t="shared" si="31"/>
        <v>2021</v>
      </c>
      <c r="R661" s="100">
        <f t="shared" si="32"/>
        <v>30</v>
      </c>
    </row>
    <row r="662" spans="1:18" s="59" customFormat="1" x14ac:dyDescent="0.2">
      <c r="A662" s="69">
        <v>44350</v>
      </c>
      <c r="B662" s="61" t="s">
        <v>835</v>
      </c>
      <c r="C662" s="61" t="s">
        <v>18</v>
      </c>
      <c r="D662" s="73">
        <v>44377</v>
      </c>
      <c r="E662" s="61" t="s">
        <v>57</v>
      </c>
      <c r="F662" s="61">
        <v>1773542</v>
      </c>
      <c r="G662" s="61" t="s">
        <v>115</v>
      </c>
      <c r="H662" s="75">
        <v>10000</v>
      </c>
      <c r="I662" s="62" t="s">
        <v>49</v>
      </c>
      <c r="J662" s="61" t="s">
        <v>116</v>
      </c>
      <c r="K662" s="62">
        <v>722</v>
      </c>
      <c r="L662" s="61"/>
      <c r="M662" s="64">
        <v>44377</v>
      </c>
      <c r="N662" s="61"/>
      <c r="O662" s="61"/>
      <c r="P662" s="61">
        <f t="shared" si="30"/>
        <v>6</v>
      </c>
      <c r="Q662" s="61">
        <f t="shared" si="31"/>
        <v>2021</v>
      </c>
      <c r="R662" s="100">
        <f t="shared" si="32"/>
        <v>30</v>
      </c>
    </row>
    <row r="663" spans="1:18" s="59" customFormat="1" x14ac:dyDescent="0.2">
      <c r="A663" s="69">
        <v>44350</v>
      </c>
      <c r="B663" s="61" t="s">
        <v>835</v>
      </c>
      <c r="C663" s="61" t="s">
        <v>18</v>
      </c>
      <c r="D663" s="73">
        <v>44383</v>
      </c>
      <c r="E663" s="61" t="s">
        <v>148</v>
      </c>
      <c r="F663" s="61">
        <v>23850273</v>
      </c>
      <c r="G663" s="61" t="s">
        <v>54</v>
      </c>
      <c r="H663" s="75">
        <v>15000</v>
      </c>
      <c r="I663" s="62" t="s">
        <v>49</v>
      </c>
      <c r="J663" s="61" t="s">
        <v>55</v>
      </c>
      <c r="K663" s="62">
        <v>723</v>
      </c>
      <c r="L663" s="61"/>
      <c r="M663" s="64">
        <v>44389</v>
      </c>
      <c r="N663" s="61"/>
      <c r="O663" s="61"/>
      <c r="P663" s="61">
        <f t="shared" si="30"/>
        <v>7</v>
      </c>
      <c r="Q663" s="61">
        <f t="shared" si="31"/>
        <v>2021</v>
      </c>
      <c r="R663" s="100">
        <f t="shared" si="32"/>
        <v>6</v>
      </c>
    </row>
    <row r="664" spans="1:18" s="59" customFormat="1" x14ac:dyDescent="0.2">
      <c r="A664" s="69">
        <v>44350</v>
      </c>
      <c r="B664" s="61" t="s">
        <v>835</v>
      </c>
      <c r="C664" s="61" t="s">
        <v>18</v>
      </c>
      <c r="D664" s="73">
        <v>44387</v>
      </c>
      <c r="E664" s="61" t="s">
        <v>65</v>
      </c>
      <c r="F664" s="61">
        <v>44007104</v>
      </c>
      <c r="G664" s="61" t="s">
        <v>82</v>
      </c>
      <c r="H664" s="75">
        <v>15000</v>
      </c>
      <c r="I664" s="62" t="s">
        <v>49</v>
      </c>
      <c r="J664" s="61" t="s">
        <v>83</v>
      </c>
      <c r="K664" s="62">
        <v>724</v>
      </c>
      <c r="L664" s="61"/>
      <c r="M664" s="64">
        <v>44389</v>
      </c>
      <c r="N664" s="61"/>
      <c r="O664" s="61"/>
      <c r="P664" s="61">
        <f t="shared" si="30"/>
        <v>7</v>
      </c>
      <c r="Q664" s="61">
        <f t="shared" si="31"/>
        <v>2021</v>
      </c>
      <c r="R664" s="100">
        <f t="shared" si="32"/>
        <v>10</v>
      </c>
    </row>
    <row r="665" spans="1:18" s="59" customFormat="1" x14ac:dyDescent="0.2">
      <c r="A665" s="69">
        <v>44350</v>
      </c>
      <c r="B665" s="61" t="s">
        <v>835</v>
      </c>
      <c r="C665" s="61" t="s">
        <v>18</v>
      </c>
      <c r="D665" s="73">
        <v>44392</v>
      </c>
      <c r="E665" s="61" t="s">
        <v>79</v>
      </c>
      <c r="F665" s="61">
        <v>62253021</v>
      </c>
      <c r="G665" s="61" t="s">
        <v>1019</v>
      </c>
      <c r="H665" s="75">
        <v>15000</v>
      </c>
      <c r="I665" s="62" t="s">
        <v>49</v>
      </c>
      <c r="J665" s="61" t="s">
        <v>1020</v>
      </c>
      <c r="K665" s="62">
        <v>725</v>
      </c>
      <c r="L665" s="61"/>
      <c r="M665" s="64">
        <v>44396</v>
      </c>
      <c r="N665" s="61"/>
      <c r="O665" s="61"/>
      <c r="P665" s="61">
        <f t="shared" si="30"/>
        <v>7</v>
      </c>
      <c r="Q665" s="61">
        <f t="shared" si="31"/>
        <v>2021</v>
      </c>
      <c r="R665" s="100">
        <f t="shared" si="32"/>
        <v>15</v>
      </c>
    </row>
    <row r="666" spans="1:18" s="59" customFormat="1" x14ac:dyDescent="0.2">
      <c r="A666" s="69">
        <v>44350</v>
      </c>
      <c r="B666" s="61" t="s">
        <v>835</v>
      </c>
      <c r="C666" s="61" t="s">
        <v>18</v>
      </c>
      <c r="D666" s="73">
        <v>44395</v>
      </c>
      <c r="E666" s="61" t="s">
        <v>148</v>
      </c>
      <c r="F666" s="61">
        <v>23850276</v>
      </c>
      <c r="G666" s="61" t="s">
        <v>54</v>
      </c>
      <c r="H666" s="75">
        <v>15000</v>
      </c>
      <c r="I666" s="62" t="s">
        <v>97</v>
      </c>
      <c r="J666" s="61" t="s">
        <v>55</v>
      </c>
      <c r="K666" s="62">
        <v>726</v>
      </c>
      <c r="L666" s="61"/>
      <c r="M666" s="64">
        <v>44361</v>
      </c>
      <c r="N666" s="61" t="s">
        <v>1199</v>
      </c>
      <c r="O666" s="61"/>
      <c r="P666" s="61">
        <f t="shared" si="30"/>
        <v>7</v>
      </c>
      <c r="Q666" s="61">
        <f t="shared" si="31"/>
        <v>2021</v>
      </c>
      <c r="R666" s="100">
        <f t="shared" si="32"/>
        <v>18</v>
      </c>
    </row>
    <row r="667" spans="1:18" s="59" customFormat="1" x14ac:dyDescent="0.2">
      <c r="A667" s="69">
        <v>44350</v>
      </c>
      <c r="B667" s="61" t="s">
        <v>835</v>
      </c>
      <c r="C667" s="61" t="s">
        <v>18</v>
      </c>
      <c r="D667" s="73">
        <v>44400</v>
      </c>
      <c r="E667" s="61" t="s">
        <v>849</v>
      </c>
      <c r="F667" s="61">
        <v>84635641</v>
      </c>
      <c r="G667" s="61" t="s">
        <v>850</v>
      </c>
      <c r="H667" s="75">
        <v>19000</v>
      </c>
      <c r="I667" s="62" t="s">
        <v>97</v>
      </c>
      <c r="J667" s="61" t="s">
        <v>851</v>
      </c>
      <c r="K667" s="62">
        <v>727</v>
      </c>
      <c r="L667" s="61"/>
      <c r="M667" s="64">
        <v>44361</v>
      </c>
      <c r="N667" s="61" t="s">
        <v>1199</v>
      </c>
      <c r="O667" s="61"/>
      <c r="P667" s="61">
        <f t="shared" si="30"/>
        <v>7</v>
      </c>
      <c r="Q667" s="61">
        <f t="shared" si="31"/>
        <v>2021</v>
      </c>
      <c r="R667" s="100">
        <f t="shared" si="32"/>
        <v>23</v>
      </c>
    </row>
    <row r="668" spans="1:18" s="59" customFormat="1" x14ac:dyDescent="0.2">
      <c r="A668" s="69">
        <v>44350</v>
      </c>
      <c r="B668" s="61" t="s">
        <v>835</v>
      </c>
      <c r="C668" s="61" t="s">
        <v>18</v>
      </c>
      <c r="D668" s="73">
        <v>44401</v>
      </c>
      <c r="E668" s="61" t="s">
        <v>70</v>
      </c>
      <c r="F668" s="61">
        <v>18072203</v>
      </c>
      <c r="G668" s="61" t="s">
        <v>145</v>
      </c>
      <c r="H668" s="75">
        <v>20000</v>
      </c>
      <c r="I668" s="62" t="s">
        <v>97</v>
      </c>
      <c r="J668" s="61" t="s">
        <v>146</v>
      </c>
      <c r="K668" s="62">
        <v>728</v>
      </c>
      <c r="L668" s="61"/>
      <c r="M668" s="64">
        <v>44361</v>
      </c>
      <c r="N668" s="61" t="s">
        <v>1199</v>
      </c>
      <c r="O668" s="61"/>
      <c r="P668" s="61">
        <f t="shared" si="30"/>
        <v>7</v>
      </c>
      <c r="Q668" s="61">
        <f t="shared" si="31"/>
        <v>2021</v>
      </c>
      <c r="R668" s="100">
        <f t="shared" si="32"/>
        <v>24</v>
      </c>
    </row>
    <row r="669" spans="1:18" s="59" customFormat="1" x14ac:dyDescent="0.2">
      <c r="A669" s="69">
        <v>44350</v>
      </c>
      <c r="B669" s="61" t="s">
        <v>835</v>
      </c>
      <c r="C669" s="61" t="s">
        <v>18</v>
      </c>
      <c r="D669" s="73">
        <v>44402</v>
      </c>
      <c r="E669" s="61" t="s">
        <v>79</v>
      </c>
      <c r="F669" s="61">
        <v>62253022</v>
      </c>
      <c r="G669" s="61" t="s">
        <v>1019</v>
      </c>
      <c r="H669" s="75">
        <v>15000</v>
      </c>
      <c r="I669" s="62" t="s">
        <v>97</v>
      </c>
      <c r="J669" s="61" t="s">
        <v>1020</v>
      </c>
      <c r="K669" s="62">
        <v>729</v>
      </c>
      <c r="L669" s="61"/>
      <c r="M669" s="64">
        <v>44361</v>
      </c>
      <c r="N669" s="61" t="s">
        <v>1199</v>
      </c>
      <c r="O669" s="61"/>
      <c r="P669" s="61">
        <f t="shared" si="30"/>
        <v>7</v>
      </c>
      <c r="Q669" s="61">
        <f t="shared" si="31"/>
        <v>2021</v>
      </c>
      <c r="R669" s="100">
        <f t="shared" si="32"/>
        <v>25</v>
      </c>
    </row>
    <row r="670" spans="1:18" s="59" customFormat="1" x14ac:dyDescent="0.2">
      <c r="A670" s="69">
        <v>44350</v>
      </c>
      <c r="B670" s="61" t="s">
        <v>835</v>
      </c>
      <c r="C670" s="61" t="s">
        <v>18</v>
      </c>
      <c r="D670" s="73">
        <v>44407</v>
      </c>
      <c r="E670" s="61" t="s">
        <v>57</v>
      </c>
      <c r="F670" s="61">
        <v>1598562</v>
      </c>
      <c r="G670" s="61" t="s">
        <v>1191</v>
      </c>
      <c r="H670" s="75">
        <v>25000</v>
      </c>
      <c r="I670" s="62" t="s">
        <v>49</v>
      </c>
      <c r="J670" s="61" t="s">
        <v>1192</v>
      </c>
      <c r="K670" s="62">
        <v>730</v>
      </c>
      <c r="L670" s="61"/>
      <c r="M670" s="64">
        <v>44412</v>
      </c>
      <c r="N670" s="61"/>
      <c r="O670" s="61"/>
      <c r="P670" s="61">
        <f t="shared" si="30"/>
        <v>7</v>
      </c>
      <c r="Q670" s="61">
        <f t="shared" si="31"/>
        <v>2021</v>
      </c>
      <c r="R670" s="100">
        <f t="shared" si="32"/>
        <v>30</v>
      </c>
    </row>
    <row r="671" spans="1:18" s="59" customFormat="1" x14ac:dyDescent="0.2">
      <c r="A671" s="69">
        <v>44350</v>
      </c>
      <c r="B671" s="61" t="s">
        <v>835</v>
      </c>
      <c r="C671" s="61" t="s">
        <v>18</v>
      </c>
      <c r="D671" s="73">
        <v>44408</v>
      </c>
      <c r="E671" s="61" t="s">
        <v>70</v>
      </c>
      <c r="F671" s="61">
        <v>18072206</v>
      </c>
      <c r="G671" s="61" t="s">
        <v>145</v>
      </c>
      <c r="H671" s="75">
        <v>20000</v>
      </c>
      <c r="I671" s="62" t="s">
        <v>49</v>
      </c>
      <c r="J671" s="61" t="s">
        <v>146</v>
      </c>
      <c r="K671" s="62">
        <v>731</v>
      </c>
      <c r="L671" s="61"/>
      <c r="M671" s="64">
        <v>44412</v>
      </c>
      <c r="N671" s="61"/>
      <c r="O671" s="61"/>
      <c r="P671" s="61">
        <f t="shared" si="30"/>
        <v>7</v>
      </c>
      <c r="Q671" s="61">
        <f t="shared" si="31"/>
        <v>2021</v>
      </c>
      <c r="R671" s="100">
        <f t="shared" si="32"/>
        <v>31</v>
      </c>
    </row>
    <row r="672" spans="1:18" s="59" customFormat="1" x14ac:dyDescent="0.2">
      <c r="A672" s="69">
        <v>44350</v>
      </c>
      <c r="B672" s="61" t="s">
        <v>835</v>
      </c>
      <c r="C672" s="61" t="s">
        <v>18</v>
      </c>
      <c r="D672" s="73">
        <v>44393</v>
      </c>
      <c r="E672" s="61" t="s">
        <v>491</v>
      </c>
      <c r="F672" s="61">
        <v>47</v>
      </c>
      <c r="G672" s="61" t="s">
        <v>932</v>
      </c>
      <c r="H672" s="75">
        <v>45000</v>
      </c>
      <c r="I672" s="62" t="s">
        <v>49</v>
      </c>
      <c r="J672" s="61" t="s">
        <v>933</v>
      </c>
      <c r="K672" s="62">
        <v>732</v>
      </c>
      <c r="L672" s="61"/>
      <c r="M672" s="64">
        <v>44396</v>
      </c>
      <c r="N672" s="61"/>
      <c r="O672" s="61" t="s">
        <v>1121</v>
      </c>
      <c r="P672" s="61">
        <f t="shared" si="30"/>
        <v>7</v>
      </c>
      <c r="Q672" s="61">
        <f t="shared" si="31"/>
        <v>2021</v>
      </c>
      <c r="R672" s="100">
        <f t="shared" si="32"/>
        <v>16</v>
      </c>
    </row>
    <row r="673" spans="1:18" s="59" customFormat="1" x14ac:dyDescent="0.2">
      <c r="A673" s="69">
        <v>44350</v>
      </c>
      <c r="B673" s="61" t="s">
        <v>835</v>
      </c>
      <c r="C673" s="61" t="s">
        <v>18</v>
      </c>
      <c r="D673" s="73">
        <v>44397</v>
      </c>
      <c r="E673" s="61" t="s">
        <v>491</v>
      </c>
      <c r="F673" s="61">
        <v>48</v>
      </c>
      <c r="G673" s="61" t="s">
        <v>932</v>
      </c>
      <c r="H673" s="75">
        <v>45000</v>
      </c>
      <c r="I673" s="62" t="s">
        <v>49</v>
      </c>
      <c r="J673" s="61" t="s">
        <v>933</v>
      </c>
      <c r="K673" s="62">
        <v>733</v>
      </c>
      <c r="L673" s="61"/>
      <c r="M673" s="61"/>
      <c r="N673" s="61"/>
      <c r="O673" s="61" t="s">
        <v>1121</v>
      </c>
      <c r="P673" s="61">
        <f t="shared" si="30"/>
        <v>7</v>
      </c>
      <c r="Q673" s="61">
        <f t="shared" si="31"/>
        <v>2021</v>
      </c>
      <c r="R673" s="100">
        <f t="shared" si="32"/>
        <v>20</v>
      </c>
    </row>
    <row r="674" spans="1:18" s="59" customFormat="1" x14ac:dyDescent="0.2">
      <c r="A674" s="69">
        <v>44350</v>
      </c>
      <c r="B674" s="61" t="s">
        <v>835</v>
      </c>
      <c r="C674" s="61" t="s">
        <v>18</v>
      </c>
      <c r="D674" s="73">
        <v>44402</v>
      </c>
      <c r="E674" s="61" t="s">
        <v>491</v>
      </c>
      <c r="F674" s="61">
        <v>49</v>
      </c>
      <c r="G674" s="61" t="s">
        <v>932</v>
      </c>
      <c r="H674" s="75">
        <v>45000</v>
      </c>
      <c r="I674" s="62" t="s">
        <v>49</v>
      </c>
      <c r="J674" s="61" t="s">
        <v>933</v>
      </c>
      <c r="K674" s="62">
        <v>734</v>
      </c>
      <c r="L674" s="61"/>
      <c r="M674" s="61"/>
      <c r="N674" s="61"/>
      <c r="O674" s="61" t="s">
        <v>1121</v>
      </c>
      <c r="P674" s="61">
        <f t="shared" si="30"/>
        <v>7</v>
      </c>
      <c r="Q674" s="61">
        <f t="shared" si="31"/>
        <v>2021</v>
      </c>
      <c r="R674" s="100">
        <f t="shared" si="32"/>
        <v>25</v>
      </c>
    </row>
    <row r="675" spans="1:18" s="59" customFormat="1" x14ac:dyDescent="0.2">
      <c r="A675" s="69">
        <v>44352</v>
      </c>
      <c r="B675" s="61" t="s">
        <v>278</v>
      </c>
      <c r="C675" s="61" t="s">
        <v>18</v>
      </c>
      <c r="D675" s="73">
        <v>44397</v>
      </c>
      <c r="E675" s="61" t="s">
        <v>47</v>
      </c>
      <c r="F675" s="61">
        <v>86696738</v>
      </c>
      <c r="G675" s="61" t="s">
        <v>281</v>
      </c>
      <c r="H675" s="75">
        <v>15000</v>
      </c>
      <c r="I675" s="62" t="s">
        <v>49</v>
      </c>
      <c r="J675" s="61" t="s">
        <v>282</v>
      </c>
      <c r="K675" s="62">
        <v>735</v>
      </c>
      <c r="L675" s="61"/>
      <c r="M675" s="64">
        <v>44399</v>
      </c>
      <c r="N675" s="61"/>
      <c r="O675" s="61"/>
      <c r="P675" s="61">
        <f t="shared" si="30"/>
        <v>7</v>
      </c>
      <c r="Q675" s="61">
        <f t="shared" si="31"/>
        <v>2021</v>
      </c>
      <c r="R675" s="100">
        <f t="shared" si="32"/>
        <v>20</v>
      </c>
    </row>
    <row r="676" spans="1:18" s="59" customFormat="1" x14ac:dyDescent="0.2">
      <c r="A676" s="69">
        <v>44352</v>
      </c>
      <c r="B676" s="61" t="s">
        <v>278</v>
      </c>
      <c r="C676" s="61" t="s">
        <v>18</v>
      </c>
      <c r="D676" s="73">
        <v>44407</v>
      </c>
      <c r="E676" s="61" t="s">
        <v>57</v>
      </c>
      <c r="F676" s="61">
        <v>2310</v>
      </c>
      <c r="G676" s="61" t="s">
        <v>281</v>
      </c>
      <c r="H676" s="75">
        <v>15000</v>
      </c>
      <c r="I676" s="62" t="s">
        <v>97</v>
      </c>
      <c r="J676" s="61" t="s">
        <v>282</v>
      </c>
      <c r="K676" s="62">
        <v>736</v>
      </c>
      <c r="L676" s="61"/>
      <c r="M676" s="64">
        <v>44392</v>
      </c>
      <c r="N676" s="61" t="s">
        <v>996</v>
      </c>
      <c r="O676" s="61"/>
      <c r="P676" s="61">
        <f t="shared" si="30"/>
        <v>7</v>
      </c>
      <c r="Q676" s="61">
        <f t="shared" si="31"/>
        <v>2021</v>
      </c>
      <c r="R676" s="100">
        <f t="shared" si="32"/>
        <v>30</v>
      </c>
    </row>
    <row r="677" spans="1:18" s="59" customFormat="1" x14ac:dyDescent="0.2">
      <c r="A677" s="69">
        <v>44358</v>
      </c>
      <c r="B677" s="61" t="s">
        <v>28</v>
      </c>
      <c r="C677" s="61"/>
      <c r="D677" s="73">
        <v>44393</v>
      </c>
      <c r="E677" s="61" t="s">
        <v>57</v>
      </c>
      <c r="F677" s="61">
        <v>806831</v>
      </c>
      <c r="G677" s="61" t="s">
        <v>1194</v>
      </c>
      <c r="H677" s="75">
        <v>19920</v>
      </c>
      <c r="I677" s="62" t="s">
        <v>49</v>
      </c>
      <c r="J677" s="61" t="s">
        <v>1195</v>
      </c>
      <c r="K677" s="62">
        <v>737</v>
      </c>
      <c r="L677" s="61"/>
      <c r="M677" s="64">
        <v>44396</v>
      </c>
      <c r="N677" s="61"/>
      <c r="O677" s="61"/>
      <c r="P677" s="61">
        <f t="shared" si="30"/>
        <v>7</v>
      </c>
      <c r="Q677" s="61">
        <f t="shared" si="31"/>
        <v>2021</v>
      </c>
      <c r="R677" s="100">
        <f t="shared" si="32"/>
        <v>16</v>
      </c>
    </row>
    <row r="678" spans="1:18" s="59" customFormat="1" x14ac:dyDescent="0.2">
      <c r="A678" s="69">
        <v>44358</v>
      </c>
      <c r="B678" s="61" t="s">
        <v>1196</v>
      </c>
      <c r="C678" s="61" t="s">
        <v>18</v>
      </c>
      <c r="D678" s="73">
        <v>44369</v>
      </c>
      <c r="E678" s="61" t="s">
        <v>47</v>
      </c>
      <c r="F678" s="61">
        <v>85931003</v>
      </c>
      <c r="G678" s="61" t="s">
        <v>1197</v>
      </c>
      <c r="H678" s="75">
        <v>30000</v>
      </c>
      <c r="I678" s="62" t="s">
        <v>49</v>
      </c>
      <c r="J678" s="61" t="s">
        <v>1198</v>
      </c>
      <c r="K678" s="62">
        <v>738</v>
      </c>
      <c r="L678" s="61"/>
      <c r="M678" s="64">
        <v>44369</v>
      </c>
      <c r="N678" s="61"/>
      <c r="O678" s="61"/>
      <c r="P678" s="61">
        <f t="shared" si="30"/>
        <v>6</v>
      </c>
      <c r="Q678" s="61">
        <f t="shared" si="31"/>
        <v>2021</v>
      </c>
      <c r="R678" s="100">
        <f t="shared" si="32"/>
        <v>22</v>
      </c>
    </row>
    <row r="679" spans="1:18" s="59" customFormat="1" x14ac:dyDescent="0.2">
      <c r="A679" s="69">
        <v>44358</v>
      </c>
      <c r="B679" s="61" t="s">
        <v>1196</v>
      </c>
      <c r="C679" s="61" t="s">
        <v>18</v>
      </c>
      <c r="D679" s="73">
        <v>44402</v>
      </c>
      <c r="E679" s="61" t="s">
        <v>47</v>
      </c>
      <c r="F679" s="61">
        <v>85931004</v>
      </c>
      <c r="G679" s="61" t="s">
        <v>1197</v>
      </c>
      <c r="H679" s="75">
        <v>32290</v>
      </c>
      <c r="I679" s="62" t="s">
        <v>49</v>
      </c>
      <c r="J679" s="61" t="s">
        <v>1198</v>
      </c>
      <c r="K679" s="62">
        <v>739</v>
      </c>
      <c r="L679" s="61"/>
      <c r="M679" s="64">
        <v>44412</v>
      </c>
      <c r="N679" s="61"/>
      <c r="O679" s="61"/>
      <c r="P679" s="61">
        <f t="shared" si="30"/>
        <v>7</v>
      </c>
      <c r="Q679" s="61">
        <f t="shared" si="31"/>
        <v>2021</v>
      </c>
      <c r="R679" s="100">
        <f t="shared" si="32"/>
        <v>25</v>
      </c>
    </row>
    <row r="680" spans="1:18" s="59" customFormat="1" x14ac:dyDescent="0.2">
      <c r="A680" s="69">
        <v>44361</v>
      </c>
      <c r="B680" s="61" t="s">
        <v>158</v>
      </c>
      <c r="C680" s="61" t="s">
        <v>18</v>
      </c>
      <c r="D680" s="73">
        <v>44343</v>
      </c>
      <c r="E680" s="61" t="s">
        <v>47</v>
      </c>
      <c r="F680" s="61">
        <v>86453834</v>
      </c>
      <c r="G680" s="61" t="s">
        <v>1200</v>
      </c>
      <c r="H680" s="75">
        <v>2800</v>
      </c>
      <c r="I680" s="62" t="s">
        <v>49</v>
      </c>
      <c r="J680" s="61" t="s">
        <v>1201</v>
      </c>
      <c r="K680" s="62">
        <v>740</v>
      </c>
      <c r="L680" s="61"/>
      <c r="M680" s="64">
        <v>44361</v>
      </c>
      <c r="N680" s="61"/>
      <c r="O680" s="61"/>
      <c r="P680" s="61">
        <f t="shared" si="30"/>
        <v>5</v>
      </c>
      <c r="Q680" s="61">
        <f t="shared" si="31"/>
        <v>2021</v>
      </c>
      <c r="R680" s="100">
        <f t="shared" si="32"/>
        <v>27</v>
      </c>
    </row>
    <row r="681" spans="1:18" s="59" customFormat="1" x14ac:dyDescent="0.2">
      <c r="A681" s="69">
        <v>44361</v>
      </c>
      <c r="B681" s="61" t="s">
        <v>158</v>
      </c>
      <c r="C681" s="61" t="s">
        <v>18</v>
      </c>
      <c r="D681" s="73">
        <v>44367</v>
      </c>
      <c r="E681" s="61" t="s">
        <v>47</v>
      </c>
      <c r="F681" s="61">
        <v>85049285</v>
      </c>
      <c r="G681" s="61" t="s">
        <v>1205</v>
      </c>
      <c r="H681" s="75">
        <v>16500</v>
      </c>
      <c r="I681" s="62" t="s">
        <v>49</v>
      </c>
      <c r="J681" s="61" t="s">
        <v>1202</v>
      </c>
      <c r="K681" s="62">
        <v>741</v>
      </c>
      <c r="L681" s="61"/>
      <c r="M681" s="64">
        <v>44369</v>
      </c>
      <c r="N681" s="61"/>
      <c r="O681" s="61"/>
      <c r="P681" s="61">
        <f t="shared" si="30"/>
        <v>6</v>
      </c>
      <c r="Q681" s="61">
        <f t="shared" si="31"/>
        <v>2021</v>
      </c>
      <c r="R681" s="100">
        <f t="shared" si="32"/>
        <v>20</v>
      </c>
    </row>
    <row r="682" spans="1:18" s="59" customFormat="1" x14ac:dyDescent="0.2">
      <c r="A682" s="69">
        <v>44361</v>
      </c>
      <c r="B682" s="61" t="s">
        <v>158</v>
      </c>
      <c r="C682" s="61" t="s">
        <v>18</v>
      </c>
      <c r="D682" s="73">
        <v>44357</v>
      </c>
      <c r="E682" s="61" t="s">
        <v>47</v>
      </c>
      <c r="F682" s="61">
        <v>80621889</v>
      </c>
      <c r="G682" s="61" t="s">
        <v>1203</v>
      </c>
      <c r="H682" s="75">
        <v>15000</v>
      </c>
      <c r="I682" s="62" t="s">
        <v>49</v>
      </c>
      <c r="J682" s="61" t="s">
        <v>1204</v>
      </c>
      <c r="K682" s="62">
        <v>742</v>
      </c>
      <c r="L682" s="61"/>
      <c r="M682" s="64">
        <v>44361</v>
      </c>
      <c r="N682" s="61"/>
      <c r="O682" s="61"/>
      <c r="P682" s="61">
        <f t="shared" si="30"/>
        <v>6</v>
      </c>
      <c r="Q682" s="61">
        <f t="shared" si="31"/>
        <v>2021</v>
      </c>
      <c r="R682" s="100">
        <f t="shared" si="32"/>
        <v>10</v>
      </c>
    </row>
    <row r="683" spans="1:18" s="59" customFormat="1" x14ac:dyDescent="0.2">
      <c r="A683" s="69">
        <v>44361</v>
      </c>
      <c r="B683" s="61" t="s">
        <v>158</v>
      </c>
      <c r="C683" s="61" t="s">
        <v>18</v>
      </c>
      <c r="D683" s="73">
        <v>44387</v>
      </c>
      <c r="E683" s="61" t="s">
        <v>47</v>
      </c>
      <c r="F683" s="61">
        <v>85049293</v>
      </c>
      <c r="G683" s="61" t="s">
        <v>1205</v>
      </c>
      <c r="H683" s="75">
        <v>15000</v>
      </c>
      <c r="I683" s="62" t="s">
        <v>49</v>
      </c>
      <c r="J683" s="61" t="s">
        <v>1202</v>
      </c>
      <c r="K683" s="62">
        <v>743</v>
      </c>
      <c r="L683" s="61"/>
      <c r="M683" s="61" t="s">
        <v>1222</v>
      </c>
      <c r="N683" s="61"/>
      <c r="O683" s="61"/>
      <c r="P683" s="61">
        <f t="shared" si="30"/>
        <v>7</v>
      </c>
      <c r="Q683" s="61">
        <f t="shared" si="31"/>
        <v>2021</v>
      </c>
      <c r="R683" s="100">
        <f t="shared" si="32"/>
        <v>10</v>
      </c>
    </row>
    <row r="684" spans="1:18" s="59" customFormat="1" x14ac:dyDescent="0.2">
      <c r="A684" s="69">
        <v>44363</v>
      </c>
      <c r="B684" s="61" t="s">
        <v>195</v>
      </c>
      <c r="C684" s="61" t="s">
        <v>18</v>
      </c>
      <c r="D684" s="73">
        <v>44483</v>
      </c>
      <c r="E684" s="61" t="s">
        <v>53</v>
      </c>
      <c r="F684" s="61">
        <v>51100152</v>
      </c>
      <c r="G684" s="61" t="s">
        <v>546</v>
      </c>
      <c r="H684" s="75">
        <v>13000</v>
      </c>
      <c r="I684" s="62" t="s">
        <v>49</v>
      </c>
      <c r="J684" s="61" t="s">
        <v>1206</v>
      </c>
      <c r="K684" s="62">
        <v>744</v>
      </c>
      <c r="L684" s="61"/>
      <c r="M684" s="64">
        <v>44487</v>
      </c>
      <c r="N684" s="61"/>
      <c r="O684" s="61"/>
      <c r="P684" s="61">
        <f t="shared" si="30"/>
        <v>10</v>
      </c>
      <c r="Q684" s="61">
        <f t="shared" si="31"/>
        <v>2021</v>
      </c>
      <c r="R684" s="100">
        <f t="shared" si="32"/>
        <v>14</v>
      </c>
    </row>
    <row r="685" spans="1:18" s="59" customFormat="1" x14ac:dyDescent="0.2">
      <c r="A685" s="69">
        <v>44359</v>
      </c>
      <c r="B685" s="61" t="s">
        <v>368</v>
      </c>
      <c r="C685" s="61" t="s">
        <v>18</v>
      </c>
      <c r="D685" s="73">
        <v>44407</v>
      </c>
      <c r="E685" s="61" t="s">
        <v>65</v>
      </c>
      <c r="F685" s="61">
        <v>41034596</v>
      </c>
      <c r="G685" s="61" t="s">
        <v>874</v>
      </c>
      <c r="H685" s="75">
        <v>10000</v>
      </c>
      <c r="I685" s="62" t="s">
        <v>49</v>
      </c>
      <c r="J685" s="61" t="s">
        <v>200</v>
      </c>
      <c r="K685" s="62">
        <v>745</v>
      </c>
      <c r="L685" s="61"/>
      <c r="M685" s="64">
        <v>44419</v>
      </c>
      <c r="N685" s="61"/>
      <c r="O685" s="61"/>
      <c r="P685" s="61">
        <f t="shared" si="30"/>
        <v>7</v>
      </c>
      <c r="Q685" s="61">
        <f t="shared" si="31"/>
        <v>2021</v>
      </c>
      <c r="R685" s="100">
        <f t="shared" si="32"/>
        <v>30</v>
      </c>
    </row>
    <row r="686" spans="1:18" s="59" customFormat="1" x14ac:dyDescent="0.2">
      <c r="A686" s="69">
        <v>44359</v>
      </c>
      <c r="B686" s="61" t="s">
        <v>368</v>
      </c>
      <c r="C686" s="61" t="s">
        <v>18</v>
      </c>
      <c r="D686" s="73">
        <v>44438</v>
      </c>
      <c r="E686" s="61" t="s">
        <v>65</v>
      </c>
      <c r="F686" s="61">
        <v>41034597</v>
      </c>
      <c r="G686" s="61" t="s">
        <v>874</v>
      </c>
      <c r="H686" s="75">
        <v>10000</v>
      </c>
      <c r="I686" s="62" t="s">
        <v>97</v>
      </c>
      <c r="J686" s="61" t="s">
        <v>200</v>
      </c>
      <c r="K686" s="62">
        <v>746</v>
      </c>
      <c r="L686" s="61"/>
      <c r="M686" s="64">
        <v>44382</v>
      </c>
      <c r="N686" s="61" t="s">
        <v>199</v>
      </c>
      <c r="O686" s="61"/>
      <c r="P686" s="61">
        <f t="shared" si="30"/>
        <v>8</v>
      </c>
      <c r="Q686" s="61">
        <f t="shared" si="31"/>
        <v>2021</v>
      </c>
      <c r="R686" s="100">
        <f t="shared" si="32"/>
        <v>30</v>
      </c>
    </row>
    <row r="687" spans="1:18" s="59" customFormat="1" x14ac:dyDescent="0.2">
      <c r="A687" s="69">
        <v>44364</v>
      </c>
      <c r="B687" s="61" t="s">
        <v>808</v>
      </c>
      <c r="C687" s="61" t="s">
        <v>18</v>
      </c>
      <c r="D687" s="73">
        <v>44403</v>
      </c>
      <c r="E687" s="61" t="s">
        <v>57</v>
      </c>
      <c r="F687" s="61">
        <v>504</v>
      </c>
      <c r="G687" s="61" t="s">
        <v>1190</v>
      </c>
      <c r="H687" s="75">
        <v>40000</v>
      </c>
      <c r="I687" s="62" t="s">
        <v>49</v>
      </c>
      <c r="J687" s="61" t="s">
        <v>810</v>
      </c>
      <c r="K687" s="62">
        <v>747</v>
      </c>
      <c r="L687" s="61"/>
      <c r="M687" s="61"/>
      <c r="N687" s="61"/>
      <c r="O687" s="61"/>
      <c r="P687" s="61">
        <f t="shared" si="30"/>
        <v>7</v>
      </c>
      <c r="Q687" s="61">
        <f t="shared" si="31"/>
        <v>2021</v>
      </c>
      <c r="R687" s="100">
        <f t="shared" si="32"/>
        <v>26</v>
      </c>
    </row>
    <row r="688" spans="1:18" s="59" customFormat="1" x14ac:dyDescent="0.2">
      <c r="A688" s="69">
        <v>44365</v>
      </c>
      <c r="B688" s="61" t="s">
        <v>823</v>
      </c>
      <c r="C688" s="61" t="s">
        <v>18</v>
      </c>
      <c r="D688" s="73">
        <v>44379</v>
      </c>
      <c r="E688" s="61" t="s">
        <v>47</v>
      </c>
      <c r="F688" s="61">
        <v>86720209</v>
      </c>
      <c r="G688" s="61" t="s">
        <v>824</v>
      </c>
      <c r="H688" s="75">
        <v>13995</v>
      </c>
      <c r="I688" s="62" t="s">
        <v>49</v>
      </c>
      <c r="J688" s="61" t="s">
        <v>825</v>
      </c>
      <c r="K688" s="62">
        <v>748</v>
      </c>
      <c r="L688" s="61"/>
      <c r="M688" s="64">
        <v>44382</v>
      </c>
      <c r="N688" s="61"/>
      <c r="O688" s="61"/>
      <c r="P688" s="61">
        <f t="shared" si="30"/>
        <v>7</v>
      </c>
      <c r="Q688" s="61">
        <f t="shared" si="31"/>
        <v>2021</v>
      </c>
      <c r="R688" s="100">
        <f t="shared" si="32"/>
        <v>2</v>
      </c>
    </row>
    <row r="689" spans="1:18" s="59" customFormat="1" x14ac:dyDescent="0.2">
      <c r="A689" s="69">
        <v>44365</v>
      </c>
      <c r="B689" s="61" t="s">
        <v>823</v>
      </c>
      <c r="C689" s="61" t="s">
        <v>18</v>
      </c>
      <c r="D689" s="73">
        <v>44397</v>
      </c>
      <c r="E689" s="61" t="s">
        <v>47</v>
      </c>
      <c r="F689" s="61">
        <v>86720210</v>
      </c>
      <c r="G689" s="61" t="s">
        <v>824</v>
      </c>
      <c r="H689" s="75">
        <v>13995</v>
      </c>
      <c r="I689" s="62" t="s">
        <v>49</v>
      </c>
      <c r="J689" s="61" t="s">
        <v>825</v>
      </c>
      <c r="K689" s="62">
        <v>749</v>
      </c>
      <c r="L689" s="61"/>
      <c r="M689" s="64">
        <v>44399</v>
      </c>
      <c r="N689" s="61"/>
      <c r="O689" s="61"/>
      <c r="P689" s="61">
        <f t="shared" si="30"/>
        <v>7</v>
      </c>
      <c r="Q689" s="61">
        <f t="shared" si="31"/>
        <v>2021</v>
      </c>
      <c r="R689" s="100">
        <f t="shared" si="32"/>
        <v>20</v>
      </c>
    </row>
    <row r="690" spans="1:18" s="59" customFormat="1" x14ac:dyDescent="0.2">
      <c r="A690" s="69">
        <v>44375</v>
      </c>
      <c r="B690" s="61" t="s">
        <v>368</v>
      </c>
      <c r="C690" s="61" t="s">
        <v>18</v>
      </c>
      <c r="D690" s="73">
        <v>44439</v>
      </c>
      <c r="E690" s="61" t="s">
        <v>65</v>
      </c>
      <c r="F690" s="61">
        <v>41034623</v>
      </c>
      <c r="G690" s="61" t="s">
        <v>874</v>
      </c>
      <c r="H690" s="75">
        <v>15000</v>
      </c>
      <c r="I690" s="62" t="s">
        <v>97</v>
      </c>
      <c r="J690" s="61" t="s">
        <v>200</v>
      </c>
      <c r="K690" s="62">
        <v>750</v>
      </c>
      <c r="L690" s="61"/>
      <c r="M690" s="64">
        <v>44440</v>
      </c>
      <c r="N690" s="61" t="s">
        <v>1277</v>
      </c>
      <c r="O690" s="61"/>
      <c r="P690" s="61">
        <f t="shared" si="30"/>
        <v>8</v>
      </c>
      <c r="Q690" s="61">
        <f t="shared" si="31"/>
        <v>2021</v>
      </c>
      <c r="R690" s="100">
        <f t="shared" si="32"/>
        <v>31</v>
      </c>
    </row>
    <row r="691" spans="1:18" s="59" customFormat="1" x14ac:dyDescent="0.2">
      <c r="A691" s="69">
        <v>44375</v>
      </c>
      <c r="B691" s="61" t="s">
        <v>368</v>
      </c>
      <c r="C691" s="61" t="s">
        <v>18</v>
      </c>
      <c r="D691" s="73">
        <v>44439</v>
      </c>
      <c r="E691" s="61" t="s">
        <v>65</v>
      </c>
      <c r="F691" s="61">
        <v>41034624</v>
      </c>
      <c r="G691" s="61" t="s">
        <v>874</v>
      </c>
      <c r="H691" s="75">
        <v>15000</v>
      </c>
      <c r="I691" s="62" t="s">
        <v>97</v>
      </c>
      <c r="J691" s="61" t="s">
        <v>200</v>
      </c>
      <c r="K691" s="62">
        <v>751</v>
      </c>
      <c r="L691" s="61"/>
      <c r="M691" s="64">
        <v>44440</v>
      </c>
      <c r="N691" s="61" t="s">
        <v>1277</v>
      </c>
      <c r="O691" s="61"/>
      <c r="P691" s="61">
        <f t="shared" si="30"/>
        <v>8</v>
      </c>
      <c r="Q691" s="61">
        <f t="shared" si="31"/>
        <v>2021</v>
      </c>
      <c r="R691" s="100">
        <f t="shared" si="32"/>
        <v>31</v>
      </c>
    </row>
    <row r="692" spans="1:18" s="59" customFormat="1" x14ac:dyDescent="0.2">
      <c r="A692" s="69">
        <v>44375</v>
      </c>
      <c r="B692" s="61" t="s">
        <v>368</v>
      </c>
      <c r="C692" s="61" t="s">
        <v>18</v>
      </c>
      <c r="D692" s="73">
        <v>44469</v>
      </c>
      <c r="E692" s="61" t="s">
        <v>65</v>
      </c>
      <c r="F692" s="61">
        <v>41034625</v>
      </c>
      <c r="G692" s="61" t="s">
        <v>874</v>
      </c>
      <c r="H692" s="75">
        <v>15000</v>
      </c>
      <c r="I692" s="62" t="s">
        <v>49</v>
      </c>
      <c r="J692" s="61" t="s">
        <v>200</v>
      </c>
      <c r="K692" s="62">
        <v>752</v>
      </c>
      <c r="L692" s="61"/>
      <c r="M692" s="64">
        <v>44469</v>
      </c>
      <c r="N692" s="61"/>
      <c r="O692" s="61"/>
      <c r="P692" s="61">
        <f t="shared" si="30"/>
        <v>9</v>
      </c>
      <c r="Q692" s="61">
        <f t="shared" si="31"/>
        <v>2021</v>
      </c>
      <c r="R692" s="100">
        <f t="shared" si="32"/>
        <v>30</v>
      </c>
    </row>
    <row r="693" spans="1:18" s="59" customFormat="1" x14ac:dyDescent="0.2">
      <c r="A693" s="69">
        <v>44375</v>
      </c>
      <c r="B693" s="61" t="s">
        <v>368</v>
      </c>
      <c r="C693" s="61" t="s">
        <v>18</v>
      </c>
      <c r="D693" s="73">
        <v>44469</v>
      </c>
      <c r="E693" s="61" t="s">
        <v>65</v>
      </c>
      <c r="F693" s="61">
        <v>41034626</v>
      </c>
      <c r="G693" s="61" t="s">
        <v>874</v>
      </c>
      <c r="H693" s="75">
        <v>15000</v>
      </c>
      <c r="I693" s="62" t="s">
        <v>49</v>
      </c>
      <c r="J693" s="61" t="s">
        <v>200</v>
      </c>
      <c r="K693" s="62">
        <v>753</v>
      </c>
      <c r="L693" s="61"/>
      <c r="M693" s="64">
        <v>44469</v>
      </c>
      <c r="N693" s="61"/>
      <c r="O693" s="61"/>
      <c r="P693" s="61">
        <f t="shared" si="30"/>
        <v>9</v>
      </c>
      <c r="Q693" s="61">
        <f t="shared" si="31"/>
        <v>2021</v>
      </c>
      <c r="R693" s="100">
        <f t="shared" si="32"/>
        <v>30</v>
      </c>
    </row>
    <row r="694" spans="1:18" s="59" customFormat="1" x14ac:dyDescent="0.2">
      <c r="A694" s="69">
        <v>44376</v>
      </c>
      <c r="B694" s="61" t="s">
        <v>823</v>
      </c>
      <c r="C694" s="61" t="s">
        <v>18</v>
      </c>
      <c r="D694" s="73">
        <v>44357</v>
      </c>
      <c r="E694" s="61" t="s">
        <v>185</v>
      </c>
      <c r="F694" s="61">
        <v>595351</v>
      </c>
      <c r="G694" s="61" t="s">
        <v>1213</v>
      </c>
      <c r="H694" s="75">
        <v>28380</v>
      </c>
      <c r="I694" s="62" t="s">
        <v>49</v>
      </c>
      <c r="J694" s="61" t="s">
        <v>1214</v>
      </c>
      <c r="K694" s="62">
        <v>754</v>
      </c>
      <c r="L694" s="61"/>
      <c r="M694" s="64">
        <v>44377</v>
      </c>
      <c r="N694" s="61"/>
      <c r="O694" s="61"/>
      <c r="P694" s="61">
        <f t="shared" si="30"/>
        <v>6</v>
      </c>
      <c r="Q694" s="61">
        <f t="shared" si="31"/>
        <v>2021</v>
      </c>
      <c r="R694" s="100">
        <f t="shared" si="32"/>
        <v>10</v>
      </c>
    </row>
    <row r="695" spans="1:18" s="59" customFormat="1" x14ac:dyDescent="0.2">
      <c r="A695" s="69">
        <v>44376</v>
      </c>
      <c r="B695" s="61" t="s">
        <v>823</v>
      </c>
      <c r="C695" s="61" t="s">
        <v>18</v>
      </c>
      <c r="D695" s="73">
        <v>44377</v>
      </c>
      <c r="E695" s="61" t="s">
        <v>57</v>
      </c>
      <c r="F695" s="61">
        <v>10105507</v>
      </c>
      <c r="G695" s="61" t="s">
        <v>1215</v>
      </c>
      <c r="H695" s="75">
        <v>5900</v>
      </c>
      <c r="I695" s="62" t="s">
        <v>49</v>
      </c>
      <c r="J695" s="61" t="s">
        <v>1216</v>
      </c>
      <c r="K695" s="62">
        <v>755</v>
      </c>
      <c r="L695" s="61"/>
      <c r="M695" s="64">
        <v>44377</v>
      </c>
      <c r="N695" s="61"/>
      <c r="O695" s="61"/>
      <c r="P695" s="61">
        <f t="shared" si="30"/>
        <v>6</v>
      </c>
      <c r="Q695" s="61">
        <f t="shared" si="31"/>
        <v>2021</v>
      </c>
      <c r="R695" s="100">
        <f t="shared" si="32"/>
        <v>30</v>
      </c>
    </row>
    <row r="696" spans="1:18" s="59" customFormat="1" x14ac:dyDescent="0.2">
      <c r="A696" s="69">
        <v>44468</v>
      </c>
      <c r="B696" s="61" t="s">
        <v>42</v>
      </c>
      <c r="C696" s="61" t="s">
        <v>18</v>
      </c>
      <c r="D696" s="73">
        <v>44383</v>
      </c>
      <c r="E696" s="61" t="s">
        <v>65</v>
      </c>
      <c r="F696" s="61">
        <v>43692997</v>
      </c>
      <c r="G696" s="61" t="s">
        <v>1217</v>
      </c>
      <c r="H696" s="75">
        <v>22968</v>
      </c>
      <c r="I696" s="62" t="s">
        <v>295</v>
      </c>
      <c r="J696" s="61" t="s">
        <v>1218</v>
      </c>
      <c r="K696" s="62">
        <v>756</v>
      </c>
      <c r="L696" s="61"/>
      <c r="M696" s="64">
        <v>44389</v>
      </c>
      <c r="N696" s="61"/>
      <c r="O696" s="61" t="s">
        <v>1226</v>
      </c>
      <c r="P696" s="61">
        <f t="shared" si="30"/>
        <v>7</v>
      </c>
      <c r="Q696" s="61">
        <f t="shared" si="31"/>
        <v>2021</v>
      </c>
      <c r="R696" s="100">
        <f t="shared" si="32"/>
        <v>6</v>
      </c>
    </row>
    <row r="697" spans="1:18" s="59" customFormat="1" x14ac:dyDescent="0.2">
      <c r="A697" s="69">
        <v>44377</v>
      </c>
      <c r="B697" s="61" t="s">
        <v>158</v>
      </c>
      <c r="C697" s="61" t="s">
        <v>18</v>
      </c>
      <c r="D697" s="73">
        <v>44397</v>
      </c>
      <c r="E697" s="61" t="s">
        <v>47</v>
      </c>
      <c r="F697" s="61">
        <v>84665873</v>
      </c>
      <c r="G697" s="61" t="s">
        <v>1219</v>
      </c>
      <c r="H697" s="75">
        <v>27313.4</v>
      </c>
      <c r="I697" s="62" t="s">
        <v>49</v>
      </c>
      <c r="J697" s="61" t="s">
        <v>1220</v>
      </c>
      <c r="K697" s="62">
        <v>757</v>
      </c>
      <c r="L697" s="61"/>
      <c r="M697" s="64">
        <v>44399</v>
      </c>
      <c r="N697" s="61"/>
      <c r="O697" s="61"/>
      <c r="P697" s="61">
        <f t="shared" si="30"/>
        <v>7</v>
      </c>
      <c r="Q697" s="61">
        <f t="shared" si="31"/>
        <v>2021</v>
      </c>
      <c r="R697" s="100">
        <f t="shared" si="32"/>
        <v>20</v>
      </c>
    </row>
    <row r="698" spans="1:18" s="59" customFormat="1" x14ac:dyDescent="0.2">
      <c r="A698" s="69">
        <v>44378</v>
      </c>
      <c r="B698" s="61" t="s">
        <v>278</v>
      </c>
      <c r="C698" s="61" t="s">
        <v>18</v>
      </c>
      <c r="D698" s="73">
        <v>44425</v>
      </c>
      <c r="E698" s="61" t="s">
        <v>47</v>
      </c>
      <c r="F698" s="61">
        <v>87559233</v>
      </c>
      <c r="G698" s="61" t="s">
        <v>281</v>
      </c>
      <c r="H698" s="75">
        <v>10000</v>
      </c>
      <c r="I698" s="62" t="s">
        <v>49</v>
      </c>
      <c r="J698" s="61" t="s">
        <v>282</v>
      </c>
      <c r="K698" s="62">
        <v>758</v>
      </c>
      <c r="L698" s="61"/>
      <c r="M698" s="64">
        <v>44428</v>
      </c>
      <c r="N698" s="61"/>
      <c r="O698" s="61"/>
      <c r="P698" s="61">
        <f t="shared" si="30"/>
        <v>8</v>
      </c>
      <c r="Q698" s="61">
        <f t="shared" si="31"/>
        <v>2021</v>
      </c>
      <c r="R698" s="100">
        <f t="shared" si="32"/>
        <v>17</v>
      </c>
    </row>
    <row r="699" spans="1:18" s="59" customFormat="1" x14ac:dyDescent="0.2">
      <c r="A699" s="69">
        <v>44378</v>
      </c>
      <c r="B699" s="61" t="s">
        <v>278</v>
      </c>
      <c r="C699" s="61" t="s">
        <v>18</v>
      </c>
      <c r="D699" s="73">
        <v>44431</v>
      </c>
      <c r="E699" s="61" t="s">
        <v>47</v>
      </c>
      <c r="F699" s="61">
        <v>87559234</v>
      </c>
      <c r="G699" s="61" t="s">
        <v>281</v>
      </c>
      <c r="H699" s="75">
        <v>14000</v>
      </c>
      <c r="I699" s="62" t="s">
        <v>49</v>
      </c>
      <c r="J699" s="61" t="s">
        <v>282</v>
      </c>
      <c r="K699" s="62">
        <v>759</v>
      </c>
      <c r="L699" s="61"/>
      <c r="M699" s="64">
        <v>44441</v>
      </c>
      <c r="N699" s="61"/>
      <c r="O699" s="61"/>
      <c r="P699" s="61">
        <f t="shared" si="30"/>
        <v>8</v>
      </c>
      <c r="Q699" s="61">
        <f t="shared" si="31"/>
        <v>2021</v>
      </c>
      <c r="R699" s="100">
        <f t="shared" si="32"/>
        <v>23</v>
      </c>
    </row>
    <row r="700" spans="1:18" s="59" customFormat="1" x14ac:dyDescent="0.2">
      <c r="A700" s="69">
        <v>44378</v>
      </c>
      <c r="B700" s="61" t="s">
        <v>278</v>
      </c>
      <c r="C700" s="61" t="s">
        <v>18</v>
      </c>
      <c r="D700" s="73">
        <v>44438</v>
      </c>
      <c r="E700" s="61" t="s">
        <v>47</v>
      </c>
      <c r="F700" s="61">
        <v>87559235</v>
      </c>
      <c r="G700" s="61" t="s">
        <v>281</v>
      </c>
      <c r="H700" s="75">
        <v>14300</v>
      </c>
      <c r="I700" s="62" t="s">
        <v>49</v>
      </c>
      <c r="J700" s="61" t="s">
        <v>282</v>
      </c>
      <c r="K700" s="62">
        <v>760</v>
      </c>
      <c r="L700" s="61"/>
      <c r="M700" s="64">
        <v>44441</v>
      </c>
      <c r="N700" s="61"/>
      <c r="O700" s="61"/>
      <c r="P700" s="61">
        <f t="shared" si="30"/>
        <v>8</v>
      </c>
      <c r="Q700" s="61">
        <f t="shared" si="31"/>
        <v>2021</v>
      </c>
      <c r="R700" s="100">
        <f t="shared" si="32"/>
        <v>30</v>
      </c>
    </row>
    <row r="701" spans="1:18" s="59" customFormat="1" x14ac:dyDescent="0.2">
      <c r="A701" s="69">
        <v>44382</v>
      </c>
      <c r="B701" s="61" t="s">
        <v>1126</v>
      </c>
      <c r="C701" s="61" t="s">
        <v>18</v>
      </c>
      <c r="D701" s="73">
        <v>44371</v>
      </c>
      <c r="E701" s="61" t="s">
        <v>47</v>
      </c>
      <c r="F701" s="61">
        <v>82279868</v>
      </c>
      <c r="G701" s="61" t="s">
        <v>1131</v>
      </c>
      <c r="H701" s="75">
        <v>25000</v>
      </c>
      <c r="I701" s="62" t="s">
        <v>49</v>
      </c>
      <c r="J701" s="61" t="s">
        <v>1132</v>
      </c>
      <c r="K701" s="62">
        <v>761</v>
      </c>
      <c r="L701" s="61"/>
      <c r="M701" s="64">
        <v>44382</v>
      </c>
      <c r="N701" s="61"/>
      <c r="O701" s="61"/>
      <c r="P701" s="61">
        <f t="shared" si="30"/>
        <v>6</v>
      </c>
      <c r="Q701" s="61">
        <f t="shared" si="31"/>
        <v>2021</v>
      </c>
      <c r="R701" s="100">
        <f t="shared" si="32"/>
        <v>24</v>
      </c>
    </row>
    <row r="702" spans="1:18" s="59" customFormat="1" x14ac:dyDescent="0.2">
      <c r="A702" s="69">
        <v>44382</v>
      </c>
      <c r="B702" s="61" t="s">
        <v>1126</v>
      </c>
      <c r="C702" s="61" t="s">
        <v>18</v>
      </c>
      <c r="D702" s="73">
        <v>44379</v>
      </c>
      <c r="E702" s="61" t="s">
        <v>182</v>
      </c>
      <c r="F702" s="61">
        <v>27901449</v>
      </c>
      <c r="G702" s="61" t="s">
        <v>1221</v>
      </c>
      <c r="H702" s="75">
        <v>18000</v>
      </c>
      <c r="I702" s="62" t="s">
        <v>49</v>
      </c>
      <c r="J702" s="61" t="s">
        <v>1128</v>
      </c>
      <c r="K702" s="62">
        <v>762</v>
      </c>
      <c r="L702" s="61"/>
      <c r="M702" s="64">
        <v>44382</v>
      </c>
      <c r="N702" s="61"/>
      <c r="O702" s="61"/>
      <c r="P702" s="61">
        <f t="shared" si="30"/>
        <v>7</v>
      </c>
      <c r="Q702" s="61">
        <f t="shared" si="31"/>
        <v>2021</v>
      </c>
      <c r="R702" s="100">
        <f t="shared" si="32"/>
        <v>2</v>
      </c>
    </row>
    <row r="703" spans="1:18" s="59" customFormat="1" x14ac:dyDescent="0.2">
      <c r="A703" s="69">
        <v>44390</v>
      </c>
      <c r="B703" s="61" t="s">
        <v>278</v>
      </c>
      <c r="C703" s="61" t="s">
        <v>18</v>
      </c>
      <c r="D703" s="73">
        <v>44432</v>
      </c>
      <c r="E703" s="61" t="s">
        <v>57</v>
      </c>
      <c r="F703" s="61">
        <v>2350</v>
      </c>
      <c r="G703" s="61" t="s">
        <v>281</v>
      </c>
      <c r="H703" s="75">
        <v>10000</v>
      </c>
      <c r="I703" s="62" t="s">
        <v>97</v>
      </c>
      <c r="J703" s="61" t="s">
        <v>282</v>
      </c>
      <c r="K703" s="62">
        <v>763</v>
      </c>
      <c r="L703" s="61"/>
      <c r="M703" s="64">
        <v>44425</v>
      </c>
      <c r="N703" s="61" t="s">
        <v>23</v>
      </c>
      <c r="O703" s="61"/>
      <c r="P703" s="61">
        <f t="shared" si="30"/>
        <v>8</v>
      </c>
      <c r="Q703" s="61">
        <f t="shared" si="31"/>
        <v>2021</v>
      </c>
      <c r="R703" s="100">
        <f t="shared" si="32"/>
        <v>24</v>
      </c>
    </row>
    <row r="704" spans="1:18" s="59" customFormat="1" x14ac:dyDescent="0.2">
      <c r="A704" s="69">
        <v>44390</v>
      </c>
      <c r="B704" s="61" t="s">
        <v>278</v>
      </c>
      <c r="C704" s="61" t="s">
        <v>18</v>
      </c>
      <c r="D704" s="73">
        <v>44439</v>
      </c>
      <c r="E704" s="61" t="s">
        <v>57</v>
      </c>
      <c r="F704" s="61">
        <v>2351</v>
      </c>
      <c r="G704" s="61" t="s">
        <v>281</v>
      </c>
      <c r="H704" s="75">
        <v>12300</v>
      </c>
      <c r="I704" s="62" t="s">
        <v>97</v>
      </c>
      <c r="J704" s="61" t="s">
        <v>282</v>
      </c>
      <c r="K704" s="62">
        <v>764</v>
      </c>
      <c r="L704" s="61"/>
      <c r="M704" s="64">
        <v>44440</v>
      </c>
      <c r="N704" s="61" t="s">
        <v>1277</v>
      </c>
      <c r="O704" s="61"/>
      <c r="P704" s="61">
        <f t="shared" si="30"/>
        <v>8</v>
      </c>
      <c r="Q704" s="61">
        <f t="shared" si="31"/>
        <v>2021</v>
      </c>
      <c r="R704" s="100">
        <f t="shared" si="32"/>
        <v>31</v>
      </c>
    </row>
    <row r="705" spans="1:18" s="59" customFormat="1" x14ac:dyDescent="0.2">
      <c r="A705" s="69">
        <v>44390</v>
      </c>
      <c r="B705" s="61" t="s">
        <v>278</v>
      </c>
      <c r="C705" s="61" t="s">
        <v>18</v>
      </c>
      <c r="D705" s="73">
        <v>44435</v>
      </c>
      <c r="E705" s="61" t="s">
        <v>47</v>
      </c>
      <c r="F705" s="61">
        <v>87559257</v>
      </c>
      <c r="G705" s="61" t="s">
        <v>281</v>
      </c>
      <c r="H705" s="75">
        <v>12000</v>
      </c>
      <c r="I705" s="62" t="s">
        <v>49</v>
      </c>
      <c r="J705" s="61" t="s">
        <v>282</v>
      </c>
      <c r="K705" s="62">
        <v>765</v>
      </c>
      <c r="L705" s="61"/>
      <c r="M705" s="64">
        <v>44441</v>
      </c>
      <c r="N705" s="61"/>
      <c r="O705" s="61"/>
      <c r="P705" s="61">
        <f t="shared" si="30"/>
        <v>8</v>
      </c>
      <c r="Q705" s="61">
        <f t="shared" si="31"/>
        <v>2021</v>
      </c>
      <c r="R705" s="100">
        <f t="shared" si="32"/>
        <v>27</v>
      </c>
    </row>
    <row r="706" spans="1:18" s="59" customFormat="1" x14ac:dyDescent="0.2">
      <c r="A706" s="69">
        <v>44391</v>
      </c>
      <c r="B706" s="61" t="s">
        <v>368</v>
      </c>
      <c r="C706" s="61" t="s">
        <v>18</v>
      </c>
      <c r="D706" s="73">
        <v>44377</v>
      </c>
      <c r="E706" s="61" t="s">
        <v>47</v>
      </c>
      <c r="F706" s="61">
        <v>82697998</v>
      </c>
      <c r="G706" s="61" t="s">
        <v>1224</v>
      </c>
      <c r="H706" s="75">
        <v>3500</v>
      </c>
      <c r="I706" s="62" t="s">
        <v>49</v>
      </c>
      <c r="J706" s="61" t="s">
        <v>1225</v>
      </c>
      <c r="K706" s="62">
        <v>766</v>
      </c>
      <c r="L706" s="61"/>
      <c r="M706" s="64">
        <v>44366</v>
      </c>
      <c r="N706" s="61"/>
      <c r="O706" s="61"/>
      <c r="P706" s="61">
        <f t="shared" ref="P706:P769" si="33">MONTH(D706)</f>
        <v>6</v>
      </c>
      <c r="Q706" s="61">
        <f t="shared" ref="Q706:Q769" si="34">YEAR(D706)</f>
        <v>2021</v>
      </c>
      <c r="R706" s="100">
        <f t="shared" si="32"/>
        <v>30</v>
      </c>
    </row>
    <row r="707" spans="1:18" s="59" customFormat="1" x14ac:dyDescent="0.2">
      <c r="A707" s="69">
        <v>44391</v>
      </c>
      <c r="B707" s="61" t="s">
        <v>368</v>
      </c>
      <c r="C707" s="61" t="s">
        <v>18</v>
      </c>
      <c r="D707" s="73">
        <v>44428</v>
      </c>
      <c r="E707" s="61" t="s">
        <v>47</v>
      </c>
      <c r="F707" s="61">
        <v>87109656</v>
      </c>
      <c r="G707" s="61" t="s">
        <v>1224</v>
      </c>
      <c r="H707" s="75">
        <v>3500</v>
      </c>
      <c r="I707" s="62" t="s">
        <v>49</v>
      </c>
      <c r="J707" s="61" t="s">
        <v>1225</v>
      </c>
      <c r="K707" s="62">
        <v>767</v>
      </c>
      <c r="L707" s="61"/>
      <c r="M707" s="64">
        <v>44428</v>
      </c>
      <c r="N707" s="61"/>
      <c r="O707" s="61"/>
      <c r="P707" s="61">
        <f t="shared" si="33"/>
        <v>8</v>
      </c>
      <c r="Q707" s="61">
        <f t="shared" si="34"/>
        <v>2021</v>
      </c>
      <c r="R707" s="100">
        <f t="shared" ref="R707:R770" si="35">DAY(D707)</f>
        <v>20</v>
      </c>
    </row>
    <row r="708" spans="1:18" s="59" customFormat="1" x14ac:dyDescent="0.2">
      <c r="A708" s="69">
        <v>44391</v>
      </c>
      <c r="B708" s="61" t="s">
        <v>368</v>
      </c>
      <c r="C708" s="61" t="s">
        <v>18</v>
      </c>
      <c r="D708" s="73">
        <v>44403</v>
      </c>
      <c r="E708" s="61" t="s">
        <v>123</v>
      </c>
      <c r="F708" s="61">
        <v>57535930</v>
      </c>
      <c r="G708" s="61" t="s">
        <v>830</v>
      </c>
      <c r="H708" s="75">
        <v>3500</v>
      </c>
      <c r="I708" s="62" t="s">
        <v>97</v>
      </c>
      <c r="J708" s="61" t="s">
        <v>831</v>
      </c>
      <c r="K708" s="62">
        <v>768</v>
      </c>
      <c r="L708" s="61"/>
      <c r="M708" s="64">
        <v>44417</v>
      </c>
      <c r="N708" s="61" t="s">
        <v>190</v>
      </c>
      <c r="O708" s="61"/>
      <c r="P708" s="61">
        <f t="shared" si="33"/>
        <v>7</v>
      </c>
      <c r="Q708" s="61">
        <f t="shared" si="34"/>
        <v>2021</v>
      </c>
      <c r="R708" s="100">
        <f t="shared" si="35"/>
        <v>26</v>
      </c>
    </row>
    <row r="709" spans="1:18" s="59" customFormat="1" x14ac:dyDescent="0.2">
      <c r="A709" s="69">
        <v>44391</v>
      </c>
      <c r="B709" s="61" t="s">
        <v>368</v>
      </c>
      <c r="C709" s="61" t="s">
        <v>18</v>
      </c>
      <c r="D709" s="73">
        <v>44402</v>
      </c>
      <c r="E709" s="61" t="s">
        <v>57</v>
      </c>
      <c r="F709" s="61">
        <v>3591861</v>
      </c>
      <c r="G709" s="61" t="s">
        <v>874</v>
      </c>
      <c r="H709" s="75">
        <v>16000</v>
      </c>
      <c r="I709" s="62" t="s">
        <v>97</v>
      </c>
      <c r="J709" s="61" t="s">
        <v>200</v>
      </c>
      <c r="K709" s="62">
        <v>769</v>
      </c>
      <c r="L709" s="61"/>
      <c r="M709" s="64">
        <v>44414</v>
      </c>
      <c r="N709" s="61" t="s">
        <v>1247</v>
      </c>
      <c r="O709" s="61"/>
      <c r="P709" s="61">
        <f t="shared" si="33"/>
        <v>7</v>
      </c>
      <c r="Q709" s="61">
        <f t="shared" si="34"/>
        <v>2021</v>
      </c>
      <c r="R709" s="100">
        <f t="shared" si="35"/>
        <v>25</v>
      </c>
    </row>
    <row r="710" spans="1:18" s="59" customFormat="1" x14ac:dyDescent="0.2">
      <c r="A710" s="69">
        <v>44391</v>
      </c>
      <c r="B710" s="61" t="s">
        <v>368</v>
      </c>
      <c r="C710" s="61" t="s">
        <v>18</v>
      </c>
      <c r="D710" s="73">
        <v>44469</v>
      </c>
      <c r="E710" s="61" t="s">
        <v>65</v>
      </c>
      <c r="F710" s="61">
        <v>41034650</v>
      </c>
      <c r="G710" s="61" t="s">
        <v>874</v>
      </c>
      <c r="H710" s="75">
        <v>10000</v>
      </c>
      <c r="I710" s="62" t="s">
        <v>49</v>
      </c>
      <c r="J710" s="61" t="s">
        <v>200</v>
      </c>
      <c r="K710" s="62">
        <v>770</v>
      </c>
      <c r="L710" s="61"/>
      <c r="M710" s="64">
        <v>44469</v>
      </c>
      <c r="N710" s="61"/>
      <c r="O710" s="61"/>
      <c r="P710" s="61">
        <f t="shared" si="33"/>
        <v>9</v>
      </c>
      <c r="Q710" s="61">
        <f t="shared" si="34"/>
        <v>2021</v>
      </c>
      <c r="R710" s="100">
        <f t="shared" si="35"/>
        <v>30</v>
      </c>
    </row>
    <row r="711" spans="1:18" s="59" customFormat="1" x14ac:dyDescent="0.2">
      <c r="A711" s="69">
        <v>44393</v>
      </c>
      <c r="B711" s="61" t="s">
        <v>368</v>
      </c>
      <c r="C711" s="61" t="s">
        <v>18</v>
      </c>
      <c r="D711" s="73">
        <v>44404</v>
      </c>
      <c r="E711" s="61" t="s">
        <v>47</v>
      </c>
      <c r="F711" s="61">
        <v>74975194</v>
      </c>
      <c r="G711" s="61" t="s">
        <v>874</v>
      </c>
      <c r="H711" s="75">
        <v>26000</v>
      </c>
      <c r="I711" s="62" t="s">
        <v>49</v>
      </c>
      <c r="J711" s="61" t="s">
        <v>200</v>
      </c>
      <c r="K711" s="62">
        <v>771</v>
      </c>
      <c r="L711" s="61"/>
      <c r="M711" s="64">
        <v>44412</v>
      </c>
      <c r="N711" s="61"/>
      <c r="O711" s="61"/>
      <c r="P711" s="61">
        <f t="shared" si="33"/>
        <v>7</v>
      </c>
      <c r="Q711" s="61">
        <f t="shared" si="34"/>
        <v>2021</v>
      </c>
      <c r="R711" s="100">
        <f t="shared" si="35"/>
        <v>27</v>
      </c>
    </row>
    <row r="712" spans="1:18" s="59" customFormat="1" x14ac:dyDescent="0.2">
      <c r="A712" s="69">
        <v>44398</v>
      </c>
      <c r="B712" s="61" t="s">
        <v>212</v>
      </c>
      <c r="C712" s="61" t="s">
        <v>18</v>
      </c>
      <c r="D712" s="73">
        <v>44428</v>
      </c>
      <c r="E712" s="61" t="s">
        <v>123</v>
      </c>
      <c r="F712" s="61">
        <v>63663170</v>
      </c>
      <c r="G712" s="61" t="s">
        <v>192</v>
      </c>
      <c r="H712" s="75">
        <v>20000</v>
      </c>
      <c r="I712" s="62" t="s">
        <v>97</v>
      </c>
      <c r="J712" s="61" t="s">
        <v>1231</v>
      </c>
      <c r="K712" s="62">
        <v>772</v>
      </c>
      <c r="L712" s="61"/>
      <c r="M712" s="64">
        <v>44440</v>
      </c>
      <c r="N712" s="61" t="s">
        <v>757</v>
      </c>
      <c r="O712" s="61" t="s">
        <v>1273</v>
      </c>
      <c r="P712" s="61">
        <f t="shared" si="33"/>
        <v>8</v>
      </c>
      <c r="Q712" s="61">
        <f t="shared" si="34"/>
        <v>2021</v>
      </c>
      <c r="R712" s="100">
        <f t="shared" si="35"/>
        <v>20</v>
      </c>
    </row>
    <row r="713" spans="1:18" s="59" customFormat="1" x14ac:dyDescent="0.2">
      <c r="A713" s="69">
        <v>44398</v>
      </c>
      <c r="B713" s="61" t="s">
        <v>212</v>
      </c>
      <c r="C713" s="61" t="s">
        <v>18</v>
      </c>
      <c r="D713" s="73">
        <v>44438</v>
      </c>
      <c r="E713" s="61" t="s">
        <v>123</v>
      </c>
      <c r="F713" s="61">
        <v>63663171</v>
      </c>
      <c r="G713" s="61" t="s">
        <v>192</v>
      </c>
      <c r="H713" s="75">
        <v>21814</v>
      </c>
      <c r="I713" s="62" t="s">
        <v>97</v>
      </c>
      <c r="J713" s="61" t="s">
        <v>1231</v>
      </c>
      <c r="K713" s="62">
        <v>773</v>
      </c>
      <c r="L713" s="61"/>
      <c r="M713" s="64">
        <v>44440</v>
      </c>
      <c r="N713" s="61" t="s">
        <v>757</v>
      </c>
      <c r="O713" s="61" t="s">
        <v>1273</v>
      </c>
      <c r="P713" s="61">
        <f t="shared" si="33"/>
        <v>8</v>
      </c>
      <c r="Q713" s="61">
        <f t="shared" si="34"/>
        <v>2021</v>
      </c>
      <c r="R713" s="100">
        <f t="shared" si="35"/>
        <v>30</v>
      </c>
    </row>
    <row r="714" spans="1:18" s="59" customFormat="1" x14ac:dyDescent="0.2">
      <c r="A714" s="69">
        <v>44404</v>
      </c>
      <c r="B714" s="61" t="s">
        <v>490</v>
      </c>
      <c r="C714" s="61" t="s">
        <v>18</v>
      </c>
      <c r="D714" s="73">
        <v>44397</v>
      </c>
      <c r="E714" s="61" t="s">
        <v>57</v>
      </c>
      <c r="F714" s="61">
        <v>663487</v>
      </c>
      <c r="G714" s="61" t="s">
        <v>1234</v>
      </c>
      <c r="H714" s="75">
        <v>6000</v>
      </c>
      <c r="I714" s="62" t="s">
        <v>49</v>
      </c>
      <c r="J714" s="61" t="s">
        <v>1235</v>
      </c>
      <c r="K714" s="62">
        <v>774</v>
      </c>
      <c r="L714" s="61"/>
      <c r="M714" s="61"/>
      <c r="N714" s="61"/>
      <c r="O714" s="61"/>
      <c r="P714" s="61">
        <f t="shared" si="33"/>
        <v>7</v>
      </c>
      <c r="Q714" s="61">
        <f t="shared" si="34"/>
        <v>2021</v>
      </c>
      <c r="R714" s="100">
        <f t="shared" si="35"/>
        <v>20</v>
      </c>
    </row>
    <row r="715" spans="1:18" s="59" customFormat="1" x14ac:dyDescent="0.2">
      <c r="A715" s="69">
        <v>44404</v>
      </c>
      <c r="B715" s="61" t="s">
        <v>490</v>
      </c>
      <c r="C715" s="61" t="s">
        <v>18</v>
      </c>
      <c r="D715" s="73">
        <v>44463</v>
      </c>
      <c r="E715" s="61" t="s">
        <v>1236</v>
      </c>
      <c r="F715" s="61">
        <v>15071001</v>
      </c>
      <c r="G715" s="61" t="s">
        <v>817</v>
      </c>
      <c r="H715" s="75">
        <v>23700</v>
      </c>
      <c r="I715" s="62" t="s">
        <v>49</v>
      </c>
      <c r="J715" s="61" t="s">
        <v>818</v>
      </c>
      <c r="K715" s="62">
        <v>775</v>
      </c>
      <c r="L715" s="61"/>
      <c r="M715" s="64">
        <v>44467</v>
      </c>
      <c r="N715" s="61"/>
      <c r="O715" s="61"/>
      <c r="P715" s="61">
        <f t="shared" si="33"/>
        <v>9</v>
      </c>
      <c r="Q715" s="61">
        <f t="shared" si="34"/>
        <v>2021</v>
      </c>
      <c r="R715" s="100">
        <f t="shared" si="35"/>
        <v>24</v>
      </c>
    </row>
    <row r="716" spans="1:18" s="59" customFormat="1" x14ac:dyDescent="0.2">
      <c r="A716" s="69">
        <v>44404</v>
      </c>
      <c r="B716" s="61" t="s">
        <v>490</v>
      </c>
      <c r="C716" s="61" t="s">
        <v>18</v>
      </c>
      <c r="D716" s="125">
        <v>44464</v>
      </c>
      <c r="E716" s="61" t="s">
        <v>53</v>
      </c>
      <c r="F716" s="61">
        <v>7202166</v>
      </c>
      <c r="G716" s="61" t="s">
        <v>665</v>
      </c>
      <c r="H716" s="75">
        <v>7000</v>
      </c>
      <c r="I716" s="62" t="s">
        <v>49</v>
      </c>
      <c r="J716" s="61" t="s">
        <v>666</v>
      </c>
      <c r="K716" s="62">
        <v>776</v>
      </c>
      <c r="L716" s="61"/>
      <c r="M716" s="64">
        <v>44467</v>
      </c>
      <c r="N716" s="61"/>
      <c r="O716" s="61"/>
      <c r="P716" s="61">
        <f t="shared" si="33"/>
        <v>9</v>
      </c>
      <c r="Q716" s="61">
        <f t="shared" si="34"/>
        <v>2021</v>
      </c>
      <c r="R716" s="100">
        <f t="shared" si="35"/>
        <v>25</v>
      </c>
    </row>
    <row r="717" spans="1:18" s="59" customFormat="1" x14ac:dyDescent="0.2">
      <c r="A717" s="69">
        <v>44404</v>
      </c>
      <c r="B717" s="61" t="s">
        <v>762</v>
      </c>
      <c r="C717" s="61" t="s">
        <v>18</v>
      </c>
      <c r="D717" s="73">
        <v>44397</v>
      </c>
      <c r="E717" s="61" t="s">
        <v>65</v>
      </c>
      <c r="F717" s="61">
        <v>21035085</v>
      </c>
      <c r="G717" s="61" t="s">
        <v>1237</v>
      </c>
      <c r="H717" s="75">
        <v>39939</v>
      </c>
      <c r="I717" s="62" t="s">
        <v>49</v>
      </c>
      <c r="J717" s="61" t="s">
        <v>1238</v>
      </c>
      <c r="K717" s="62">
        <v>777</v>
      </c>
      <c r="L717" s="61"/>
      <c r="M717" s="61"/>
      <c r="N717" s="61"/>
      <c r="O717" s="61"/>
      <c r="P717" s="61">
        <f t="shared" si="33"/>
        <v>7</v>
      </c>
      <c r="Q717" s="61">
        <f t="shared" si="34"/>
        <v>2021</v>
      </c>
      <c r="R717" s="100">
        <f t="shared" si="35"/>
        <v>20</v>
      </c>
    </row>
    <row r="718" spans="1:18" s="59" customFormat="1" x14ac:dyDescent="0.2">
      <c r="A718" s="69">
        <v>44404</v>
      </c>
      <c r="B718" s="61" t="s">
        <v>762</v>
      </c>
      <c r="C718" s="61" t="s">
        <v>18</v>
      </c>
      <c r="D718" s="73">
        <v>44403</v>
      </c>
      <c r="E718" s="61" t="s">
        <v>1236</v>
      </c>
      <c r="F718" s="61">
        <v>15471623</v>
      </c>
      <c r="G718" s="61" t="s">
        <v>1239</v>
      </c>
      <c r="H718" s="75">
        <v>14022</v>
      </c>
      <c r="I718" s="62" t="s">
        <v>97</v>
      </c>
      <c r="J718" s="61" t="s">
        <v>1240</v>
      </c>
      <c r="K718" s="62">
        <v>778</v>
      </c>
      <c r="L718" s="61"/>
      <c r="M718" s="64">
        <v>44404</v>
      </c>
      <c r="N718" s="61" t="s">
        <v>1247</v>
      </c>
      <c r="O718" s="61"/>
      <c r="P718" s="61">
        <f t="shared" si="33"/>
        <v>7</v>
      </c>
      <c r="Q718" s="61">
        <f t="shared" si="34"/>
        <v>2021</v>
      </c>
      <c r="R718" s="100">
        <f t="shared" si="35"/>
        <v>26</v>
      </c>
    </row>
    <row r="719" spans="1:18" s="59" customFormat="1" x14ac:dyDescent="0.2">
      <c r="A719" s="69">
        <v>44399</v>
      </c>
      <c r="B719" s="61" t="s">
        <v>278</v>
      </c>
      <c r="C719" s="61" t="s">
        <v>18</v>
      </c>
      <c r="D719" s="73">
        <v>44408</v>
      </c>
      <c r="E719" s="61" t="s">
        <v>47</v>
      </c>
      <c r="F719" s="61">
        <v>78256919</v>
      </c>
      <c r="G719" s="61" t="s">
        <v>1241</v>
      </c>
      <c r="H719" s="75">
        <v>5000</v>
      </c>
      <c r="I719" s="62" t="s">
        <v>49</v>
      </c>
      <c r="J719" s="61" t="s">
        <v>1242</v>
      </c>
      <c r="K719" s="62">
        <v>779</v>
      </c>
      <c r="L719" s="61"/>
      <c r="M719" s="61"/>
      <c r="N719" s="61"/>
      <c r="O719" s="61" t="s">
        <v>1248</v>
      </c>
      <c r="P719" s="61">
        <f t="shared" si="33"/>
        <v>7</v>
      </c>
      <c r="Q719" s="61">
        <f t="shared" si="34"/>
        <v>2021</v>
      </c>
      <c r="R719" s="100">
        <f t="shared" si="35"/>
        <v>31</v>
      </c>
    </row>
    <row r="720" spans="1:18" s="59" customFormat="1" x14ac:dyDescent="0.2">
      <c r="A720" s="69">
        <v>44399</v>
      </c>
      <c r="B720" s="61" t="s">
        <v>278</v>
      </c>
      <c r="C720" s="61" t="s">
        <v>18</v>
      </c>
      <c r="D720" s="73">
        <v>44418</v>
      </c>
      <c r="E720" s="61" t="s">
        <v>47</v>
      </c>
      <c r="F720" s="61">
        <v>84560900</v>
      </c>
      <c r="G720" s="61" t="s">
        <v>1243</v>
      </c>
      <c r="H720" s="75">
        <v>8370</v>
      </c>
      <c r="I720" s="62" t="s">
        <v>49</v>
      </c>
      <c r="J720" s="61" t="s">
        <v>1244</v>
      </c>
      <c r="K720" s="62">
        <v>780</v>
      </c>
      <c r="L720" s="61"/>
      <c r="M720" s="64">
        <v>44425</v>
      </c>
      <c r="N720" s="61"/>
      <c r="O720" s="61"/>
      <c r="P720" s="61">
        <f t="shared" si="33"/>
        <v>8</v>
      </c>
      <c r="Q720" s="61">
        <f t="shared" si="34"/>
        <v>2021</v>
      </c>
      <c r="R720" s="100">
        <f t="shared" si="35"/>
        <v>10</v>
      </c>
    </row>
    <row r="721" spans="1:18" s="59" customFormat="1" x14ac:dyDescent="0.2">
      <c r="A721" s="69">
        <v>44399</v>
      </c>
      <c r="B721" s="61" t="s">
        <v>278</v>
      </c>
      <c r="C721" s="61" t="s">
        <v>18</v>
      </c>
      <c r="D721" s="73">
        <v>44427</v>
      </c>
      <c r="E721" s="61" t="s">
        <v>47</v>
      </c>
      <c r="F721" s="61">
        <v>85105951</v>
      </c>
      <c r="G721" s="61" t="s">
        <v>1245</v>
      </c>
      <c r="H721" s="75">
        <v>15300</v>
      </c>
      <c r="I721" s="62" t="s">
        <v>97</v>
      </c>
      <c r="J721" s="61" t="s">
        <v>1246</v>
      </c>
      <c r="K721" s="62">
        <v>781</v>
      </c>
      <c r="L721" s="61"/>
      <c r="M721" s="64">
        <v>44412</v>
      </c>
      <c r="N721" s="61" t="s">
        <v>833</v>
      </c>
      <c r="O721" s="61"/>
      <c r="P721" s="61">
        <f t="shared" si="33"/>
        <v>8</v>
      </c>
      <c r="Q721" s="61">
        <f t="shared" si="34"/>
        <v>2021</v>
      </c>
      <c r="R721" s="100">
        <f t="shared" si="35"/>
        <v>19</v>
      </c>
    </row>
    <row r="722" spans="1:18" s="59" customFormat="1" x14ac:dyDescent="0.2">
      <c r="A722" s="69">
        <v>44406</v>
      </c>
      <c r="B722" s="61" t="s">
        <v>368</v>
      </c>
      <c r="C722" s="61" t="s">
        <v>18</v>
      </c>
      <c r="D722" s="73">
        <v>44500</v>
      </c>
      <c r="E722" s="61" t="s">
        <v>65</v>
      </c>
      <c r="F722" s="61">
        <v>40185004</v>
      </c>
      <c r="G722" s="61" t="s">
        <v>874</v>
      </c>
      <c r="H722" s="75">
        <v>20000</v>
      </c>
      <c r="I722" s="62" t="s">
        <v>767</v>
      </c>
      <c r="J722" s="61" t="s">
        <v>200</v>
      </c>
      <c r="K722" s="62">
        <v>782</v>
      </c>
      <c r="L722" s="61"/>
      <c r="M722" s="61"/>
      <c r="N722" s="61"/>
      <c r="O722" s="61"/>
      <c r="P722" s="61">
        <f t="shared" si="33"/>
        <v>10</v>
      </c>
      <c r="Q722" s="61">
        <f t="shared" si="34"/>
        <v>2021</v>
      </c>
      <c r="R722" s="100">
        <f t="shared" si="35"/>
        <v>31</v>
      </c>
    </row>
    <row r="723" spans="1:18" s="59" customFormat="1" x14ac:dyDescent="0.2">
      <c r="A723" s="69">
        <v>44406</v>
      </c>
      <c r="B723" s="61" t="s">
        <v>368</v>
      </c>
      <c r="C723" s="61" t="s">
        <v>18</v>
      </c>
      <c r="D723" s="73">
        <v>44469</v>
      </c>
      <c r="E723" s="61" t="s">
        <v>65</v>
      </c>
      <c r="F723" s="61">
        <v>41034500</v>
      </c>
      <c r="G723" s="61" t="s">
        <v>874</v>
      </c>
      <c r="H723" s="75">
        <v>10000</v>
      </c>
      <c r="I723" s="62" t="s">
        <v>49</v>
      </c>
      <c r="J723" s="61" t="s">
        <v>200</v>
      </c>
      <c r="K723" s="62">
        <v>783</v>
      </c>
      <c r="L723" s="61"/>
      <c r="M723" s="64">
        <v>44469</v>
      </c>
      <c r="N723" s="61"/>
      <c r="O723" s="61"/>
      <c r="P723" s="61">
        <f t="shared" si="33"/>
        <v>9</v>
      </c>
      <c r="Q723" s="61">
        <f t="shared" si="34"/>
        <v>2021</v>
      </c>
      <c r="R723" s="100">
        <f t="shared" si="35"/>
        <v>30</v>
      </c>
    </row>
    <row r="724" spans="1:18" s="59" customFormat="1" x14ac:dyDescent="0.2">
      <c r="A724" s="69">
        <v>43647</v>
      </c>
      <c r="B724" s="61" t="s">
        <v>180</v>
      </c>
      <c r="C724" s="71" t="s">
        <v>18</v>
      </c>
      <c r="D724" s="73">
        <v>43706</v>
      </c>
      <c r="E724" s="61" t="s">
        <v>65</v>
      </c>
      <c r="F724" s="61">
        <v>48900303</v>
      </c>
      <c r="G724" s="61" t="s">
        <v>180</v>
      </c>
      <c r="H724" s="75">
        <v>6000</v>
      </c>
      <c r="I724" s="52" t="s">
        <v>97</v>
      </c>
      <c r="J724" s="61" t="s">
        <v>200</v>
      </c>
      <c r="K724" s="62" t="s">
        <v>660</v>
      </c>
      <c r="L724" s="61"/>
      <c r="M724" s="64">
        <v>43656</v>
      </c>
      <c r="N724" s="61" t="s">
        <v>661</v>
      </c>
      <c r="O724" s="61"/>
      <c r="P724" s="61">
        <f t="shared" si="33"/>
        <v>8</v>
      </c>
      <c r="Q724" s="61">
        <f t="shared" si="34"/>
        <v>2019</v>
      </c>
      <c r="R724" s="100">
        <f t="shared" si="35"/>
        <v>29</v>
      </c>
    </row>
    <row r="725" spans="1:18" s="59" customFormat="1" x14ac:dyDescent="0.2">
      <c r="A725" s="69">
        <v>43647</v>
      </c>
      <c r="B725" s="61" t="s">
        <v>180</v>
      </c>
      <c r="C725" s="71" t="s">
        <v>18</v>
      </c>
      <c r="D725" s="73">
        <v>43707</v>
      </c>
      <c r="E725" s="61" t="s">
        <v>65</v>
      </c>
      <c r="F725" s="61">
        <v>48900304</v>
      </c>
      <c r="G725" s="61" t="s">
        <v>180</v>
      </c>
      <c r="H725" s="75">
        <v>7000</v>
      </c>
      <c r="I725" s="52" t="s">
        <v>97</v>
      </c>
      <c r="J725" s="61" t="s">
        <v>200</v>
      </c>
      <c r="K725" s="62" t="s">
        <v>685</v>
      </c>
      <c r="L725" s="61"/>
      <c r="M725" s="64">
        <v>43656</v>
      </c>
      <c r="N725" s="61" t="s">
        <v>686</v>
      </c>
      <c r="O725" s="61"/>
      <c r="P725" s="61">
        <f t="shared" si="33"/>
        <v>8</v>
      </c>
      <c r="Q725" s="61">
        <f t="shared" si="34"/>
        <v>2019</v>
      </c>
      <c r="R725" s="100">
        <f t="shared" si="35"/>
        <v>30</v>
      </c>
    </row>
    <row r="726" spans="1:18" s="59" customFormat="1" x14ac:dyDescent="0.2">
      <c r="A726" s="69">
        <v>43647</v>
      </c>
      <c r="B726" s="61" t="s">
        <v>180</v>
      </c>
      <c r="C726" s="71" t="s">
        <v>18</v>
      </c>
      <c r="D726" s="73">
        <v>43708</v>
      </c>
      <c r="E726" s="61" t="s">
        <v>65</v>
      </c>
      <c r="F726" s="61">
        <v>49050745</v>
      </c>
      <c r="G726" s="61" t="s">
        <v>180</v>
      </c>
      <c r="H726" s="75">
        <v>5000</v>
      </c>
      <c r="I726" s="52" t="s">
        <v>97</v>
      </c>
      <c r="J726" s="61" t="s">
        <v>200</v>
      </c>
      <c r="K726" s="62" t="s">
        <v>687</v>
      </c>
      <c r="L726" s="61"/>
      <c r="M726" s="64">
        <v>43649</v>
      </c>
      <c r="N726" s="61" t="s">
        <v>594</v>
      </c>
      <c r="O726" s="61"/>
      <c r="P726" s="61">
        <f t="shared" si="33"/>
        <v>8</v>
      </c>
      <c r="Q726" s="61">
        <f t="shared" si="34"/>
        <v>2019</v>
      </c>
      <c r="R726" s="100">
        <f t="shared" si="35"/>
        <v>31</v>
      </c>
    </row>
    <row r="727" spans="1:18" s="59" customFormat="1" x14ac:dyDescent="0.2">
      <c r="A727" s="69">
        <v>43647</v>
      </c>
      <c r="B727" s="61" t="s">
        <v>180</v>
      </c>
      <c r="C727" s="71" t="s">
        <v>18</v>
      </c>
      <c r="D727" s="73">
        <v>43708</v>
      </c>
      <c r="E727" s="61" t="s">
        <v>65</v>
      </c>
      <c r="F727" s="61">
        <v>49050712</v>
      </c>
      <c r="G727" s="61" t="s">
        <v>180</v>
      </c>
      <c r="H727" s="75">
        <v>5000</v>
      </c>
      <c r="I727" s="52" t="s">
        <v>49</v>
      </c>
      <c r="J727" s="61" t="s">
        <v>200</v>
      </c>
      <c r="K727" s="62" t="s">
        <v>688</v>
      </c>
      <c r="L727" s="61"/>
      <c r="M727" s="61"/>
      <c r="N727" s="61"/>
      <c r="O727" s="61"/>
      <c r="P727" s="61">
        <f t="shared" si="33"/>
        <v>8</v>
      </c>
      <c r="Q727" s="61">
        <f t="shared" si="34"/>
        <v>2019</v>
      </c>
      <c r="R727" s="100">
        <f t="shared" si="35"/>
        <v>31</v>
      </c>
    </row>
    <row r="728" spans="1:18" s="59" customFormat="1" x14ac:dyDescent="0.2">
      <c r="A728" s="69">
        <v>43647</v>
      </c>
      <c r="B728" s="61" t="s">
        <v>180</v>
      </c>
      <c r="C728" s="71" t="s">
        <v>18</v>
      </c>
      <c r="D728" s="73">
        <v>43735</v>
      </c>
      <c r="E728" s="61" t="s">
        <v>65</v>
      </c>
      <c r="F728" s="61">
        <v>49050746</v>
      </c>
      <c r="G728" s="61" t="s">
        <v>180</v>
      </c>
      <c r="H728" s="75">
        <v>9000</v>
      </c>
      <c r="I728" s="52" t="s">
        <v>49</v>
      </c>
      <c r="J728" s="61" t="s">
        <v>200</v>
      </c>
      <c r="K728" s="62" t="s">
        <v>693</v>
      </c>
      <c r="L728" s="61"/>
      <c r="M728" s="64">
        <v>43661</v>
      </c>
      <c r="N728" s="61" t="s">
        <v>150</v>
      </c>
      <c r="O728" s="61"/>
      <c r="P728" s="61">
        <f t="shared" si="33"/>
        <v>9</v>
      </c>
      <c r="Q728" s="61">
        <f t="shared" si="34"/>
        <v>2019</v>
      </c>
      <c r="R728" s="100">
        <f t="shared" si="35"/>
        <v>27</v>
      </c>
    </row>
    <row r="729" spans="1:18" s="59" customFormat="1" x14ac:dyDescent="0.2">
      <c r="A729" s="69">
        <v>43647</v>
      </c>
      <c r="B729" s="61" t="s">
        <v>180</v>
      </c>
      <c r="C729" s="71" t="s">
        <v>18</v>
      </c>
      <c r="D729" s="73">
        <v>43736</v>
      </c>
      <c r="E729" s="61" t="s">
        <v>65</v>
      </c>
      <c r="F729" s="61">
        <v>49050713</v>
      </c>
      <c r="G729" s="61" t="s">
        <v>180</v>
      </c>
      <c r="H729" s="75">
        <v>10000</v>
      </c>
      <c r="I729" s="52" t="s">
        <v>49</v>
      </c>
      <c r="J729" s="61" t="s">
        <v>200</v>
      </c>
      <c r="K729" s="62" t="s">
        <v>697</v>
      </c>
      <c r="L729" s="61"/>
      <c r="M729" s="64">
        <v>43657</v>
      </c>
      <c r="N729" s="61" t="s">
        <v>150</v>
      </c>
      <c r="O729" s="61"/>
      <c r="P729" s="61">
        <f t="shared" si="33"/>
        <v>9</v>
      </c>
      <c r="Q729" s="61">
        <f t="shared" si="34"/>
        <v>2019</v>
      </c>
      <c r="R729" s="100">
        <f t="shared" si="35"/>
        <v>28</v>
      </c>
    </row>
    <row r="730" spans="1:18" s="59" customFormat="1" x14ac:dyDescent="0.2">
      <c r="A730" s="69">
        <v>43647</v>
      </c>
      <c r="B730" s="61" t="s">
        <v>180</v>
      </c>
      <c r="C730" s="71" t="s">
        <v>18</v>
      </c>
      <c r="D730" s="73">
        <v>43736</v>
      </c>
      <c r="E730" s="61" t="s">
        <v>65</v>
      </c>
      <c r="F730" s="61">
        <v>49050747</v>
      </c>
      <c r="G730" s="61" t="s">
        <v>180</v>
      </c>
      <c r="H730" s="75">
        <v>7000</v>
      </c>
      <c r="I730" s="52" t="s">
        <v>97</v>
      </c>
      <c r="J730" s="61" t="s">
        <v>200</v>
      </c>
      <c r="K730" s="62" t="s">
        <v>698</v>
      </c>
      <c r="L730" s="61"/>
      <c r="M730" s="61"/>
      <c r="N730" s="61" t="s">
        <v>354</v>
      </c>
      <c r="O730" s="61"/>
      <c r="P730" s="61">
        <f t="shared" si="33"/>
        <v>9</v>
      </c>
      <c r="Q730" s="61">
        <f t="shared" si="34"/>
        <v>2019</v>
      </c>
      <c r="R730" s="100">
        <f t="shared" si="35"/>
        <v>28</v>
      </c>
    </row>
    <row r="731" spans="1:18" s="59" customFormat="1" x14ac:dyDescent="0.2">
      <c r="A731" s="69">
        <v>43647</v>
      </c>
      <c r="B731" s="61" t="s">
        <v>180</v>
      </c>
      <c r="C731" s="71" t="s">
        <v>18</v>
      </c>
      <c r="D731" s="73">
        <v>43736</v>
      </c>
      <c r="E731" s="61" t="s">
        <v>65</v>
      </c>
      <c r="F731" s="61">
        <v>48900306</v>
      </c>
      <c r="G731" s="61" t="s">
        <v>180</v>
      </c>
      <c r="H731" s="75">
        <v>6000</v>
      </c>
      <c r="I731" s="52" t="s">
        <v>49</v>
      </c>
      <c r="J731" s="61" t="s">
        <v>200</v>
      </c>
      <c r="K731" s="62" t="s">
        <v>699</v>
      </c>
      <c r="L731" s="61"/>
      <c r="M731" s="61"/>
      <c r="N731" s="61"/>
      <c r="O731" s="61"/>
      <c r="P731" s="61">
        <f t="shared" si="33"/>
        <v>9</v>
      </c>
      <c r="Q731" s="61">
        <f t="shared" si="34"/>
        <v>2019</v>
      </c>
      <c r="R731" s="100">
        <f t="shared" si="35"/>
        <v>28</v>
      </c>
    </row>
    <row r="732" spans="1:18" s="59" customFormat="1" x14ac:dyDescent="0.2">
      <c r="A732" s="69">
        <v>43647</v>
      </c>
      <c r="B732" s="61" t="s">
        <v>180</v>
      </c>
      <c r="C732" s="71" t="s">
        <v>18</v>
      </c>
      <c r="D732" s="73">
        <v>43736</v>
      </c>
      <c r="E732" s="61" t="s">
        <v>65</v>
      </c>
      <c r="F732" s="61">
        <v>48900321</v>
      </c>
      <c r="G732" s="61" t="s">
        <v>180</v>
      </c>
      <c r="H732" s="75">
        <v>6000</v>
      </c>
      <c r="I732" s="52" t="s">
        <v>49</v>
      </c>
      <c r="J732" s="61" t="s">
        <v>200</v>
      </c>
      <c r="K732" s="62" t="s">
        <v>700</v>
      </c>
      <c r="L732" s="61"/>
      <c r="M732" s="61"/>
      <c r="N732" s="61"/>
      <c r="O732" s="61"/>
      <c r="P732" s="61">
        <f t="shared" si="33"/>
        <v>9</v>
      </c>
      <c r="Q732" s="61">
        <f t="shared" si="34"/>
        <v>2019</v>
      </c>
      <c r="R732" s="100">
        <f t="shared" si="35"/>
        <v>28</v>
      </c>
    </row>
    <row r="733" spans="1:18" s="59" customFormat="1" x14ac:dyDescent="0.2">
      <c r="A733" s="69">
        <v>43647</v>
      </c>
      <c r="B733" s="61" t="s">
        <v>180</v>
      </c>
      <c r="C733" s="71" t="s">
        <v>18</v>
      </c>
      <c r="D733" s="73">
        <v>43737</v>
      </c>
      <c r="E733" s="61" t="s">
        <v>65</v>
      </c>
      <c r="F733" s="61">
        <v>48900322</v>
      </c>
      <c r="G733" s="61" t="s">
        <v>180</v>
      </c>
      <c r="H733" s="75">
        <v>6000</v>
      </c>
      <c r="I733" s="52" t="s">
        <v>49</v>
      </c>
      <c r="J733" s="61" t="s">
        <v>200</v>
      </c>
      <c r="K733" s="62" t="s">
        <v>701</v>
      </c>
      <c r="L733" s="61"/>
      <c r="M733" s="61"/>
      <c r="N733" s="61"/>
      <c r="O733" s="61"/>
      <c r="P733" s="61">
        <f t="shared" si="33"/>
        <v>9</v>
      </c>
      <c r="Q733" s="61">
        <f t="shared" si="34"/>
        <v>2019</v>
      </c>
      <c r="R733" s="100">
        <f t="shared" si="35"/>
        <v>29</v>
      </c>
    </row>
    <row r="734" spans="1:18" s="59" customFormat="1" x14ac:dyDescent="0.2">
      <c r="A734" s="69">
        <v>43647</v>
      </c>
      <c r="B734" s="61" t="s">
        <v>180</v>
      </c>
      <c r="C734" s="71" t="s">
        <v>18</v>
      </c>
      <c r="D734" s="73">
        <v>43737</v>
      </c>
      <c r="E734" s="61" t="s">
        <v>65</v>
      </c>
      <c r="F734" s="61">
        <v>48900307</v>
      </c>
      <c r="G734" s="61" t="s">
        <v>180</v>
      </c>
      <c r="H734" s="75">
        <v>6000</v>
      </c>
      <c r="I734" s="52" t="s">
        <v>49</v>
      </c>
      <c r="J734" s="61" t="s">
        <v>200</v>
      </c>
      <c r="K734" s="62" t="s">
        <v>702</v>
      </c>
      <c r="L734" s="61"/>
      <c r="M734" s="61"/>
      <c r="N734" s="61"/>
      <c r="O734" s="61"/>
      <c r="P734" s="61">
        <f t="shared" si="33"/>
        <v>9</v>
      </c>
      <c r="Q734" s="61">
        <f t="shared" si="34"/>
        <v>2019</v>
      </c>
      <c r="R734" s="100">
        <f t="shared" si="35"/>
        <v>29</v>
      </c>
    </row>
    <row r="735" spans="1:18" s="59" customFormat="1" x14ac:dyDescent="0.2">
      <c r="A735" s="69">
        <v>43647</v>
      </c>
      <c r="B735" s="61" t="s">
        <v>180</v>
      </c>
      <c r="C735" s="71" t="s">
        <v>18</v>
      </c>
      <c r="D735" s="73">
        <v>43737</v>
      </c>
      <c r="E735" s="61" t="s">
        <v>65</v>
      </c>
      <c r="F735" s="61">
        <v>49050748</v>
      </c>
      <c r="G735" s="61" t="s">
        <v>180</v>
      </c>
      <c r="H735" s="75">
        <v>8000</v>
      </c>
      <c r="I735" s="52" t="s">
        <v>49</v>
      </c>
      <c r="J735" s="61" t="s">
        <v>200</v>
      </c>
      <c r="K735" s="62" t="s">
        <v>703</v>
      </c>
      <c r="L735" s="61"/>
      <c r="M735" s="61"/>
      <c r="N735" s="61"/>
      <c r="O735" s="61"/>
      <c r="P735" s="61">
        <f t="shared" si="33"/>
        <v>9</v>
      </c>
      <c r="Q735" s="61">
        <f t="shared" si="34"/>
        <v>2019</v>
      </c>
      <c r="R735" s="100">
        <f t="shared" si="35"/>
        <v>29</v>
      </c>
    </row>
    <row r="736" spans="1:18" s="59" customFormat="1" x14ac:dyDescent="0.2">
      <c r="A736" s="69">
        <v>43647</v>
      </c>
      <c r="B736" s="61" t="s">
        <v>180</v>
      </c>
      <c r="C736" s="71" t="s">
        <v>18</v>
      </c>
      <c r="D736" s="73">
        <v>43737</v>
      </c>
      <c r="E736" s="61" t="s">
        <v>65</v>
      </c>
      <c r="F736" s="61">
        <v>49050715</v>
      </c>
      <c r="G736" s="61" t="s">
        <v>180</v>
      </c>
      <c r="H736" s="75">
        <v>10000</v>
      </c>
      <c r="I736" s="52" t="s">
        <v>49</v>
      </c>
      <c r="J736" s="61" t="s">
        <v>200</v>
      </c>
      <c r="K736" s="62" t="s">
        <v>704</v>
      </c>
      <c r="L736" s="61"/>
      <c r="M736" s="64">
        <v>43656</v>
      </c>
      <c r="N736" s="61" t="s">
        <v>150</v>
      </c>
      <c r="O736" s="61"/>
      <c r="P736" s="61">
        <f t="shared" si="33"/>
        <v>9</v>
      </c>
      <c r="Q736" s="61">
        <f t="shared" si="34"/>
        <v>2019</v>
      </c>
      <c r="R736" s="100">
        <f t="shared" si="35"/>
        <v>29</v>
      </c>
    </row>
    <row r="737" spans="1:18" s="59" customFormat="1" x14ac:dyDescent="0.2">
      <c r="A737" s="69">
        <v>43647</v>
      </c>
      <c r="B737" s="61" t="s">
        <v>180</v>
      </c>
      <c r="C737" s="71" t="s">
        <v>18</v>
      </c>
      <c r="D737" s="73">
        <v>43738</v>
      </c>
      <c r="E737" s="61" t="s">
        <v>65</v>
      </c>
      <c r="F737" s="61">
        <v>49050714</v>
      </c>
      <c r="G737" s="61" t="s">
        <v>180</v>
      </c>
      <c r="H737" s="75">
        <v>10000</v>
      </c>
      <c r="I737" s="52" t="s">
        <v>49</v>
      </c>
      <c r="J737" s="61" t="s">
        <v>200</v>
      </c>
      <c r="K737" s="62" t="s">
        <v>705</v>
      </c>
      <c r="L737" s="61"/>
      <c r="M737" s="64">
        <v>43661</v>
      </c>
      <c r="N737" s="61" t="s">
        <v>150</v>
      </c>
      <c r="O737" s="61" t="s">
        <v>706</v>
      </c>
      <c r="P737" s="61">
        <f t="shared" si="33"/>
        <v>9</v>
      </c>
      <c r="Q737" s="61">
        <f t="shared" si="34"/>
        <v>2019</v>
      </c>
      <c r="R737" s="100">
        <f t="shared" si="35"/>
        <v>30</v>
      </c>
    </row>
    <row r="738" spans="1:18" s="59" customFormat="1" x14ac:dyDescent="0.2">
      <c r="A738" s="69">
        <v>43647</v>
      </c>
      <c r="B738" s="61" t="s">
        <v>180</v>
      </c>
      <c r="C738" s="71" t="s">
        <v>18</v>
      </c>
      <c r="D738" s="73">
        <v>43738</v>
      </c>
      <c r="E738" s="61" t="s">
        <v>65</v>
      </c>
      <c r="F738" s="61">
        <v>48900308</v>
      </c>
      <c r="G738" s="61" t="s">
        <v>180</v>
      </c>
      <c r="H738" s="75">
        <v>6280</v>
      </c>
      <c r="I738" s="52" t="s">
        <v>49</v>
      </c>
      <c r="J738" s="61" t="s">
        <v>200</v>
      </c>
      <c r="K738" s="62" t="s">
        <v>707</v>
      </c>
      <c r="L738" s="61"/>
      <c r="M738" s="64">
        <v>43662</v>
      </c>
      <c r="N738" s="61" t="s">
        <v>150</v>
      </c>
      <c r="O738" s="61"/>
      <c r="P738" s="61">
        <f t="shared" si="33"/>
        <v>9</v>
      </c>
      <c r="Q738" s="61">
        <f t="shared" si="34"/>
        <v>2019</v>
      </c>
      <c r="R738" s="100">
        <f t="shared" si="35"/>
        <v>30</v>
      </c>
    </row>
    <row r="739" spans="1:18" s="59" customFormat="1" x14ac:dyDescent="0.2">
      <c r="A739" s="69">
        <v>43647</v>
      </c>
      <c r="B739" s="61" t="s">
        <v>180</v>
      </c>
      <c r="C739" s="71" t="s">
        <v>18</v>
      </c>
      <c r="D739" s="73">
        <v>43738</v>
      </c>
      <c r="E739" s="61" t="s">
        <v>65</v>
      </c>
      <c r="F739" s="61">
        <v>49050749</v>
      </c>
      <c r="G739" s="61" t="s">
        <v>180</v>
      </c>
      <c r="H739" s="75">
        <v>8000</v>
      </c>
      <c r="I739" s="52" t="s">
        <v>49</v>
      </c>
      <c r="J739" s="61" t="s">
        <v>200</v>
      </c>
      <c r="K739" s="62" t="s">
        <v>708</v>
      </c>
      <c r="L739" s="61"/>
      <c r="M739" s="64">
        <v>43662</v>
      </c>
      <c r="N739" s="61" t="s">
        <v>150</v>
      </c>
      <c r="O739" s="61"/>
      <c r="P739" s="61">
        <f t="shared" si="33"/>
        <v>9</v>
      </c>
      <c r="Q739" s="61">
        <f t="shared" si="34"/>
        <v>2019</v>
      </c>
      <c r="R739" s="100">
        <f t="shared" si="35"/>
        <v>30</v>
      </c>
    </row>
    <row r="740" spans="1:18" s="59" customFormat="1" x14ac:dyDescent="0.2">
      <c r="A740" s="69">
        <v>43647</v>
      </c>
      <c r="B740" s="61" t="s">
        <v>180</v>
      </c>
      <c r="C740" s="71" t="s">
        <v>18</v>
      </c>
      <c r="D740" s="73">
        <v>43738</v>
      </c>
      <c r="E740" s="61" t="s">
        <v>65</v>
      </c>
      <c r="F740" s="61">
        <v>48900323</v>
      </c>
      <c r="G740" s="61" t="s">
        <v>180</v>
      </c>
      <c r="H740" s="75">
        <v>6000</v>
      </c>
      <c r="I740" s="52" t="s">
        <v>49</v>
      </c>
      <c r="J740" s="61" t="s">
        <v>200</v>
      </c>
      <c r="K740" s="62" t="s">
        <v>710</v>
      </c>
      <c r="L740" s="61"/>
      <c r="M740" s="61"/>
      <c r="N740" s="61"/>
      <c r="O740" s="61"/>
      <c r="P740" s="61">
        <f t="shared" si="33"/>
        <v>9</v>
      </c>
      <c r="Q740" s="61">
        <f t="shared" si="34"/>
        <v>2019</v>
      </c>
      <c r="R740" s="100">
        <f t="shared" si="35"/>
        <v>30</v>
      </c>
    </row>
    <row r="741" spans="1:18" s="59" customFormat="1" x14ac:dyDescent="0.2">
      <c r="A741" s="69">
        <v>43647</v>
      </c>
      <c r="B741" s="61" t="s">
        <v>180</v>
      </c>
      <c r="C741" s="71" t="s">
        <v>18</v>
      </c>
      <c r="D741" s="73">
        <v>43764</v>
      </c>
      <c r="E741" s="61" t="s">
        <v>65</v>
      </c>
      <c r="F741" s="61">
        <v>49050750</v>
      </c>
      <c r="G741" s="61" t="s">
        <v>180</v>
      </c>
      <c r="H741" s="75">
        <v>8000</v>
      </c>
      <c r="I741" s="52" t="s">
        <v>150</v>
      </c>
      <c r="J741" s="61" t="s">
        <v>200</v>
      </c>
      <c r="K741" s="62" t="s">
        <v>713</v>
      </c>
      <c r="L741" s="61"/>
      <c r="M741" s="68">
        <v>43712</v>
      </c>
      <c r="N741" s="61"/>
      <c r="O741" s="61"/>
      <c r="P741" s="61">
        <f t="shared" si="33"/>
        <v>10</v>
      </c>
      <c r="Q741" s="61">
        <f t="shared" si="34"/>
        <v>2019</v>
      </c>
      <c r="R741" s="100">
        <f t="shared" si="35"/>
        <v>26</v>
      </c>
    </row>
    <row r="742" spans="1:18" s="59" customFormat="1" x14ac:dyDescent="0.2">
      <c r="A742" s="69">
        <v>43647</v>
      </c>
      <c r="B742" s="61" t="s">
        <v>180</v>
      </c>
      <c r="C742" s="71" t="s">
        <v>18</v>
      </c>
      <c r="D742" s="73">
        <v>43765</v>
      </c>
      <c r="E742" s="61" t="s">
        <v>65</v>
      </c>
      <c r="F742" s="61">
        <v>48020173</v>
      </c>
      <c r="G742" s="61" t="s">
        <v>180</v>
      </c>
      <c r="H742" s="75">
        <v>7094</v>
      </c>
      <c r="I742" s="52" t="s">
        <v>49</v>
      </c>
      <c r="J742" s="61" t="s">
        <v>200</v>
      </c>
      <c r="K742" s="62" t="s">
        <v>714</v>
      </c>
      <c r="L742" s="61"/>
      <c r="M742" s="61"/>
      <c r="N742" s="61"/>
      <c r="O742" s="61"/>
      <c r="P742" s="61">
        <f t="shared" si="33"/>
        <v>10</v>
      </c>
      <c r="Q742" s="61">
        <f t="shared" si="34"/>
        <v>2019</v>
      </c>
      <c r="R742" s="100">
        <f t="shared" si="35"/>
        <v>27</v>
      </c>
    </row>
    <row r="743" spans="1:18" s="59" customFormat="1" x14ac:dyDescent="0.2">
      <c r="A743" s="69">
        <v>43647</v>
      </c>
      <c r="B743" s="61" t="s">
        <v>180</v>
      </c>
      <c r="C743" s="71" t="s">
        <v>18</v>
      </c>
      <c r="D743" s="73">
        <v>43767</v>
      </c>
      <c r="E743" s="61" t="s">
        <v>65</v>
      </c>
      <c r="F743" s="61">
        <v>49050716</v>
      </c>
      <c r="G743" s="61" t="s">
        <v>180</v>
      </c>
      <c r="H743" s="75">
        <v>10000</v>
      </c>
      <c r="I743" s="52" t="s">
        <v>97</v>
      </c>
      <c r="J743" s="61" t="s">
        <v>200</v>
      </c>
      <c r="K743" s="62" t="s">
        <v>715</v>
      </c>
      <c r="L743" s="61"/>
      <c r="M743" s="61"/>
      <c r="N743" s="61" t="s">
        <v>354</v>
      </c>
      <c r="O743" s="61"/>
      <c r="P743" s="61">
        <f t="shared" si="33"/>
        <v>10</v>
      </c>
      <c r="Q743" s="61">
        <f t="shared" si="34"/>
        <v>2019</v>
      </c>
      <c r="R743" s="100">
        <f t="shared" si="35"/>
        <v>29</v>
      </c>
    </row>
    <row r="744" spans="1:18" s="59" customFormat="1" x14ac:dyDescent="0.2">
      <c r="A744" s="69">
        <v>43647</v>
      </c>
      <c r="B744" s="61" t="s">
        <v>180</v>
      </c>
      <c r="C744" s="71" t="s">
        <v>18</v>
      </c>
      <c r="D744" s="73">
        <v>43767</v>
      </c>
      <c r="E744" s="61" t="s">
        <v>65</v>
      </c>
      <c r="F744" s="61">
        <v>48900324</v>
      </c>
      <c r="G744" s="61" t="s">
        <v>180</v>
      </c>
      <c r="H744" s="75">
        <v>6000</v>
      </c>
      <c r="I744" s="52" t="s">
        <v>97</v>
      </c>
      <c r="J744" s="61" t="s">
        <v>200</v>
      </c>
      <c r="K744" s="62" t="s">
        <v>716</v>
      </c>
      <c r="L744" s="61"/>
      <c r="M744" s="64">
        <v>43671</v>
      </c>
      <c r="N744" s="61" t="s">
        <v>132</v>
      </c>
      <c r="O744" s="61"/>
      <c r="P744" s="61">
        <f t="shared" si="33"/>
        <v>10</v>
      </c>
      <c r="Q744" s="61">
        <f t="shared" si="34"/>
        <v>2019</v>
      </c>
      <c r="R744" s="100">
        <f t="shared" si="35"/>
        <v>29</v>
      </c>
    </row>
    <row r="745" spans="1:18" s="59" customFormat="1" x14ac:dyDescent="0.2">
      <c r="A745" s="69">
        <v>43647</v>
      </c>
      <c r="B745" s="61" t="s">
        <v>180</v>
      </c>
      <c r="C745" s="71" t="s">
        <v>18</v>
      </c>
      <c r="D745" s="73">
        <v>43768</v>
      </c>
      <c r="E745" s="61" t="s">
        <v>65</v>
      </c>
      <c r="F745" s="61">
        <v>48900325</v>
      </c>
      <c r="G745" s="61" t="s">
        <v>180</v>
      </c>
      <c r="H745" s="75">
        <v>6000</v>
      </c>
      <c r="I745" s="52" t="s">
        <v>97</v>
      </c>
      <c r="J745" s="61" t="s">
        <v>200</v>
      </c>
      <c r="K745" s="62" t="s">
        <v>717</v>
      </c>
      <c r="L745" s="61"/>
      <c r="M745" s="63">
        <v>43689</v>
      </c>
      <c r="N745" s="61" t="s">
        <v>530</v>
      </c>
      <c r="O745" s="61"/>
      <c r="P745" s="61">
        <f t="shared" si="33"/>
        <v>10</v>
      </c>
      <c r="Q745" s="61">
        <f t="shared" si="34"/>
        <v>2019</v>
      </c>
      <c r="R745" s="100">
        <f t="shared" si="35"/>
        <v>30</v>
      </c>
    </row>
    <row r="746" spans="1:18" s="59" customFormat="1" x14ac:dyDescent="0.2">
      <c r="A746" s="69">
        <v>43647</v>
      </c>
      <c r="B746" s="61" t="s">
        <v>180</v>
      </c>
      <c r="C746" s="71" t="s">
        <v>18</v>
      </c>
      <c r="D746" s="73">
        <v>43768</v>
      </c>
      <c r="E746" s="61" t="s">
        <v>65</v>
      </c>
      <c r="F746" s="61">
        <v>49050717</v>
      </c>
      <c r="G746" s="61" t="s">
        <v>180</v>
      </c>
      <c r="H746" s="75">
        <v>10000</v>
      </c>
      <c r="I746" s="52" t="s">
        <v>49</v>
      </c>
      <c r="J746" s="61" t="s">
        <v>200</v>
      </c>
      <c r="K746" s="62" t="s">
        <v>718</v>
      </c>
      <c r="L746" s="61"/>
      <c r="M746" s="61"/>
      <c r="N746" s="61"/>
      <c r="O746" s="61"/>
      <c r="P746" s="61">
        <f t="shared" si="33"/>
        <v>10</v>
      </c>
      <c r="Q746" s="61">
        <f t="shared" si="34"/>
        <v>2019</v>
      </c>
      <c r="R746" s="100">
        <f t="shared" si="35"/>
        <v>30</v>
      </c>
    </row>
    <row r="747" spans="1:18" s="59" customFormat="1" x14ac:dyDescent="0.2">
      <c r="A747" s="69">
        <v>43647</v>
      </c>
      <c r="B747" s="61" t="s">
        <v>180</v>
      </c>
      <c r="C747" s="71" t="s">
        <v>18</v>
      </c>
      <c r="D747" s="73">
        <v>43769</v>
      </c>
      <c r="E747" s="61" t="s">
        <v>65</v>
      </c>
      <c r="F747" s="61">
        <v>49050718</v>
      </c>
      <c r="G747" s="61" t="s">
        <v>180</v>
      </c>
      <c r="H747" s="75">
        <v>10210</v>
      </c>
      <c r="I747" s="52" t="s">
        <v>49</v>
      </c>
      <c r="J747" s="61" t="s">
        <v>200</v>
      </c>
      <c r="K747" s="62" t="s">
        <v>719</v>
      </c>
      <c r="L747" s="61"/>
      <c r="M747" s="61"/>
      <c r="N747" s="61"/>
      <c r="O747" s="61"/>
      <c r="P747" s="61">
        <f t="shared" si="33"/>
        <v>10</v>
      </c>
      <c r="Q747" s="61">
        <f t="shared" si="34"/>
        <v>2019</v>
      </c>
      <c r="R747" s="100">
        <f t="shared" si="35"/>
        <v>31</v>
      </c>
    </row>
    <row r="748" spans="1:18" s="59" customFormat="1" x14ac:dyDescent="0.2">
      <c r="A748" s="69">
        <v>43647</v>
      </c>
      <c r="B748" s="61" t="s">
        <v>180</v>
      </c>
      <c r="C748" s="71" t="s">
        <v>18</v>
      </c>
      <c r="D748" s="73">
        <v>43769</v>
      </c>
      <c r="E748" s="61" t="s">
        <v>65</v>
      </c>
      <c r="F748" s="61">
        <v>48900326</v>
      </c>
      <c r="G748" s="61" t="s">
        <v>180</v>
      </c>
      <c r="H748" s="75">
        <v>6711</v>
      </c>
      <c r="I748" s="52" t="s">
        <v>97</v>
      </c>
      <c r="J748" s="61" t="s">
        <v>200</v>
      </c>
      <c r="K748" s="62" t="s">
        <v>720</v>
      </c>
      <c r="L748" s="61"/>
      <c r="M748" s="64">
        <v>43671</v>
      </c>
      <c r="N748" s="61" t="s">
        <v>132</v>
      </c>
      <c r="O748" s="61"/>
      <c r="P748" s="61">
        <f t="shared" si="33"/>
        <v>10</v>
      </c>
      <c r="Q748" s="61">
        <f t="shared" si="34"/>
        <v>2019</v>
      </c>
      <c r="R748" s="100">
        <f t="shared" si="35"/>
        <v>31</v>
      </c>
    </row>
    <row r="749" spans="1:18" s="59" customFormat="1" x14ac:dyDescent="0.2">
      <c r="A749" s="69">
        <v>43647</v>
      </c>
      <c r="B749" s="61" t="s">
        <v>180</v>
      </c>
      <c r="C749" s="71" t="s">
        <v>18</v>
      </c>
      <c r="D749" s="73">
        <v>43708</v>
      </c>
      <c r="E749" s="61" t="s">
        <v>65</v>
      </c>
      <c r="F749" s="61">
        <v>49824858</v>
      </c>
      <c r="G749" s="61" t="s">
        <v>180</v>
      </c>
      <c r="H749" s="75">
        <v>5000</v>
      </c>
      <c r="I749" s="52" t="s">
        <v>97</v>
      </c>
      <c r="J749" s="61" t="s">
        <v>200</v>
      </c>
      <c r="K749" s="62" t="s">
        <v>732</v>
      </c>
      <c r="L749" s="61"/>
      <c r="M749" s="64">
        <v>43649</v>
      </c>
      <c r="N749" s="61" t="s">
        <v>594</v>
      </c>
      <c r="O749" s="61"/>
      <c r="P749" s="61">
        <f t="shared" si="33"/>
        <v>8</v>
      </c>
      <c r="Q749" s="61">
        <f t="shared" si="34"/>
        <v>2019</v>
      </c>
      <c r="R749" s="100">
        <f t="shared" si="35"/>
        <v>31</v>
      </c>
    </row>
    <row r="750" spans="1:18" s="59" customFormat="1" x14ac:dyDescent="0.2">
      <c r="A750" s="69">
        <v>43647</v>
      </c>
      <c r="B750" s="61" t="s">
        <v>180</v>
      </c>
      <c r="C750" s="71" t="s">
        <v>18</v>
      </c>
      <c r="D750" s="73">
        <v>43738</v>
      </c>
      <c r="E750" s="61" t="s">
        <v>65</v>
      </c>
      <c r="F750" s="61">
        <v>49824860</v>
      </c>
      <c r="G750" s="61" t="s">
        <v>180</v>
      </c>
      <c r="H750" s="75">
        <v>8000</v>
      </c>
      <c r="I750" s="52" t="s">
        <v>49</v>
      </c>
      <c r="J750" s="61" t="s">
        <v>200</v>
      </c>
      <c r="K750" s="62" t="s">
        <v>733</v>
      </c>
      <c r="L750" s="61"/>
      <c r="M750" s="64">
        <v>43662</v>
      </c>
      <c r="N750" s="61" t="s">
        <v>150</v>
      </c>
      <c r="O750" s="61"/>
      <c r="P750" s="61">
        <f t="shared" si="33"/>
        <v>9</v>
      </c>
      <c r="Q750" s="61">
        <f t="shared" si="34"/>
        <v>2019</v>
      </c>
      <c r="R750" s="100">
        <f t="shared" si="35"/>
        <v>30</v>
      </c>
    </row>
    <row r="751" spans="1:18" s="59" customFormat="1" x14ac:dyDescent="0.2">
      <c r="A751" s="69">
        <v>43647</v>
      </c>
      <c r="B751" s="61" t="s">
        <v>180</v>
      </c>
      <c r="C751" s="71" t="s">
        <v>18</v>
      </c>
      <c r="D751" s="73">
        <v>43767</v>
      </c>
      <c r="E751" s="61" t="s">
        <v>65</v>
      </c>
      <c r="F751" s="61">
        <v>49824861</v>
      </c>
      <c r="G751" s="61" t="s">
        <v>180</v>
      </c>
      <c r="H751" s="75">
        <v>8000</v>
      </c>
      <c r="I751" s="52" t="s">
        <v>49</v>
      </c>
      <c r="J751" s="61" t="s">
        <v>200</v>
      </c>
      <c r="K751" s="62" t="s">
        <v>734</v>
      </c>
      <c r="L751" s="61"/>
      <c r="M751" s="61"/>
      <c r="N751" s="61"/>
      <c r="O751" s="61"/>
      <c r="P751" s="61">
        <f t="shared" si="33"/>
        <v>10</v>
      </c>
      <c r="Q751" s="61">
        <f t="shared" si="34"/>
        <v>2019</v>
      </c>
      <c r="R751" s="100">
        <f t="shared" si="35"/>
        <v>29</v>
      </c>
    </row>
    <row r="752" spans="1:18" s="59" customFormat="1" x14ac:dyDescent="0.2">
      <c r="A752" s="69">
        <v>43647</v>
      </c>
      <c r="B752" s="61" t="s">
        <v>180</v>
      </c>
      <c r="C752" s="71" t="s">
        <v>18</v>
      </c>
      <c r="D752" s="73">
        <v>43768</v>
      </c>
      <c r="E752" s="61" t="s">
        <v>65</v>
      </c>
      <c r="F752" s="61">
        <v>49824862</v>
      </c>
      <c r="G752" s="61" t="s">
        <v>180</v>
      </c>
      <c r="H752" s="75">
        <v>8000</v>
      </c>
      <c r="I752" s="52" t="s">
        <v>97</v>
      </c>
      <c r="J752" s="61" t="s">
        <v>200</v>
      </c>
      <c r="K752" s="62" t="s">
        <v>735</v>
      </c>
      <c r="L752" s="61"/>
      <c r="M752" s="64">
        <v>43712</v>
      </c>
      <c r="N752" s="61" t="s">
        <v>94</v>
      </c>
      <c r="O752" s="61"/>
      <c r="P752" s="61">
        <f t="shared" si="33"/>
        <v>10</v>
      </c>
      <c r="Q752" s="61">
        <f t="shared" si="34"/>
        <v>2019</v>
      </c>
      <c r="R752" s="100">
        <f t="shared" si="35"/>
        <v>30</v>
      </c>
    </row>
    <row r="753" spans="1:18" s="59" customFormat="1" x14ac:dyDescent="0.2">
      <c r="A753" s="69">
        <v>43647</v>
      </c>
      <c r="B753" s="61" t="s">
        <v>180</v>
      </c>
      <c r="C753" s="71" t="s">
        <v>18</v>
      </c>
      <c r="D753" s="73">
        <v>43769</v>
      </c>
      <c r="E753" s="61" t="s">
        <v>65</v>
      </c>
      <c r="F753" s="61">
        <v>49824863</v>
      </c>
      <c r="G753" s="61" t="s">
        <v>180</v>
      </c>
      <c r="H753" s="75">
        <v>8398</v>
      </c>
      <c r="I753" s="52" t="s">
        <v>49</v>
      </c>
      <c r="J753" s="61" t="s">
        <v>200</v>
      </c>
      <c r="K753" s="62" t="s">
        <v>736</v>
      </c>
      <c r="L753" s="61"/>
      <c r="M753" s="61"/>
      <c r="N753" s="61"/>
      <c r="O753" s="61"/>
      <c r="P753" s="61">
        <f t="shared" si="33"/>
        <v>10</v>
      </c>
      <c r="Q753" s="61">
        <f t="shared" si="34"/>
        <v>2019</v>
      </c>
      <c r="R753" s="100">
        <f t="shared" si="35"/>
        <v>31</v>
      </c>
    </row>
    <row r="754" spans="1:18" s="59" customFormat="1" x14ac:dyDescent="0.2">
      <c r="A754" s="69">
        <v>43647</v>
      </c>
      <c r="B754" s="61" t="s">
        <v>180</v>
      </c>
      <c r="C754" s="71" t="s">
        <v>18</v>
      </c>
      <c r="D754" s="73">
        <v>43737</v>
      </c>
      <c r="E754" s="61" t="s">
        <v>65</v>
      </c>
      <c r="F754" s="61">
        <v>49824864</v>
      </c>
      <c r="G754" s="61" t="s">
        <v>180</v>
      </c>
      <c r="H754" s="75">
        <v>6474</v>
      </c>
      <c r="I754" s="52" t="s">
        <v>49</v>
      </c>
      <c r="J754" s="61" t="s">
        <v>200</v>
      </c>
      <c r="K754" s="62" t="s">
        <v>737</v>
      </c>
      <c r="L754" s="61"/>
      <c r="M754" s="61"/>
      <c r="N754" s="61"/>
      <c r="O754" s="61"/>
      <c r="P754" s="61">
        <f t="shared" si="33"/>
        <v>9</v>
      </c>
      <c r="Q754" s="61">
        <f t="shared" si="34"/>
        <v>2019</v>
      </c>
      <c r="R754" s="100">
        <f t="shared" si="35"/>
        <v>29</v>
      </c>
    </row>
    <row r="755" spans="1:18" s="59" customFormat="1" x14ac:dyDescent="0.2">
      <c r="A755" s="69">
        <v>43656</v>
      </c>
      <c r="B755" s="61" t="s">
        <v>180</v>
      </c>
      <c r="C755" s="71" t="s">
        <v>18</v>
      </c>
      <c r="D755" s="73">
        <v>43768</v>
      </c>
      <c r="E755" s="61" t="s">
        <v>47</v>
      </c>
      <c r="F755" s="61">
        <v>68725306</v>
      </c>
      <c r="G755" s="61" t="s">
        <v>180</v>
      </c>
      <c r="H755" s="75">
        <v>6000</v>
      </c>
      <c r="I755" s="52" t="s">
        <v>49</v>
      </c>
      <c r="J755" s="223" t="s">
        <v>200</v>
      </c>
      <c r="K755" s="62" t="s">
        <v>579</v>
      </c>
      <c r="L755" s="61"/>
      <c r="M755" s="61"/>
      <c r="N755" s="61"/>
      <c r="O755" s="61"/>
      <c r="P755" s="61">
        <f t="shared" si="33"/>
        <v>10</v>
      </c>
      <c r="Q755" s="61">
        <f t="shared" si="34"/>
        <v>2019</v>
      </c>
      <c r="R755" s="100">
        <f t="shared" si="35"/>
        <v>30</v>
      </c>
    </row>
    <row r="756" spans="1:18" s="59" customFormat="1" x14ac:dyDescent="0.2">
      <c r="A756" s="69">
        <v>43656</v>
      </c>
      <c r="B756" s="61" t="s">
        <v>180</v>
      </c>
      <c r="C756" s="71" t="s">
        <v>18</v>
      </c>
      <c r="D756" s="73">
        <v>43769</v>
      </c>
      <c r="E756" s="61" t="s">
        <v>47</v>
      </c>
      <c r="F756" s="61">
        <v>68725307</v>
      </c>
      <c r="G756" s="61" t="s">
        <v>180</v>
      </c>
      <c r="H756" s="75">
        <v>6000</v>
      </c>
      <c r="I756" s="52" t="s">
        <v>49</v>
      </c>
      <c r="J756" s="223" t="s">
        <v>200</v>
      </c>
      <c r="K756" s="62" t="s">
        <v>578</v>
      </c>
      <c r="L756" s="61"/>
      <c r="M756" s="61"/>
      <c r="N756" s="61"/>
      <c r="O756" s="61"/>
      <c r="P756" s="61">
        <f t="shared" si="33"/>
        <v>10</v>
      </c>
      <c r="Q756" s="61">
        <f t="shared" si="34"/>
        <v>2019</v>
      </c>
      <c r="R756" s="100">
        <f t="shared" si="35"/>
        <v>31</v>
      </c>
    </row>
    <row r="757" spans="1:18" s="59" customFormat="1" x14ac:dyDescent="0.2">
      <c r="A757" s="69">
        <v>43656</v>
      </c>
      <c r="B757" s="61" t="s">
        <v>180</v>
      </c>
      <c r="C757" s="71" t="s">
        <v>18</v>
      </c>
      <c r="D757" s="73">
        <v>43769</v>
      </c>
      <c r="E757" s="61" t="s">
        <v>47</v>
      </c>
      <c r="F757" s="61">
        <v>68725308</v>
      </c>
      <c r="G757" s="61" t="s">
        <v>180</v>
      </c>
      <c r="H757" s="75">
        <v>7717</v>
      </c>
      <c r="I757" s="52" t="s">
        <v>49</v>
      </c>
      <c r="J757" s="223" t="s">
        <v>200</v>
      </c>
      <c r="K757" s="62" t="s">
        <v>577</v>
      </c>
      <c r="L757" s="61"/>
      <c r="M757" s="61"/>
      <c r="N757" s="61"/>
      <c r="O757" s="61"/>
      <c r="P757" s="61">
        <f t="shared" si="33"/>
        <v>10</v>
      </c>
      <c r="Q757" s="61">
        <f t="shared" si="34"/>
        <v>2019</v>
      </c>
      <c r="R757" s="100">
        <f t="shared" si="35"/>
        <v>31</v>
      </c>
    </row>
    <row r="758" spans="1:18" s="59" customFormat="1" x14ac:dyDescent="0.2">
      <c r="A758" s="69">
        <v>43656</v>
      </c>
      <c r="B758" s="61" t="s">
        <v>180</v>
      </c>
      <c r="C758" s="71" t="s">
        <v>18</v>
      </c>
      <c r="D758" s="73">
        <v>43767</v>
      </c>
      <c r="E758" s="61" t="s">
        <v>47</v>
      </c>
      <c r="F758" s="61">
        <v>68725305</v>
      </c>
      <c r="G758" s="61" t="s">
        <v>180</v>
      </c>
      <c r="H758" s="75">
        <v>6000</v>
      </c>
      <c r="I758" s="52" t="s">
        <v>49</v>
      </c>
      <c r="J758" s="223" t="s">
        <v>200</v>
      </c>
      <c r="K758" s="62" t="s">
        <v>576</v>
      </c>
      <c r="L758" s="61"/>
      <c r="M758" s="61"/>
      <c r="N758" s="61"/>
      <c r="O758" s="61"/>
      <c r="P758" s="61">
        <f t="shared" si="33"/>
        <v>10</v>
      </c>
      <c r="Q758" s="61">
        <f t="shared" si="34"/>
        <v>2019</v>
      </c>
      <c r="R758" s="100">
        <f t="shared" si="35"/>
        <v>29</v>
      </c>
    </row>
    <row r="759" spans="1:18" s="59" customFormat="1" x14ac:dyDescent="0.2">
      <c r="A759" s="69">
        <v>43656</v>
      </c>
      <c r="B759" s="61" t="s">
        <v>180</v>
      </c>
      <c r="C759" s="71" t="s">
        <v>18</v>
      </c>
      <c r="D759" s="74">
        <v>43736</v>
      </c>
      <c r="E759" s="61" t="s">
        <v>47</v>
      </c>
      <c r="F759" s="61">
        <v>68725304</v>
      </c>
      <c r="G759" s="61" t="s">
        <v>180</v>
      </c>
      <c r="H759" s="75">
        <v>6000</v>
      </c>
      <c r="I759" s="52" t="s">
        <v>49</v>
      </c>
      <c r="J759" s="223" t="s">
        <v>200</v>
      </c>
      <c r="K759" s="62" t="s">
        <v>575</v>
      </c>
      <c r="L759" s="61"/>
      <c r="M759" s="61"/>
      <c r="N759" s="61"/>
      <c r="O759" s="61"/>
      <c r="P759" s="61">
        <f t="shared" si="33"/>
        <v>9</v>
      </c>
      <c r="Q759" s="61">
        <f t="shared" si="34"/>
        <v>2019</v>
      </c>
      <c r="R759" s="100">
        <f t="shared" si="35"/>
        <v>28</v>
      </c>
    </row>
    <row r="760" spans="1:18" s="59" customFormat="1" x14ac:dyDescent="0.2">
      <c r="A760" s="69">
        <v>43656</v>
      </c>
      <c r="B760" s="61" t="s">
        <v>180</v>
      </c>
      <c r="C760" s="71" t="s">
        <v>18</v>
      </c>
      <c r="D760" s="74">
        <v>43737</v>
      </c>
      <c r="E760" s="61" t="s">
        <v>47</v>
      </c>
      <c r="F760" s="61">
        <v>68725303</v>
      </c>
      <c r="G760" s="61" t="s">
        <v>180</v>
      </c>
      <c r="H760" s="75">
        <v>6000</v>
      </c>
      <c r="I760" s="52" t="s">
        <v>49</v>
      </c>
      <c r="J760" s="223" t="s">
        <v>200</v>
      </c>
      <c r="K760" s="62" t="s">
        <v>574</v>
      </c>
      <c r="L760" s="61"/>
      <c r="M760" s="64">
        <v>43656</v>
      </c>
      <c r="N760" s="61" t="s">
        <v>150</v>
      </c>
      <c r="O760" s="61"/>
      <c r="P760" s="61">
        <f t="shared" si="33"/>
        <v>9</v>
      </c>
      <c r="Q760" s="61">
        <f t="shared" si="34"/>
        <v>2019</v>
      </c>
      <c r="R760" s="100">
        <f t="shared" si="35"/>
        <v>29</v>
      </c>
    </row>
    <row r="761" spans="1:18" s="59" customFormat="1" x14ac:dyDescent="0.2">
      <c r="A761" s="69">
        <v>43656</v>
      </c>
      <c r="B761" s="61" t="s">
        <v>180</v>
      </c>
      <c r="C761" s="71" t="s">
        <v>18</v>
      </c>
      <c r="D761" s="74">
        <v>43738</v>
      </c>
      <c r="E761" s="61" t="s">
        <v>47</v>
      </c>
      <c r="F761" s="61">
        <v>68725302</v>
      </c>
      <c r="G761" s="61" t="s">
        <v>180</v>
      </c>
      <c r="H761" s="75">
        <v>6000</v>
      </c>
      <c r="I761" s="52" t="s">
        <v>49</v>
      </c>
      <c r="J761" s="223" t="s">
        <v>200</v>
      </c>
      <c r="K761" s="62" t="s">
        <v>573</v>
      </c>
      <c r="L761" s="61"/>
      <c r="M761" s="64">
        <v>43656</v>
      </c>
      <c r="N761" s="61" t="s">
        <v>150</v>
      </c>
      <c r="O761" s="61"/>
      <c r="P761" s="61">
        <f t="shared" si="33"/>
        <v>9</v>
      </c>
      <c r="Q761" s="61">
        <f t="shared" si="34"/>
        <v>2019</v>
      </c>
      <c r="R761" s="100">
        <f t="shared" si="35"/>
        <v>30</v>
      </c>
    </row>
    <row r="762" spans="1:18" s="59" customFormat="1" x14ac:dyDescent="0.2">
      <c r="A762" s="69">
        <v>43647</v>
      </c>
      <c r="B762" s="61" t="s">
        <v>641</v>
      </c>
      <c r="C762" s="71" t="s">
        <v>18</v>
      </c>
      <c r="D762" s="73">
        <v>43644</v>
      </c>
      <c r="E762" s="61" t="s">
        <v>642</v>
      </c>
      <c r="F762" s="61">
        <v>14062075</v>
      </c>
      <c r="G762" s="61" t="s">
        <v>641</v>
      </c>
      <c r="H762" s="75">
        <v>489.98</v>
      </c>
      <c r="I762" s="52" t="s">
        <v>49</v>
      </c>
      <c r="J762" s="61" t="s">
        <v>184</v>
      </c>
      <c r="K762" s="62" t="s">
        <v>643</v>
      </c>
      <c r="L762" s="61"/>
      <c r="M762" s="61"/>
      <c r="N762" s="61" t="s">
        <v>644</v>
      </c>
      <c r="O762" s="61"/>
      <c r="P762" s="61">
        <f t="shared" si="33"/>
        <v>6</v>
      </c>
      <c r="Q762" s="61">
        <f t="shared" si="34"/>
        <v>2019</v>
      </c>
      <c r="R762" s="100">
        <f t="shared" si="35"/>
        <v>28</v>
      </c>
    </row>
    <row r="763" spans="1:18" s="59" customFormat="1" x14ac:dyDescent="0.2">
      <c r="A763" s="69">
        <v>43647</v>
      </c>
      <c r="B763" s="61" t="s">
        <v>645</v>
      </c>
      <c r="C763" s="71" t="s">
        <v>18</v>
      </c>
      <c r="D763" s="73">
        <v>43681</v>
      </c>
      <c r="E763" s="61" t="s">
        <v>43</v>
      </c>
      <c r="F763" s="61">
        <v>94815326</v>
      </c>
      <c r="G763" s="61" t="s">
        <v>276</v>
      </c>
      <c r="H763" s="75">
        <v>3500</v>
      </c>
      <c r="I763" s="52" t="s">
        <v>49</v>
      </c>
      <c r="J763" s="61" t="s">
        <v>277</v>
      </c>
      <c r="K763" s="62" t="s">
        <v>647</v>
      </c>
      <c r="L763" s="61"/>
      <c r="M763" s="61"/>
      <c r="N763" s="61"/>
      <c r="O763" s="61"/>
      <c r="P763" s="61">
        <f t="shared" si="33"/>
        <v>8</v>
      </c>
      <c r="Q763" s="61">
        <f t="shared" si="34"/>
        <v>2019</v>
      </c>
      <c r="R763" s="100">
        <f t="shared" si="35"/>
        <v>4</v>
      </c>
    </row>
    <row r="764" spans="1:18" s="59" customFormat="1" x14ac:dyDescent="0.2">
      <c r="A764" s="69">
        <v>43647</v>
      </c>
      <c r="B764" s="61" t="s">
        <v>42</v>
      </c>
      <c r="C764" s="71" t="s">
        <v>18</v>
      </c>
      <c r="D764" s="73">
        <v>43697</v>
      </c>
      <c r="E764" s="61" t="s">
        <v>47</v>
      </c>
      <c r="F764" s="61">
        <v>67508307</v>
      </c>
      <c r="G764" s="61" t="s">
        <v>598</v>
      </c>
      <c r="H764" s="75">
        <v>1911</v>
      </c>
      <c r="I764" s="52" t="s">
        <v>49</v>
      </c>
      <c r="J764" s="61" t="s">
        <v>337</v>
      </c>
      <c r="K764" s="62" t="s">
        <v>659</v>
      </c>
      <c r="L764" s="61"/>
      <c r="M764" s="61"/>
      <c r="N764" s="61"/>
      <c r="O764" s="61"/>
      <c r="P764" s="61">
        <f t="shared" si="33"/>
        <v>8</v>
      </c>
      <c r="Q764" s="61">
        <f t="shared" si="34"/>
        <v>2019</v>
      </c>
      <c r="R764" s="100">
        <f t="shared" si="35"/>
        <v>20</v>
      </c>
    </row>
    <row r="765" spans="1:18" s="59" customFormat="1" x14ac:dyDescent="0.2">
      <c r="A765" s="69">
        <v>43647</v>
      </c>
      <c r="B765" s="61" t="s">
        <v>335</v>
      </c>
      <c r="C765" s="71" t="s">
        <v>18</v>
      </c>
      <c r="D765" s="73">
        <v>43707</v>
      </c>
      <c r="E765" s="61" t="s">
        <v>47</v>
      </c>
      <c r="F765" s="61">
        <v>67508313</v>
      </c>
      <c r="G765" s="61" t="s">
        <v>598</v>
      </c>
      <c r="H765" s="75">
        <v>2500</v>
      </c>
      <c r="I765" s="52" t="s">
        <v>49</v>
      </c>
      <c r="J765" s="61" t="s">
        <v>337</v>
      </c>
      <c r="K765" s="62" t="s">
        <v>662</v>
      </c>
      <c r="L765" s="61"/>
      <c r="M765" s="61"/>
      <c r="N765" s="61"/>
      <c r="O765" s="61"/>
      <c r="P765" s="61">
        <f t="shared" si="33"/>
        <v>8</v>
      </c>
      <c r="Q765" s="61">
        <f t="shared" si="34"/>
        <v>2019</v>
      </c>
      <c r="R765" s="100">
        <f t="shared" si="35"/>
        <v>30</v>
      </c>
    </row>
    <row r="766" spans="1:18" s="59" customFormat="1" x14ac:dyDescent="0.2">
      <c r="A766" s="69">
        <v>43647</v>
      </c>
      <c r="B766" s="61" t="s">
        <v>435</v>
      </c>
      <c r="C766" s="71" t="s">
        <v>18</v>
      </c>
      <c r="D766" s="73">
        <v>43707</v>
      </c>
      <c r="E766" s="61" t="s">
        <v>65</v>
      </c>
      <c r="F766" s="61">
        <v>48560127</v>
      </c>
      <c r="G766" s="61" t="s">
        <v>435</v>
      </c>
      <c r="H766" s="75">
        <v>3000</v>
      </c>
      <c r="I766" s="52" t="s">
        <v>150</v>
      </c>
      <c r="J766" s="61" t="s">
        <v>436</v>
      </c>
      <c r="K766" s="62" t="s">
        <v>664</v>
      </c>
      <c r="L766" s="61"/>
      <c r="M766" s="63">
        <v>43711</v>
      </c>
      <c r="N766" s="61"/>
      <c r="O766" s="61"/>
      <c r="P766" s="61">
        <f t="shared" si="33"/>
        <v>8</v>
      </c>
      <c r="Q766" s="61">
        <f t="shared" si="34"/>
        <v>2019</v>
      </c>
      <c r="R766" s="100">
        <f t="shared" si="35"/>
        <v>30</v>
      </c>
    </row>
    <row r="767" spans="1:18" s="59" customFormat="1" x14ac:dyDescent="0.2">
      <c r="A767" s="69">
        <v>43647</v>
      </c>
      <c r="B767" s="61" t="s">
        <v>158</v>
      </c>
      <c r="C767" s="71" t="s">
        <v>18</v>
      </c>
      <c r="D767" s="73">
        <v>43658</v>
      </c>
      <c r="E767" s="61" t="s">
        <v>47</v>
      </c>
      <c r="F767" s="61">
        <v>63641739</v>
      </c>
      <c r="G767" s="61" t="s">
        <v>417</v>
      </c>
      <c r="H767" s="75">
        <v>3910</v>
      </c>
      <c r="I767" s="52" t="s">
        <v>49</v>
      </c>
      <c r="J767" s="61" t="s">
        <v>348</v>
      </c>
      <c r="K767" s="62" t="s">
        <v>683</v>
      </c>
      <c r="L767" s="61"/>
      <c r="M767" s="61"/>
      <c r="N767" s="61"/>
      <c r="O767" s="61"/>
      <c r="P767" s="61">
        <f t="shared" si="33"/>
        <v>7</v>
      </c>
      <c r="Q767" s="61">
        <f t="shared" si="34"/>
        <v>2019</v>
      </c>
      <c r="R767" s="100">
        <f t="shared" si="35"/>
        <v>12</v>
      </c>
    </row>
    <row r="768" spans="1:18" s="59" customFormat="1" x14ac:dyDescent="0.2">
      <c r="A768" s="69">
        <v>43647</v>
      </c>
      <c r="B768" s="61" t="s">
        <v>42</v>
      </c>
      <c r="C768" s="71" t="s">
        <v>18</v>
      </c>
      <c r="D768" s="73">
        <v>43666</v>
      </c>
      <c r="E768" s="61" t="s">
        <v>47</v>
      </c>
      <c r="F768" s="61">
        <v>67508306</v>
      </c>
      <c r="G768" s="61" t="s">
        <v>598</v>
      </c>
      <c r="H768" s="75">
        <v>1911</v>
      </c>
      <c r="I768" s="52" t="s">
        <v>49</v>
      </c>
      <c r="J768" s="61" t="s">
        <v>337</v>
      </c>
      <c r="K768" s="62" t="s">
        <v>669</v>
      </c>
      <c r="L768" s="61"/>
      <c r="M768" s="64">
        <v>43666</v>
      </c>
      <c r="N768" s="61"/>
      <c r="O768" s="61"/>
      <c r="P768" s="61">
        <f t="shared" si="33"/>
        <v>7</v>
      </c>
      <c r="Q768" s="61">
        <f t="shared" si="34"/>
        <v>2019</v>
      </c>
      <c r="R768" s="100">
        <f t="shared" si="35"/>
        <v>20</v>
      </c>
    </row>
    <row r="769" spans="1:18" s="59" customFormat="1" x14ac:dyDescent="0.2">
      <c r="A769" s="69">
        <v>43647</v>
      </c>
      <c r="B769" s="61" t="s">
        <v>28</v>
      </c>
      <c r="C769" s="71" t="s">
        <v>18</v>
      </c>
      <c r="D769" s="73">
        <v>43666</v>
      </c>
      <c r="E769" s="61" t="s">
        <v>47</v>
      </c>
      <c r="F769" s="61">
        <v>63757219</v>
      </c>
      <c r="G769" s="61" t="s">
        <v>670</v>
      </c>
      <c r="H769" s="75">
        <v>2000</v>
      </c>
      <c r="I769" s="52" t="s">
        <v>49</v>
      </c>
      <c r="J769" s="61" t="s">
        <v>671</v>
      </c>
      <c r="K769" s="62" t="s">
        <v>672</v>
      </c>
      <c r="L769" s="61"/>
      <c r="M769" s="64">
        <v>43728</v>
      </c>
      <c r="N769" s="61"/>
      <c r="O769" s="61"/>
      <c r="P769" s="61">
        <f t="shared" si="33"/>
        <v>7</v>
      </c>
      <c r="Q769" s="61">
        <f t="shared" si="34"/>
        <v>2019</v>
      </c>
      <c r="R769" s="100">
        <f t="shared" si="35"/>
        <v>20</v>
      </c>
    </row>
    <row r="770" spans="1:18" s="59" customFormat="1" x14ac:dyDescent="0.2">
      <c r="A770" s="69">
        <v>43647</v>
      </c>
      <c r="B770" s="61" t="s">
        <v>28</v>
      </c>
      <c r="C770" s="71" t="s">
        <v>18</v>
      </c>
      <c r="D770" s="73">
        <v>43676</v>
      </c>
      <c r="E770" s="61" t="s">
        <v>47</v>
      </c>
      <c r="F770" s="61">
        <v>65228753</v>
      </c>
      <c r="G770" s="61" t="s">
        <v>673</v>
      </c>
      <c r="H770" s="75">
        <v>10000</v>
      </c>
      <c r="I770" s="52" t="s">
        <v>49</v>
      </c>
      <c r="J770" s="61" t="s">
        <v>674</v>
      </c>
      <c r="K770" s="62" t="s">
        <v>675</v>
      </c>
      <c r="L770" s="61"/>
      <c r="M770" s="64">
        <v>43656</v>
      </c>
      <c r="N770" s="61" t="s">
        <v>150</v>
      </c>
      <c r="O770" s="61"/>
      <c r="P770" s="61">
        <f t="shared" ref="P770:P833" si="36">MONTH(D770)</f>
        <v>7</v>
      </c>
      <c r="Q770" s="61">
        <f t="shared" ref="Q770:Q833" si="37">YEAR(D770)</f>
        <v>2019</v>
      </c>
      <c r="R770" s="100">
        <f t="shared" si="35"/>
        <v>30</v>
      </c>
    </row>
    <row r="771" spans="1:18" s="59" customFormat="1" x14ac:dyDescent="0.2">
      <c r="A771" s="69">
        <v>43709</v>
      </c>
      <c r="B771" s="61" t="s">
        <v>158</v>
      </c>
      <c r="C771" s="71" t="s">
        <v>18</v>
      </c>
      <c r="D771" s="73">
        <v>43658</v>
      </c>
      <c r="E771" s="61" t="s">
        <v>57</v>
      </c>
      <c r="F771" s="61">
        <v>70053</v>
      </c>
      <c r="G771" s="61" t="s">
        <v>411</v>
      </c>
      <c r="H771" s="75">
        <v>4270</v>
      </c>
      <c r="I771" s="52" t="s">
        <v>49</v>
      </c>
      <c r="J771" s="61" t="s">
        <v>412</v>
      </c>
      <c r="K771" s="62" t="s">
        <v>684</v>
      </c>
      <c r="L771" s="61"/>
      <c r="M771" s="64">
        <v>43658</v>
      </c>
      <c r="N771" s="61" t="s">
        <v>668</v>
      </c>
      <c r="O771" s="61" t="s">
        <v>680</v>
      </c>
      <c r="P771" s="61">
        <f t="shared" si="36"/>
        <v>7</v>
      </c>
      <c r="Q771" s="61">
        <f t="shared" si="37"/>
        <v>2019</v>
      </c>
      <c r="R771" s="100">
        <f t="shared" ref="R771:R834" si="38">DAY(D771)</f>
        <v>12</v>
      </c>
    </row>
    <row r="772" spans="1:18" s="59" customFormat="1" x14ac:dyDescent="0.2">
      <c r="A772" s="69">
        <v>43647</v>
      </c>
      <c r="B772" s="61" t="s">
        <v>158</v>
      </c>
      <c r="C772" s="71" t="s">
        <v>18</v>
      </c>
      <c r="D772" s="73">
        <v>43645</v>
      </c>
      <c r="E772" s="61" t="s">
        <v>53</v>
      </c>
      <c r="F772" s="61">
        <v>7201258</v>
      </c>
      <c r="G772" s="61" t="s">
        <v>665</v>
      </c>
      <c r="H772" s="75">
        <v>5000</v>
      </c>
      <c r="I772" s="52" t="s">
        <v>49</v>
      </c>
      <c r="J772" s="61" t="s">
        <v>666</v>
      </c>
      <c r="K772" s="62" t="s">
        <v>667</v>
      </c>
      <c r="L772" s="61"/>
      <c r="M772" s="64">
        <v>43647</v>
      </c>
      <c r="N772" s="61" t="s">
        <v>668</v>
      </c>
      <c r="O772" s="61"/>
      <c r="P772" s="61">
        <f t="shared" si="36"/>
        <v>6</v>
      </c>
      <c r="Q772" s="61">
        <f t="shared" si="37"/>
        <v>2019</v>
      </c>
      <c r="R772" s="100">
        <f t="shared" si="38"/>
        <v>29</v>
      </c>
    </row>
    <row r="773" spans="1:18" s="59" customFormat="1" x14ac:dyDescent="0.2">
      <c r="A773" s="69">
        <v>43647</v>
      </c>
      <c r="B773" s="61" t="s">
        <v>192</v>
      </c>
      <c r="C773" s="71" t="s">
        <v>18</v>
      </c>
      <c r="D773" s="73">
        <v>43646</v>
      </c>
      <c r="E773" s="61" t="s">
        <v>123</v>
      </c>
      <c r="F773" s="61">
        <v>60881406</v>
      </c>
      <c r="G773" s="61" t="s">
        <v>192</v>
      </c>
      <c r="H773" s="75">
        <v>10000</v>
      </c>
      <c r="I773" s="52" t="s">
        <v>49</v>
      </c>
      <c r="J773" s="61" t="s">
        <v>193</v>
      </c>
      <c r="K773" s="62" t="s">
        <v>676</v>
      </c>
      <c r="L773" s="61"/>
      <c r="M773" s="64">
        <v>43647</v>
      </c>
      <c r="N773" s="61" t="s">
        <v>668</v>
      </c>
      <c r="O773" s="61"/>
      <c r="P773" s="61">
        <f t="shared" si="36"/>
        <v>6</v>
      </c>
      <c r="Q773" s="61">
        <f t="shared" si="37"/>
        <v>2019</v>
      </c>
      <c r="R773" s="100">
        <f t="shared" si="38"/>
        <v>30</v>
      </c>
    </row>
    <row r="774" spans="1:18" s="59" customFormat="1" x14ac:dyDescent="0.2">
      <c r="A774" s="69">
        <v>43647</v>
      </c>
      <c r="B774" s="61" t="s">
        <v>158</v>
      </c>
      <c r="C774" s="71" t="s">
        <v>18</v>
      </c>
      <c r="D774" s="73">
        <v>43647</v>
      </c>
      <c r="E774" s="61" t="s">
        <v>57</v>
      </c>
      <c r="F774" s="61">
        <v>204902</v>
      </c>
      <c r="G774" s="61" t="s">
        <v>164</v>
      </c>
      <c r="H774" s="75">
        <v>3100</v>
      </c>
      <c r="I774" s="52" t="s">
        <v>49</v>
      </c>
      <c r="J774" s="61" t="s">
        <v>165</v>
      </c>
      <c r="K774" s="62" t="s">
        <v>677</v>
      </c>
      <c r="L774" s="61"/>
      <c r="M774" s="64">
        <v>43647</v>
      </c>
      <c r="N774" s="61" t="s">
        <v>668</v>
      </c>
      <c r="O774" s="61"/>
      <c r="P774" s="61">
        <f t="shared" si="36"/>
        <v>7</v>
      </c>
      <c r="Q774" s="61">
        <f t="shared" si="37"/>
        <v>2019</v>
      </c>
      <c r="R774" s="100">
        <f t="shared" si="38"/>
        <v>1</v>
      </c>
    </row>
    <row r="775" spans="1:18" s="59" customFormat="1" x14ac:dyDescent="0.2">
      <c r="A775" s="69">
        <v>43647</v>
      </c>
      <c r="B775" s="61" t="s">
        <v>158</v>
      </c>
      <c r="C775" s="71" t="s">
        <v>18</v>
      </c>
      <c r="D775" s="73">
        <v>43650</v>
      </c>
      <c r="E775" s="61" t="s">
        <v>57</v>
      </c>
      <c r="F775" s="61">
        <v>204903</v>
      </c>
      <c r="G775" s="61" t="s">
        <v>164</v>
      </c>
      <c r="H775" s="75">
        <v>3100</v>
      </c>
      <c r="I775" s="52" t="s">
        <v>49</v>
      </c>
      <c r="J775" s="61" t="s">
        <v>165</v>
      </c>
      <c r="K775" s="62" t="s">
        <v>678</v>
      </c>
      <c r="L775" s="61"/>
      <c r="M775" s="64">
        <v>43656</v>
      </c>
      <c r="N775" s="61"/>
      <c r="O775" s="61"/>
      <c r="P775" s="61">
        <f t="shared" si="36"/>
        <v>7</v>
      </c>
      <c r="Q775" s="61">
        <f t="shared" si="37"/>
        <v>2019</v>
      </c>
      <c r="R775" s="100">
        <f t="shared" si="38"/>
        <v>4</v>
      </c>
    </row>
    <row r="776" spans="1:18" s="59" customFormat="1" x14ac:dyDescent="0.2">
      <c r="A776" s="69">
        <v>43647</v>
      </c>
      <c r="B776" s="61" t="s">
        <v>226</v>
      </c>
      <c r="C776" s="71" t="s">
        <v>18</v>
      </c>
      <c r="D776" s="73">
        <v>43651</v>
      </c>
      <c r="E776" s="61" t="s">
        <v>123</v>
      </c>
      <c r="F776" s="61">
        <v>60812619</v>
      </c>
      <c r="G776" s="61" t="s">
        <v>226</v>
      </c>
      <c r="H776" s="75">
        <v>4500</v>
      </c>
      <c r="I776" s="52" t="s">
        <v>49</v>
      </c>
      <c r="J776" s="61" t="s">
        <v>228</v>
      </c>
      <c r="K776" s="62" t="s">
        <v>679</v>
      </c>
      <c r="L776" s="61"/>
      <c r="M776" s="64">
        <v>43656</v>
      </c>
      <c r="N776" s="61"/>
      <c r="O776" s="61" t="s">
        <v>680</v>
      </c>
      <c r="P776" s="61">
        <f t="shared" si="36"/>
        <v>7</v>
      </c>
      <c r="Q776" s="61">
        <f t="shared" si="37"/>
        <v>2019</v>
      </c>
      <c r="R776" s="100">
        <f t="shared" si="38"/>
        <v>5</v>
      </c>
    </row>
    <row r="777" spans="1:18" s="59" customFormat="1" x14ac:dyDescent="0.2">
      <c r="A777" s="69">
        <v>43647</v>
      </c>
      <c r="B777" s="61" t="s">
        <v>158</v>
      </c>
      <c r="C777" s="71" t="s">
        <v>18</v>
      </c>
      <c r="D777" s="73">
        <v>43654</v>
      </c>
      <c r="E777" s="61" t="s">
        <v>57</v>
      </c>
      <c r="F777" s="61">
        <v>43060</v>
      </c>
      <c r="G777" s="61" t="s">
        <v>681</v>
      </c>
      <c r="H777" s="75">
        <v>3500</v>
      </c>
      <c r="I777" s="52" t="s">
        <v>49</v>
      </c>
      <c r="J777" s="61" t="s">
        <v>273</v>
      </c>
      <c r="K777" s="62" t="s">
        <v>682</v>
      </c>
      <c r="L777" s="61"/>
      <c r="M777" s="64">
        <v>43656</v>
      </c>
      <c r="N777" s="61"/>
      <c r="O777" s="61"/>
      <c r="P777" s="61">
        <f t="shared" si="36"/>
        <v>7</v>
      </c>
      <c r="Q777" s="61">
        <f t="shared" si="37"/>
        <v>2019</v>
      </c>
      <c r="R777" s="100">
        <f t="shared" si="38"/>
        <v>8</v>
      </c>
    </row>
    <row r="778" spans="1:18" s="59" customFormat="1" x14ac:dyDescent="0.2">
      <c r="A778" s="69">
        <v>43647</v>
      </c>
      <c r="B778" s="61" t="s">
        <v>226</v>
      </c>
      <c r="C778" s="71" t="s">
        <v>18</v>
      </c>
      <c r="D778" s="73">
        <v>43716</v>
      </c>
      <c r="E778" s="61" t="s">
        <v>123</v>
      </c>
      <c r="F778" s="61">
        <v>60812625</v>
      </c>
      <c r="G778" s="61" t="s">
        <v>226</v>
      </c>
      <c r="H778" s="75">
        <v>4500</v>
      </c>
      <c r="I778" s="52" t="s">
        <v>49</v>
      </c>
      <c r="J778" s="61" t="s">
        <v>228</v>
      </c>
      <c r="K778" s="62" t="s">
        <v>689</v>
      </c>
      <c r="L778" s="61"/>
      <c r="M778" s="64">
        <v>43647</v>
      </c>
      <c r="N778" s="61" t="s">
        <v>150</v>
      </c>
      <c r="O778" s="61"/>
      <c r="P778" s="61">
        <f t="shared" si="36"/>
        <v>9</v>
      </c>
      <c r="Q778" s="61">
        <f t="shared" si="37"/>
        <v>2019</v>
      </c>
      <c r="R778" s="100">
        <f t="shared" si="38"/>
        <v>8</v>
      </c>
    </row>
    <row r="779" spans="1:18" s="59" customFormat="1" x14ac:dyDescent="0.2">
      <c r="A779" s="69">
        <v>43647</v>
      </c>
      <c r="B779" s="61" t="s">
        <v>435</v>
      </c>
      <c r="C779" s="71" t="s">
        <v>18</v>
      </c>
      <c r="D779" s="73">
        <v>43719</v>
      </c>
      <c r="E779" s="61" t="s">
        <v>65</v>
      </c>
      <c r="F779" s="61">
        <v>48560128</v>
      </c>
      <c r="G779" s="61" t="s">
        <v>435</v>
      </c>
      <c r="H779" s="75">
        <v>3200</v>
      </c>
      <c r="I779" s="52" t="s">
        <v>49</v>
      </c>
      <c r="J779" s="61" t="s">
        <v>436</v>
      </c>
      <c r="K779" s="62" t="s">
        <v>690</v>
      </c>
      <c r="L779" s="61"/>
      <c r="M779" s="61"/>
      <c r="N779" s="61"/>
      <c r="O779" s="61"/>
      <c r="P779" s="61">
        <f t="shared" si="36"/>
        <v>9</v>
      </c>
      <c r="Q779" s="61">
        <f t="shared" si="37"/>
        <v>2019</v>
      </c>
      <c r="R779" s="100">
        <f t="shared" si="38"/>
        <v>11</v>
      </c>
    </row>
    <row r="780" spans="1:18" s="59" customFormat="1" x14ac:dyDescent="0.2">
      <c r="A780" s="69">
        <v>43647</v>
      </c>
      <c r="B780" s="61" t="s">
        <v>226</v>
      </c>
      <c r="C780" s="71" t="s">
        <v>18</v>
      </c>
      <c r="D780" s="73">
        <v>43733</v>
      </c>
      <c r="E780" s="61" t="s">
        <v>123</v>
      </c>
      <c r="F780" s="61">
        <v>60812627</v>
      </c>
      <c r="G780" s="61" t="s">
        <v>435</v>
      </c>
      <c r="H780" s="75">
        <v>4500</v>
      </c>
      <c r="I780" s="52" t="s">
        <v>49</v>
      </c>
      <c r="J780" s="61" t="s">
        <v>228</v>
      </c>
      <c r="K780" s="62" t="s">
        <v>691</v>
      </c>
      <c r="L780" s="61"/>
      <c r="M780" s="64">
        <v>43647</v>
      </c>
      <c r="N780" s="61" t="s">
        <v>150</v>
      </c>
      <c r="O780" s="61"/>
      <c r="P780" s="61">
        <f t="shared" si="36"/>
        <v>9</v>
      </c>
      <c r="Q780" s="61">
        <f t="shared" si="37"/>
        <v>2019</v>
      </c>
      <c r="R780" s="100">
        <f t="shared" si="38"/>
        <v>25</v>
      </c>
    </row>
    <row r="781" spans="1:18" s="59" customFormat="1" x14ac:dyDescent="0.2">
      <c r="A781" s="69">
        <v>43647</v>
      </c>
      <c r="B781" s="61" t="s">
        <v>435</v>
      </c>
      <c r="C781" s="71" t="s">
        <v>18</v>
      </c>
      <c r="D781" s="73">
        <v>43734</v>
      </c>
      <c r="E781" s="61" t="s">
        <v>65</v>
      </c>
      <c r="F781" s="61">
        <v>48560131</v>
      </c>
      <c r="G781" s="61" t="s">
        <v>435</v>
      </c>
      <c r="H781" s="75">
        <v>3296</v>
      </c>
      <c r="I781" s="52" t="s">
        <v>49</v>
      </c>
      <c r="J781" s="61" t="s">
        <v>436</v>
      </c>
      <c r="K781" s="62" t="s">
        <v>692</v>
      </c>
      <c r="L781" s="61"/>
      <c r="M781" s="61"/>
      <c r="N781" s="61"/>
      <c r="O781" s="61"/>
      <c r="P781" s="61">
        <f t="shared" si="36"/>
        <v>9</v>
      </c>
      <c r="Q781" s="61">
        <f t="shared" si="37"/>
        <v>2019</v>
      </c>
      <c r="R781" s="100">
        <f t="shared" si="38"/>
        <v>26</v>
      </c>
    </row>
    <row r="782" spans="1:18" s="59" customFormat="1" x14ac:dyDescent="0.2">
      <c r="A782" s="69">
        <v>43647</v>
      </c>
      <c r="B782" s="61" t="s">
        <v>694</v>
      </c>
      <c r="C782" s="71" t="s">
        <v>18</v>
      </c>
      <c r="D782" s="73">
        <v>43735</v>
      </c>
      <c r="E782" s="61" t="s">
        <v>53</v>
      </c>
      <c r="F782" s="61">
        <v>52900208</v>
      </c>
      <c r="G782" s="61" t="s">
        <v>694</v>
      </c>
      <c r="H782" s="75">
        <v>6500</v>
      </c>
      <c r="I782" s="52" t="s">
        <v>49</v>
      </c>
      <c r="J782" s="61" t="s">
        <v>695</v>
      </c>
      <c r="K782" s="62" t="s">
        <v>696</v>
      </c>
      <c r="L782" s="61"/>
      <c r="M782" s="64">
        <v>43656</v>
      </c>
      <c r="N782" s="61" t="s">
        <v>150</v>
      </c>
      <c r="O782" s="61"/>
      <c r="P782" s="61">
        <f t="shared" si="36"/>
        <v>9</v>
      </c>
      <c r="Q782" s="61">
        <f t="shared" si="37"/>
        <v>2019</v>
      </c>
      <c r="R782" s="100">
        <f t="shared" si="38"/>
        <v>27</v>
      </c>
    </row>
    <row r="783" spans="1:18" s="59" customFormat="1" x14ac:dyDescent="0.2">
      <c r="A783" s="69">
        <v>43647</v>
      </c>
      <c r="B783" s="61" t="s">
        <v>226</v>
      </c>
      <c r="C783" s="71" t="s">
        <v>18</v>
      </c>
      <c r="D783" s="73">
        <v>43738</v>
      </c>
      <c r="E783" s="61" t="s">
        <v>123</v>
      </c>
      <c r="F783" s="61">
        <v>60812628</v>
      </c>
      <c r="G783" s="61" t="s">
        <v>226</v>
      </c>
      <c r="H783" s="75">
        <v>4500</v>
      </c>
      <c r="I783" s="52" t="s">
        <v>49</v>
      </c>
      <c r="J783" s="61" t="s">
        <v>228</v>
      </c>
      <c r="K783" s="62" t="s">
        <v>709</v>
      </c>
      <c r="L783" s="61"/>
      <c r="M783" s="61"/>
      <c r="N783" s="61"/>
      <c r="O783" s="61"/>
      <c r="P783" s="61">
        <f t="shared" si="36"/>
        <v>9</v>
      </c>
      <c r="Q783" s="61">
        <f t="shared" si="37"/>
        <v>2019</v>
      </c>
      <c r="R783" s="100">
        <f t="shared" si="38"/>
        <v>30</v>
      </c>
    </row>
    <row r="784" spans="1:18" s="59" customFormat="1" x14ac:dyDescent="0.2">
      <c r="A784" s="69">
        <v>43647</v>
      </c>
      <c r="B784" s="61" t="s">
        <v>226</v>
      </c>
      <c r="C784" s="71" t="s">
        <v>18</v>
      </c>
      <c r="D784" s="73">
        <v>43750</v>
      </c>
      <c r="E784" s="61" t="s">
        <v>123</v>
      </c>
      <c r="F784" s="61">
        <v>60812629</v>
      </c>
      <c r="G784" s="61" t="s">
        <v>226</v>
      </c>
      <c r="H784" s="75">
        <v>9000</v>
      </c>
      <c r="I784" s="52" t="s">
        <v>49</v>
      </c>
      <c r="J784" s="61" t="s">
        <v>228</v>
      </c>
      <c r="K784" s="62" t="s">
        <v>711</v>
      </c>
      <c r="L784" s="61"/>
      <c r="M784" s="61"/>
      <c r="N784" s="61"/>
      <c r="O784" s="61"/>
      <c r="P784" s="61">
        <f t="shared" si="36"/>
        <v>10</v>
      </c>
      <c r="Q784" s="61">
        <f t="shared" si="37"/>
        <v>2019</v>
      </c>
      <c r="R784" s="100">
        <f t="shared" si="38"/>
        <v>12</v>
      </c>
    </row>
    <row r="785" spans="1:18" s="59" customFormat="1" x14ac:dyDescent="0.2">
      <c r="A785" s="69">
        <v>43647</v>
      </c>
      <c r="B785" s="61" t="s">
        <v>226</v>
      </c>
      <c r="C785" s="71" t="s">
        <v>18</v>
      </c>
      <c r="D785" s="73">
        <v>43764</v>
      </c>
      <c r="E785" s="61" t="s">
        <v>123</v>
      </c>
      <c r="F785" s="61">
        <v>60812630</v>
      </c>
      <c r="G785" s="61" t="s">
        <v>226</v>
      </c>
      <c r="H785" s="75">
        <v>6020</v>
      </c>
      <c r="I785" s="52" t="s">
        <v>49</v>
      </c>
      <c r="J785" s="61" t="s">
        <v>228</v>
      </c>
      <c r="K785" s="62" t="s">
        <v>712</v>
      </c>
      <c r="L785" s="61"/>
      <c r="M785" s="61"/>
      <c r="N785" s="61"/>
      <c r="O785" s="61"/>
      <c r="P785" s="61">
        <f t="shared" si="36"/>
        <v>10</v>
      </c>
      <c r="Q785" s="61">
        <f t="shared" si="37"/>
        <v>2019</v>
      </c>
      <c r="R785" s="100">
        <f t="shared" si="38"/>
        <v>26</v>
      </c>
    </row>
    <row r="786" spans="1:18" s="59" customFormat="1" x14ac:dyDescent="0.2">
      <c r="A786" s="69">
        <v>43647</v>
      </c>
      <c r="B786" s="61" t="s">
        <v>721</v>
      </c>
      <c r="C786" s="71" t="s">
        <v>18</v>
      </c>
      <c r="D786" s="73">
        <v>43721</v>
      </c>
      <c r="E786" s="61" t="s">
        <v>47</v>
      </c>
      <c r="F786" s="61">
        <v>52679406</v>
      </c>
      <c r="G786" s="61" t="s">
        <v>722</v>
      </c>
      <c r="H786" s="75">
        <v>7000</v>
      </c>
      <c r="I786" s="52" t="s">
        <v>49</v>
      </c>
      <c r="J786" s="61" t="s">
        <v>723</v>
      </c>
      <c r="K786" s="62" t="s">
        <v>724</v>
      </c>
      <c r="L786" s="61"/>
      <c r="M786" s="64">
        <v>43648</v>
      </c>
      <c r="N786" s="61" t="s">
        <v>150</v>
      </c>
      <c r="O786" s="61"/>
      <c r="P786" s="61">
        <f t="shared" si="36"/>
        <v>9</v>
      </c>
      <c r="Q786" s="61">
        <f t="shared" si="37"/>
        <v>2019</v>
      </c>
      <c r="R786" s="100">
        <f t="shared" si="38"/>
        <v>13</v>
      </c>
    </row>
    <row r="787" spans="1:18" s="59" customFormat="1" x14ac:dyDescent="0.2">
      <c r="A787" s="69">
        <v>43647</v>
      </c>
      <c r="B787" s="61" t="s">
        <v>28</v>
      </c>
      <c r="C787" s="71" t="s">
        <v>18</v>
      </c>
      <c r="D787" s="73">
        <v>43722</v>
      </c>
      <c r="E787" s="61" t="s">
        <v>47</v>
      </c>
      <c r="F787" s="61">
        <v>65216614</v>
      </c>
      <c r="G787" s="61" t="s">
        <v>725</v>
      </c>
      <c r="H787" s="75">
        <v>3460</v>
      </c>
      <c r="I787" s="52" t="s">
        <v>49</v>
      </c>
      <c r="J787" s="61" t="s">
        <v>726</v>
      </c>
      <c r="K787" s="62" t="s">
        <v>727</v>
      </c>
      <c r="L787" s="61"/>
      <c r="M787" s="63">
        <v>43725</v>
      </c>
      <c r="N787" s="61"/>
      <c r="O787" s="61"/>
      <c r="P787" s="61">
        <f t="shared" si="36"/>
        <v>9</v>
      </c>
      <c r="Q787" s="61">
        <f t="shared" si="37"/>
        <v>2019</v>
      </c>
      <c r="R787" s="100">
        <f t="shared" si="38"/>
        <v>14</v>
      </c>
    </row>
    <row r="788" spans="1:18" s="59" customFormat="1" x14ac:dyDescent="0.2">
      <c r="A788" s="69">
        <v>43647</v>
      </c>
      <c r="B788" s="61" t="s">
        <v>226</v>
      </c>
      <c r="C788" s="71" t="s">
        <v>18</v>
      </c>
      <c r="D788" s="73">
        <v>43723</v>
      </c>
      <c r="E788" s="61" t="s">
        <v>123</v>
      </c>
      <c r="F788" s="61">
        <v>60812626</v>
      </c>
      <c r="G788" s="61" t="s">
        <v>226</v>
      </c>
      <c r="H788" s="75">
        <v>4500</v>
      </c>
      <c r="I788" s="52" t="s">
        <v>97</v>
      </c>
      <c r="J788" s="61" t="s">
        <v>228</v>
      </c>
      <c r="K788" s="62" t="s">
        <v>728</v>
      </c>
      <c r="L788" s="61"/>
      <c r="M788" s="64">
        <v>43656</v>
      </c>
      <c r="N788" s="61" t="s">
        <v>661</v>
      </c>
      <c r="O788" s="61"/>
      <c r="P788" s="61">
        <f t="shared" si="36"/>
        <v>9</v>
      </c>
      <c r="Q788" s="61">
        <f t="shared" si="37"/>
        <v>2019</v>
      </c>
      <c r="R788" s="100">
        <f t="shared" si="38"/>
        <v>15</v>
      </c>
    </row>
    <row r="789" spans="1:18" s="59" customFormat="1" x14ac:dyDescent="0.2">
      <c r="A789" s="69">
        <v>43647</v>
      </c>
      <c r="B789" s="61" t="s">
        <v>28</v>
      </c>
      <c r="C789" s="71" t="s">
        <v>18</v>
      </c>
      <c r="D789" s="73">
        <v>43728</v>
      </c>
      <c r="E789" s="61" t="s">
        <v>53</v>
      </c>
      <c r="F789" s="61">
        <v>52900207</v>
      </c>
      <c r="G789" s="61" t="s">
        <v>694</v>
      </c>
      <c r="H789" s="75">
        <v>6500</v>
      </c>
      <c r="I789" s="52" t="s">
        <v>97</v>
      </c>
      <c r="J789" s="61" t="s">
        <v>695</v>
      </c>
      <c r="K789" s="62" t="s">
        <v>729</v>
      </c>
      <c r="L789" s="61"/>
      <c r="M789" s="64">
        <v>43649</v>
      </c>
      <c r="N789" s="61" t="s">
        <v>594</v>
      </c>
      <c r="O789" s="61"/>
      <c r="P789" s="61">
        <f t="shared" si="36"/>
        <v>9</v>
      </c>
      <c r="Q789" s="61">
        <f t="shared" si="37"/>
        <v>2019</v>
      </c>
      <c r="R789" s="100">
        <f t="shared" si="38"/>
        <v>20</v>
      </c>
    </row>
    <row r="790" spans="1:18" s="59" customFormat="1" x14ac:dyDescent="0.2">
      <c r="A790" s="69">
        <v>43647</v>
      </c>
      <c r="B790" s="61" t="s">
        <v>435</v>
      </c>
      <c r="C790" s="71" t="s">
        <v>18</v>
      </c>
      <c r="D790" s="73">
        <v>43729</v>
      </c>
      <c r="E790" s="61" t="s">
        <v>65</v>
      </c>
      <c r="F790" s="61">
        <v>48560130</v>
      </c>
      <c r="G790" s="61" t="s">
        <v>435</v>
      </c>
      <c r="H790" s="75">
        <v>3200</v>
      </c>
      <c r="I790" s="52" t="s">
        <v>97</v>
      </c>
      <c r="J790" s="61" t="s">
        <v>436</v>
      </c>
      <c r="K790" s="62" t="s">
        <v>730</v>
      </c>
      <c r="L790" s="61"/>
      <c r="M790" s="64">
        <v>43656</v>
      </c>
      <c r="N790" s="61" t="s">
        <v>661</v>
      </c>
      <c r="O790" s="61"/>
      <c r="P790" s="61">
        <f t="shared" si="36"/>
        <v>9</v>
      </c>
      <c r="Q790" s="61">
        <f t="shared" si="37"/>
        <v>2019</v>
      </c>
      <c r="R790" s="100">
        <f t="shared" si="38"/>
        <v>21</v>
      </c>
    </row>
    <row r="791" spans="1:18" s="59" customFormat="1" x14ac:dyDescent="0.2">
      <c r="A791" s="69">
        <v>43647</v>
      </c>
      <c r="B791" s="61" t="s">
        <v>28</v>
      </c>
      <c r="C791" s="71" t="s">
        <v>18</v>
      </c>
      <c r="D791" s="73">
        <v>43729</v>
      </c>
      <c r="E791" s="61" t="s">
        <v>47</v>
      </c>
      <c r="F791" s="61">
        <v>65216616</v>
      </c>
      <c r="G791" s="61" t="s">
        <v>725</v>
      </c>
      <c r="H791" s="75">
        <v>3460</v>
      </c>
      <c r="I791" s="52" t="s">
        <v>49</v>
      </c>
      <c r="J791" s="61" t="s">
        <v>726</v>
      </c>
      <c r="K791" s="62" t="s">
        <v>731</v>
      </c>
      <c r="L791" s="61"/>
      <c r="M791" s="63">
        <v>43731</v>
      </c>
      <c r="N791" s="61"/>
      <c r="O791" s="61"/>
      <c r="P791" s="61">
        <f t="shared" si="36"/>
        <v>9</v>
      </c>
      <c r="Q791" s="61">
        <f t="shared" si="37"/>
        <v>2019</v>
      </c>
      <c r="R791" s="100">
        <f t="shared" si="38"/>
        <v>21</v>
      </c>
    </row>
    <row r="792" spans="1:18" s="59" customFormat="1" x14ac:dyDescent="0.2">
      <c r="A792" s="69">
        <v>43648</v>
      </c>
      <c r="B792" s="61" t="s">
        <v>42</v>
      </c>
      <c r="C792" s="71" t="s">
        <v>18</v>
      </c>
      <c r="D792" s="74">
        <v>43687</v>
      </c>
      <c r="E792" s="61" t="s">
        <v>47</v>
      </c>
      <c r="F792" s="61">
        <v>62288615</v>
      </c>
      <c r="G792" s="61" t="s">
        <v>638</v>
      </c>
      <c r="H792" s="75">
        <v>2990</v>
      </c>
      <c r="I792" s="52" t="s">
        <v>49</v>
      </c>
      <c r="J792" s="223" t="s">
        <v>639</v>
      </c>
      <c r="K792" s="62" t="s">
        <v>640</v>
      </c>
      <c r="L792" s="61"/>
      <c r="M792" s="63">
        <v>43691</v>
      </c>
      <c r="N792" s="61"/>
      <c r="O792" s="61"/>
      <c r="P792" s="61">
        <f t="shared" si="36"/>
        <v>8</v>
      </c>
      <c r="Q792" s="61">
        <f t="shared" si="37"/>
        <v>2019</v>
      </c>
      <c r="R792" s="100">
        <f t="shared" si="38"/>
        <v>10</v>
      </c>
    </row>
    <row r="793" spans="1:18" s="59" customFormat="1" x14ac:dyDescent="0.2">
      <c r="A793" s="69">
        <v>43648</v>
      </c>
      <c r="B793" s="61" t="s">
        <v>42</v>
      </c>
      <c r="C793" s="71" t="s">
        <v>18</v>
      </c>
      <c r="D793" s="74">
        <v>43687</v>
      </c>
      <c r="E793" s="61" t="s">
        <v>47</v>
      </c>
      <c r="F793" s="61">
        <v>53575247</v>
      </c>
      <c r="G793" s="61" t="s">
        <v>635</v>
      </c>
      <c r="H793" s="75">
        <v>5000</v>
      </c>
      <c r="I793" s="52" t="s">
        <v>49</v>
      </c>
      <c r="J793" s="223" t="s">
        <v>636</v>
      </c>
      <c r="K793" s="62" t="s">
        <v>637</v>
      </c>
      <c r="L793" s="61"/>
      <c r="M793" s="63">
        <v>43691</v>
      </c>
      <c r="N793" s="61"/>
      <c r="O793" s="61"/>
      <c r="P793" s="61">
        <f t="shared" si="36"/>
        <v>8</v>
      </c>
      <c r="Q793" s="61">
        <f t="shared" si="37"/>
        <v>2019</v>
      </c>
      <c r="R793" s="100">
        <f t="shared" si="38"/>
        <v>10</v>
      </c>
    </row>
    <row r="794" spans="1:18" s="59" customFormat="1" x14ac:dyDescent="0.2">
      <c r="A794" s="69">
        <v>43648</v>
      </c>
      <c r="B794" s="61" t="s">
        <v>42</v>
      </c>
      <c r="C794" s="71" t="s">
        <v>18</v>
      </c>
      <c r="D794" s="74">
        <v>43737</v>
      </c>
      <c r="E794" s="61" t="s">
        <v>47</v>
      </c>
      <c r="F794" s="61">
        <v>66810222</v>
      </c>
      <c r="G794" s="61" t="s">
        <v>631</v>
      </c>
      <c r="H794" s="75">
        <v>8000</v>
      </c>
      <c r="I794" s="52" t="s">
        <v>49</v>
      </c>
      <c r="J794" s="223" t="s">
        <v>632</v>
      </c>
      <c r="K794" s="62" t="s">
        <v>634</v>
      </c>
      <c r="L794" s="61"/>
      <c r="M794" s="64">
        <v>43656</v>
      </c>
      <c r="N794" s="61" t="s">
        <v>150</v>
      </c>
      <c r="O794" s="61"/>
      <c r="P794" s="61">
        <f t="shared" si="36"/>
        <v>9</v>
      </c>
      <c r="Q794" s="61">
        <f t="shared" si="37"/>
        <v>2019</v>
      </c>
      <c r="R794" s="100">
        <f t="shared" si="38"/>
        <v>29</v>
      </c>
    </row>
    <row r="795" spans="1:18" s="59" customFormat="1" x14ac:dyDescent="0.2">
      <c r="A795" s="69">
        <v>43648</v>
      </c>
      <c r="B795" s="61" t="s">
        <v>42</v>
      </c>
      <c r="C795" s="71" t="s">
        <v>18</v>
      </c>
      <c r="D795" s="74">
        <v>43723</v>
      </c>
      <c r="E795" s="61" t="s">
        <v>47</v>
      </c>
      <c r="F795" s="61">
        <v>66810221</v>
      </c>
      <c r="G795" s="61" t="s">
        <v>631</v>
      </c>
      <c r="H795" s="75">
        <v>8000</v>
      </c>
      <c r="I795" s="52" t="s">
        <v>49</v>
      </c>
      <c r="J795" s="223" t="s">
        <v>632</v>
      </c>
      <c r="K795" s="62" t="s">
        <v>633</v>
      </c>
      <c r="L795" s="61"/>
      <c r="M795" s="64">
        <v>43648</v>
      </c>
      <c r="N795" s="61" t="s">
        <v>150</v>
      </c>
      <c r="O795" s="61"/>
      <c r="P795" s="61">
        <f t="shared" si="36"/>
        <v>9</v>
      </c>
      <c r="Q795" s="61">
        <f t="shared" si="37"/>
        <v>2019</v>
      </c>
      <c r="R795" s="100">
        <f t="shared" si="38"/>
        <v>15</v>
      </c>
    </row>
    <row r="796" spans="1:18" s="59" customFormat="1" x14ac:dyDescent="0.2">
      <c r="A796" s="69">
        <v>43648</v>
      </c>
      <c r="B796" s="61" t="s">
        <v>42</v>
      </c>
      <c r="C796" s="71" t="s">
        <v>18</v>
      </c>
      <c r="D796" s="74">
        <v>43692</v>
      </c>
      <c r="E796" s="61" t="s">
        <v>123</v>
      </c>
      <c r="F796" s="61">
        <v>48205229</v>
      </c>
      <c r="G796" s="61" t="s">
        <v>628</v>
      </c>
      <c r="H796" s="75">
        <v>8500</v>
      </c>
      <c r="I796" s="52" t="s">
        <v>49</v>
      </c>
      <c r="J796" s="223" t="s">
        <v>629</v>
      </c>
      <c r="K796" s="62" t="s">
        <v>630</v>
      </c>
      <c r="L796" s="61"/>
      <c r="M796" s="64">
        <v>43657</v>
      </c>
      <c r="N796" s="61" t="s">
        <v>150</v>
      </c>
      <c r="O796" s="61"/>
      <c r="P796" s="61">
        <f t="shared" si="36"/>
        <v>8</v>
      </c>
      <c r="Q796" s="61">
        <f t="shared" si="37"/>
        <v>2019</v>
      </c>
      <c r="R796" s="100">
        <f t="shared" si="38"/>
        <v>15</v>
      </c>
    </row>
    <row r="797" spans="1:18" s="59" customFormat="1" x14ac:dyDescent="0.2">
      <c r="A797" s="69">
        <v>43648</v>
      </c>
      <c r="B797" s="61" t="s">
        <v>42</v>
      </c>
      <c r="C797" s="71" t="s">
        <v>18</v>
      </c>
      <c r="D797" s="74">
        <v>43736</v>
      </c>
      <c r="E797" s="61" t="s">
        <v>43</v>
      </c>
      <c r="F797" s="61">
        <v>95451827</v>
      </c>
      <c r="G797" s="61" t="s">
        <v>617</v>
      </c>
      <c r="H797" s="75">
        <v>9796</v>
      </c>
      <c r="I797" s="52" t="s">
        <v>49</v>
      </c>
      <c r="J797" s="223" t="s">
        <v>619</v>
      </c>
      <c r="K797" s="62" t="s">
        <v>621</v>
      </c>
      <c r="L797" s="61"/>
      <c r="M797" s="64">
        <v>43656</v>
      </c>
      <c r="N797" s="61" t="s">
        <v>150</v>
      </c>
      <c r="O797" s="61"/>
      <c r="P797" s="61">
        <f t="shared" si="36"/>
        <v>9</v>
      </c>
      <c r="Q797" s="61">
        <f t="shared" si="37"/>
        <v>2019</v>
      </c>
      <c r="R797" s="100">
        <f t="shared" si="38"/>
        <v>28</v>
      </c>
    </row>
    <row r="798" spans="1:18" s="59" customFormat="1" x14ac:dyDescent="0.2">
      <c r="A798" s="69">
        <v>43648</v>
      </c>
      <c r="B798" s="61" t="s">
        <v>42</v>
      </c>
      <c r="C798" s="71" t="s">
        <v>18</v>
      </c>
      <c r="D798" s="74">
        <v>43694</v>
      </c>
      <c r="E798" s="61" t="s">
        <v>57</v>
      </c>
      <c r="F798" s="61">
        <v>70132</v>
      </c>
      <c r="G798" s="61" t="s">
        <v>411</v>
      </c>
      <c r="H798" s="75">
        <v>4150</v>
      </c>
      <c r="I798" s="52" t="s">
        <v>49</v>
      </c>
      <c r="J798" s="223" t="s">
        <v>412</v>
      </c>
      <c r="K798" s="62" t="s">
        <v>612</v>
      </c>
      <c r="L798" s="61"/>
      <c r="M798" s="61"/>
      <c r="N798" s="61"/>
      <c r="O798" s="61"/>
      <c r="P798" s="61">
        <f t="shared" si="36"/>
        <v>8</v>
      </c>
      <c r="Q798" s="61">
        <f t="shared" si="37"/>
        <v>2019</v>
      </c>
      <c r="R798" s="100">
        <f t="shared" si="38"/>
        <v>17</v>
      </c>
    </row>
    <row r="799" spans="1:18" s="59" customFormat="1" x14ac:dyDescent="0.2">
      <c r="A799" s="69">
        <v>43648</v>
      </c>
      <c r="B799" s="61" t="s">
        <v>42</v>
      </c>
      <c r="C799" s="71" t="s">
        <v>18</v>
      </c>
      <c r="D799" s="74">
        <v>43708</v>
      </c>
      <c r="E799" s="61" t="s">
        <v>57</v>
      </c>
      <c r="F799" s="61">
        <v>70133</v>
      </c>
      <c r="G799" s="61" t="s">
        <v>411</v>
      </c>
      <c r="H799" s="75">
        <v>4150</v>
      </c>
      <c r="I799" s="52" t="s">
        <v>150</v>
      </c>
      <c r="J799" s="223" t="s">
        <v>412</v>
      </c>
      <c r="K799" s="62" t="s">
        <v>611</v>
      </c>
      <c r="L799" s="61"/>
      <c r="M799" s="63">
        <v>43711</v>
      </c>
      <c r="N799" s="61"/>
      <c r="O799" s="61"/>
      <c r="P799" s="61">
        <f t="shared" si="36"/>
        <v>8</v>
      </c>
      <c r="Q799" s="61">
        <f t="shared" si="37"/>
        <v>2019</v>
      </c>
      <c r="R799" s="100">
        <f t="shared" si="38"/>
        <v>31</v>
      </c>
    </row>
    <row r="800" spans="1:18" s="59" customFormat="1" x14ac:dyDescent="0.2">
      <c r="A800" s="69">
        <v>43648</v>
      </c>
      <c r="B800" s="61" t="s">
        <v>42</v>
      </c>
      <c r="C800" s="71" t="s">
        <v>18</v>
      </c>
      <c r="D800" s="74">
        <v>43715</v>
      </c>
      <c r="E800" s="61" t="s">
        <v>57</v>
      </c>
      <c r="F800" s="61">
        <v>70134</v>
      </c>
      <c r="G800" s="61" t="s">
        <v>411</v>
      </c>
      <c r="H800" s="75">
        <v>4150</v>
      </c>
      <c r="I800" s="52" t="s">
        <v>49</v>
      </c>
      <c r="J800" s="223" t="s">
        <v>412</v>
      </c>
      <c r="K800" s="62" t="s">
        <v>610</v>
      </c>
      <c r="L800" s="61"/>
      <c r="M800" s="61"/>
      <c r="N800" s="61"/>
      <c r="O800" s="61"/>
      <c r="P800" s="61">
        <f t="shared" si="36"/>
        <v>9</v>
      </c>
      <c r="Q800" s="61">
        <f t="shared" si="37"/>
        <v>2019</v>
      </c>
      <c r="R800" s="100">
        <f t="shared" si="38"/>
        <v>7</v>
      </c>
    </row>
    <row r="801" spans="1:18" s="59" customFormat="1" x14ac:dyDescent="0.2">
      <c r="A801" s="69">
        <v>43648</v>
      </c>
      <c r="B801" s="61" t="s">
        <v>42</v>
      </c>
      <c r="C801" s="71" t="s">
        <v>18</v>
      </c>
      <c r="D801" s="74">
        <v>43722</v>
      </c>
      <c r="E801" s="61" t="s">
        <v>57</v>
      </c>
      <c r="F801" s="61">
        <v>70135</v>
      </c>
      <c r="G801" s="61" t="s">
        <v>411</v>
      </c>
      <c r="H801" s="75">
        <v>4150</v>
      </c>
      <c r="I801" s="52" t="s">
        <v>49</v>
      </c>
      <c r="J801" s="223" t="s">
        <v>412</v>
      </c>
      <c r="K801" s="62" t="s">
        <v>609</v>
      </c>
      <c r="L801" s="61"/>
      <c r="M801" s="61"/>
      <c r="N801" s="61" t="s">
        <v>150</v>
      </c>
      <c r="O801" s="61"/>
      <c r="P801" s="61">
        <f t="shared" si="36"/>
        <v>9</v>
      </c>
      <c r="Q801" s="61">
        <f t="shared" si="37"/>
        <v>2019</v>
      </c>
      <c r="R801" s="100">
        <f t="shared" si="38"/>
        <v>14</v>
      </c>
    </row>
    <row r="802" spans="1:18" s="59" customFormat="1" x14ac:dyDescent="0.2">
      <c r="A802" s="69">
        <v>43648</v>
      </c>
      <c r="B802" s="61" t="s">
        <v>42</v>
      </c>
      <c r="C802" s="71" t="s">
        <v>18</v>
      </c>
      <c r="D802" s="74">
        <v>43729</v>
      </c>
      <c r="E802" s="61" t="s">
        <v>57</v>
      </c>
      <c r="F802" s="61">
        <v>70136</v>
      </c>
      <c r="G802" s="61" t="s">
        <v>411</v>
      </c>
      <c r="H802" s="75">
        <v>4150</v>
      </c>
      <c r="I802" s="52" t="s">
        <v>49</v>
      </c>
      <c r="J802" s="223" t="s">
        <v>412</v>
      </c>
      <c r="K802" s="62" t="s">
        <v>608</v>
      </c>
      <c r="L802" s="61"/>
      <c r="M802" s="61"/>
      <c r="N802" s="61"/>
      <c r="O802" s="61"/>
      <c r="P802" s="61">
        <f t="shared" si="36"/>
        <v>9</v>
      </c>
      <c r="Q802" s="61">
        <f t="shared" si="37"/>
        <v>2019</v>
      </c>
      <c r="R802" s="100">
        <f t="shared" si="38"/>
        <v>21</v>
      </c>
    </row>
    <row r="803" spans="1:18" s="59" customFormat="1" x14ac:dyDescent="0.2">
      <c r="A803" s="69">
        <v>43648</v>
      </c>
      <c r="B803" s="61" t="s">
        <v>42</v>
      </c>
      <c r="C803" s="71" t="s">
        <v>18</v>
      </c>
      <c r="D803" s="74">
        <v>43728</v>
      </c>
      <c r="E803" s="61" t="s">
        <v>47</v>
      </c>
      <c r="F803" s="61">
        <v>67508345</v>
      </c>
      <c r="G803" s="61" t="s">
        <v>598</v>
      </c>
      <c r="H803" s="75">
        <v>3936.25</v>
      </c>
      <c r="I803" s="52" t="s">
        <v>49</v>
      </c>
      <c r="J803" s="223" t="s">
        <v>337</v>
      </c>
      <c r="K803" s="62" t="s">
        <v>607</v>
      </c>
      <c r="L803" s="61"/>
      <c r="M803" s="63">
        <v>43728</v>
      </c>
      <c r="N803" s="61"/>
      <c r="O803" s="61"/>
      <c r="P803" s="61">
        <f t="shared" si="36"/>
        <v>9</v>
      </c>
      <c r="Q803" s="61">
        <f t="shared" si="37"/>
        <v>2019</v>
      </c>
      <c r="R803" s="100">
        <f t="shared" si="38"/>
        <v>20</v>
      </c>
    </row>
    <row r="804" spans="1:18" s="59" customFormat="1" x14ac:dyDescent="0.2">
      <c r="A804" s="69">
        <v>43648</v>
      </c>
      <c r="B804" s="61" t="s">
        <v>42</v>
      </c>
      <c r="C804" s="71" t="s">
        <v>18</v>
      </c>
      <c r="D804" s="74">
        <v>43718</v>
      </c>
      <c r="E804" s="61" t="s">
        <v>47</v>
      </c>
      <c r="F804" s="61">
        <v>67508344</v>
      </c>
      <c r="G804" s="61" t="s">
        <v>598</v>
      </c>
      <c r="H804" s="75">
        <v>3936.25</v>
      </c>
      <c r="I804" s="52" t="s">
        <v>49</v>
      </c>
      <c r="J804" s="223" t="s">
        <v>337</v>
      </c>
      <c r="K804" s="62" t="s">
        <v>606</v>
      </c>
      <c r="L804" s="61"/>
      <c r="M804" s="63">
        <v>43720</v>
      </c>
      <c r="N804" s="61"/>
      <c r="O804" s="61"/>
      <c r="P804" s="61">
        <f t="shared" si="36"/>
        <v>9</v>
      </c>
      <c r="Q804" s="61">
        <f t="shared" si="37"/>
        <v>2019</v>
      </c>
      <c r="R804" s="100">
        <f t="shared" si="38"/>
        <v>10</v>
      </c>
    </row>
    <row r="805" spans="1:18" s="59" customFormat="1" x14ac:dyDescent="0.2">
      <c r="A805" s="69">
        <v>43648</v>
      </c>
      <c r="B805" s="61" t="s">
        <v>42</v>
      </c>
      <c r="C805" s="71" t="s">
        <v>18</v>
      </c>
      <c r="D805" s="74">
        <v>43697</v>
      </c>
      <c r="E805" s="61" t="s">
        <v>47</v>
      </c>
      <c r="F805" s="61">
        <v>67508343</v>
      </c>
      <c r="G805" s="61" t="s">
        <v>598</v>
      </c>
      <c r="H805" s="75">
        <v>3936.25</v>
      </c>
      <c r="I805" s="52" t="s">
        <v>49</v>
      </c>
      <c r="J805" s="223" t="s">
        <v>337</v>
      </c>
      <c r="K805" s="62" t="s">
        <v>605</v>
      </c>
      <c r="L805" s="61"/>
      <c r="M805" s="61"/>
      <c r="N805" s="61"/>
      <c r="O805" s="61"/>
      <c r="P805" s="61">
        <f t="shared" si="36"/>
        <v>8</v>
      </c>
      <c r="Q805" s="61">
        <f t="shared" si="37"/>
        <v>2019</v>
      </c>
      <c r="R805" s="100">
        <f t="shared" si="38"/>
        <v>20</v>
      </c>
    </row>
    <row r="806" spans="1:18" s="59" customFormat="1" x14ac:dyDescent="0.2">
      <c r="A806" s="69">
        <v>43648</v>
      </c>
      <c r="B806" s="61" t="s">
        <v>42</v>
      </c>
      <c r="C806" s="71" t="s">
        <v>18</v>
      </c>
      <c r="D806" s="74">
        <v>43718</v>
      </c>
      <c r="E806" s="61" t="s">
        <v>47</v>
      </c>
      <c r="F806" s="61">
        <v>67205639</v>
      </c>
      <c r="G806" s="61" t="s">
        <v>601</v>
      </c>
      <c r="H806" s="75">
        <v>12368</v>
      </c>
      <c r="I806" s="52" t="s">
        <v>49</v>
      </c>
      <c r="J806" s="223" t="s">
        <v>521</v>
      </c>
      <c r="K806" s="62" t="s">
        <v>604</v>
      </c>
      <c r="L806" s="61"/>
      <c r="M806" s="64">
        <v>43648</v>
      </c>
      <c r="N806" s="61" t="s">
        <v>150</v>
      </c>
      <c r="O806" s="61"/>
      <c r="P806" s="61">
        <f t="shared" si="36"/>
        <v>9</v>
      </c>
      <c r="Q806" s="61">
        <f t="shared" si="37"/>
        <v>2019</v>
      </c>
      <c r="R806" s="100">
        <f t="shared" si="38"/>
        <v>10</v>
      </c>
    </row>
    <row r="807" spans="1:18" s="59" customFormat="1" x14ac:dyDescent="0.2">
      <c r="A807" s="69">
        <v>43648</v>
      </c>
      <c r="B807" s="61" t="s">
        <v>42</v>
      </c>
      <c r="C807" s="71" t="s">
        <v>18</v>
      </c>
      <c r="D807" s="74">
        <v>43682</v>
      </c>
      <c r="E807" s="61" t="s">
        <v>47</v>
      </c>
      <c r="F807" s="61">
        <v>67205637</v>
      </c>
      <c r="G807" s="61" t="s">
        <v>601</v>
      </c>
      <c r="H807" s="75">
        <v>14000</v>
      </c>
      <c r="I807" s="52" t="s">
        <v>49</v>
      </c>
      <c r="J807" s="223" t="s">
        <v>521</v>
      </c>
      <c r="K807" s="62" t="s">
        <v>603</v>
      </c>
      <c r="L807" s="61"/>
      <c r="M807" s="64">
        <v>43648</v>
      </c>
      <c r="N807" s="61" t="s">
        <v>150</v>
      </c>
      <c r="O807" s="61"/>
      <c r="P807" s="61">
        <f t="shared" si="36"/>
        <v>8</v>
      </c>
      <c r="Q807" s="61">
        <f t="shared" si="37"/>
        <v>2019</v>
      </c>
      <c r="R807" s="100">
        <f t="shared" si="38"/>
        <v>5</v>
      </c>
    </row>
    <row r="808" spans="1:18" s="59" customFormat="1" x14ac:dyDescent="0.2">
      <c r="A808" s="69">
        <v>43648</v>
      </c>
      <c r="B808" s="61" t="s">
        <v>42</v>
      </c>
      <c r="C808" s="71" t="s">
        <v>18</v>
      </c>
      <c r="D808" s="74">
        <v>43708</v>
      </c>
      <c r="E808" s="61" t="s">
        <v>47</v>
      </c>
      <c r="F808" s="61">
        <v>67205638</v>
      </c>
      <c r="G808" s="61" t="s">
        <v>601</v>
      </c>
      <c r="H808" s="75">
        <v>14000</v>
      </c>
      <c r="I808" s="52" t="s">
        <v>49</v>
      </c>
      <c r="J808" s="223" t="s">
        <v>521</v>
      </c>
      <c r="K808" s="62" t="s">
        <v>602</v>
      </c>
      <c r="L808" s="61"/>
      <c r="M808" s="64">
        <v>43657</v>
      </c>
      <c r="N808" s="61" t="s">
        <v>150</v>
      </c>
      <c r="O808" s="61"/>
      <c r="P808" s="61">
        <f t="shared" si="36"/>
        <v>8</v>
      </c>
      <c r="Q808" s="61">
        <f t="shared" si="37"/>
        <v>2019</v>
      </c>
      <c r="R808" s="100">
        <f t="shared" si="38"/>
        <v>31</v>
      </c>
    </row>
    <row r="809" spans="1:18" s="59" customFormat="1" x14ac:dyDescent="0.2">
      <c r="A809" s="69">
        <v>43648</v>
      </c>
      <c r="B809" s="61" t="s">
        <v>42</v>
      </c>
      <c r="C809" s="71" t="s">
        <v>18</v>
      </c>
      <c r="D809" s="74">
        <v>43692</v>
      </c>
      <c r="E809" s="61" t="s">
        <v>47</v>
      </c>
      <c r="F809" s="61">
        <v>67508346</v>
      </c>
      <c r="G809" s="61" t="s">
        <v>598</v>
      </c>
      <c r="H809" s="75">
        <v>3936.25</v>
      </c>
      <c r="I809" s="52" t="s">
        <v>49</v>
      </c>
      <c r="J809" s="223" t="s">
        <v>337</v>
      </c>
      <c r="K809" s="62" t="s">
        <v>599</v>
      </c>
      <c r="L809" s="61"/>
      <c r="M809" s="61"/>
      <c r="N809" s="61"/>
      <c r="O809" s="61" t="s">
        <v>600</v>
      </c>
      <c r="P809" s="61">
        <f t="shared" si="36"/>
        <v>8</v>
      </c>
      <c r="Q809" s="61">
        <f t="shared" si="37"/>
        <v>2019</v>
      </c>
      <c r="R809" s="100">
        <f t="shared" si="38"/>
        <v>15</v>
      </c>
    </row>
    <row r="810" spans="1:18" s="59" customFormat="1" x14ac:dyDescent="0.2">
      <c r="A810" s="69">
        <v>43648</v>
      </c>
      <c r="B810" s="61" t="s">
        <v>42</v>
      </c>
      <c r="C810" s="71" t="s">
        <v>18</v>
      </c>
      <c r="D810" s="74">
        <v>43693</v>
      </c>
      <c r="E810" s="61" t="s">
        <v>65</v>
      </c>
      <c r="F810" s="61">
        <v>48560215</v>
      </c>
      <c r="G810" s="61" t="s">
        <v>435</v>
      </c>
      <c r="H810" s="75">
        <v>2000</v>
      </c>
      <c r="I810" s="52" t="s">
        <v>49</v>
      </c>
      <c r="J810" s="223" t="s">
        <v>436</v>
      </c>
      <c r="K810" s="62" t="s">
        <v>597</v>
      </c>
      <c r="L810" s="61"/>
      <c r="M810" s="61"/>
      <c r="N810" s="61"/>
      <c r="O810" s="61"/>
      <c r="P810" s="61">
        <f t="shared" si="36"/>
        <v>8</v>
      </c>
      <c r="Q810" s="61">
        <f t="shared" si="37"/>
        <v>2019</v>
      </c>
      <c r="R810" s="100">
        <f t="shared" si="38"/>
        <v>16</v>
      </c>
    </row>
    <row r="811" spans="1:18" s="59" customFormat="1" x14ac:dyDescent="0.2">
      <c r="A811" s="69">
        <v>43648</v>
      </c>
      <c r="B811" s="61" t="s">
        <v>42</v>
      </c>
      <c r="C811" s="71" t="s">
        <v>18</v>
      </c>
      <c r="D811" s="74">
        <v>43699</v>
      </c>
      <c r="E811" s="61" t="s">
        <v>65</v>
      </c>
      <c r="F811" s="61">
        <v>48560216</v>
      </c>
      <c r="G811" s="61" t="s">
        <v>435</v>
      </c>
      <c r="H811" s="75">
        <v>2000</v>
      </c>
      <c r="I811" s="52" t="s">
        <v>49</v>
      </c>
      <c r="J811" s="223" t="s">
        <v>436</v>
      </c>
      <c r="K811" s="62" t="s">
        <v>596</v>
      </c>
      <c r="L811" s="61"/>
      <c r="M811" s="61"/>
      <c r="N811" s="61"/>
      <c r="O811" s="61"/>
      <c r="P811" s="61">
        <f t="shared" si="36"/>
        <v>8</v>
      </c>
      <c r="Q811" s="61">
        <f t="shared" si="37"/>
        <v>2019</v>
      </c>
      <c r="R811" s="100">
        <f t="shared" si="38"/>
        <v>22</v>
      </c>
    </row>
    <row r="812" spans="1:18" s="59" customFormat="1" x14ac:dyDescent="0.2">
      <c r="A812" s="69">
        <v>43648</v>
      </c>
      <c r="B812" s="61" t="s">
        <v>42</v>
      </c>
      <c r="C812" s="71" t="s">
        <v>18</v>
      </c>
      <c r="D812" s="74">
        <v>43707</v>
      </c>
      <c r="E812" s="61" t="s">
        <v>65</v>
      </c>
      <c r="F812" s="61">
        <v>48560217</v>
      </c>
      <c r="G812" s="61" t="s">
        <v>435</v>
      </c>
      <c r="H812" s="75">
        <v>2000</v>
      </c>
      <c r="I812" s="52" t="s">
        <v>150</v>
      </c>
      <c r="J812" s="223" t="s">
        <v>436</v>
      </c>
      <c r="K812" s="62" t="s">
        <v>595</v>
      </c>
      <c r="L812" s="61"/>
      <c r="M812" s="63">
        <v>43711</v>
      </c>
      <c r="N812" s="61"/>
      <c r="O812" s="61"/>
      <c r="P812" s="61">
        <f t="shared" si="36"/>
        <v>8</v>
      </c>
      <c r="Q812" s="61">
        <f t="shared" si="37"/>
        <v>2019</v>
      </c>
      <c r="R812" s="100">
        <f t="shared" si="38"/>
        <v>30</v>
      </c>
    </row>
    <row r="813" spans="1:18" s="59" customFormat="1" x14ac:dyDescent="0.2">
      <c r="A813" s="69">
        <v>43648</v>
      </c>
      <c r="B813" s="61" t="s">
        <v>42</v>
      </c>
      <c r="C813" s="71" t="s">
        <v>18</v>
      </c>
      <c r="D813" s="74">
        <v>43718</v>
      </c>
      <c r="E813" s="61" t="s">
        <v>65</v>
      </c>
      <c r="F813" s="61">
        <v>48560218</v>
      </c>
      <c r="G813" s="61" t="s">
        <v>435</v>
      </c>
      <c r="H813" s="75">
        <v>2000</v>
      </c>
      <c r="I813" s="52" t="s">
        <v>97</v>
      </c>
      <c r="J813" s="223" t="s">
        <v>436</v>
      </c>
      <c r="K813" s="62" t="s">
        <v>593</v>
      </c>
      <c r="L813" s="61"/>
      <c r="M813" s="64">
        <v>43649</v>
      </c>
      <c r="N813" s="61" t="s">
        <v>594</v>
      </c>
      <c r="O813" s="61"/>
      <c r="P813" s="61">
        <f t="shared" si="36"/>
        <v>9</v>
      </c>
      <c r="Q813" s="61">
        <f t="shared" si="37"/>
        <v>2019</v>
      </c>
      <c r="R813" s="100">
        <f t="shared" si="38"/>
        <v>10</v>
      </c>
    </row>
    <row r="814" spans="1:18" s="59" customFormat="1" x14ac:dyDescent="0.2">
      <c r="A814" s="69">
        <v>43648</v>
      </c>
      <c r="B814" s="61" t="s">
        <v>42</v>
      </c>
      <c r="C814" s="71" t="s">
        <v>18</v>
      </c>
      <c r="D814" s="74">
        <v>43722</v>
      </c>
      <c r="E814" s="61" t="s">
        <v>65</v>
      </c>
      <c r="F814" s="61">
        <v>48560219</v>
      </c>
      <c r="G814" s="61" t="s">
        <v>435</v>
      </c>
      <c r="H814" s="75">
        <v>2000</v>
      </c>
      <c r="I814" s="52" t="s">
        <v>49</v>
      </c>
      <c r="J814" s="223" t="s">
        <v>436</v>
      </c>
      <c r="K814" s="62" t="s">
        <v>592</v>
      </c>
      <c r="L814" s="61"/>
      <c r="M814" s="61"/>
      <c r="N814" s="61"/>
      <c r="O814" s="61"/>
      <c r="P814" s="61">
        <f t="shared" si="36"/>
        <v>9</v>
      </c>
      <c r="Q814" s="61">
        <f t="shared" si="37"/>
        <v>2019</v>
      </c>
      <c r="R814" s="100">
        <f t="shared" si="38"/>
        <v>14</v>
      </c>
    </row>
    <row r="815" spans="1:18" s="59" customFormat="1" x14ac:dyDescent="0.2">
      <c r="A815" s="69">
        <v>43648</v>
      </c>
      <c r="B815" s="61" t="s">
        <v>42</v>
      </c>
      <c r="C815" s="71" t="s">
        <v>18</v>
      </c>
      <c r="D815" s="74">
        <v>43728</v>
      </c>
      <c r="E815" s="61" t="s">
        <v>65</v>
      </c>
      <c r="F815" s="61">
        <v>48560220</v>
      </c>
      <c r="G815" s="61" t="s">
        <v>435</v>
      </c>
      <c r="H815" s="75">
        <v>2000</v>
      </c>
      <c r="I815" s="52" t="s">
        <v>49</v>
      </c>
      <c r="J815" s="223" t="s">
        <v>436</v>
      </c>
      <c r="K815" s="62" t="s">
        <v>591</v>
      </c>
      <c r="L815" s="61"/>
      <c r="M815" s="61"/>
      <c r="N815" s="61"/>
      <c r="O815" s="61"/>
      <c r="P815" s="61">
        <f t="shared" si="36"/>
        <v>9</v>
      </c>
      <c r="Q815" s="61">
        <f t="shared" si="37"/>
        <v>2019</v>
      </c>
      <c r="R815" s="100">
        <f t="shared" si="38"/>
        <v>20</v>
      </c>
    </row>
    <row r="816" spans="1:18" s="59" customFormat="1" x14ac:dyDescent="0.2">
      <c r="A816" s="69">
        <v>43648</v>
      </c>
      <c r="B816" s="61" t="s">
        <v>42</v>
      </c>
      <c r="C816" s="71" t="s">
        <v>18</v>
      </c>
      <c r="D816" s="74">
        <v>43735</v>
      </c>
      <c r="E816" s="61" t="s">
        <v>65</v>
      </c>
      <c r="F816" s="61">
        <v>49706651</v>
      </c>
      <c r="G816" s="61" t="s">
        <v>435</v>
      </c>
      <c r="H816" s="75">
        <v>2000</v>
      </c>
      <c r="I816" s="52" t="s">
        <v>97</v>
      </c>
      <c r="J816" s="223" t="s">
        <v>436</v>
      </c>
      <c r="K816" s="62" t="s">
        <v>590</v>
      </c>
      <c r="L816" s="61"/>
      <c r="M816" s="64">
        <v>43725</v>
      </c>
      <c r="N816" s="61" t="s">
        <v>27</v>
      </c>
      <c r="O816" s="61"/>
      <c r="P816" s="61">
        <f t="shared" si="36"/>
        <v>9</v>
      </c>
      <c r="Q816" s="61">
        <f t="shared" si="37"/>
        <v>2019</v>
      </c>
      <c r="R816" s="100">
        <f t="shared" si="38"/>
        <v>27</v>
      </c>
    </row>
    <row r="817" spans="1:18" s="59" customFormat="1" x14ac:dyDescent="0.2">
      <c r="A817" s="69">
        <v>43648</v>
      </c>
      <c r="B817" s="61" t="s">
        <v>42</v>
      </c>
      <c r="C817" s="71" t="s">
        <v>18</v>
      </c>
      <c r="D817" s="74">
        <v>43738</v>
      </c>
      <c r="E817" s="61" t="s">
        <v>65</v>
      </c>
      <c r="F817" s="61">
        <v>49706652</v>
      </c>
      <c r="G817" s="61" t="s">
        <v>435</v>
      </c>
      <c r="H817" s="75">
        <v>2000</v>
      </c>
      <c r="I817" s="52" t="s">
        <v>49</v>
      </c>
      <c r="J817" s="223" t="s">
        <v>436</v>
      </c>
      <c r="K817" s="62" t="s">
        <v>589</v>
      </c>
      <c r="L817" s="61"/>
      <c r="M817" s="61"/>
      <c r="N817" s="61"/>
      <c r="O817" s="61"/>
      <c r="P817" s="61">
        <f t="shared" si="36"/>
        <v>9</v>
      </c>
      <c r="Q817" s="61">
        <f t="shared" si="37"/>
        <v>2019</v>
      </c>
      <c r="R817" s="100">
        <f t="shared" si="38"/>
        <v>30</v>
      </c>
    </row>
    <row r="818" spans="1:18" s="59" customFormat="1" x14ac:dyDescent="0.2">
      <c r="A818" s="69">
        <v>43648</v>
      </c>
      <c r="B818" s="61" t="s">
        <v>42</v>
      </c>
      <c r="C818" s="71" t="s">
        <v>18</v>
      </c>
      <c r="D818" s="74">
        <v>43747</v>
      </c>
      <c r="E818" s="61" t="s">
        <v>65</v>
      </c>
      <c r="F818" s="61">
        <v>49706653</v>
      </c>
      <c r="G818" s="61" t="s">
        <v>435</v>
      </c>
      <c r="H818" s="75">
        <v>2000</v>
      </c>
      <c r="I818" s="52" t="s">
        <v>97</v>
      </c>
      <c r="J818" s="223" t="s">
        <v>436</v>
      </c>
      <c r="K818" s="62" t="s">
        <v>588</v>
      </c>
      <c r="L818" s="61"/>
      <c r="M818" s="61"/>
      <c r="N818" s="61" t="s">
        <v>354</v>
      </c>
      <c r="O818" s="61"/>
      <c r="P818" s="61">
        <f t="shared" si="36"/>
        <v>10</v>
      </c>
      <c r="Q818" s="61">
        <f t="shared" si="37"/>
        <v>2019</v>
      </c>
      <c r="R818" s="100">
        <f t="shared" si="38"/>
        <v>9</v>
      </c>
    </row>
    <row r="819" spans="1:18" s="59" customFormat="1" x14ac:dyDescent="0.2">
      <c r="A819" s="69">
        <v>43648</v>
      </c>
      <c r="B819" s="61" t="s">
        <v>42</v>
      </c>
      <c r="C819" s="71" t="s">
        <v>18</v>
      </c>
      <c r="D819" s="73">
        <v>43754</v>
      </c>
      <c r="E819" s="61" t="s">
        <v>65</v>
      </c>
      <c r="F819" s="61">
        <v>49706654</v>
      </c>
      <c r="G819" s="61" t="s">
        <v>435</v>
      </c>
      <c r="H819" s="75">
        <v>2536</v>
      </c>
      <c r="I819" s="52" t="s">
        <v>49</v>
      </c>
      <c r="J819" s="223" t="s">
        <v>436</v>
      </c>
      <c r="K819" s="62" t="s">
        <v>587</v>
      </c>
      <c r="L819" s="61"/>
      <c r="M819" s="61"/>
      <c r="N819" s="61"/>
      <c r="O819" s="61"/>
      <c r="P819" s="61">
        <f t="shared" si="36"/>
        <v>10</v>
      </c>
      <c r="Q819" s="61">
        <f t="shared" si="37"/>
        <v>2019</v>
      </c>
      <c r="R819" s="100">
        <f t="shared" si="38"/>
        <v>16</v>
      </c>
    </row>
    <row r="820" spans="1:18" s="59" customFormat="1" x14ac:dyDescent="0.2">
      <c r="A820" s="69">
        <v>43652</v>
      </c>
      <c r="B820" s="61" t="s">
        <v>585</v>
      </c>
      <c r="C820" s="71" t="s">
        <v>18</v>
      </c>
      <c r="D820" s="74">
        <v>43689</v>
      </c>
      <c r="E820" s="61" t="s">
        <v>47</v>
      </c>
      <c r="F820" s="61">
        <v>69355660</v>
      </c>
      <c r="G820" s="61" t="s">
        <v>281</v>
      </c>
      <c r="H820" s="75">
        <v>6570</v>
      </c>
      <c r="I820" s="52" t="s">
        <v>49</v>
      </c>
      <c r="J820" s="223" t="s">
        <v>282</v>
      </c>
      <c r="K820" s="62" t="s">
        <v>586</v>
      </c>
      <c r="L820" s="61"/>
      <c r="M820" s="61"/>
      <c r="N820" s="61"/>
      <c r="O820" s="61"/>
      <c r="P820" s="61">
        <f t="shared" si="36"/>
        <v>8</v>
      </c>
      <c r="Q820" s="61">
        <f t="shared" si="37"/>
        <v>2019</v>
      </c>
      <c r="R820" s="100">
        <f t="shared" si="38"/>
        <v>12</v>
      </c>
    </row>
    <row r="821" spans="1:18" s="59" customFormat="1" x14ac:dyDescent="0.2">
      <c r="A821" s="69">
        <v>43652</v>
      </c>
      <c r="B821" s="61" t="s">
        <v>580</v>
      </c>
      <c r="C821" s="71" t="s">
        <v>18</v>
      </c>
      <c r="D821" s="74">
        <v>43692</v>
      </c>
      <c r="E821" s="61" t="s">
        <v>65</v>
      </c>
      <c r="F821" s="61">
        <v>49851484</v>
      </c>
      <c r="G821" s="61" t="s">
        <v>581</v>
      </c>
      <c r="H821" s="75">
        <v>10000</v>
      </c>
      <c r="I821" s="52" t="s">
        <v>49</v>
      </c>
      <c r="J821" s="223" t="s">
        <v>582</v>
      </c>
      <c r="K821" s="62" t="s">
        <v>584</v>
      </c>
      <c r="L821" s="61"/>
      <c r="M821" s="64">
        <v>43657</v>
      </c>
      <c r="N821" s="61" t="s">
        <v>150</v>
      </c>
      <c r="O821" s="61"/>
      <c r="P821" s="61">
        <f t="shared" si="36"/>
        <v>8</v>
      </c>
      <c r="Q821" s="61">
        <f t="shared" si="37"/>
        <v>2019</v>
      </c>
      <c r="R821" s="100">
        <f t="shared" si="38"/>
        <v>15</v>
      </c>
    </row>
    <row r="822" spans="1:18" s="59" customFormat="1" x14ac:dyDescent="0.2">
      <c r="A822" s="69">
        <v>43652</v>
      </c>
      <c r="B822" s="61" t="s">
        <v>580</v>
      </c>
      <c r="C822" s="71" t="s">
        <v>18</v>
      </c>
      <c r="D822" s="74">
        <v>43695</v>
      </c>
      <c r="E822" s="61" t="s">
        <v>65</v>
      </c>
      <c r="F822" s="61">
        <v>49851485</v>
      </c>
      <c r="G822" s="61" t="s">
        <v>581</v>
      </c>
      <c r="H822" s="75">
        <v>10000</v>
      </c>
      <c r="I822" s="52" t="s">
        <v>49</v>
      </c>
      <c r="J822" s="223" t="s">
        <v>582</v>
      </c>
      <c r="K822" s="62" t="s">
        <v>583</v>
      </c>
      <c r="L822" s="61"/>
      <c r="M822" s="64">
        <v>43657</v>
      </c>
      <c r="N822" s="61" t="s">
        <v>150</v>
      </c>
      <c r="O822" s="61"/>
      <c r="P822" s="61">
        <f t="shared" si="36"/>
        <v>8</v>
      </c>
      <c r="Q822" s="61">
        <f t="shared" si="37"/>
        <v>2019</v>
      </c>
      <c r="R822" s="100">
        <f t="shared" si="38"/>
        <v>18</v>
      </c>
    </row>
    <row r="823" spans="1:18" s="59" customFormat="1" x14ac:dyDescent="0.2">
      <c r="A823" s="69">
        <v>43656</v>
      </c>
      <c r="B823" s="61" t="s">
        <v>570</v>
      </c>
      <c r="C823" s="71" t="s">
        <v>18</v>
      </c>
      <c r="D823" s="73">
        <v>43756</v>
      </c>
      <c r="E823" s="61" t="s">
        <v>57</v>
      </c>
      <c r="F823" s="61">
        <v>70205</v>
      </c>
      <c r="G823" s="61" t="s">
        <v>411</v>
      </c>
      <c r="H823" s="75">
        <v>4580</v>
      </c>
      <c r="I823" s="52" t="s">
        <v>49</v>
      </c>
      <c r="J823" s="223" t="s">
        <v>412</v>
      </c>
      <c r="K823" s="62" t="s">
        <v>572</v>
      </c>
      <c r="L823" s="61"/>
      <c r="M823" s="61"/>
      <c r="N823" s="61"/>
      <c r="O823" s="70" t="s">
        <v>569</v>
      </c>
      <c r="P823" s="61">
        <f t="shared" si="36"/>
        <v>10</v>
      </c>
      <c r="Q823" s="61">
        <f t="shared" si="37"/>
        <v>2019</v>
      </c>
      <c r="R823" s="100">
        <f t="shared" si="38"/>
        <v>18</v>
      </c>
    </row>
    <row r="824" spans="1:18" s="59" customFormat="1" x14ac:dyDescent="0.2">
      <c r="A824" s="69">
        <v>43656</v>
      </c>
      <c r="B824" s="61" t="s">
        <v>570</v>
      </c>
      <c r="C824" s="71" t="s">
        <v>18</v>
      </c>
      <c r="D824" s="74">
        <v>43686</v>
      </c>
      <c r="E824" s="61" t="s">
        <v>57</v>
      </c>
      <c r="F824" s="61">
        <v>1227</v>
      </c>
      <c r="G824" s="61" t="s">
        <v>411</v>
      </c>
      <c r="H824" s="75">
        <v>4000</v>
      </c>
      <c r="I824" s="52" t="s">
        <v>49</v>
      </c>
      <c r="J824" s="223" t="s">
        <v>412</v>
      </c>
      <c r="K824" s="62" t="s">
        <v>571</v>
      </c>
      <c r="L824" s="61"/>
      <c r="M824" s="61"/>
      <c r="N824" s="61"/>
      <c r="O824" s="70" t="s">
        <v>569</v>
      </c>
      <c r="P824" s="61">
        <f t="shared" si="36"/>
        <v>8</v>
      </c>
      <c r="Q824" s="61">
        <f t="shared" si="37"/>
        <v>2019</v>
      </c>
      <c r="R824" s="100">
        <f t="shared" si="38"/>
        <v>9</v>
      </c>
    </row>
    <row r="825" spans="1:18" s="59" customFormat="1" x14ac:dyDescent="0.2">
      <c r="A825" s="67">
        <v>43752</v>
      </c>
      <c r="B825" s="61" t="s">
        <v>18</v>
      </c>
      <c r="C825" s="71" t="s">
        <v>18</v>
      </c>
      <c r="D825" s="73">
        <v>43699</v>
      </c>
      <c r="E825" s="61" t="s">
        <v>535</v>
      </c>
      <c r="F825" s="61">
        <v>24780654</v>
      </c>
      <c r="G825" s="61" t="s">
        <v>18</v>
      </c>
      <c r="H825" s="75">
        <v>13000</v>
      </c>
      <c r="I825" s="52" t="s">
        <v>49</v>
      </c>
      <c r="J825" s="223" t="s">
        <v>536</v>
      </c>
      <c r="K825" s="62" t="s">
        <v>537</v>
      </c>
      <c r="L825" s="61"/>
      <c r="M825" s="61"/>
      <c r="N825" s="61"/>
      <c r="O825" s="61"/>
      <c r="P825" s="61">
        <f t="shared" si="36"/>
        <v>8</v>
      </c>
      <c r="Q825" s="61">
        <f t="shared" si="37"/>
        <v>2019</v>
      </c>
      <c r="R825" s="100">
        <f t="shared" si="38"/>
        <v>22</v>
      </c>
    </row>
    <row r="826" spans="1:18" s="59" customFormat="1" x14ac:dyDescent="0.2">
      <c r="A826" s="67">
        <v>43752</v>
      </c>
      <c r="B826" s="61" t="s">
        <v>180</v>
      </c>
      <c r="C826" s="71" t="s">
        <v>18</v>
      </c>
      <c r="D826" s="73">
        <v>43799</v>
      </c>
      <c r="E826" s="61" t="s">
        <v>65</v>
      </c>
      <c r="F826" s="61">
        <v>20650404</v>
      </c>
      <c r="G826" s="61" t="s">
        <v>180</v>
      </c>
      <c r="H826" s="75">
        <v>10000</v>
      </c>
      <c r="I826" s="52" t="s">
        <v>49</v>
      </c>
      <c r="J826" s="223" t="s">
        <v>200</v>
      </c>
      <c r="K826" s="62" t="s">
        <v>525</v>
      </c>
      <c r="L826" s="61"/>
      <c r="M826" s="63"/>
      <c r="N826" s="61"/>
      <c r="O826" s="61"/>
      <c r="P826" s="61">
        <f t="shared" si="36"/>
        <v>11</v>
      </c>
      <c r="Q826" s="61">
        <f t="shared" si="37"/>
        <v>2019</v>
      </c>
      <c r="R826" s="100">
        <f t="shared" si="38"/>
        <v>30</v>
      </c>
    </row>
    <row r="827" spans="1:18" s="59" customFormat="1" x14ac:dyDescent="0.2">
      <c r="A827" s="67">
        <v>43752</v>
      </c>
      <c r="B827" s="61" t="s">
        <v>180</v>
      </c>
      <c r="C827" s="71" t="s">
        <v>18</v>
      </c>
      <c r="D827" s="73">
        <v>43830</v>
      </c>
      <c r="E827" s="61" t="s">
        <v>65</v>
      </c>
      <c r="F827" s="61">
        <v>20650407</v>
      </c>
      <c r="G827" s="61" t="s">
        <v>180</v>
      </c>
      <c r="H827" s="75">
        <v>10000</v>
      </c>
      <c r="I827" s="52" t="s">
        <v>97</v>
      </c>
      <c r="J827" s="223" t="s">
        <v>200</v>
      </c>
      <c r="K827" s="62" t="s">
        <v>524</v>
      </c>
      <c r="L827" s="61"/>
      <c r="M827" s="63"/>
      <c r="N827" s="61"/>
      <c r="O827" s="61"/>
      <c r="P827" s="61">
        <f t="shared" si="36"/>
        <v>12</v>
      </c>
      <c r="Q827" s="61">
        <f t="shared" si="37"/>
        <v>2019</v>
      </c>
      <c r="R827" s="100">
        <f t="shared" si="38"/>
        <v>31</v>
      </c>
    </row>
    <row r="828" spans="1:18" s="59" customFormat="1" x14ac:dyDescent="0.2">
      <c r="A828" s="67">
        <v>43752</v>
      </c>
      <c r="B828" s="61" t="s">
        <v>42</v>
      </c>
      <c r="C828" s="71" t="s">
        <v>18</v>
      </c>
      <c r="D828" s="73">
        <v>43738</v>
      </c>
      <c r="E828" s="61" t="s">
        <v>47</v>
      </c>
      <c r="F828" s="61">
        <v>69047186</v>
      </c>
      <c r="G828" s="61" t="s">
        <v>42</v>
      </c>
      <c r="H828" s="75">
        <v>19250</v>
      </c>
      <c r="I828" s="52" t="s">
        <v>49</v>
      </c>
      <c r="J828" s="223" t="s">
        <v>521</v>
      </c>
      <c r="K828" s="62" t="s">
        <v>523</v>
      </c>
      <c r="L828" s="61"/>
      <c r="M828" s="63"/>
      <c r="N828" s="61"/>
      <c r="O828" s="61"/>
      <c r="P828" s="61">
        <f t="shared" si="36"/>
        <v>9</v>
      </c>
      <c r="Q828" s="61">
        <f t="shared" si="37"/>
        <v>2019</v>
      </c>
      <c r="R828" s="100">
        <f t="shared" si="38"/>
        <v>30</v>
      </c>
    </row>
    <row r="829" spans="1:18" s="59" customFormat="1" x14ac:dyDescent="0.2">
      <c r="A829" s="67">
        <v>43752</v>
      </c>
      <c r="B829" s="61" t="s">
        <v>42</v>
      </c>
      <c r="C829" s="71" t="s">
        <v>18</v>
      </c>
      <c r="D829" s="73">
        <v>43715</v>
      </c>
      <c r="E829" s="61" t="s">
        <v>47</v>
      </c>
      <c r="F829" s="61">
        <v>69047181</v>
      </c>
      <c r="G829" s="61" t="s">
        <v>42</v>
      </c>
      <c r="H829" s="75">
        <v>19310</v>
      </c>
      <c r="I829" s="52" t="s">
        <v>49</v>
      </c>
      <c r="J829" s="223" t="s">
        <v>521</v>
      </c>
      <c r="K829" s="62" t="s">
        <v>522</v>
      </c>
      <c r="L829" s="61"/>
      <c r="M829" s="63">
        <v>43727</v>
      </c>
      <c r="N829" s="61"/>
      <c r="O829" s="61"/>
      <c r="P829" s="61">
        <f t="shared" si="36"/>
        <v>9</v>
      </c>
      <c r="Q829" s="61">
        <f t="shared" si="37"/>
        <v>2019</v>
      </c>
      <c r="R829" s="100">
        <f t="shared" si="38"/>
        <v>7</v>
      </c>
    </row>
    <row r="830" spans="1:18" s="59" customFormat="1" x14ac:dyDescent="0.2">
      <c r="A830" s="67">
        <v>43752</v>
      </c>
      <c r="B830" s="61" t="s">
        <v>439</v>
      </c>
      <c r="C830" s="71" t="s">
        <v>18</v>
      </c>
      <c r="D830" s="73">
        <v>43679</v>
      </c>
      <c r="E830" s="61" t="s">
        <v>47</v>
      </c>
      <c r="F830" s="61">
        <v>67231187</v>
      </c>
      <c r="G830" s="61" t="s">
        <v>439</v>
      </c>
      <c r="H830" s="75">
        <v>42872.18</v>
      </c>
      <c r="I830" s="52" t="s">
        <v>49</v>
      </c>
      <c r="J830" s="223" t="s">
        <v>364</v>
      </c>
      <c r="K830" s="62" t="s">
        <v>520</v>
      </c>
      <c r="L830" s="61"/>
      <c r="M830" s="63">
        <v>43690</v>
      </c>
      <c r="N830" s="61"/>
      <c r="O830" s="61"/>
      <c r="P830" s="61">
        <f t="shared" si="36"/>
        <v>8</v>
      </c>
      <c r="Q830" s="61">
        <f t="shared" si="37"/>
        <v>2019</v>
      </c>
      <c r="R830" s="100">
        <f t="shared" si="38"/>
        <v>2</v>
      </c>
    </row>
    <row r="831" spans="1:18" s="59" customFormat="1" x14ac:dyDescent="0.2">
      <c r="A831" s="67">
        <v>43752</v>
      </c>
      <c r="B831" s="61" t="s">
        <v>439</v>
      </c>
      <c r="C831" s="71" t="s">
        <v>18</v>
      </c>
      <c r="D831" s="73">
        <v>43728</v>
      </c>
      <c r="E831" s="61" t="s">
        <v>53</v>
      </c>
      <c r="F831" s="61">
        <v>3179</v>
      </c>
      <c r="G831" s="61" t="s">
        <v>439</v>
      </c>
      <c r="H831" s="75">
        <v>12557</v>
      </c>
      <c r="I831" s="52" t="s">
        <v>150</v>
      </c>
      <c r="J831" s="223" t="s">
        <v>364</v>
      </c>
      <c r="K831" s="62" t="s">
        <v>519</v>
      </c>
      <c r="L831" s="61"/>
      <c r="M831" s="63">
        <v>43642</v>
      </c>
      <c r="N831" s="61"/>
      <c r="O831" s="61"/>
      <c r="P831" s="61">
        <f t="shared" si="36"/>
        <v>9</v>
      </c>
      <c r="Q831" s="61">
        <f t="shared" si="37"/>
        <v>2019</v>
      </c>
      <c r="R831" s="100">
        <f t="shared" si="38"/>
        <v>20</v>
      </c>
    </row>
    <row r="832" spans="1:18" s="59" customFormat="1" x14ac:dyDescent="0.2">
      <c r="A832" s="67">
        <v>43752</v>
      </c>
      <c r="B832" s="61" t="s">
        <v>439</v>
      </c>
      <c r="C832" s="71" t="s">
        <v>18</v>
      </c>
      <c r="D832" s="73">
        <v>43738</v>
      </c>
      <c r="E832" s="61" t="s">
        <v>53</v>
      </c>
      <c r="F832" s="61">
        <v>3180</v>
      </c>
      <c r="G832" s="61" t="s">
        <v>439</v>
      </c>
      <c r="H832" s="75">
        <v>20000</v>
      </c>
      <c r="I832" s="52" t="s">
        <v>49</v>
      </c>
      <c r="J832" s="223" t="s">
        <v>364</v>
      </c>
      <c r="K832" s="62" t="s">
        <v>518</v>
      </c>
      <c r="L832" s="61"/>
      <c r="M832" s="63"/>
      <c r="N832" s="61"/>
      <c r="O832" s="61"/>
      <c r="P832" s="61">
        <f t="shared" si="36"/>
        <v>9</v>
      </c>
      <c r="Q832" s="61">
        <f t="shared" si="37"/>
        <v>2019</v>
      </c>
      <c r="R832" s="100">
        <f t="shared" si="38"/>
        <v>30</v>
      </c>
    </row>
    <row r="833" spans="1:18" s="59" customFormat="1" x14ac:dyDescent="0.2">
      <c r="A833" s="67">
        <v>43752</v>
      </c>
      <c r="B833" s="61" t="s">
        <v>439</v>
      </c>
      <c r="C833" s="71" t="s">
        <v>18</v>
      </c>
      <c r="D833" s="73">
        <v>43759</v>
      </c>
      <c r="E833" s="61" t="s">
        <v>53</v>
      </c>
      <c r="F833" s="61">
        <v>3181</v>
      </c>
      <c r="G833" s="61" t="s">
        <v>439</v>
      </c>
      <c r="H833" s="75">
        <v>25000</v>
      </c>
      <c r="I833" s="52" t="s">
        <v>49</v>
      </c>
      <c r="J833" s="223" t="s">
        <v>364</v>
      </c>
      <c r="K833" s="62" t="s">
        <v>517</v>
      </c>
      <c r="L833" s="61"/>
      <c r="M833" s="63"/>
      <c r="N833" s="61"/>
      <c r="O833" s="61"/>
      <c r="P833" s="61">
        <f t="shared" si="36"/>
        <v>10</v>
      </c>
      <c r="Q833" s="61">
        <f t="shared" si="37"/>
        <v>2019</v>
      </c>
      <c r="R833" s="100">
        <f t="shared" si="38"/>
        <v>21</v>
      </c>
    </row>
    <row r="834" spans="1:18" s="59" customFormat="1" x14ac:dyDescent="0.2">
      <c r="A834" s="67">
        <v>43752</v>
      </c>
      <c r="B834" s="61" t="s">
        <v>439</v>
      </c>
      <c r="C834" s="71" t="s">
        <v>18</v>
      </c>
      <c r="D834" s="73">
        <v>43769</v>
      </c>
      <c r="E834" s="61" t="s">
        <v>53</v>
      </c>
      <c r="F834" s="61">
        <v>3182</v>
      </c>
      <c r="G834" s="61" t="s">
        <v>439</v>
      </c>
      <c r="H834" s="75">
        <v>25000</v>
      </c>
      <c r="I834" s="52" t="s">
        <v>49</v>
      </c>
      <c r="J834" s="223" t="s">
        <v>364</v>
      </c>
      <c r="K834" s="62" t="s">
        <v>516</v>
      </c>
      <c r="L834" s="61"/>
      <c r="M834" s="63"/>
      <c r="N834" s="61"/>
      <c r="O834" s="61"/>
      <c r="P834" s="61">
        <f t="shared" ref="P834:P897" si="39">MONTH(D834)</f>
        <v>10</v>
      </c>
      <c r="Q834" s="61">
        <f t="shared" ref="Q834:Q897" si="40">YEAR(D834)</f>
        <v>2019</v>
      </c>
      <c r="R834" s="100">
        <f t="shared" si="38"/>
        <v>31</v>
      </c>
    </row>
    <row r="835" spans="1:18" s="59" customFormat="1" x14ac:dyDescent="0.2">
      <c r="A835" s="67">
        <v>43752</v>
      </c>
      <c r="B835" s="61" t="s">
        <v>439</v>
      </c>
      <c r="C835" s="71" t="s">
        <v>18</v>
      </c>
      <c r="D835" s="73">
        <v>43791</v>
      </c>
      <c r="E835" s="61" t="s">
        <v>53</v>
      </c>
      <c r="F835" s="61">
        <v>3183</v>
      </c>
      <c r="G835" s="61" t="s">
        <v>439</v>
      </c>
      <c r="H835" s="75">
        <v>30000</v>
      </c>
      <c r="I835" s="52" t="s">
        <v>49</v>
      </c>
      <c r="J835" s="223" t="s">
        <v>364</v>
      </c>
      <c r="K835" s="62" t="s">
        <v>515</v>
      </c>
      <c r="L835" s="61"/>
      <c r="M835" s="63"/>
      <c r="N835" s="61"/>
      <c r="O835" s="61"/>
      <c r="P835" s="61">
        <f t="shared" si="39"/>
        <v>11</v>
      </c>
      <c r="Q835" s="61">
        <f t="shared" si="40"/>
        <v>2019</v>
      </c>
      <c r="R835" s="100">
        <f t="shared" ref="R835:R898" si="41">DAY(D835)</f>
        <v>22</v>
      </c>
    </row>
    <row r="836" spans="1:18" s="59" customFormat="1" x14ac:dyDescent="0.2">
      <c r="A836" s="67">
        <v>43752</v>
      </c>
      <c r="B836" s="61" t="s">
        <v>180</v>
      </c>
      <c r="C836" s="71" t="s">
        <v>18</v>
      </c>
      <c r="D836" s="73">
        <v>43769</v>
      </c>
      <c r="E836" s="61" t="s">
        <v>65</v>
      </c>
      <c r="F836" s="61">
        <v>20622449</v>
      </c>
      <c r="G836" s="61" t="s">
        <v>180</v>
      </c>
      <c r="H836" s="75">
        <v>5000</v>
      </c>
      <c r="I836" s="52" t="s">
        <v>49</v>
      </c>
      <c r="J836" s="223" t="s">
        <v>200</v>
      </c>
      <c r="K836" s="62" t="s">
        <v>534</v>
      </c>
      <c r="L836" s="61"/>
      <c r="M836" s="61"/>
      <c r="N836" s="61"/>
      <c r="O836" s="61"/>
      <c r="P836" s="61">
        <f t="shared" si="39"/>
        <v>10</v>
      </c>
      <c r="Q836" s="61">
        <f t="shared" si="40"/>
        <v>2019</v>
      </c>
      <c r="R836" s="100">
        <f t="shared" si="41"/>
        <v>31</v>
      </c>
    </row>
    <row r="837" spans="1:18" s="59" customFormat="1" x14ac:dyDescent="0.2">
      <c r="A837" s="67">
        <v>43752</v>
      </c>
      <c r="B837" s="61" t="s">
        <v>439</v>
      </c>
      <c r="C837" s="71" t="s">
        <v>18</v>
      </c>
      <c r="D837" s="73">
        <v>43799</v>
      </c>
      <c r="E837" s="61" t="s">
        <v>53</v>
      </c>
      <c r="F837" s="61">
        <v>3184</v>
      </c>
      <c r="G837" s="61" t="s">
        <v>439</v>
      </c>
      <c r="H837" s="75">
        <v>30000</v>
      </c>
      <c r="I837" s="52" t="s">
        <v>49</v>
      </c>
      <c r="J837" s="223" t="s">
        <v>364</v>
      </c>
      <c r="K837" s="62" t="s">
        <v>514</v>
      </c>
      <c r="L837" s="61"/>
      <c r="M837" s="63"/>
      <c r="N837" s="61"/>
      <c r="O837" s="61"/>
      <c r="P837" s="61">
        <f t="shared" si="39"/>
        <v>11</v>
      </c>
      <c r="Q837" s="61">
        <f t="shared" si="40"/>
        <v>2019</v>
      </c>
      <c r="R837" s="100">
        <f t="shared" si="41"/>
        <v>30</v>
      </c>
    </row>
    <row r="838" spans="1:18" s="59" customFormat="1" x14ac:dyDescent="0.2">
      <c r="A838" s="67">
        <v>43752</v>
      </c>
      <c r="B838" s="61" t="s">
        <v>42</v>
      </c>
      <c r="C838" s="71" t="s">
        <v>18</v>
      </c>
      <c r="D838" s="73">
        <v>43750</v>
      </c>
      <c r="E838" s="61" t="s">
        <v>57</v>
      </c>
      <c r="F838" s="61">
        <v>70301</v>
      </c>
      <c r="G838" s="61" t="s">
        <v>42</v>
      </c>
      <c r="H838" s="75">
        <v>4640</v>
      </c>
      <c r="I838" s="52" t="s">
        <v>49</v>
      </c>
      <c r="J838" s="223" t="s">
        <v>412</v>
      </c>
      <c r="K838" s="62" t="s">
        <v>513</v>
      </c>
      <c r="L838" s="61"/>
      <c r="M838" s="63"/>
      <c r="N838" s="61"/>
      <c r="O838" s="61"/>
      <c r="P838" s="61">
        <f t="shared" si="39"/>
        <v>10</v>
      </c>
      <c r="Q838" s="61">
        <f t="shared" si="40"/>
        <v>2019</v>
      </c>
      <c r="R838" s="100">
        <f t="shared" si="41"/>
        <v>12</v>
      </c>
    </row>
    <row r="839" spans="1:18" s="59" customFormat="1" x14ac:dyDescent="0.2">
      <c r="A839" s="67">
        <v>43752</v>
      </c>
      <c r="B839" s="61" t="s">
        <v>42</v>
      </c>
      <c r="C839" s="71" t="s">
        <v>18</v>
      </c>
      <c r="D839" s="73">
        <v>43759</v>
      </c>
      <c r="E839" s="61" t="s">
        <v>57</v>
      </c>
      <c r="F839" s="61">
        <v>70302</v>
      </c>
      <c r="G839" s="61" t="s">
        <v>42</v>
      </c>
      <c r="H839" s="75">
        <v>4640</v>
      </c>
      <c r="I839" s="52" t="s">
        <v>150</v>
      </c>
      <c r="J839" s="223" t="s">
        <v>412</v>
      </c>
      <c r="K839" s="62" t="s">
        <v>512</v>
      </c>
      <c r="L839" s="61"/>
      <c r="M839" s="63">
        <v>43753</v>
      </c>
      <c r="N839" s="61"/>
      <c r="O839" s="61"/>
      <c r="P839" s="61">
        <f t="shared" si="39"/>
        <v>10</v>
      </c>
      <c r="Q839" s="61">
        <f t="shared" si="40"/>
        <v>2019</v>
      </c>
      <c r="R839" s="100">
        <f t="shared" si="41"/>
        <v>21</v>
      </c>
    </row>
    <row r="840" spans="1:18" s="59" customFormat="1" x14ac:dyDescent="0.2">
      <c r="A840" s="67">
        <v>43752</v>
      </c>
      <c r="B840" s="61" t="s">
        <v>42</v>
      </c>
      <c r="C840" s="71" t="s">
        <v>18</v>
      </c>
      <c r="D840" s="73">
        <v>43771</v>
      </c>
      <c r="E840" s="61" t="s">
        <v>57</v>
      </c>
      <c r="F840" s="61">
        <v>70303</v>
      </c>
      <c r="G840" s="61" t="s">
        <v>42</v>
      </c>
      <c r="H840" s="75">
        <v>4640</v>
      </c>
      <c r="I840" s="52" t="s">
        <v>49</v>
      </c>
      <c r="J840" s="223" t="s">
        <v>412</v>
      </c>
      <c r="K840" s="62" t="s">
        <v>511</v>
      </c>
      <c r="L840" s="61"/>
      <c r="M840" s="63"/>
      <c r="N840" s="61"/>
      <c r="O840" s="61"/>
      <c r="P840" s="61">
        <f t="shared" si="39"/>
        <v>11</v>
      </c>
      <c r="Q840" s="61">
        <f t="shared" si="40"/>
        <v>2019</v>
      </c>
      <c r="R840" s="100">
        <f t="shared" si="41"/>
        <v>2</v>
      </c>
    </row>
    <row r="841" spans="1:18" s="59" customFormat="1" x14ac:dyDescent="0.2">
      <c r="A841" s="67">
        <v>43752</v>
      </c>
      <c r="B841" s="61" t="s">
        <v>42</v>
      </c>
      <c r="C841" s="71" t="s">
        <v>18</v>
      </c>
      <c r="D841" s="73">
        <v>43717</v>
      </c>
      <c r="E841" s="61" t="s">
        <v>65</v>
      </c>
      <c r="F841" s="61">
        <v>20268917</v>
      </c>
      <c r="G841" s="61" t="s">
        <v>42</v>
      </c>
      <c r="H841" s="75">
        <v>5000</v>
      </c>
      <c r="I841" s="52" t="s">
        <v>150</v>
      </c>
      <c r="J841" s="223" t="s">
        <v>506</v>
      </c>
      <c r="K841" s="62" t="s">
        <v>510</v>
      </c>
      <c r="L841" s="61"/>
      <c r="M841" s="63"/>
      <c r="N841" s="61"/>
      <c r="O841" s="61"/>
      <c r="P841" s="61">
        <f t="shared" si="39"/>
        <v>9</v>
      </c>
      <c r="Q841" s="61">
        <f t="shared" si="40"/>
        <v>2019</v>
      </c>
      <c r="R841" s="100">
        <f t="shared" si="41"/>
        <v>9</v>
      </c>
    </row>
    <row r="842" spans="1:18" s="59" customFormat="1" x14ac:dyDescent="0.2">
      <c r="A842" s="67">
        <v>43752</v>
      </c>
      <c r="B842" s="61" t="s">
        <v>42</v>
      </c>
      <c r="C842" s="71" t="s">
        <v>18</v>
      </c>
      <c r="D842" s="73">
        <v>43724</v>
      </c>
      <c r="E842" s="61" t="s">
        <v>65</v>
      </c>
      <c r="F842" s="61">
        <v>20268915</v>
      </c>
      <c r="G842" s="61" t="s">
        <v>42</v>
      </c>
      <c r="H842" s="75">
        <v>6301.68</v>
      </c>
      <c r="I842" s="52" t="s">
        <v>49</v>
      </c>
      <c r="J842" s="223" t="s">
        <v>506</v>
      </c>
      <c r="K842" s="62" t="s">
        <v>509</v>
      </c>
      <c r="L842" s="61"/>
      <c r="M842" s="63"/>
      <c r="N842" s="61"/>
      <c r="O842" s="61"/>
      <c r="P842" s="61">
        <f t="shared" si="39"/>
        <v>9</v>
      </c>
      <c r="Q842" s="61">
        <f t="shared" si="40"/>
        <v>2019</v>
      </c>
      <c r="R842" s="100">
        <f t="shared" si="41"/>
        <v>16</v>
      </c>
    </row>
    <row r="843" spans="1:18" s="59" customFormat="1" x14ac:dyDescent="0.2">
      <c r="A843" s="67">
        <v>43752</v>
      </c>
      <c r="B843" s="61" t="s">
        <v>42</v>
      </c>
      <c r="C843" s="71" t="s">
        <v>18</v>
      </c>
      <c r="D843" s="73">
        <v>43724</v>
      </c>
      <c r="E843" s="61" t="s">
        <v>65</v>
      </c>
      <c r="F843" s="61">
        <v>20268918</v>
      </c>
      <c r="G843" s="61" t="s">
        <v>42</v>
      </c>
      <c r="H843" s="75">
        <v>5000</v>
      </c>
      <c r="I843" s="52" t="s">
        <v>49</v>
      </c>
      <c r="J843" s="223" t="s">
        <v>506</v>
      </c>
      <c r="K843" s="62" t="s">
        <v>508</v>
      </c>
      <c r="L843" s="61"/>
      <c r="M843" s="63"/>
      <c r="N843" s="61"/>
      <c r="O843" s="61"/>
      <c r="P843" s="61">
        <f t="shared" si="39"/>
        <v>9</v>
      </c>
      <c r="Q843" s="61">
        <f t="shared" si="40"/>
        <v>2019</v>
      </c>
      <c r="R843" s="100">
        <f t="shared" si="41"/>
        <v>16</v>
      </c>
    </row>
    <row r="844" spans="1:18" s="59" customFormat="1" x14ac:dyDescent="0.2">
      <c r="A844" s="67">
        <v>43752</v>
      </c>
      <c r="B844" s="61" t="s">
        <v>42</v>
      </c>
      <c r="C844" s="71" t="s">
        <v>18</v>
      </c>
      <c r="D844" s="73">
        <v>43731</v>
      </c>
      <c r="E844" s="61" t="s">
        <v>65</v>
      </c>
      <c r="F844" s="61">
        <v>20268919</v>
      </c>
      <c r="G844" s="61" t="s">
        <v>42</v>
      </c>
      <c r="H844" s="75">
        <v>5000</v>
      </c>
      <c r="I844" s="52" t="s">
        <v>150</v>
      </c>
      <c r="J844" s="223" t="s">
        <v>506</v>
      </c>
      <c r="K844" s="62" t="s">
        <v>507</v>
      </c>
      <c r="L844" s="61"/>
      <c r="M844" s="63">
        <v>43703</v>
      </c>
      <c r="N844" s="61"/>
      <c r="O844" s="61"/>
      <c r="P844" s="61">
        <f t="shared" si="39"/>
        <v>9</v>
      </c>
      <c r="Q844" s="61">
        <f t="shared" si="40"/>
        <v>2019</v>
      </c>
      <c r="R844" s="100">
        <f t="shared" si="41"/>
        <v>23</v>
      </c>
    </row>
    <row r="845" spans="1:18" s="59" customFormat="1" x14ac:dyDescent="0.2">
      <c r="A845" s="67">
        <v>43752</v>
      </c>
      <c r="B845" s="61" t="s">
        <v>158</v>
      </c>
      <c r="C845" s="71" t="s">
        <v>18</v>
      </c>
      <c r="D845" s="73">
        <v>43738</v>
      </c>
      <c r="E845" s="61" t="s">
        <v>47</v>
      </c>
      <c r="F845" s="61">
        <v>69999843</v>
      </c>
      <c r="G845" s="61" t="s">
        <v>490</v>
      </c>
      <c r="H845" s="75">
        <v>4900</v>
      </c>
      <c r="I845" s="52" t="s">
        <v>49</v>
      </c>
      <c r="J845" s="223" t="s">
        <v>217</v>
      </c>
      <c r="K845" s="62" t="s">
        <v>505</v>
      </c>
      <c r="L845" s="61"/>
      <c r="M845" s="63"/>
      <c r="N845" s="61"/>
      <c r="O845" s="61"/>
      <c r="P845" s="61">
        <f t="shared" si="39"/>
        <v>9</v>
      </c>
      <c r="Q845" s="61">
        <f t="shared" si="40"/>
        <v>2019</v>
      </c>
      <c r="R845" s="100">
        <f t="shared" si="41"/>
        <v>30</v>
      </c>
    </row>
    <row r="846" spans="1:18" s="59" customFormat="1" x14ac:dyDescent="0.2">
      <c r="A846" s="67">
        <v>43752</v>
      </c>
      <c r="B846" s="61" t="s">
        <v>490</v>
      </c>
      <c r="C846" s="71" t="s">
        <v>18</v>
      </c>
      <c r="D846" s="73">
        <v>43738</v>
      </c>
      <c r="E846" s="61" t="s">
        <v>65</v>
      </c>
      <c r="F846" s="61">
        <v>37048473</v>
      </c>
      <c r="G846" s="61" t="s">
        <v>490</v>
      </c>
      <c r="H846" s="75">
        <v>10000</v>
      </c>
      <c r="I846" s="52" t="s">
        <v>49</v>
      </c>
      <c r="J846" s="223" t="s">
        <v>469</v>
      </c>
      <c r="K846" s="62" t="s">
        <v>504</v>
      </c>
      <c r="L846" s="61"/>
      <c r="M846" s="63"/>
      <c r="N846" s="61"/>
      <c r="O846" s="61"/>
      <c r="P846" s="61">
        <f t="shared" si="39"/>
        <v>9</v>
      </c>
      <c r="Q846" s="61">
        <f t="shared" si="40"/>
        <v>2019</v>
      </c>
      <c r="R846" s="100">
        <f t="shared" si="41"/>
        <v>30</v>
      </c>
    </row>
    <row r="847" spans="1:18" s="59" customFormat="1" x14ac:dyDescent="0.2">
      <c r="A847" s="67">
        <v>43752</v>
      </c>
      <c r="B847" s="61" t="s">
        <v>180</v>
      </c>
      <c r="C847" s="71" t="s">
        <v>18</v>
      </c>
      <c r="D847" s="73">
        <v>43769</v>
      </c>
      <c r="E847" s="61" t="s">
        <v>65</v>
      </c>
      <c r="F847" s="61">
        <v>20622450</v>
      </c>
      <c r="G847" s="61" t="s">
        <v>180</v>
      </c>
      <c r="H847" s="75">
        <v>5000</v>
      </c>
      <c r="I847" s="52" t="s">
        <v>97</v>
      </c>
      <c r="J847" s="223" t="s">
        <v>200</v>
      </c>
      <c r="K847" s="62" t="s">
        <v>533</v>
      </c>
      <c r="L847" s="61"/>
      <c r="M847" s="63">
        <v>43689</v>
      </c>
      <c r="N847" s="61" t="s">
        <v>530</v>
      </c>
      <c r="O847" s="61"/>
      <c r="P847" s="61">
        <f t="shared" si="39"/>
        <v>10</v>
      </c>
      <c r="Q847" s="61">
        <f t="shared" si="40"/>
        <v>2019</v>
      </c>
      <c r="R847" s="100">
        <f t="shared" si="41"/>
        <v>31</v>
      </c>
    </row>
    <row r="848" spans="1:18" s="59" customFormat="1" x14ac:dyDescent="0.2">
      <c r="A848" s="67">
        <v>43752</v>
      </c>
      <c r="B848" s="61" t="s">
        <v>490</v>
      </c>
      <c r="C848" s="71" t="s">
        <v>18</v>
      </c>
      <c r="D848" s="73">
        <v>43738</v>
      </c>
      <c r="E848" s="61" t="s">
        <v>53</v>
      </c>
      <c r="F848" s="61">
        <v>7201319</v>
      </c>
      <c r="G848" s="61" t="s">
        <v>490</v>
      </c>
      <c r="H848" s="75">
        <v>4000</v>
      </c>
      <c r="I848" s="52" t="s">
        <v>49</v>
      </c>
      <c r="J848" s="223" t="s">
        <v>501</v>
      </c>
      <c r="K848" s="62" t="s">
        <v>503</v>
      </c>
      <c r="L848" s="61"/>
      <c r="M848" s="63"/>
      <c r="N848" s="61"/>
      <c r="O848" s="61"/>
      <c r="P848" s="61">
        <f t="shared" si="39"/>
        <v>9</v>
      </c>
      <c r="Q848" s="61">
        <f t="shared" si="40"/>
        <v>2019</v>
      </c>
      <c r="R848" s="100">
        <f t="shared" si="41"/>
        <v>30</v>
      </c>
    </row>
    <row r="849" spans="1:18" s="59" customFormat="1" x14ac:dyDescent="0.2">
      <c r="A849" s="67">
        <v>43752</v>
      </c>
      <c r="B849" s="61" t="s">
        <v>490</v>
      </c>
      <c r="C849" s="71" t="s">
        <v>18</v>
      </c>
      <c r="D849" s="73">
        <v>43738</v>
      </c>
      <c r="E849" s="61" t="s">
        <v>53</v>
      </c>
      <c r="F849" s="61">
        <v>7201313</v>
      </c>
      <c r="G849" s="61" t="s">
        <v>490</v>
      </c>
      <c r="H849" s="75">
        <v>4207.92</v>
      </c>
      <c r="I849" s="52" t="s">
        <v>49</v>
      </c>
      <c r="J849" s="223" t="s">
        <v>501</v>
      </c>
      <c r="K849" s="62" t="s">
        <v>502</v>
      </c>
      <c r="L849" s="61"/>
      <c r="M849" s="63"/>
      <c r="N849" s="61"/>
      <c r="O849" s="61"/>
      <c r="P849" s="61">
        <f t="shared" si="39"/>
        <v>9</v>
      </c>
      <c r="Q849" s="61">
        <f t="shared" si="40"/>
        <v>2019</v>
      </c>
      <c r="R849" s="100">
        <f t="shared" si="41"/>
        <v>30</v>
      </c>
    </row>
    <row r="850" spans="1:18" s="59" customFormat="1" x14ac:dyDescent="0.2">
      <c r="A850" s="67">
        <v>43752</v>
      </c>
      <c r="B850" s="61" t="s">
        <v>490</v>
      </c>
      <c r="C850" s="71" t="s">
        <v>18</v>
      </c>
      <c r="D850" s="73">
        <v>43753</v>
      </c>
      <c r="E850" s="61" t="s">
        <v>491</v>
      </c>
      <c r="F850" s="61">
        <v>23022201</v>
      </c>
      <c r="G850" s="61" t="s">
        <v>490</v>
      </c>
      <c r="H850" s="75">
        <v>4500</v>
      </c>
      <c r="I850" s="52" t="s">
        <v>49</v>
      </c>
      <c r="J850" s="223" t="s">
        <v>494</v>
      </c>
      <c r="K850" s="62" t="s">
        <v>500</v>
      </c>
      <c r="L850" s="61"/>
      <c r="M850" s="63"/>
      <c r="N850" s="61"/>
      <c r="O850" s="61"/>
      <c r="P850" s="61">
        <f t="shared" si="39"/>
        <v>10</v>
      </c>
      <c r="Q850" s="61">
        <f t="shared" si="40"/>
        <v>2019</v>
      </c>
      <c r="R850" s="100">
        <f t="shared" si="41"/>
        <v>15</v>
      </c>
    </row>
    <row r="851" spans="1:18" s="59" customFormat="1" x14ac:dyDescent="0.2">
      <c r="A851" s="67">
        <v>43752</v>
      </c>
      <c r="B851" s="61" t="s">
        <v>490</v>
      </c>
      <c r="C851" s="71" t="s">
        <v>18</v>
      </c>
      <c r="D851" s="73">
        <v>43760</v>
      </c>
      <c r="E851" s="61" t="s">
        <v>53</v>
      </c>
      <c r="F851" s="61">
        <v>189</v>
      </c>
      <c r="G851" s="61" t="s">
        <v>490</v>
      </c>
      <c r="H851" s="75">
        <v>20000</v>
      </c>
      <c r="I851" s="52" t="s">
        <v>49</v>
      </c>
      <c r="J851" s="223" t="s">
        <v>496</v>
      </c>
      <c r="K851" s="62" t="s">
        <v>499</v>
      </c>
      <c r="L851" s="61"/>
      <c r="M851" s="63"/>
      <c r="N851" s="61"/>
      <c r="O851" s="61"/>
      <c r="P851" s="61">
        <f t="shared" si="39"/>
        <v>10</v>
      </c>
      <c r="Q851" s="61">
        <f t="shared" si="40"/>
        <v>2019</v>
      </c>
      <c r="R851" s="100">
        <f t="shared" si="41"/>
        <v>22</v>
      </c>
    </row>
    <row r="852" spans="1:18" s="59" customFormat="1" x14ac:dyDescent="0.2">
      <c r="A852" s="67">
        <v>43752</v>
      </c>
      <c r="B852" s="61" t="s">
        <v>490</v>
      </c>
      <c r="C852" s="71" t="s">
        <v>18</v>
      </c>
      <c r="D852" s="73">
        <v>43763</v>
      </c>
      <c r="E852" s="61" t="s">
        <v>491</v>
      </c>
      <c r="F852" s="61">
        <v>23022202</v>
      </c>
      <c r="G852" s="61" t="s">
        <v>490</v>
      </c>
      <c r="H852" s="75">
        <v>4500</v>
      </c>
      <c r="I852" s="52" t="s">
        <v>150</v>
      </c>
      <c r="J852" s="223" t="s">
        <v>494</v>
      </c>
      <c r="K852" s="62" t="s">
        <v>498</v>
      </c>
      <c r="L852" s="61"/>
      <c r="M852" s="63">
        <v>43746</v>
      </c>
      <c r="N852" s="61"/>
      <c r="O852" s="61"/>
      <c r="P852" s="61">
        <f t="shared" si="39"/>
        <v>10</v>
      </c>
      <c r="Q852" s="61">
        <f t="shared" si="40"/>
        <v>2019</v>
      </c>
      <c r="R852" s="100">
        <f t="shared" si="41"/>
        <v>25</v>
      </c>
    </row>
    <row r="853" spans="1:18" s="59" customFormat="1" x14ac:dyDescent="0.2">
      <c r="A853" s="67">
        <v>43752</v>
      </c>
      <c r="B853" s="61" t="s">
        <v>490</v>
      </c>
      <c r="C853" s="71" t="s">
        <v>18</v>
      </c>
      <c r="D853" s="73">
        <v>43774</v>
      </c>
      <c r="E853" s="61" t="s">
        <v>491</v>
      </c>
      <c r="F853" s="61">
        <v>190</v>
      </c>
      <c r="G853" s="61" t="s">
        <v>490</v>
      </c>
      <c r="H853" s="75">
        <v>20000</v>
      </c>
      <c r="I853" s="52" t="s">
        <v>150</v>
      </c>
      <c r="J853" s="223" t="s">
        <v>496</v>
      </c>
      <c r="K853" s="62" t="s">
        <v>497</v>
      </c>
      <c r="L853" s="61"/>
      <c r="M853" s="63"/>
      <c r="N853" s="61"/>
      <c r="O853" s="61"/>
      <c r="P853" s="61">
        <f t="shared" si="39"/>
        <v>11</v>
      </c>
      <c r="Q853" s="61">
        <f t="shared" si="40"/>
        <v>2019</v>
      </c>
      <c r="R853" s="100">
        <f t="shared" si="41"/>
        <v>5</v>
      </c>
    </row>
    <row r="854" spans="1:18" s="59" customFormat="1" x14ac:dyDescent="0.2">
      <c r="A854" s="67">
        <v>43752</v>
      </c>
      <c r="B854" s="61" t="s">
        <v>490</v>
      </c>
      <c r="C854" s="71" t="s">
        <v>18</v>
      </c>
      <c r="D854" s="73">
        <v>43784</v>
      </c>
      <c r="E854" s="61" t="s">
        <v>491</v>
      </c>
      <c r="F854" s="61">
        <v>23022203</v>
      </c>
      <c r="G854" s="61" t="s">
        <v>490</v>
      </c>
      <c r="H854" s="75">
        <v>4500</v>
      </c>
      <c r="I854" s="52" t="s">
        <v>97</v>
      </c>
      <c r="J854" s="223" t="s">
        <v>494</v>
      </c>
      <c r="K854" s="62" t="s">
        <v>495</v>
      </c>
      <c r="L854" s="61"/>
      <c r="M854" s="63">
        <v>43781</v>
      </c>
      <c r="N854" s="61" t="s">
        <v>190</v>
      </c>
      <c r="O854" s="61"/>
      <c r="P854" s="61">
        <f t="shared" si="39"/>
        <v>11</v>
      </c>
      <c r="Q854" s="61">
        <f t="shared" si="40"/>
        <v>2019</v>
      </c>
      <c r="R854" s="100">
        <f t="shared" si="41"/>
        <v>15</v>
      </c>
    </row>
    <row r="855" spans="1:18" s="59" customFormat="1" x14ac:dyDescent="0.2">
      <c r="A855" s="67">
        <v>43752</v>
      </c>
      <c r="B855" s="61" t="s">
        <v>490</v>
      </c>
      <c r="C855" s="71" t="s">
        <v>18</v>
      </c>
      <c r="D855" s="73">
        <v>43794</v>
      </c>
      <c r="E855" s="61" t="s">
        <v>491</v>
      </c>
      <c r="F855" s="61">
        <v>23022204</v>
      </c>
      <c r="G855" s="61" t="s">
        <v>490</v>
      </c>
      <c r="H855" s="75">
        <v>4500</v>
      </c>
      <c r="I855" s="52" t="s">
        <v>49</v>
      </c>
      <c r="J855" s="223" t="s">
        <v>492</v>
      </c>
      <c r="K855" s="62" t="s">
        <v>493</v>
      </c>
      <c r="L855" s="61"/>
      <c r="M855" s="63"/>
      <c r="N855" s="61"/>
      <c r="O855" s="61"/>
      <c r="P855" s="61">
        <f t="shared" si="39"/>
        <v>11</v>
      </c>
      <c r="Q855" s="61">
        <f t="shared" si="40"/>
        <v>2019</v>
      </c>
      <c r="R855" s="100">
        <f t="shared" si="41"/>
        <v>25</v>
      </c>
    </row>
    <row r="856" spans="1:18" s="59" customFormat="1" x14ac:dyDescent="0.2">
      <c r="A856" s="67">
        <v>43754</v>
      </c>
      <c r="B856" s="61" t="s">
        <v>439</v>
      </c>
      <c r="C856" s="71" t="s">
        <v>18</v>
      </c>
      <c r="D856" s="73">
        <v>43736</v>
      </c>
      <c r="E856" s="61" t="s">
        <v>53</v>
      </c>
      <c r="F856" s="61">
        <v>10505</v>
      </c>
      <c r="G856" s="61" t="s">
        <v>439</v>
      </c>
      <c r="H856" s="75">
        <v>20000</v>
      </c>
      <c r="I856" s="52" t="s">
        <v>49</v>
      </c>
      <c r="J856" s="223" t="s">
        <v>485</v>
      </c>
      <c r="K856" s="62" t="s">
        <v>486</v>
      </c>
      <c r="L856" s="61"/>
      <c r="M856" s="63"/>
      <c r="N856" s="61"/>
      <c r="O856" s="61"/>
      <c r="P856" s="61">
        <f t="shared" si="39"/>
        <v>9</v>
      </c>
      <c r="Q856" s="61">
        <f t="shared" si="40"/>
        <v>2019</v>
      </c>
      <c r="R856" s="100">
        <f t="shared" si="41"/>
        <v>28</v>
      </c>
    </row>
    <row r="857" spans="1:18" s="59" customFormat="1" x14ac:dyDescent="0.2">
      <c r="A857" s="67">
        <v>43754</v>
      </c>
      <c r="B857" s="61" t="s">
        <v>180</v>
      </c>
      <c r="C857" s="71" t="s">
        <v>18</v>
      </c>
      <c r="D857" s="73">
        <v>43830</v>
      </c>
      <c r="E857" s="61" t="s">
        <v>65</v>
      </c>
      <c r="F857" s="61">
        <v>20650448</v>
      </c>
      <c r="G857" s="61" t="s">
        <v>180</v>
      </c>
      <c r="H857" s="75">
        <v>7000</v>
      </c>
      <c r="I857" s="52" t="s">
        <v>49</v>
      </c>
      <c r="J857" s="223" t="s">
        <v>200</v>
      </c>
      <c r="K857" s="62" t="s">
        <v>484</v>
      </c>
      <c r="L857" s="61"/>
      <c r="M857" s="63"/>
      <c r="N857" s="61"/>
      <c r="O857" s="61"/>
      <c r="P857" s="61">
        <f t="shared" si="39"/>
        <v>12</v>
      </c>
      <c r="Q857" s="61">
        <f t="shared" si="40"/>
        <v>2019</v>
      </c>
      <c r="R857" s="100">
        <f t="shared" si="41"/>
        <v>31</v>
      </c>
    </row>
    <row r="858" spans="1:18" s="59" customFormat="1" x14ac:dyDescent="0.2">
      <c r="A858" s="67">
        <v>43752</v>
      </c>
      <c r="B858" s="61" t="s">
        <v>180</v>
      </c>
      <c r="C858" s="71" t="s">
        <v>18</v>
      </c>
      <c r="D858" s="73">
        <v>43769</v>
      </c>
      <c r="E858" s="61" t="s">
        <v>65</v>
      </c>
      <c r="F858" s="61">
        <v>20650401</v>
      </c>
      <c r="G858" s="61" t="s">
        <v>180</v>
      </c>
      <c r="H858" s="75">
        <v>5000</v>
      </c>
      <c r="I858" s="52" t="s">
        <v>150</v>
      </c>
      <c r="J858" s="223" t="s">
        <v>200</v>
      </c>
      <c r="K858" s="62" t="s">
        <v>532</v>
      </c>
      <c r="L858" s="61"/>
      <c r="M858" s="63">
        <v>43712</v>
      </c>
      <c r="N858" s="61"/>
      <c r="O858" s="61"/>
      <c r="P858" s="61">
        <f t="shared" si="39"/>
        <v>10</v>
      </c>
      <c r="Q858" s="61">
        <f t="shared" si="40"/>
        <v>2019</v>
      </c>
      <c r="R858" s="100">
        <f t="shared" si="41"/>
        <v>31</v>
      </c>
    </row>
    <row r="859" spans="1:18" s="59" customFormat="1" x14ac:dyDescent="0.2">
      <c r="A859" s="67">
        <v>43754</v>
      </c>
      <c r="B859" s="61" t="s">
        <v>180</v>
      </c>
      <c r="C859" s="71" t="s">
        <v>18</v>
      </c>
      <c r="D859" s="73">
        <v>43830</v>
      </c>
      <c r="E859" s="61" t="s">
        <v>65</v>
      </c>
      <c r="F859" s="61">
        <v>20650449</v>
      </c>
      <c r="G859" s="61" t="s">
        <v>180</v>
      </c>
      <c r="H859" s="75">
        <v>7000</v>
      </c>
      <c r="I859" s="52" t="s">
        <v>49</v>
      </c>
      <c r="J859" s="223" t="s">
        <v>200</v>
      </c>
      <c r="K859" s="62" t="s">
        <v>483</v>
      </c>
      <c r="L859" s="61"/>
      <c r="M859" s="63"/>
      <c r="N859" s="61"/>
      <c r="O859" s="61"/>
      <c r="P859" s="61">
        <f t="shared" si="39"/>
        <v>12</v>
      </c>
      <c r="Q859" s="61">
        <f t="shared" si="40"/>
        <v>2019</v>
      </c>
      <c r="R859" s="100">
        <f t="shared" si="41"/>
        <v>31</v>
      </c>
    </row>
    <row r="860" spans="1:18" s="59" customFormat="1" x14ac:dyDescent="0.2">
      <c r="A860" s="67">
        <v>43754</v>
      </c>
      <c r="B860" s="61" t="s">
        <v>180</v>
      </c>
      <c r="C860" s="71" t="s">
        <v>18</v>
      </c>
      <c r="D860" s="73">
        <v>43830</v>
      </c>
      <c r="E860" s="61" t="s">
        <v>65</v>
      </c>
      <c r="F860" s="61">
        <v>20650450</v>
      </c>
      <c r="G860" s="61" t="s">
        <v>180</v>
      </c>
      <c r="H860" s="75">
        <v>7000</v>
      </c>
      <c r="I860" s="52" t="s">
        <v>49</v>
      </c>
      <c r="J860" s="223" t="s">
        <v>200</v>
      </c>
      <c r="K860" s="62" t="s">
        <v>482</v>
      </c>
      <c r="L860" s="61"/>
      <c r="M860" s="63"/>
      <c r="N860" s="61"/>
      <c r="O860" s="61"/>
      <c r="P860" s="61">
        <f t="shared" si="39"/>
        <v>12</v>
      </c>
      <c r="Q860" s="61">
        <f t="shared" si="40"/>
        <v>2019</v>
      </c>
      <c r="R860" s="100">
        <f t="shared" si="41"/>
        <v>31</v>
      </c>
    </row>
    <row r="861" spans="1:18" s="59" customFormat="1" x14ac:dyDescent="0.2">
      <c r="A861" s="67">
        <v>43754</v>
      </c>
      <c r="B861" s="61" t="s">
        <v>180</v>
      </c>
      <c r="C861" s="71" t="s">
        <v>18</v>
      </c>
      <c r="D861" s="73">
        <v>43830</v>
      </c>
      <c r="E861" s="61" t="s">
        <v>65</v>
      </c>
      <c r="F861" s="61">
        <v>20650451</v>
      </c>
      <c r="G861" s="61" t="s">
        <v>180</v>
      </c>
      <c r="H861" s="75">
        <v>6380</v>
      </c>
      <c r="I861" s="52" t="s">
        <v>150</v>
      </c>
      <c r="J861" s="223" t="s">
        <v>200</v>
      </c>
      <c r="K861" s="62" t="s">
        <v>481</v>
      </c>
      <c r="L861" s="61"/>
      <c r="M861" s="63"/>
      <c r="N861" s="61"/>
      <c r="O861" s="61"/>
      <c r="P861" s="61">
        <f t="shared" si="39"/>
        <v>12</v>
      </c>
      <c r="Q861" s="61">
        <f t="shared" si="40"/>
        <v>2019</v>
      </c>
      <c r="R861" s="100">
        <f t="shared" si="41"/>
        <v>31</v>
      </c>
    </row>
    <row r="862" spans="1:18" s="59" customFormat="1" x14ac:dyDescent="0.2">
      <c r="A862" s="67">
        <v>43754</v>
      </c>
      <c r="B862" s="61" t="s">
        <v>180</v>
      </c>
      <c r="C862" s="71" t="s">
        <v>18</v>
      </c>
      <c r="D862" s="73">
        <v>43799</v>
      </c>
      <c r="E862" s="61" t="s">
        <v>65</v>
      </c>
      <c r="F862" s="61">
        <v>20650447</v>
      </c>
      <c r="G862" s="61" t="s">
        <v>180</v>
      </c>
      <c r="H862" s="75">
        <v>6000</v>
      </c>
      <c r="I862" s="52" t="s">
        <v>150</v>
      </c>
      <c r="J862" s="223" t="s">
        <v>200</v>
      </c>
      <c r="K862" s="62" t="s">
        <v>480</v>
      </c>
      <c r="L862" s="61"/>
      <c r="M862" s="63">
        <v>43712</v>
      </c>
      <c r="N862" s="61"/>
      <c r="O862" s="61"/>
      <c r="P862" s="61">
        <f t="shared" si="39"/>
        <v>11</v>
      </c>
      <c r="Q862" s="61">
        <f t="shared" si="40"/>
        <v>2019</v>
      </c>
      <c r="R862" s="100">
        <f t="shared" si="41"/>
        <v>30</v>
      </c>
    </row>
    <row r="863" spans="1:18" s="59" customFormat="1" x14ac:dyDescent="0.2">
      <c r="A863" s="67">
        <v>43754</v>
      </c>
      <c r="B863" s="61" t="s">
        <v>180</v>
      </c>
      <c r="C863" s="71" t="s">
        <v>18</v>
      </c>
      <c r="D863" s="73">
        <v>43799</v>
      </c>
      <c r="E863" s="61" t="s">
        <v>65</v>
      </c>
      <c r="F863" s="61">
        <v>20650446</v>
      </c>
      <c r="G863" s="61" t="s">
        <v>180</v>
      </c>
      <c r="H863" s="75">
        <v>6000</v>
      </c>
      <c r="I863" s="52" t="s">
        <v>49</v>
      </c>
      <c r="J863" s="223" t="s">
        <v>200</v>
      </c>
      <c r="K863" s="62" t="s">
        <v>479</v>
      </c>
      <c r="L863" s="61"/>
      <c r="M863" s="63"/>
      <c r="N863" s="61"/>
      <c r="O863" s="61"/>
      <c r="P863" s="61">
        <f t="shared" si="39"/>
        <v>11</v>
      </c>
      <c r="Q863" s="61">
        <f t="shared" si="40"/>
        <v>2019</v>
      </c>
      <c r="R863" s="100">
        <f t="shared" si="41"/>
        <v>30</v>
      </c>
    </row>
    <row r="864" spans="1:18" s="59" customFormat="1" x14ac:dyDescent="0.2">
      <c r="A864" s="67">
        <v>43754</v>
      </c>
      <c r="B864" s="61" t="s">
        <v>180</v>
      </c>
      <c r="C864" s="71" t="s">
        <v>18</v>
      </c>
      <c r="D864" s="73">
        <v>43799</v>
      </c>
      <c r="E864" s="61" t="s">
        <v>65</v>
      </c>
      <c r="F864" s="61">
        <v>20650445</v>
      </c>
      <c r="G864" s="61" t="s">
        <v>180</v>
      </c>
      <c r="H864" s="75">
        <v>6000</v>
      </c>
      <c r="I864" s="52" t="s">
        <v>49</v>
      </c>
      <c r="J864" s="223" t="s">
        <v>200</v>
      </c>
      <c r="K864" s="62" t="s">
        <v>478</v>
      </c>
      <c r="L864" s="61"/>
      <c r="M864" s="63"/>
      <c r="N864" s="61"/>
      <c r="O864" s="61"/>
      <c r="P864" s="61">
        <f t="shared" si="39"/>
        <v>11</v>
      </c>
      <c r="Q864" s="61">
        <f t="shared" si="40"/>
        <v>2019</v>
      </c>
      <c r="R864" s="100">
        <f t="shared" si="41"/>
        <v>30</v>
      </c>
    </row>
    <row r="865" spans="1:18" s="59" customFormat="1" x14ac:dyDescent="0.2">
      <c r="A865" s="67">
        <v>43754</v>
      </c>
      <c r="B865" s="61" t="s">
        <v>180</v>
      </c>
      <c r="C865" s="71" t="s">
        <v>18</v>
      </c>
      <c r="D865" s="73">
        <v>43799</v>
      </c>
      <c r="E865" s="61" t="s">
        <v>65</v>
      </c>
      <c r="F865" s="61">
        <v>20650444</v>
      </c>
      <c r="G865" s="61" t="s">
        <v>180</v>
      </c>
      <c r="H865" s="75">
        <v>6000</v>
      </c>
      <c r="I865" s="52" t="s">
        <v>97</v>
      </c>
      <c r="J865" s="223" t="s">
        <v>200</v>
      </c>
      <c r="K865" s="62" t="s">
        <v>477</v>
      </c>
      <c r="L865" s="61"/>
      <c r="M865" s="63"/>
      <c r="N865" s="61" t="s">
        <v>354</v>
      </c>
      <c r="O865" s="61"/>
      <c r="P865" s="61">
        <f t="shared" si="39"/>
        <v>11</v>
      </c>
      <c r="Q865" s="61">
        <f t="shared" si="40"/>
        <v>2019</v>
      </c>
      <c r="R865" s="100">
        <f t="shared" si="41"/>
        <v>30</v>
      </c>
    </row>
    <row r="866" spans="1:18" s="59" customFormat="1" x14ac:dyDescent="0.2">
      <c r="A866" s="67">
        <v>43754</v>
      </c>
      <c r="B866" s="61" t="s">
        <v>103</v>
      </c>
      <c r="C866" s="71" t="s">
        <v>18</v>
      </c>
      <c r="D866" s="73">
        <v>43781</v>
      </c>
      <c r="E866" s="61" t="s">
        <v>79</v>
      </c>
      <c r="F866" s="61">
        <v>47180678</v>
      </c>
      <c r="G866" s="61" t="s">
        <v>103</v>
      </c>
      <c r="H866" s="75">
        <v>30602.7</v>
      </c>
      <c r="I866" s="52" t="s">
        <v>49</v>
      </c>
      <c r="J866" s="223" t="s">
        <v>475</v>
      </c>
      <c r="K866" s="62" t="s">
        <v>476</v>
      </c>
      <c r="L866" s="61"/>
      <c r="M866" s="63"/>
      <c r="N866" s="61"/>
      <c r="O866" s="61"/>
      <c r="P866" s="61">
        <f t="shared" si="39"/>
        <v>11</v>
      </c>
      <c r="Q866" s="61">
        <f t="shared" si="40"/>
        <v>2019</v>
      </c>
      <c r="R866" s="100">
        <f t="shared" si="41"/>
        <v>12</v>
      </c>
    </row>
    <row r="867" spans="1:18" s="59" customFormat="1" x14ac:dyDescent="0.2">
      <c r="A867" s="67">
        <v>43754</v>
      </c>
      <c r="B867" s="61" t="s">
        <v>103</v>
      </c>
      <c r="C867" s="71" t="s">
        <v>18</v>
      </c>
      <c r="D867" s="73">
        <v>43781</v>
      </c>
      <c r="E867" s="61" t="s">
        <v>123</v>
      </c>
      <c r="F867" s="61">
        <v>82759310</v>
      </c>
      <c r="G867" s="61" t="s">
        <v>103</v>
      </c>
      <c r="H867" s="75">
        <v>37259.379999999997</v>
      </c>
      <c r="I867" s="52" t="s">
        <v>49</v>
      </c>
      <c r="J867" s="223" t="s">
        <v>473</v>
      </c>
      <c r="K867" s="62" t="s">
        <v>474</v>
      </c>
      <c r="L867" s="61"/>
      <c r="M867" s="63"/>
      <c r="N867" s="61"/>
      <c r="O867" s="61"/>
      <c r="P867" s="61">
        <f t="shared" si="39"/>
        <v>11</v>
      </c>
      <c r="Q867" s="61">
        <f t="shared" si="40"/>
        <v>2019</v>
      </c>
      <c r="R867" s="100">
        <f t="shared" si="41"/>
        <v>12</v>
      </c>
    </row>
    <row r="868" spans="1:18" s="59" customFormat="1" x14ac:dyDescent="0.2">
      <c r="A868" s="67">
        <v>43754</v>
      </c>
      <c r="B868" s="61" t="s">
        <v>439</v>
      </c>
      <c r="C868" s="71" t="s">
        <v>18</v>
      </c>
      <c r="D868" s="73">
        <v>43719</v>
      </c>
      <c r="E868" s="61" t="s">
        <v>47</v>
      </c>
      <c r="F868" s="61">
        <v>47963973</v>
      </c>
      <c r="G868" s="61" t="s">
        <v>439</v>
      </c>
      <c r="H868" s="75">
        <v>17729.8</v>
      </c>
      <c r="I868" s="52" t="s">
        <v>49</v>
      </c>
      <c r="J868" s="223" t="s">
        <v>471</v>
      </c>
      <c r="K868" s="62" t="s">
        <v>472</v>
      </c>
      <c r="L868" s="61"/>
      <c r="M868" s="63"/>
      <c r="N868" s="61"/>
      <c r="O868" s="61"/>
      <c r="P868" s="61">
        <f t="shared" si="39"/>
        <v>9</v>
      </c>
      <c r="Q868" s="61">
        <f t="shared" si="40"/>
        <v>2019</v>
      </c>
      <c r="R868" s="100">
        <f t="shared" si="41"/>
        <v>11</v>
      </c>
    </row>
    <row r="869" spans="1:18" s="59" customFormat="1" x14ac:dyDescent="0.2">
      <c r="A869" s="67">
        <v>43752</v>
      </c>
      <c r="B869" s="61" t="s">
        <v>180</v>
      </c>
      <c r="C869" s="71" t="s">
        <v>18</v>
      </c>
      <c r="D869" s="73">
        <v>43799</v>
      </c>
      <c r="E869" s="61" t="s">
        <v>65</v>
      </c>
      <c r="F869" s="61">
        <v>20650409</v>
      </c>
      <c r="G869" s="61" t="s">
        <v>180</v>
      </c>
      <c r="H869" s="75">
        <v>7630</v>
      </c>
      <c r="I869" s="52" t="s">
        <v>49</v>
      </c>
      <c r="J869" s="223" t="s">
        <v>200</v>
      </c>
      <c r="K869" s="62" t="s">
        <v>531</v>
      </c>
      <c r="L869" s="61"/>
      <c r="M869" s="63"/>
      <c r="N869" s="61"/>
      <c r="O869" s="61"/>
      <c r="P869" s="61">
        <f t="shared" si="39"/>
        <v>11</v>
      </c>
      <c r="Q869" s="61">
        <f t="shared" si="40"/>
        <v>2019</v>
      </c>
      <c r="R869" s="100">
        <f t="shared" si="41"/>
        <v>30</v>
      </c>
    </row>
    <row r="870" spans="1:18" s="59" customFormat="1" x14ac:dyDescent="0.2">
      <c r="A870" s="67">
        <v>43754</v>
      </c>
      <c r="B870" s="61" t="s">
        <v>439</v>
      </c>
      <c r="C870" s="71" t="s">
        <v>18</v>
      </c>
      <c r="D870" s="73">
        <v>43730</v>
      </c>
      <c r="E870" s="61" t="s">
        <v>65</v>
      </c>
      <c r="F870" s="61">
        <v>37048470</v>
      </c>
      <c r="G870" s="61" t="s">
        <v>439</v>
      </c>
      <c r="H870" s="75">
        <v>15000</v>
      </c>
      <c r="I870" s="52" t="s">
        <v>49</v>
      </c>
      <c r="J870" s="223" t="s">
        <v>469</v>
      </c>
      <c r="K870" s="62" t="s">
        <v>470</v>
      </c>
      <c r="L870" s="61"/>
      <c r="M870" s="63"/>
      <c r="N870" s="61"/>
      <c r="O870" s="61"/>
      <c r="P870" s="61">
        <f t="shared" si="39"/>
        <v>9</v>
      </c>
      <c r="Q870" s="61">
        <f t="shared" si="40"/>
        <v>2019</v>
      </c>
      <c r="R870" s="100">
        <f t="shared" si="41"/>
        <v>22</v>
      </c>
    </row>
    <row r="871" spans="1:18" s="59" customFormat="1" x14ac:dyDescent="0.2">
      <c r="A871" s="67">
        <v>43754</v>
      </c>
      <c r="B871" s="61" t="s">
        <v>439</v>
      </c>
      <c r="C871" s="71" t="s">
        <v>18</v>
      </c>
      <c r="D871" s="73">
        <v>43736</v>
      </c>
      <c r="E871" s="61" t="s">
        <v>466</v>
      </c>
      <c r="F871" s="61">
        <v>383178</v>
      </c>
      <c r="G871" s="61" t="s">
        <v>439</v>
      </c>
      <c r="H871" s="75">
        <v>7400</v>
      </c>
      <c r="I871" s="52" t="s">
        <v>49</v>
      </c>
      <c r="J871" s="223" t="s">
        <v>467</v>
      </c>
      <c r="K871" s="62" t="s">
        <v>468</v>
      </c>
      <c r="L871" s="61"/>
      <c r="M871" s="63"/>
      <c r="N871" s="61"/>
      <c r="O871" s="61"/>
      <c r="P871" s="61">
        <f t="shared" si="39"/>
        <v>9</v>
      </c>
      <c r="Q871" s="61">
        <f t="shared" si="40"/>
        <v>2019</v>
      </c>
      <c r="R871" s="100">
        <f t="shared" si="41"/>
        <v>28</v>
      </c>
    </row>
    <row r="872" spans="1:18" s="59" customFormat="1" x14ac:dyDescent="0.2">
      <c r="A872" s="67">
        <v>43754</v>
      </c>
      <c r="B872" s="61" t="s">
        <v>42</v>
      </c>
      <c r="C872" s="71" t="s">
        <v>18</v>
      </c>
      <c r="D872" s="73">
        <v>43718</v>
      </c>
      <c r="E872" s="61" t="s">
        <v>47</v>
      </c>
      <c r="F872" s="61">
        <v>52514553</v>
      </c>
      <c r="G872" s="61" t="s">
        <v>42</v>
      </c>
      <c r="H872" s="75">
        <v>5700</v>
      </c>
      <c r="I872" s="52" t="s">
        <v>49</v>
      </c>
      <c r="J872" s="223" t="s">
        <v>464</v>
      </c>
      <c r="K872" s="62" t="s">
        <v>465</v>
      </c>
      <c r="L872" s="61"/>
      <c r="M872" s="63"/>
      <c r="N872" s="61"/>
      <c r="O872" s="61"/>
      <c r="P872" s="61">
        <f t="shared" si="39"/>
        <v>9</v>
      </c>
      <c r="Q872" s="61">
        <f t="shared" si="40"/>
        <v>2019</v>
      </c>
      <c r="R872" s="100">
        <f t="shared" si="41"/>
        <v>10</v>
      </c>
    </row>
    <row r="873" spans="1:18" s="59" customFormat="1" x14ac:dyDescent="0.2">
      <c r="A873" s="67">
        <v>43754</v>
      </c>
      <c r="B873" s="61" t="s">
        <v>42</v>
      </c>
      <c r="C873" s="71" t="s">
        <v>18</v>
      </c>
      <c r="D873" s="73">
        <v>43771</v>
      </c>
      <c r="E873" s="61" t="s">
        <v>47</v>
      </c>
      <c r="F873" s="61">
        <v>70102306</v>
      </c>
      <c r="G873" s="61" t="s">
        <v>42</v>
      </c>
      <c r="H873" s="75">
        <v>2668</v>
      </c>
      <c r="I873" s="52" t="s">
        <v>49</v>
      </c>
      <c r="J873" s="223" t="s">
        <v>337</v>
      </c>
      <c r="K873" s="62" t="s">
        <v>463</v>
      </c>
      <c r="L873" s="61"/>
      <c r="M873" s="63">
        <v>43774</v>
      </c>
      <c r="N873" s="61"/>
      <c r="O873" s="61"/>
      <c r="P873" s="61">
        <f t="shared" si="39"/>
        <v>11</v>
      </c>
      <c r="Q873" s="61">
        <f t="shared" si="40"/>
        <v>2019</v>
      </c>
      <c r="R873" s="100">
        <f t="shared" si="41"/>
        <v>2</v>
      </c>
    </row>
    <row r="874" spans="1:18" s="59" customFormat="1" x14ac:dyDescent="0.2">
      <c r="A874" s="67">
        <v>43754</v>
      </c>
      <c r="B874" s="61" t="s">
        <v>42</v>
      </c>
      <c r="C874" s="71" t="s">
        <v>18</v>
      </c>
      <c r="D874" s="73">
        <v>43753</v>
      </c>
      <c r="E874" s="61" t="s">
        <v>47</v>
      </c>
      <c r="F874" s="61">
        <v>70102305</v>
      </c>
      <c r="G874" s="61" t="s">
        <v>42</v>
      </c>
      <c r="H874" s="75">
        <v>2668</v>
      </c>
      <c r="I874" s="52" t="s">
        <v>49</v>
      </c>
      <c r="J874" s="223" t="s">
        <v>337</v>
      </c>
      <c r="K874" s="62" t="s">
        <v>462</v>
      </c>
      <c r="L874" s="61"/>
      <c r="M874" s="63"/>
      <c r="N874" s="61"/>
      <c r="O874" s="61"/>
      <c r="P874" s="61">
        <f t="shared" si="39"/>
        <v>10</v>
      </c>
      <c r="Q874" s="61">
        <f t="shared" si="40"/>
        <v>2019</v>
      </c>
      <c r="R874" s="100">
        <f t="shared" si="41"/>
        <v>15</v>
      </c>
    </row>
    <row r="875" spans="1:18" s="59" customFormat="1" x14ac:dyDescent="0.2">
      <c r="A875" s="67">
        <v>43754</v>
      </c>
      <c r="B875" s="61" t="s">
        <v>42</v>
      </c>
      <c r="C875" s="71" t="s">
        <v>18</v>
      </c>
      <c r="D875" s="73">
        <v>43718</v>
      </c>
      <c r="E875" s="61" t="s">
        <v>47</v>
      </c>
      <c r="F875" s="61">
        <v>70102304</v>
      </c>
      <c r="G875" s="61" t="s">
        <v>42</v>
      </c>
      <c r="H875" s="75">
        <v>2668</v>
      </c>
      <c r="I875" s="52" t="s">
        <v>49</v>
      </c>
      <c r="J875" s="223" t="s">
        <v>337</v>
      </c>
      <c r="K875" s="62" t="s">
        <v>461</v>
      </c>
      <c r="L875" s="61"/>
      <c r="M875" s="63"/>
      <c r="N875" s="61"/>
      <c r="O875" s="61"/>
      <c r="P875" s="61">
        <f t="shared" si="39"/>
        <v>9</v>
      </c>
      <c r="Q875" s="61">
        <f t="shared" si="40"/>
        <v>2019</v>
      </c>
      <c r="R875" s="100">
        <f t="shared" si="41"/>
        <v>10</v>
      </c>
    </row>
    <row r="876" spans="1:18" s="59" customFormat="1" x14ac:dyDescent="0.2">
      <c r="A876" s="67">
        <v>43754</v>
      </c>
      <c r="B876" s="61" t="s">
        <v>42</v>
      </c>
      <c r="C876" s="71" t="s">
        <v>18</v>
      </c>
      <c r="D876" s="73">
        <v>43693</v>
      </c>
      <c r="E876" s="61" t="s">
        <v>61</v>
      </c>
      <c r="F876" s="61">
        <v>233452</v>
      </c>
      <c r="G876" s="61" t="s">
        <v>42</v>
      </c>
      <c r="H876" s="75">
        <v>13438.16</v>
      </c>
      <c r="I876" s="52" t="s">
        <v>49</v>
      </c>
      <c r="J876" s="223" t="s">
        <v>459</v>
      </c>
      <c r="K876" s="62" t="s">
        <v>460</v>
      </c>
      <c r="L876" s="61"/>
      <c r="M876" s="63"/>
      <c r="N876" s="61"/>
      <c r="O876" s="61"/>
      <c r="P876" s="61">
        <f t="shared" si="39"/>
        <v>8</v>
      </c>
      <c r="Q876" s="61">
        <f t="shared" si="40"/>
        <v>2019</v>
      </c>
      <c r="R876" s="100">
        <f t="shared" si="41"/>
        <v>16</v>
      </c>
    </row>
    <row r="877" spans="1:18" s="59" customFormat="1" x14ac:dyDescent="0.2">
      <c r="A877" s="67">
        <v>43757</v>
      </c>
      <c r="B877" s="61" t="s">
        <v>180</v>
      </c>
      <c r="C877" s="71" t="s">
        <v>18</v>
      </c>
      <c r="D877" s="73">
        <v>43799</v>
      </c>
      <c r="E877" s="61" t="s">
        <v>65</v>
      </c>
      <c r="F877" s="61">
        <v>20655859</v>
      </c>
      <c r="G877" s="61" t="s">
        <v>180</v>
      </c>
      <c r="H877" s="75">
        <v>5000</v>
      </c>
      <c r="I877" s="52" t="s">
        <v>49</v>
      </c>
      <c r="J877" s="223" t="s">
        <v>200</v>
      </c>
      <c r="K877" s="62" t="s">
        <v>458</v>
      </c>
      <c r="L877" s="61"/>
      <c r="M877" s="63"/>
      <c r="N877" s="61"/>
      <c r="O877" s="61"/>
      <c r="P877" s="61">
        <f t="shared" si="39"/>
        <v>11</v>
      </c>
      <c r="Q877" s="61">
        <f t="shared" si="40"/>
        <v>2019</v>
      </c>
      <c r="R877" s="100">
        <f t="shared" si="41"/>
        <v>30</v>
      </c>
    </row>
    <row r="878" spans="1:18" s="59" customFormat="1" x14ac:dyDescent="0.2">
      <c r="A878" s="67">
        <v>43757</v>
      </c>
      <c r="B878" s="61" t="s">
        <v>180</v>
      </c>
      <c r="C878" s="71" t="s">
        <v>18</v>
      </c>
      <c r="D878" s="73">
        <v>43830</v>
      </c>
      <c r="E878" s="61" t="s">
        <v>65</v>
      </c>
      <c r="F878" s="61">
        <v>20655865</v>
      </c>
      <c r="G878" s="61" t="s">
        <v>180</v>
      </c>
      <c r="H878" s="75">
        <v>5864</v>
      </c>
      <c r="I878" s="52" t="s">
        <v>49</v>
      </c>
      <c r="J878" s="223" t="s">
        <v>200</v>
      </c>
      <c r="K878" s="62" t="s">
        <v>457</v>
      </c>
      <c r="L878" s="61"/>
      <c r="M878" s="63"/>
      <c r="N878" s="61"/>
      <c r="O878" s="61"/>
      <c r="P878" s="61">
        <f t="shared" si="39"/>
        <v>12</v>
      </c>
      <c r="Q878" s="61">
        <f t="shared" si="40"/>
        <v>2019</v>
      </c>
      <c r="R878" s="100">
        <f t="shared" si="41"/>
        <v>31</v>
      </c>
    </row>
    <row r="879" spans="1:18" s="59" customFormat="1" x14ac:dyDescent="0.2">
      <c r="A879" s="67">
        <v>43757</v>
      </c>
      <c r="B879" s="61" t="s">
        <v>180</v>
      </c>
      <c r="C879" s="71" t="s">
        <v>18</v>
      </c>
      <c r="D879" s="73">
        <v>43830</v>
      </c>
      <c r="E879" s="61" t="s">
        <v>65</v>
      </c>
      <c r="F879" s="61">
        <v>20655864</v>
      </c>
      <c r="G879" s="61" t="s">
        <v>180</v>
      </c>
      <c r="H879" s="75">
        <v>5000</v>
      </c>
      <c r="I879" s="52" t="s">
        <v>49</v>
      </c>
      <c r="J879" s="223" t="s">
        <v>200</v>
      </c>
      <c r="K879" s="62" t="s">
        <v>456</v>
      </c>
      <c r="L879" s="61"/>
      <c r="M879" s="63"/>
      <c r="N879" s="61"/>
      <c r="O879" s="61"/>
      <c r="P879" s="61">
        <f t="shared" si="39"/>
        <v>12</v>
      </c>
      <c r="Q879" s="61">
        <f t="shared" si="40"/>
        <v>2019</v>
      </c>
      <c r="R879" s="100">
        <f t="shared" si="41"/>
        <v>31</v>
      </c>
    </row>
    <row r="880" spans="1:18" s="59" customFormat="1" x14ac:dyDescent="0.2">
      <c r="A880" s="67">
        <v>43752</v>
      </c>
      <c r="B880" s="61" t="s">
        <v>180</v>
      </c>
      <c r="C880" s="71" t="s">
        <v>18</v>
      </c>
      <c r="D880" s="73">
        <v>43799</v>
      </c>
      <c r="E880" s="61" t="s">
        <v>65</v>
      </c>
      <c r="F880" s="61">
        <v>20650402</v>
      </c>
      <c r="G880" s="61" t="s">
        <v>180</v>
      </c>
      <c r="H880" s="75">
        <v>10000</v>
      </c>
      <c r="I880" s="52" t="s">
        <v>97</v>
      </c>
      <c r="J880" s="223" t="s">
        <v>200</v>
      </c>
      <c r="K880" s="62" t="s">
        <v>529</v>
      </c>
      <c r="L880" s="61"/>
      <c r="M880" s="63">
        <v>43689</v>
      </c>
      <c r="N880" s="61" t="s">
        <v>530</v>
      </c>
      <c r="O880" s="61"/>
      <c r="P880" s="61">
        <f t="shared" si="39"/>
        <v>11</v>
      </c>
      <c r="Q880" s="61">
        <f t="shared" si="40"/>
        <v>2019</v>
      </c>
      <c r="R880" s="100">
        <f t="shared" si="41"/>
        <v>30</v>
      </c>
    </row>
    <row r="881" spans="1:18" s="59" customFormat="1" x14ac:dyDescent="0.2">
      <c r="A881" s="67">
        <v>43757</v>
      </c>
      <c r="B881" s="61" t="s">
        <v>180</v>
      </c>
      <c r="C881" s="71" t="s">
        <v>18</v>
      </c>
      <c r="D881" s="73">
        <v>43830</v>
      </c>
      <c r="E881" s="61" t="s">
        <v>65</v>
      </c>
      <c r="F881" s="61">
        <v>20655863</v>
      </c>
      <c r="G881" s="61" t="s">
        <v>180</v>
      </c>
      <c r="H881" s="75">
        <v>5000</v>
      </c>
      <c r="I881" s="52" t="s">
        <v>49</v>
      </c>
      <c r="J881" s="223" t="s">
        <v>200</v>
      </c>
      <c r="K881" s="62" t="s">
        <v>455</v>
      </c>
      <c r="L881" s="61"/>
      <c r="M881" s="63"/>
      <c r="N881" s="61"/>
      <c r="O881" s="61"/>
      <c r="P881" s="61">
        <f t="shared" si="39"/>
        <v>12</v>
      </c>
      <c r="Q881" s="61">
        <f t="shared" si="40"/>
        <v>2019</v>
      </c>
      <c r="R881" s="100">
        <f t="shared" si="41"/>
        <v>31</v>
      </c>
    </row>
    <row r="882" spans="1:18" s="59" customFormat="1" x14ac:dyDescent="0.2">
      <c r="A882" s="67">
        <v>43757</v>
      </c>
      <c r="B882" s="61" t="s">
        <v>180</v>
      </c>
      <c r="C882" s="71" t="s">
        <v>18</v>
      </c>
      <c r="D882" s="73">
        <v>43830</v>
      </c>
      <c r="E882" s="61" t="s">
        <v>65</v>
      </c>
      <c r="F882" s="61">
        <v>20655862</v>
      </c>
      <c r="G882" s="61" t="s">
        <v>180</v>
      </c>
      <c r="H882" s="75">
        <v>5000</v>
      </c>
      <c r="I882" s="52" t="s">
        <v>150</v>
      </c>
      <c r="J882" s="223" t="s">
        <v>200</v>
      </c>
      <c r="K882" s="62" t="s">
        <v>454</v>
      </c>
      <c r="L882" s="61"/>
      <c r="M882" s="63">
        <v>43712</v>
      </c>
      <c r="N882" s="61"/>
      <c r="O882" s="61"/>
      <c r="P882" s="61">
        <f t="shared" si="39"/>
        <v>12</v>
      </c>
      <c r="Q882" s="61">
        <f t="shared" si="40"/>
        <v>2019</v>
      </c>
      <c r="R882" s="100">
        <f t="shared" si="41"/>
        <v>31</v>
      </c>
    </row>
    <row r="883" spans="1:18" s="59" customFormat="1" x14ac:dyDescent="0.2">
      <c r="A883" s="67">
        <v>43757</v>
      </c>
      <c r="B883" s="61" t="s">
        <v>180</v>
      </c>
      <c r="C883" s="71" t="s">
        <v>18</v>
      </c>
      <c r="D883" s="73">
        <v>43799</v>
      </c>
      <c r="E883" s="61" t="s">
        <v>65</v>
      </c>
      <c r="F883" s="61">
        <v>20653861</v>
      </c>
      <c r="G883" s="61" t="s">
        <v>180</v>
      </c>
      <c r="H883" s="75">
        <v>5000</v>
      </c>
      <c r="I883" s="52" t="s">
        <v>49</v>
      </c>
      <c r="J883" s="223" t="s">
        <v>200</v>
      </c>
      <c r="K883" s="62" t="s">
        <v>453</v>
      </c>
      <c r="L883" s="61"/>
      <c r="M883" s="63"/>
      <c r="N883" s="61"/>
      <c r="O883" s="61"/>
      <c r="P883" s="61">
        <f t="shared" si="39"/>
        <v>11</v>
      </c>
      <c r="Q883" s="61">
        <f t="shared" si="40"/>
        <v>2019</v>
      </c>
      <c r="R883" s="100">
        <f t="shared" si="41"/>
        <v>30</v>
      </c>
    </row>
    <row r="884" spans="1:18" s="59" customFormat="1" x14ac:dyDescent="0.2">
      <c r="A884" s="67">
        <v>43757</v>
      </c>
      <c r="B884" s="61" t="s">
        <v>180</v>
      </c>
      <c r="C884" s="71" t="s">
        <v>18</v>
      </c>
      <c r="D884" s="73">
        <v>43799</v>
      </c>
      <c r="E884" s="61" t="s">
        <v>65</v>
      </c>
      <c r="F884" s="61">
        <v>20653860</v>
      </c>
      <c r="G884" s="61" t="s">
        <v>180</v>
      </c>
      <c r="H884" s="75">
        <v>5000</v>
      </c>
      <c r="I884" s="52" t="s">
        <v>49</v>
      </c>
      <c r="J884" s="223" t="s">
        <v>200</v>
      </c>
      <c r="K884" s="62" t="s">
        <v>452</v>
      </c>
      <c r="L884" s="61"/>
      <c r="M884" s="63"/>
      <c r="N884" s="61"/>
      <c r="O884" s="61"/>
      <c r="P884" s="61">
        <f t="shared" si="39"/>
        <v>11</v>
      </c>
      <c r="Q884" s="61">
        <f t="shared" si="40"/>
        <v>2019</v>
      </c>
      <c r="R884" s="100">
        <f t="shared" si="41"/>
        <v>30</v>
      </c>
    </row>
    <row r="885" spans="1:18" s="59" customFormat="1" x14ac:dyDescent="0.2">
      <c r="A885" s="67">
        <v>43761</v>
      </c>
      <c r="B885" s="61" t="s">
        <v>426</v>
      </c>
      <c r="C885" s="71" t="s">
        <v>18</v>
      </c>
      <c r="D885" s="73">
        <v>43752</v>
      </c>
      <c r="E885" s="61" t="s">
        <v>57</v>
      </c>
      <c r="F885" s="61">
        <v>1709</v>
      </c>
      <c r="G885" s="61" t="s">
        <v>281</v>
      </c>
      <c r="H885" s="75">
        <v>3400</v>
      </c>
      <c r="I885" s="52" t="s">
        <v>49</v>
      </c>
      <c r="J885" s="223" t="s">
        <v>282</v>
      </c>
      <c r="K885" s="62" t="s">
        <v>451</v>
      </c>
      <c r="L885" s="61"/>
      <c r="M885" s="63"/>
      <c r="N885" s="61"/>
      <c r="O885" s="61"/>
      <c r="P885" s="61">
        <f t="shared" si="39"/>
        <v>10</v>
      </c>
      <c r="Q885" s="61">
        <f t="shared" si="40"/>
        <v>2019</v>
      </c>
      <c r="R885" s="100">
        <f t="shared" si="41"/>
        <v>14</v>
      </c>
    </row>
    <row r="886" spans="1:18" s="59" customFormat="1" x14ac:dyDescent="0.2">
      <c r="A886" s="67">
        <v>43761</v>
      </c>
      <c r="B886" s="61" t="s">
        <v>426</v>
      </c>
      <c r="C886" s="71" t="s">
        <v>18</v>
      </c>
      <c r="D886" s="73">
        <v>43718</v>
      </c>
      <c r="E886" s="61" t="s">
        <v>47</v>
      </c>
      <c r="F886" s="61">
        <v>70940201</v>
      </c>
      <c r="G886" s="61" t="s">
        <v>281</v>
      </c>
      <c r="H886" s="75">
        <v>3400</v>
      </c>
      <c r="I886" s="52" t="s">
        <v>49</v>
      </c>
      <c r="J886" s="223" t="s">
        <v>282</v>
      </c>
      <c r="K886" s="62" t="s">
        <v>450</v>
      </c>
      <c r="L886" s="61"/>
      <c r="M886" s="63"/>
      <c r="N886" s="61"/>
      <c r="O886" s="61"/>
      <c r="P886" s="61">
        <f t="shared" si="39"/>
        <v>9</v>
      </c>
      <c r="Q886" s="61">
        <f t="shared" si="40"/>
        <v>2019</v>
      </c>
      <c r="R886" s="100">
        <f t="shared" si="41"/>
        <v>10</v>
      </c>
    </row>
    <row r="887" spans="1:18" s="59" customFormat="1" x14ac:dyDescent="0.2">
      <c r="A887" s="67">
        <v>43761</v>
      </c>
      <c r="B887" s="61" t="s">
        <v>226</v>
      </c>
      <c r="C887" s="71" t="s">
        <v>18</v>
      </c>
      <c r="D887" s="73">
        <v>43780</v>
      </c>
      <c r="E887" s="61" t="s">
        <v>123</v>
      </c>
      <c r="F887" s="61">
        <v>61403437</v>
      </c>
      <c r="G887" s="61" t="s">
        <v>226</v>
      </c>
      <c r="H887" s="75">
        <v>7000</v>
      </c>
      <c r="I887" s="52" t="s">
        <v>97</v>
      </c>
      <c r="J887" s="223" t="s">
        <v>228</v>
      </c>
      <c r="K887" s="62" t="s">
        <v>449</v>
      </c>
      <c r="L887" s="61"/>
      <c r="M887" s="63"/>
      <c r="N887" s="61" t="s">
        <v>94</v>
      </c>
      <c r="O887" s="61"/>
      <c r="P887" s="61">
        <f t="shared" si="39"/>
        <v>11</v>
      </c>
      <c r="Q887" s="61">
        <f t="shared" si="40"/>
        <v>2019</v>
      </c>
      <c r="R887" s="100">
        <f t="shared" si="41"/>
        <v>11</v>
      </c>
    </row>
    <row r="888" spans="1:18" s="59" customFormat="1" x14ac:dyDescent="0.2">
      <c r="A888" s="67">
        <v>43761</v>
      </c>
      <c r="B888" s="61" t="s">
        <v>226</v>
      </c>
      <c r="C888" s="71" t="s">
        <v>18</v>
      </c>
      <c r="D888" s="73">
        <v>43787</v>
      </c>
      <c r="E888" s="61" t="s">
        <v>123</v>
      </c>
      <c r="F888" s="61">
        <v>61403438</v>
      </c>
      <c r="G888" s="61" t="s">
        <v>226</v>
      </c>
      <c r="H888" s="75">
        <v>7150</v>
      </c>
      <c r="I888" s="52" t="s">
        <v>49</v>
      </c>
      <c r="J888" s="223" t="s">
        <v>228</v>
      </c>
      <c r="K888" s="62" t="s">
        <v>448</v>
      </c>
      <c r="L888" s="61"/>
      <c r="M888" s="63"/>
      <c r="N888" s="61"/>
      <c r="O888" s="61"/>
      <c r="P888" s="61">
        <f t="shared" si="39"/>
        <v>11</v>
      </c>
      <c r="Q888" s="61">
        <f t="shared" si="40"/>
        <v>2019</v>
      </c>
      <c r="R888" s="100">
        <f t="shared" si="41"/>
        <v>18</v>
      </c>
    </row>
    <row r="889" spans="1:18" s="59" customFormat="1" x14ac:dyDescent="0.2">
      <c r="A889" s="67">
        <v>43761</v>
      </c>
      <c r="B889" s="61" t="s">
        <v>180</v>
      </c>
      <c r="C889" s="71" t="s">
        <v>18</v>
      </c>
      <c r="D889" s="73">
        <v>43799</v>
      </c>
      <c r="E889" s="61" t="s">
        <v>65</v>
      </c>
      <c r="F889" s="61">
        <v>20655869</v>
      </c>
      <c r="G889" s="61" t="s">
        <v>180</v>
      </c>
      <c r="H889" s="75">
        <v>6000</v>
      </c>
      <c r="I889" s="52" t="s">
        <v>49</v>
      </c>
      <c r="J889" s="223" t="s">
        <v>200</v>
      </c>
      <c r="K889" s="62" t="s">
        <v>447</v>
      </c>
      <c r="L889" s="61"/>
      <c r="M889" s="63"/>
      <c r="N889" s="61"/>
      <c r="O889" s="61"/>
      <c r="P889" s="61">
        <f t="shared" si="39"/>
        <v>11</v>
      </c>
      <c r="Q889" s="61">
        <f t="shared" si="40"/>
        <v>2019</v>
      </c>
      <c r="R889" s="100">
        <f t="shared" si="41"/>
        <v>30</v>
      </c>
    </row>
    <row r="890" spans="1:18" s="59" customFormat="1" x14ac:dyDescent="0.2">
      <c r="A890" s="67">
        <v>43761</v>
      </c>
      <c r="B890" s="61" t="s">
        <v>180</v>
      </c>
      <c r="C890" s="71" t="s">
        <v>18</v>
      </c>
      <c r="D890" s="73">
        <v>43799</v>
      </c>
      <c r="E890" s="61" t="s">
        <v>65</v>
      </c>
      <c r="F890" s="61">
        <v>20655870</v>
      </c>
      <c r="G890" s="61" t="s">
        <v>180</v>
      </c>
      <c r="H890" s="75">
        <v>6000</v>
      </c>
      <c r="I890" s="52" t="s">
        <v>49</v>
      </c>
      <c r="J890" s="223" t="s">
        <v>200</v>
      </c>
      <c r="K890" s="62" t="s">
        <v>446</v>
      </c>
      <c r="L890" s="61"/>
      <c r="M890" s="63"/>
      <c r="N890" s="61"/>
      <c r="O890" s="61"/>
      <c r="P890" s="61">
        <f t="shared" si="39"/>
        <v>11</v>
      </c>
      <c r="Q890" s="61">
        <f t="shared" si="40"/>
        <v>2019</v>
      </c>
      <c r="R890" s="100">
        <f t="shared" si="41"/>
        <v>30</v>
      </c>
    </row>
    <row r="891" spans="1:18" s="59" customFormat="1" x14ac:dyDescent="0.2">
      <c r="A891" s="67">
        <v>43752</v>
      </c>
      <c r="B891" s="61" t="s">
        <v>180</v>
      </c>
      <c r="C891" s="71" t="s">
        <v>18</v>
      </c>
      <c r="D891" s="73">
        <v>43829</v>
      </c>
      <c r="E891" s="61" t="s">
        <v>65</v>
      </c>
      <c r="F891" s="61">
        <v>20650406</v>
      </c>
      <c r="G891" s="61" t="s">
        <v>180</v>
      </c>
      <c r="H891" s="75">
        <v>10000</v>
      </c>
      <c r="I891" s="52" t="s">
        <v>49</v>
      </c>
      <c r="J891" s="223" t="s">
        <v>200</v>
      </c>
      <c r="K891" s="62" t="s">
        <v>528</v>
      </c>
      <c r="L891" s="61"/>
      <c r="M891" s="63"/>
      <c r="N891" s="61"/>
      <c r="O891" s="61"/>
      <c r="P891" s="61">
        <f t="shared" si="39"/>
        <v>12</v>
      </c>
      <c r="Q891" s="61">
        <f t="shared" si="40"/>
        <v>2019</v>
      </c>
      <c r="R891" s="100">
        <f t="shared" si="41"/>
        <v>30</v>
      </c>
    </row>
    <row r="892" spans="1:18" s="59" customFormat="1" x14ac:dyDescent="0.2">
      <c r="A892" s="67">
        <v>43761</v>
      </c>
      <c r="B892" s="61" t="s">
        <v>180</v>
      </c>
      <c r="C892" s="71" t="s">
        <v>18</v>
      </c>
      <c r="D892" s="73">
        <v>43799</v>
      </c>
      <c r="E892" s="61" t="s">
        <v>65</v>
      </c>
      <c r="F892" s="61">
        <v>20655871</v>
      </c>
      <c r="G892" s="61" t="s">
        <v>180</v>
      </c>
      <c r="H892" s="75">
        <v>6000</v>
      </c>
      <c r="I892" s="52" t="s">
        <v>49</v>
      </c>
      <c r="J892" s="223" t="s">
        <v>200</v>
      </c>
      <c r="K892" s="62" t="s">
        <v>445</v>
      </c>
      <c r="L892" s="61"/>
      <c r="M892" s="63"/>
      <c r="N892" s="61"/>
      <c r="O892" s="61"/>
      <c r="P892" s="61">
        <f t="shared" si="39"/>
        <v>11</v>
      </c>
      <c r="Q892" s="61">
        <f t="shared" si="40"/>
        <v>2019</v>
      </c>
      <c r="R892" s="100">
        <f t="shared" si="41"/>
        <v>30</v>
      </c>
    </row>
    <row r="893" spans="1:18" s="59" customFormat="1" x14ac:dyDescent="0.2">
      <c r="A893" s="67">
        <v>43761</v>
      </c>
      <c r="B893" s="61" t="s">
        <v>180</v>
      </c>
      <c r="C893" s="71" t="s">
        <v>18</v>
      </c>
      <c r="D893" s="73">
        <v>43830</v>
      </c>
      <c r="E893" s="61" t="s">
        <v>65</v>
      </c>
      <c r="F893" s="61">
        <v>20655872</v>
      </c>
      <c r="G893" s="61" t="s">
        <v>180</v>
      </c>
      <c r="H893" s="75">
        <v>6000</v>
      </c>
      <c r="I893" s="52" t="s">
        <v>49</v>
      </c>
      <c r="J893" s="223" t="s">
        <v>200</v>
      </c>
      <c r="K893" s="62" t="s">
        <v>444</v>
      </c>
      <c r="L893" s="61"/>
      <c r="M893" s="63"/>
      <c r="N893" s="61"/>
      <c r="O893" s="61"/>
      <c r="P893" s="61">
        <f t="shared" si="39"/>
        <v>12</v>
      </c>
      <c r="Q893" s="61">
        <f t="shared" si="40"/>
        <v>2019</v>
      </c>
      <c r="R893" s="100">
        <f t="shared" si="41"/>
        <v>31</v>
      </c>
    </row>
    <row r="894" spans="1:18" s="59" customFormat="1" x14ac:dyDescent="0.2">
      <c r="A894" s="67">
        <v>43761</v>
      </c>
      <c r="B894" s="61" t="s">
        <v>180</v>
      </c>
      <c r="C894" s="71" t="s">
        <v>18</v>
      </c>
      <c r="D894" s="73">
        <v>43830</v>
      </c>
      <c r="E894" s="61" t="s">
        <v>65</v>
      </c>
      <c r="F894" s="61">
        <v>20655873</v>
      </c>
      <c r="G894" s="61" t="s">
        <v>180</v>
      </c>
      <c r="H894" s="75">
        <v>6000</v>
      </c>
      <c r="I894" s="52" t="s">
        <v>49</v>
      </c>
      <c r="J894" s="223" t="s">
        <v>200</v>
      </c>
      <c r="K894" s="62" t="s">
        <v>443</v>
      </c>
      <c r="L894" s="61"/>
      <c r="M894" s="63"/>
      <c r="N894" s="61"/>
      <c r="O894" s="61"/>
      <c r="P894" s="61">
        <f t="shared" si="39"/>
        <v>12</v>
      </c>
      <c r="Q894" s="61">
        <f t="shared" si="40"/>
        <v>2019</v>
      </c>
      <c r="R894" s="100">
        <f t="shared" si="41"/>
        <v>31</v>
      </c>
    </row>
    <row r="895" spans="1:18" s="59" customFormat="1" x14ac:dyDescent="0.2">
      <c r="A895" s="67">
        <v>43761</v>
      </c>
      <c r="B895" s="61" t="s">
        <v>180</v>
      </c>
      <c r="C895" s="71" t="s">
        <v>18</v>
      </c>
      <c r="D895" s="73">
        <v>43830</v>
      </c>
      <c r="E895" s="61" t="s">
        <v>65</v>
      </c>
      <c r="F895" s="61">
        <v>20655874</v>
      </c>
      <c r="G895" s="61" t="s">
        <v>180</v>
      </c>
      <c r="H895" s="75">
        <v>6000</v>
      </c>
      <c r="I895" s="52" t="s">
        <v>97</v>
      </c>
      <c r="J895" s="223" t="s">
        <v>200</v>
      </c>
      <c r="K895" s="62" t="s">
        <v>441</v>
      </c>
      <c r="L895" s="61"/>
      <c r="M895" s="63"/>
      <c r="N895" s="61" t="s">
        <v>442</v>
      </c>
      <c r="O895" s="61"/>
      <c r="P895" s="61">
        <f t="shared" si="39"/>
        <v>12</v>
      </c>
      <c r="Q895" s="61">
        <f t="shared" si="40"/>
        <v>2019</v>
      </c>
      <c r="R895" s="100">
        <f t="shared" si="41"/>
        <v>31</v>
      </c>
    </row>
    <row r="896" spans="1:18" s="59" customFormat="1" x14ac:dyDescent="0.2">
      <c r="A896" s="67">
        <v>43761</v>
      </c>
      <c r="B896" s="61" t="s">
        <v>180</v>
      </c>
      <c r="C896" s="71" t="s">
        <v>18</v>
      </c>
      <c r="D896" s="73">
        <v>43830</v>
      </c>
      <c r="E896" s="61" t="s">
        <v>65</v>
      </c>
      <c r="F896" s="61">
        <v>20655875</v>
      </c>
      <c r="G896" s="61" t="s">
        <v>180</v>
      </c>
      <c r="H896" s="75">
        <v>6929</v>
      </c>
      <c r="I896" s="52" t="s">
        <v>49</v>
      </c>
      <c r="J896" s="223" t="s">
        <v>200</v>
      </c>
      <c r="K896" s="62" t="s">
        <v>440</v>
      </c>
      <c r="L896" s="61"/>
      <c r="M896" s="63"/>
      <c r="N896" s="61"/>
      <c r="O896" s="61"/>
      <c r="P896" s="61">
        <f t="shared" si="39"/>
        <v>12</v>
      </c>
      <c r="Q896" s="61">
        <f t="shared" si="40"/>
        <v>2019</v>
      </c>
      <c r="R896" s="100">
        <f t="shared" si="41"/>
        <v>31</v>
      </c>
    </row>
    <row r="897" spans="1:18" s="59" customFormat="1" x14ac:dyDescent="0.2">
      <c r="A897" s="67">
        <v>43752</v>
      </c>
      <c r="B897" s="61" t="s">
        <v>180</v>
      </c>
      <c r="C897" s="71" t="s">
        <v>18</v>
      </c>
      <c r="D897" s="73">
        <v>43830</v>
      </c>
      <c r="E897" s="61" t="s">
        <v>65</v>
      </c>
      <c r="F897" s="61">
        <v>20650405</v>
      </c>
      <c r="G897" s="61" t="s">
        <v>180</v>
      </c>
      <c r="H897" s="75">
        <v>10000</v>
      </c>
      <c r="I897" s="52" t="s">
        <v>49</v>
      </c>
      <c r="J897" s="223" t="s">
        <v>200</v>
      </c>
      <c r="K897" s="62" t="s">
        <v>527</v>
      </c>
      <c r="L897" s="61"/>
      <c r="M897" s="63"/>
      <c r="N897" s="61"/>
      <c r="O897" s="61"/>
      <c r="P897" s="61">
        <f t="shared" si="39"/>
        <v>12</v>
      </c>
      <c r="Q897" s="61">
        <f t="shared" si="40"/>
        <v>2019</v>
      </c>
      <c r="R897" s="100">
        <f t="shared" si="41"/>
        <v>31</v>
      </c>
    </row>
    <row r="898" spans="1:18" s="59" customFormat="1" x14ac:dyDescent="0.2">
      <c r="A898" s="67">
        <v>43752</v>
      </c>
      <c r="B898" s="61" t="s">
        <v>180</v>
      </c>
      <c r="C898" s="71" t="s">
        <v>18</v>
      </c>
      <c r="D898" s="73">
        <v>43830</v>
      </c>
      <c r="E898" s="61" t="s">
        <v>65</v>
      </c>
      <c r="F898" s="61">
        <v>20650408</v>
      </c>
      <c r="G898" s="61" t="s">
        <v>180</v>
      </c>
      <c r="H898" s="75">
        <v>5500</v>
      </c>
      <c r="I898" s="52" t="s">
        <v>49</v>
      </c>
      <c r="J898" s="223" t="s">
        <v>200</v>
      </c>
      <c r="K898" s="62" t="s">
        <v>526</v>
      </c>
      <c r="L898" s="61"/>
      <c r="M898" s="63"/>
      <c r="N898" s="61"/>
      <c r="O898" s="61"/>
      <c r="P898" s="61">
        <f t="shared" ref="P898:P961" si="42">MONTH(D898)</f>
        <v>12</v>
      </c>
      <c r="Q898" s="61">
        <f t="shared" ref="Q898:Q961" si="43">YEAR(D898)</f>
        <v>2019</v>
      </c>
      <c r="R898" s="100">
        <f t="shared" si="41"/>
        <v>31</v>
      </c>
    </row>
    <row r="899" spans="1:18" s="59" customFormat="1" x14ac:dyDescent="0.2">
      <c r="A899" s="69">
        <v>44420</v>
      </c>
      <c r="B899" s="61" t="s">
        <v>158</v>
      </c>
      <c r="C899" s="61" t="s">
        <v>18</v>
      </c>
      <c r="D899" s="73">
        <v>44407</v>
      </c>
      <c r="E899" s="61" t="s">
        <v>47</v>
      </c>
      <c r="F899" s="61">
        <v>87124721</v>
      </c>
      <c r="G899" s="61" t="s">
        <v>881</v>
      </c>
      <c r="H899" s="75">
        <v>1530</v>
      </c>
      <c r="I899" s="62" t="s">
        <v>49</v>
      </c>
      <c r="J899" s="61" t="s">
        <v>882</v>
      </c>
      <c r="K899" s="62">
        <v>784</v>
      </c>
      <c r="L899" s="61"/>
      <c r="M899" s="64">
        <v>44425</v>
      </c>
      <c r="N899" s="61"/>
      <c r="O899" s="61"/>
      <c r="P899" s="61">
        <f t="shared" si="42"/>
        <v>7</v>
      </c>
      <c r="Q899" s="61">
        <f t="shared" si="43"/>
        <v>2021</v>
      </c>
      <c r="R899" s="100">
        <f t="shared" ref="R899:R962" si="44">DAY(D899)</f>
        <v>30</v>
      </c>
    </row>
    <row r="900" spans="1:18" s="59" customFormat="1" x14ac:dyDescent="0.2">
      <c r="A900" s="69">
        <v>44420</v>
      </c>
      <c r="B900" s="61" t="s">
        <v>158</v>
      </c>
      <c r="C900" s="61" t="s">
        <v>18</v>
      </c>
      <c r="D900" s="73">
        <v>44417</v>
      </c>
      <c r="E900" s="61" t="s">
        <v>47</v>
      </c>
      <c r="F900" s="61">
        <v>87124705</v>
      </c>
      <c r="G900" s="61" t="s">
        <v>881</v>
      </c>
      <c r="H900" s="75">
        <v>7530</v>
      </c>
      <c r="I900" s="62" t="s">
        <v>97</v>
      </c>
      <c r="J900" s="61" t="s">
        <v>882</v>
      </c>
      <c r="K900" s="62">
        <v>785</v>
      </c>
      <c r="L900" s="61"/>
      <c r="M900" s="64">
        <v>44433</v>
      </c>
      <c r="N900" s="61" t="s">
        <v>996</v>
      </c>
      <c r="O900" s="61"/>
      <c r="P900" s="61">
        <f t="shared" si="42"/>
        <v>8</v>
      </c>
      <c r="Q900" s="61">
        <f t="shared" si="43"/>
        <v>2021</v>
      </c>
      <c r="R900" s="100">
        <f t="shared" si="44"/>
        <v>9</v>
      </c>
    </row>
    <row r="901" spans="1:18" s="59" customFormat="1" x14ac:dyDescent="0.2">
      <c r="A901" s="69">
        <v>44420</v>
      </c>
      <c r="B901" s="61" t="s">
        <v>158</v>
      </c>
      <c r="C901" s="61" t="s">
        <v>18</v>
      </c>
      <c r="D901" s="73">
        <v>44420</v>
      </c>
      <c r="E901" s="61" t="s">
        <v>47</v>
      </c>
      <c r="F901" s="61">
        <v>87124709</v>
      </c>
      <c r="G901" s="61" t="s">
        <v>881</v>
      </c>
      <c r="H901" s="75">
        <v>7530</v>
      </c>
      <c r="I901" s="62" t="s">
        <v>97</v>
      </c>
      <c r="J901" s="61" t="s">
        <v>882</v>
      </c>
      <c r="K901" s="62">
        <v>786</v>
      </c>
      <c r="L901" s="61"/>
      <c r="M901" s="64">
        <v>44438</v>
      </c>
      <c r="N901" s="61" t="s">
        <v>23</v>
      </c>
      <c r="O901" s="61"/>
      <c r="P901" s="61">
        <f t="shared" si="42"/>
        <v>8</v>
      </c>
      <c r="Q901" s="61">
        <f t="shared" si="43"/>
        <v>2021</v>
      </c>
      <c r="R901" s="100">
        <f t="shared" si="44"/>
        <v>12</v>
      </c>
    </row>
    <row r="902" spans="1:18" s="59" customFormat="1" x14ac:dyDescent="0.2">
      <c r="A902" s="69">
        <v>44420</v>
      </c>
      <c r="B902" s="61" t="s">
        <v>158</v>
      </c>
      <c r="C902" s="61" t="s">
        <v>18</v>
      </c>
      <c r="D902" s="73">
        <v>44424</v>
      </c>
      <c r="E902" s="61" t="s">
        <v>47</v>
      </c>
      <c r="F902" s="61">
        <v>87124706</v>
      </c>
      <c r="G902" s="61" t="s">
        <v>881</v>
      </c>
      <c r="H902" s="75">
        <v>7530</v>
      </c>
      <c r="I902" s="62" t="s">
        <v>49</v>
      </c>
      <c r="J902" s="61" t="s">
        <v>882</v>
      </c>
      <c r="K902" s="62">
        <v>787</v>
      </c>
      <c r="L902" s="61"/>
      <c r="M902" s="64">
        <v>44428</v>
      </c>
      <c r="N902" s="61"/>
      <c r="O902" s="61"/>
      <c r="P902" s="61">
        <f t="shared" si="42"/>
        <v>8</v>
      </c>
      <c r="Q902" s="61">
        <f t="shared" si="43"/>
        <v>2021</v>
      </c>
      <c r="R902" s="100">
        <f t="shared" si="44"/>
        <v>16</v>
      </c>
    </row>
    <row r="903" spans="1:18" s="59" customFormat="1" x14ac:dyDescent="0.2">
      <c r="A903" s="69">
        <v>44428</v>
      </c>
      <c r="B903" s="61" t="s">
        <v>180</v>
      </c>
      <c r="C903" s="61" t="s">
        <v>18</v>
      </c>
      <c r="D903" s="73">
        <v>44500</v>
      </c>
      <c r="E903" s="61" t="s">
        <v>65</v>
      </c>
      <c r="F903" s="61">
        <v>40185009</v>
      </c>
      <c r="G903" s="61" t="s">
        <v>874</v>
      </c>
      <c r="H903" s="75">
        <v>10000</v>
      </c>
      <c r="I903" s="62" t="s">
        <v>767</v>
      </c>
      <c r="J903" s="61" t="s">
        <v>200</v>
      </c>
      <c r="K903" s="62">
        <v>788</v>
      </c>
      <c r="L903" s="61"/>
      <c r="M903" s="61"/>
      <c r="N903" s="61"/>
      <c r="O903" s="61"/>
      <c r="P903" s="61">
        <f t="shared" si="42"/>
        <v>10</v>
      </c>
      <c r="Q903" s="61">
        <f t="shared" si="43"/>
        <v>2021</v>
      </c>
      <c r="R903" s="100">
        <f t="shared" si="44"/>
        <v>31</v>
      </c>
    </row>
    <row r="904" spans="1:18" s="59" customFormat="1" x14ac:dyDescent="0.2">
      <c r="A904" s="69">
        <v>44428</v>
      </c>
      <c r="B904" s="61" t="s">
        <v>1252</v>
      </c>
      <c r="C904" s="61" t="s">
        <v>18</v>
      </c>
      <c r="D904" s="73">
        <v>44430</v>
      </c>
      <c r="E904" s="61" t="s">
        <v>43</v>
      </c>
      <c r="F904" s="61">
        <v>23842100</v>
      </c>
      <c r="G904" s="61" t="s">
        <v>1253</v>
      </c>
      <c r="H904" s="75">
        <v>10000</v>
      </c>
      <c r="I904" s="62" t="s">
        <v>97</v>
      </c>
      <c r="J904" s="61" t="s">
        <v>1254</v>
      </c>
      <c r="K904" s="62">
        <v>789</v>
      </c>
      <c r="L904" s="61"/>
      <c r="M904" s="64">
        <v>44440</v>
      </c>
      <c r="N904" s="61" t="s">
        <v>757</v>
      </c>
      <c r="O904" s="61" t="s">
        <v>1273</v>
      </c>
      <c r="P904" s="61">
        <f t="shared" si="42"/>
        <v>8</v>
      </c>
      <c r="Q904" s="61">
        <f t="shared" si="43"/>
        <v>2021</v>
      </c>
      <c r="R904" s="100">
        <f t="shared" si="44"/>
        <v>22</v>
      </c>
    </row>
    <row r="905" spans="1:18" s="59" customFormat="1" x14ac:dyDescent="0.2">
      <c r="A905" s="69">
        <v>44428</v>
      </c>
      <c r="B905" s="61" t="s">
        <v>42</v>
      </c>
      <c r="C905" s="61" t="s">
        <v>18</v>
      </c>
      <c r="D905" s="73">
        <v>44425</v>
      </c>
      <c r="E905" s="61" t="s">
        <v>61</v>
      </c>
      <c r="F905" s="61">
        <v>281344</v>
      </c>
      <c r="G905" s="61" t="s">
        <v>1255</v>
      </c>
      <c r="H905" s="75">
        <v>28370.01</v>
      </c>
      <c r="I905" s="62" t="s">
        <v>97</v>
      </c>
      <c r="J905" s="61" t="s">
        <v>459</v>
      </c>
      <c r="K905" s="62">
        <v>790</v>
      </c>
      <c r="L905" s="61"/>
      <c r="M905" s="64">
        <v>44440</v>
      </c>
      <c r="N905" s="61" t="s">
        <v>23</v>
      </c>
      <c r="O905" s="61"/>
      <c r="P905" s="61">
        <f t="shared" si="42"/>
        <v>8</v>
      </c>
      <c r="Q905" s="61">
        <f t="shared" si="43"/>
        <v>2021</v>
      </c>
      <c r="R905" s="100">
        <f t="shared" si="44"/>
        <v>17</v>
      </c>
    </row>
    <row r="906" spans="1:18" s="59" customFormat="1" x14ac:dyDescent="0.2">
      <c r="A906" s="69">
        <v>44428</v>
      </c>
      <c r="B906" s="61" t="s">
        <v>42</v>
      </c>
      <c r="C906" s="61" t="s">
        <v>18</v>
      </c>
      <c r="D906" s="73">
        <v>44444</v>
      </c>
      <c r="E906" s="61" t="s">
        <v>47</v>
      </c>
      <c r="F906" s="61">
        <v>80436623</v>
      </c>
      <c r="G906" s="61" t="s">
        <v>1256</v>
      </c>
      <c r="H906" s="75">
        <v>11433</v>
      </c>
      <c r="I906" s="62" t="s">
        <v>97</v>
      </c>
      <c r="J906" s="61" t="s">
        <v>1257</v>
      </c>
      <c r="K906" s="62">
        <v>791</v>
      </c>
      <c r="L906" s="61"/>
      <c r="M906" s="64">
        <v>44433</v>
      </c>
      <c r="N906" s="61" t="s">
        <v>97</v>
      </c>
      <c r="O906" s="61"/>
      <c r="P906" s="61">
        <f t="shared" si="42"/>
        <v>9</v>
      </c>
      <c r="Q906" s="61">
        <f t="shared" si="43"/>
        <v>2021</v>
      </c>
      <c r="R906" s="100">
        <f t="shared" si="44"/>
        <v>5</v>
      </c>
    </row>
    <row r="907" spans="1:18" s="59" customFormat="1" x14ac:dyDescent="0.2">
      <c r="A907" s="69">
        <v>44428</v>
      </c>
      <c r="B907" s="61" t="s">
        <v>42</v>
      </c>
      <c r="C907" s="61" t="s">
        <v>18</v>
      </c>
      <c r="D907" s="73">
        <v>44478</v>
      </c>
      <c r="E907" s="61" t="s">
        <v>43</v>
      </c>
      <c r="F907" s="61">
        <v>22284393</v>
      </c>
      <c r="G907" s="61" t="s">
        <v>893</v>
      </c>
      <c r="H907" s="75">
        <v>56595</v>
      </c>
      <c r="I907" s="62" t="s">
        <v>49</v>
      </c>
      <c r="J907" s="61" t="s">
        <v>894</v>
      </c>
      <c r="K907" s="62">
        <v>792</v>
      </c>
      <c r="L907" s="61"/>
      <c r="M907" s="64">
        <v>44481</v>
      </c>
      <c r="N907" s="61"/>
      <c r="O907" s="61"/>
      <c r="P907" s="61">
        <f t="shared" si="42"/>
        <v>10</v>
      </c>
      <c r="Q907" s="61">
        <f t="shared" si="43"/>
        <v>2021</v>
      </c>
      <c r="R907" s="100">
        <f t="shared" si="44"/>
        <v>9</v>
      </c>
    </row>
    <row r="908" spans="1:18" s="59" customFormat="1" x14ac:dyDescent="0.2">
      <c r="A908" s="69">
        <v>44428</v>
      </c>
      <c r="B908" s="61" t="s">
        <v>42</v>
      </c>
      <c r="C908" s="61" t="s">
        <v>18</v>
      </c>
      <c r="D908" s="73">
        <v>44492</v>
      </c>
      <c r="E908" s="61" t="s">
        <v>43</v>
      </c>
      <c r="F908" s="61">
        <v>22284394</v>
      </c>
      <c r="G908" s="61" t="s">
        <v>893</v>
      </c>
      <c r="H908" s="75">
        <v>60000</v>
      </c>
      <c r="I908" s="62" t="s">
        <v>767</v>
      </c>
      <c r="J908" s="61" t="s">
        <v>1258</v>
      </c>
      <c r="K908" s="62">
        <v>793</v>
      </c>
      <c r="L908" s="61"/>
      <c r="M908" s="61"/>
      <c r="N908" s="61"/>
      <c r="O908" s="61"/>
      <c r="P908" s="61">
        <f t="shared" si="42"/>
        <v>10</v>
      </c>
      <c r="Q908" s="61">
        <f t="shared" si="43"/>
        <v>2021</v>
      </c>
      <c r="R908" s="100">
        <f t="shared" si="44"/>
        <v>23</v>
      </c>
    </row>
    <row r="909" spans="1:18" s="59" customFormat="1" x14ac:dyDescent="0.2">
      <c r="A909" s="69">
        <v>44428</v>
      </c>
      <c r="B909" s="61" t="s">
        <v>195</v>
      </c>
      <c r="C909" s="61" t="s">
        <v>18</v>
      </c>
      <c r="D909" s="73">
        <v>44458</v>
      </c>
      <c r="E909" s="61" t="s">
        <v>57</v>
      </c>
      <c r="F909" s="61">
        <v>349</v>
      </c>
      <c r="G909" s="61" t="s">
        <v>1259</v>
      </c>
      <c r="H909" s="75">
        <v>20000</v>
      </c>
      <c r="I909" s="62" t="s">
        <v>49</v>
      </c>
      <c r="J909" s="61" t="s">
        <v>1260</v>
      </c>
      <c r="K909" s="62">
        <v>794</v>
      </c>
      <c r="L909" s="61"/>
      <c r="M909" s="64">
        <v>44460</v>
      </c>
      <c r="N909" s="61"/>
      <c r="O909" s="61"/>
      <c r="P909" s="61">
        <f t="shared" si="42"/>
        <v>9</v>
      </c>
      <c r="Q909" s="61">
        <f t="shared" si="43"/>
        <v>2021</v>
      </c>
      <c r="R909" s="100">
        <f t="shared" si="44"/>
        <v>19</v>
      </c>
    </row>
    <row r="910" spans="1:18" s="59" customFormat="1" x14ac:dyDescent="0.2">
      <c r="A910" s="69">
        <v>44428</v>
      </c>
      <c r="B910" s="61" t="s">
        <v>180</v>
      </c>
      <c r="C910" s="61" t="s">
        <v>18</v>
      </c>
      <c r="D910" s="73">
        <v>44500</v>
      </c>
      <c r="E910" s="61" t="s">
        <v>65</v>
      </c>
      <c r="F910" s="61">
        <v>40185029</v>
      </c>
      <c r="G910" s="61" t="s">
        <v>874</v>
      </c>
      <c r="H910" s="75">
        <v>10000</v>
      </c>
      <c r="I910" s="62" t="s">
        <v>97</v>
      </c>
      <c r="J910" s="61" t="s">
        <v>200</v>
      </c>
      <c r="K910" s="62">
        <v>795</v>
      </c>
      <c r="L910" s="61"/>
      <c r="M910" s="64">
        <v>44483</v>
      </c>
      <c r="N910" s="61" t="s">
        <v>996</v>
      </c>
      <c r="O910" s="61"/>
      <c r="P910" s="61">
        <f t="shared" si="42"/>
        <v>10</v>
      </c>
      <c r="Q910" s="61">
        <f t="shared" si="43"/>
        <v>2021</v>
      </c>
      <c r="R910" s="100">
        <f t="shared" si="44"/>
        <v>31</v>
      </c>
    </row>
    <row r="911" spans="1:18" s="59" customFormat="1" x14ac:dyDescent="0.2">
      <c r="A911" s="69">
        <v>44433</v>
      </c>
      <c r="B911" s="61" t="s">
        <v>762</v>
      </c>
      <c r="C911" s="61" t="s">
        <v>18</v>
      </c>
      <c r="D911" s="73">
        <v>44438</v>
      </c>
      <c r="E911" s="61" t="s">
        <v>47</v>
      </c>
      <c r="F911" s="61">
        <v>83784826</v>
      </c>
      <c r="G911" s="61" t="s">
        <v>1261</v>
      </c>
      <c r="H911" s="75">
        <v>25000</v>
      </c>
      <c r="I911" s="62" t="s">
        <v>97</v>
      </c>
      <c r="J911" s="61" t="s">
        <v>1262</v>
      </c>
      <c r="K911" s="62">
        <v>796</v>
      </c>
      <c r="L911" s="61"/>
      <c r="M911" s="64">
        <v>44440</v>
      </c>
      <c r="N911" s="61" t="s">
        <v>23</v>
      </c>
      <c r="O911" s="61"/>
      <c r="P911" s="61">
        <f t="shared" si="42"/>
        <v>8</v>
      </c>
      <c r="Q911" s="61">
        <f t="shared" si="43"/>
        <v>2021</v>
      </c>
      <c r="R911" s="100">
        <f t="shared" si="44"/>
        <v>30</v>
      </c>
    </row>
    <row r="912" spans="1:18" s="59" customFormat="1" x14ac:dyDescent="0.2">
      <c r="A912" s="69">
        <v>44433</v>
      </c>
      <c r="B912" s="61" t="s">
        <v>1264</v>
      </c>
      <c r="C912" s="61" t="s">
        <v>18</v>
      </c>
      <c r="D912" s="73">
        <v>44432</v>
      </c>
      <c r="E912" s="61" t="s">
        <v>47</v>
      </c>
      <c r="F912" s="61">
        <v>39118757</v>
      </c>
      <c r="G912" s="61" t="s">
        <v>1265</v>
      </c>
      <c r="H912" s="75">
        <v>17000</v>
      </c>
      <c r="I912" s="62" t="s">
        <v>49</v>
      </c>
      <c r="J912" s="61" t="s">
        <v>1266</v>
      </c>
      <c r="K912" s="62">
        <v>797</v>
      </c>
      <c r="L912" s="61"/>
      <c r="M912" s="64">
        <v>44441</v>
      </c>
      <c r="N912" s="61"/>
      <c r="O912" s="61"/>
      <c r="P912" s="61">
        <f t="shared" si="42"/>
        <v>8</v>
      </c>
      <c r="Q912" s="61">
        <f t="shared" si="43"/>
        <v>2021</v>
      </c>
      <c r="R912" s="100">
        <f t="shared" si="44"/>
        <v>24</v>
      </c>
    </row>
    <row r="913" spans="1:18" s="59" customFormat="1" x14ac:dyDescent="0.2">
      <c r="A913" s="69">
        <v>44436</v>
      </c>
      <c r="B913" s="61" t="s">
        <v>1126</v>
      </c>
      <c r="C913" s="61" t="s">
        <v>18</v>
      </c>
      <c r="D913" s="73">
        <v>44453</v>
      </c>
      <c r="E913" s="61" t="s">
        <v>47</v>
      </c>
      <c r="F913" s="61">
        <v>86425855</v>
      </c>
      <c r="G913" s="61" t="s">
        <v>1267</v>
      </c>
      <c r="H913" s="75">
        <v>21800</v>
      </c>
      <c r="I913" s="62" t="s">
        <v>49</v>
      </c>
      <c r="J913" s="61" t="s">
        <v>1268</v>
      </c>
      <c r="K913" s="62">
        <v>798</v>
      </c>
      <c r="L913" s="61"/>
      <c r="M913" s="64">
        <v>44454</v>
      </c>
      <c r="N913" s="61"/>
      <c r="O913" s="61"/>
      <c r="P913" s="61">
        <f t="shared" si="42"/>
        <v>9</v>
      </c>
      <c r="Q913" s="61">
        <f t="shared" si="43"/>
        <v>2021</v>
      </c>
      <c r="R913" s="100">
        <f t="shared" si="44"/>
        <v>14</v>
      </c>
    </row>
    <row r="914" spans="1:18" s="59" customFormat="1" x14ac:dyDescent="0.2">
      <c r="A914" s="69">
        <v>44436</v>
      </c>
      <c r="B914" s="61" t="s">
        <v>1126</v>
      </c>
      <c r="C914" s="61" t="s">
        <v>18</v>
      </c>
      <c r="D914" s="73">
        <v>44454</v>
      </c>
      <c r="E914" s="61" t="s">
        <v>47</v>
      </c>
      <c r="F914" s="61">
        <v>82143906</v>
      </c>
      <c r="G914" s="61" t="s">
        <v>1269</v>
      </c>
      <c r="H914" s="75">
        <v>32000</v>
      </c>
      <c r="I914" s="62" t="s">
        <v>49</v>
      </c>
      <c r="J914" s="61" t="s">
        <v>1270</v>
      </c>
      <c r="K914" s="62">
        <v>799</v>
      </c>
      <c r="L914" s="61"/>
      <c r="M914" s="64">
        <v>44454</v>
      </c>
      <c r="N914" s="61"/>
      <c r="O914" s="61"/>
      <c r="P914" s="61">
        <f t="shared" si="42"/>
        <v>9</v>
      </c>
      <c r="Q914" s="61">
        <f t="shared" si="43"/>
        <v>2021</v>
      </c>
      <c r="R914" s="100">
        <f t="shared" si="44"/>
        <v>15</v>
      </c>
    </row>
    <row r="915" spans="1:18" s="59" customFormat="1" x14ac:dyDescent="0.2">
      <c r="A915" s="69">
        <v>44436</v>
      </c>
      <c r="B915" s="61" t="s">
        <v>42</v>
      </c>
      <c r="C915" s="61" t="s">
        <v>18</v>
      </c>
      <c r="D915" s="125">
        <v>44450</v>
      </c>
      <c r="E915" s="61" t="s">
        <v>47</v>
      </c>
      <c r="F915" s="61">
        <v>1242864</v>
      </c>
      <c r="G915" s="61" t="s">
        <v>214</v>
      </c>
      <c r="H915" s="75">
        <v>20000</v>
      </c>
      <c r="I915" s="62" t="s">
        <v>49</v>
      </c>
      <c r="J915" s="61" t="s">
        <v>215</v>
      </c>
      <c r="K915" s="62">
        <v>800</v>
      </c>
      <c r="L915" s="61"/>
      <c r="M915" s="64">
        <v>44454</v>
      </c>
      <c r="N915" s="61"/>
      <c r="O915" s="61"/>
      <c r="P915" s="61">
        <f t="shared" si="42"/>
        <v>9</v>
      </c>
      <c r="Q915" s="61">
        <f t="shared" si="43"/>
        <v>2021</v>
      </c>
      <c r="R915" s="100">
        <f t="shared" si="44"/>
        <v>11</v>
      </c>
    </row>
    <row r="916" spans="1:18" s="59" customFormat="1" x14ac:dyDescent="0.2">
      <c r="A916" s="69">
        <v>44438</v>
      </c>
      <c r="B916" s="61" t="s">
        <v>823</v>
      </c>
      <c r="C916" s="61" t="s">
        <v>18</v>
      </c>
      <c r="D916" s="73">
        <v>44463</v>
      </c>
      <c r="E916" s="61" t="s">
        <v>47</v>
      </c>
      <c r="F916" s="61">
        <v>88488001</v>
      </c>
      <c r="G916" s="61" t="s">
        <v>824</v>
      </c>
      <c r="H916" s="75">
        <v>13370</v>
      </c>
      <c r="I916" s="62" t="s">
        <v>49</v>
      </c>
      <c r="J916" s="61" t="s">
        <v>825</v>
      </c>
      <c r="K916" s="62">
        <v>801</v>
      </c>
      <c r="L916" s="61"/>
      <c r="M916" s="64">
        <v>44466</v>
      </c>
      <c r="N916" s="61"/>
      <c r="O916" s="61"/>
      <c r="P916" s="61">
        <f t="shared" si="42"/>
        <v>9</v>
      </c>
      <c r="Q916" s="61">
        <f t="shared" si="43"/>
        <v>2021</v>
      </c>
      <c r="R916" s="100">
        <f t="shared" si="44"/>
        <v>24</v>
      </c>
    </row>
    <row r="917" spans="1:18" s="59" customFormat="1" x14ac:dyDescent="0.2">
      <c r="A917" s="69">
        <v>44440</v>
      </c>
      <c r="B917" s="61" t="s">
        <v>762</v>
      </c>
      <c r="C917" s="61" t="s">
        <v>18</v>
      </c>
      <c r="D917" s="73">
        <v>44423</v>
      </c>
      <c r="E917" s="61" t="s">
        <v>53</v>
      </c>
      <c r="F917" s="61">
        <v>21200082</v>
      </c>
      <c r="G917" s="61" t="s">
        <v>1271</v>
      </c>
      <c r="H917" s="75">
        <v>20000</v>
      </c>
      <c r="I917" s="62" t="s">
        <v>97</v>
      </c>
      <c r="J917" s="61" t="s">
        <v>1272</v>
      </c>
      <c r="K917" s="62">
        <v>802</v>
      </c>
      <c r="L917" s="61"/>
      <c r="M917" s="64">
        <v>44441</v>
      </c>
      <c r="N917" s="61" t="s">
        <v>1277</v>
      </c>
      <c r="O917" s="61"/>
      <c r="P917" s="61">
        <f t="shared" si="42"/>
        <v>8</v>
      </c>
      <c r="Q917" s="61">
        <f t="shared" si="43"/>
        <v>2021</v>
      </c>
      <c r="R917" s="100">
        <f t="shared" si="44"/>
        <v>15</v>
      </c>
    </row>
    <row r="918" spans="1:18" s="59" customFormat="1" x14ac:dyDescent="0.2">
      <c r="A918" s="69">
        <v>44440</v>
      </c>
      <c r="B918" s="61" t="s">
        <v>762</v>
      </c>
      <c r="C918" s="61" t="s">
        <v>18</v>
      </c>
      <c r="D918" s="73">
        <v>44439</v>
      </c>
      <c r="E918" s="61" t="s">
        <v>47</v>
      </c>
      <c r="F918" s="61">
        <v>84749189</v>
      </c>
      <c r="G918" s="61" t="s">
        <v>167</v>
      </c>
      <c r="H918" s="75">
        <v>20000</v>
      </c>
      <c r="I918" s="62" t="s">
        <v>97</v>
      </c>
      <c r="J918" s="61" t="s">
        <v>168</v>
      </c>
      <c r="K918" s="62">
        <v>803</v>
      </c>
      <c r="L918" s="61"/>
      <c r="M918" s="64">
        <v>44441</v>
      </c>
      <c r="N918" s="61" t="s">
        <v>1277</v>
      </c>
      <c r="O918" s="61"/>
      <c r="P918" s="61">
        <f t="shared" si="42"/>
        <v>8</v>
      </c>
      <c r="Q918" s="61">
        <f t="shared" si="43"/>
        <v>2021</v>
      </c>
      <c r="R918" s="100">
        <f t="shared" si="44"/>
        <v>31</v>
      </c>
    </row>
    <row r="919" spans="1:18" s="59" customFormat="1" x14ac:dyDescent="0.2">
      <c r="A919" s="69">
        <v>44446</v>
      </c>
      <c r="B919" s="61" t="s">
        <v>42</v>
      </c>
      <c r="C919" s="61" t="s">
        <v>18</v>
      </c>
      <c r="D919" s="73">
        <v>44505</v>
      </c>
      <c r="E919" s="61" t="s">
        <v>53</v>
      </c>
      <c r="F919" s="61">
        <v>70</v>
      </c>
      <c r="G919" s="61" t="s">
        <v>1278</v>
      </c>
      <c r="H919" s="75">
        <v>26700</v>
      </c>
      <c r="I919" s="62" t="s">
        <v>767</v>
      </c>
      <c r="J919" s="61" t="s">
        <v>1279</v>
      </c>
      <c r="K919" s="62">
        <v>804</v>
      </c>
      <c r="L919" s="61"/>
      <c r="M919" s="61"/>
      <c r="N919" s="61"/>
      <c r="O919" s="61"/>
      <c r="P919" s="61">
        <f t="shared" si="42"/>
        <v>11</v>
      </c>
      <c r="Q919" s="61">
        <f t="shared" si="43"/>
        <v>2021</v>
      </c>
      <c r="R919" s="100">
        <f t="shared" si="44"/>
        <v>5</v>
      </c>
    </row>
    <row r="920" spans="1:18" s="59" customFormat="1" x14ac:dyDescent="0.2">
      <c r="A920" s="69">
        <v>44446</v>
      </c>
      <c r="B920" s="61" t="s">
        <v>42</v>
      </c>
      <c r="C920" s="61" t="s">
        <v>18</v>
      </c>
      <c r="D920" s="73">
        <v>44520</v>
      </c>
      <c r="E920" s="61" t="s">
        <v>65</v>
      </c>
      <c r="F920" s="61">
        <v>44185313</v>
      </c>
      <c r="G920" s="61" t="s">
        <v>1168</v>
      </c>
      <c r="H920" s="75">
        <v>13500</v>
      </c>
      <c r="I920" s="62" t="s">
        <v>767</v>
      </c>
      <c r="J920" s="61" t="s">
        <v>1170</v>
      </c>
      <c r="K920" s="62">
        <v>805</v>
      </c>
      <c r="L920" s="61"/>
      <c r="M920" s="61"/>
      <c r="N920" s="61"/>
      <c r="O920" s="61"/>
      <c r="P920" s="61">
        <f t="shared" si="42"/>
        <v>11</v>
      </c>
      <c r="Q920" s="61">
        <f t="shared" si="43"/>
        <v>2021</v>
      </c>
      <c r="R920" s="100">
        <f t="shared" si="44"/>
        <v>20</v>
      </c>
    </row>
    <row r="921" spans="1:18" s="59" customFormat="1" x14ac:dyDescent="0.2">
      <c r="A921" s="69">
        <v>44446</v>
      </c>
      <c r="B921" s="61" t="s">
        <v>42</v>
      </c>
      <c r="C921" s="61" t="s">
        <v>18</v>
      </c>
      <c r="D921" s="73">
        <v>44520</v>
      </c>
      <c r="E921" s="61" t="s">
        <v>57</v>
      </c>
      <c r="F921" s="61">
        <v>72281</v>
      </c>
      <c r="G921" s="61" t="s">
        <v>411</v>
      </c>
      <c r="H921" s="75">
        <v>10076</v>
      </c>
      <c r="I921" s="62" t="s">
        <v>767</v>
      </c>
      <c r="J921" s="61" t="s">
        <v>412</v>
      </c>
      <c r="K921" s="62">
        <v>806</v>
      </c>
      <c r="L921" s="61"/>
      <c r="M921" s="61"/>
      <c r="N921" s="61"/>
      <c r="O921" s="61"/>
      <c r="P921" s="61">
        <f t="shared" si="42"/>
        <v>11</v>
      </c>
      <c r="Q921" s="61">
        <f t="shared" si="43"/>
        <v>2021</v>
      </c>
      <c r="R921" s="100">
        <f t="shared" si="44"/>
        <v>20</v>
      </c>
    </row>
    <row r="922" spans="1:18" s="59" customFormat="1" x14ac:dyDescent="0.2">
      <c r="A922" s="69">
        <v>44446</v>
      </c>
      <c r="B922" s="61" t="s">
        <v>42</v>
      </c>
      <c r="C922" s="61" t="s">
        <v>18</v>
      </c>
      <c r="D922" s="73">
        <v>44506</v>
      </c>
      <c r="E922" s="61" t="s">
        <v>57</v>
      </c>
      <c r="F922" s="61">
        <v>72280</v>
      </c>
      <c r="G922" s="61" t="s">
        <v>411</v>
      </c>
      <c r="H922" s="75">
        <v>9800</v>
      </c>
      <c r="I922" s="62" t="s">
        <v>767</v>
      </c>
      <c r="J922" s="61" t="s">
        <v>412</v>
      </c>
      <c r="K922" s="62">
        <v>807</v>
      </c>
      <c r="L922" s="61"/>
      <c r="M922" s="61"/>
      <c r="N922" s="61"/>
      <c r="O922" s="61"/>
      <c r="P922" s="61">
        <f t="shared" si="42"/>
        <v>11</v>
      </c>
      <c r="Q922" s="61">
        <f t="shared" si="43"/>
        <v>2021</v>
      </c>
      <c r="R922" s="100">
        <f t="shared" si="44"/>
        <v>6</v>
      </c>
    </row>
    <row r="923" spans="1:18" s="59" customFormat="1" x14ac:dyDescent="0.2">
      <c r="A923" s="69">
        <v>44446</v>
      </c>
      <c r="B923" s="61" t="s">
        <v>42</v>
      </c>
      <c r="C923" s="61" t="s">
        <v>18</v>
      </c>
      <c r="D923" s="73">
        <v>44467</v>
      </c>
      <c r="E923" s="61" t="s">
        <v>47</v>
      </c>
      <c r="F923" s="61">
        <v>86894338</v>
      </c>
      <c r="G923" s="61" t="s">
        <v>1280</v>
      </c>
      <c r="H923" s="75">
        <v>65040.09</v>
      </c>
      <c r="I923" s="62" t="s">
        <v>49</v>
      </c>
      <c r="J923" s="61" t="s">
        <v>1281</v>
      </c>
      <c r="K923" s="62">
        <v>808</v>
      </c>
      <c r="L923" s="61"/>
      <c r="M923" s="64">
        <v>44467</v>
      </c>
      <c r="N923" s="61"/>
      <c r="O923" s="61"/>
      <c r="P923" s="61">
        <f t="shared" si="42"/>
        <v>9</v>
      </c>
      <c r="Q923" s="61">
        <f t="shared" si="43"/>
        <v>2021</v>
      </c>
      <c r="R923" s="100">
        <f t="shared" si="44"/>
        <v>28</v>
      </c>
    </row>
    <row r="924" spans="1:18" s="59" customFormat="1" x14ac:dyDescent="0.2">
      <c r="A924" s="69">
        <v>44446</v>
      </c>
      <c r="B924" s="61" t="s">
        <v>42</v>
      </c>
      <c r="C924" s="61" t="s">
        <v>18</v>
      </c>
      <c r="D924" s="73">
        <v>44500</v>
      </c>
      <c r="E924" s="61" t="s">
        <v>47</v>
      </c>
      <c r="F924" s="61">
        <v>87671157</v>
      </c>
      <c r="G924" s="61" t="s">
        <v>893</v>
      </c>
      <c r="H924" s="75">
        <v>50000</v>
      </c>
      <c r="I924" s="62" t="s">
        <v>767</v>
      </c>
      <c r="J924" s="61" t="s">
        <v>894</v>
      </c>
      <c r="K924" s="62">
        <v>809</v>
      </c>
      <c r="L924" s="61"/>
      <c r="M924" s="61"/>
      <c r="N924" s="61"/>
      <c r="O924" s="61"/>
      <c r="P924" s="61">
        <f t="shared" si="42"/>
        <v>10</v>
      </c>
      <c r="Q924" s="61">
        <f t="shared" si="43"/>
        <v>2021</v>
      </c>
      <c r="R924" s="100">
        <f t="shared" si="44"/>
        <v>31</v>
      </c>
    </row>
    <row r="925" spans="1:18" s="59" customFormat="1" x14ac:dyDescent="0.2">
      <c r="A925" s="69">
        <v>44446</v>
      </c>
      <c r="B925" s="61" t="s">
        <v>368</v>
      </c>
      <c r="C925" s="61" t="s">
        <v>18</v>
      </c>
      <c r="D925" s="73">
        <v>44444</v>
      </c>
      <c r="E925" s="61" t="s">
        <v>57</v>
      </c>
      <c r="F925" s="61">
        <v>3591862</v>
      </c>
      <c r="G925" s="61" t="s">
        <v>874</v>
      </c>
      <c r="H925" s="75">
        <v>18000</v>
      </c>
      <c r="I925" s="62" t="s">
        <v>49</v>
      </c>
      <c r="J925" s="61" t="s">
        <v>200</v>
      </c>
      <c r="K925" s="62">
        <v>810</v>
      </c>
      <c r="L925" s="61"/>
      <c r="M925" s="64">
        <v>44454</v>
      </c>
      <c r="N925" s="61"/>
      <c r="O925" s="61"/>
      <c r="P925" s="61">
        <f t="shared" si="42"/>
        <v>9</v>
      </c>
      <c r="Q925" s="61">
        <f t="shared" si="43"/>
        <v>2021</v>
      </c>
      <c r="R925" s="100">
        <f t="shared" si="44"/>
        <v>5</v>
      </c>
    </row>
    <row r="926" spans="1:18" s="59" customFormat="1" x14ac:dyDescent="0.2">
      <c r="A926" s="69">
        <v>44446</v>
      </c>
      <c r="B926" s="61" t="s">
        <v>368</v>
      </c>
      <c r="C926" s="61" t="s">
        <v>18</v>
      </c>
      <c r="D926" s="73">
        <v>44444</v>
      </c>
      <c r="E926" s="61" t="s">
        <v>47</v>
      </c>
      <c r="F926" s="61">
        <v>74975196</v>
      </c>
      <c r="G926" s="61" t="s">
        <v>874</v>
      </c>
      <c r="H926" s="75">
        <v>4000</v>
      </c>
      <c r="I926" s="62" t="s">
        <v>49</v>
      </c>
      <c r="J926" s="61" t="s">
        <v>200</v>
      </c>
      <c r="K926" s="62">
        <v>811</v>
      </c>
      <c r="L926" s="61"/>
      <c r="M926" s="64">
        <v>44454</v>
      </c>
      <c r="N926" s="61"/>
      <c r="O926" s="61"/>
      <c r="P926" s="61">
        <f t="shared" si="42"/>
        <v>9</v>
      </c>
      <c r="Q926" s="61">
        <f t="shared" si="43"/>
        <v>2021</v>
      </c>
      <c r="R926" s="100">
        <f t="shared" si="44"/>
        <v>5</v>
      </c>
    </row>
    <row r="927" spans="1:18" s="59" customFormat="1" x14ac:dyDescent="0.2">
      <c r="A927" s="69">
        <v>44447</v>
      </c>
      <c r="B927" s="61" t="s">
        <v>158</v>
      </c>
      <c r="C927" s="61" t="s">
        <v>18</v>
      </c>
      <c r="D927" s="73">
        <v>44431</v>
      </c>
      <c r="E927" s="61" t="s">
        <v>47</v>
      </c>
      <c r="F927" s="61">
        <v>87124707</v>
      </c>
      <c r="G927" s="61" t="s">
        <v>881</v>
      </c>
      <c r="H927" s="75">
        <v>7530</v>
      </c>
      <c r="I927" s="62" t="s">
        <v>49</v>
      </c>
      <c r="J927" s="61" t="s">
        <v>882</v>
      </c>
      <c r="K927" s="62">
        <v>812</v>
      </c>
      <c r="L927" s="61"/>
      <c r="M927" s="64">
        <v>44448</v>
      </c>
      <c r="N927" s="61"/>
      <c r="O927" s="61"/>
      <c r="P927" s="61">
        <f t="shared" si="42"/>
        <v>8</v>
      </c>
      <c r="Q927" s="61">
        <f t="shared" si="43"/>
        <v>2021</v>
      </c>
      <c r="R927" s="100">
        <f t="shared" si="44"/>
        <v>23</v>
      </c>
    </row>
    <row r="928" spans="1:18" s="59" customFormat="1" x14ac:dyDescent="0.2">
      <c r="A928" s="69">
        <v>44447</v>
      </c>
      <c r="B928" s="61" t="s">
        <v>158</v>
      </c>
      <c r="C928" s="61" t="s">
        <v>18</v>
      </c>
      <c r="D928" s="73">
        <v>44434</v>
      </c>
      <c r="E928" s="61" t="s">
        <v>47</v>
      </c>
      <c r="F928" s="61">
        <v>87124711</v>
      </c>
      <c r="G928" s="61" t="s">
        <v>881</v>
      </c>
      <c r="H928" s="75">
        <v>7530</v>
      </c>
      <c r="I928" s="62" t="s">
        <v>49</v>
      </c>
      <c r="J928" s="61" t="s">
        <v>882</v>
      </c>
      <c r="K928" s="62">
        <v>813</v>
      </c>
      <c r="L928" s="61"/>
      <c r="M928" s="64">
        <v>44448</v>
      </c>
      <c r="N928" s="61"/>
      <c r="O928" s="61"/>
      <c r="P928" s="61">
        <f t="shared" si="42"/>
        <v>8</v>
      </c>
      <c r="Q928" s="61">
        <f t="shared" si="43"/>
        <v>2021</v>
      </c>
      <c r="R928" s="100">
        <f t="shared" si="44"/>
        <v>26</v>
      </c>
    </row>
    <row r="929" spans="1:18" s="59" customFormat="1" x14ac:dyDescent="0.2">
      <c r="A929" s="69">
        <v>44455</v>
      </c>
      <c r="B929" s="61" t="s">
        <v>1264</v>
      </c>
      <c r="C929" s="61" t="s">
        <v>18</v>
      </c>
      <c r="D929" s="73">
        <v>44460</v>
      </c>
      <c r="E929" s="61" t="s">
        <v>47</v>
      </c>
      <c r="F929" s="61">
        <v>39118762</v>
      </c>
      <c r="G929" s="61" t="s">
        <v>1265</v>
      </c>
      <c r="H929" s="75">
        <v>7000</v>
      </c>
      <c r="I929" s="62" t="s">
        <v>49</v>
      </c>
      <c r="J929" s="61" t="s">
        <v>1266</v>
      </c>
      <c r="K929" s="62">
        <v>814</v>
      </c>
      <c r="L929" s="61"/>
      <c r="M929" s="64">
        <v>44460</v>
      </c>
      <c r="N929" s="61"/>
      <c r="O929" s="61"/>
      <c r="P929" s="61">
        <f t="shared" si="42"/>
        <v>9</v>
      </c>
      <c r="Q929" s="61">
        <f t="shared" si="43"/>
        <v>2021</v>
      </c>
      <c r="R929" s="100">
        <f t="shared" si="44"/>
        <v>21</v>
      </c>
    </row>
    <row r="930" spans="1:18" s="59" customFormat="1" x14ac:dyDescent="0.2">
      <c r="A930" s="69">
        <v>44459</v>
      </c>
      <c r="B930" s="61" t="s">
        <v>1252</v>
      </c>
      <c r="C930" s="61" t="s">
        <v>18</v>
      </c>
      <c r="D930" s="73">
        <v>44492</v>
      </c>
      <c r="E930" s="61" t="s">
        <v>65</v>
      </c>
      <c r="F930" s="61">
        <v>21615588</v>
      </c>
      <c r="G930" s="61" t="s">
        <v>1286</v>
      </c>
      <c r="H930" s="75">
        <v>50000</v>
      </c>
      <c r="I930" s="62" t="s">
        <v>767</v>
      </c>
      <c r="J930" s="61" t="s">
        <v>1287</v>
      </c>
      <c r="K930" s="62">
        <v>815</v>
      </c>
      <c r="L930" s="61"/>
      <c r="M930" s="61"/>
      <c r="N930" s="61"/>
      <c r="O930" s="61"/>
      <c r="P930" s="61">
        <f t="shared" si="42"/>
        <v>10</v>
      </c>
      <c r="Q930" s="61">
        <f t="shared" si="43"/>
        <v>2021</v>
      </c>
      <c r="R930" s="100">
        <f t="shared" si="44"/>
        <v>23</v>
      </c>
    </row>
    <row r="931" spans="1:18" s="59" customFormat="1" x14ac:dyDescent="0.2">
      <c r="A931" s="69">
        <v>44467</v>
      </c>
      <c r="B931" s="61" t="s">
        <v>368</v>
      </c>
      <c r="C931" s="61" t="s">
        <v>18</v>
      </c>
      <c r="D931" s="73">
        <v>44530</v>
      </c>
      <c r="E931" s="61" t="s">
        <v>65</v>
      </c>
      <c r="F931" s="61">
        <v>45506251</v>
      </c>
      <c r="G931" s="61" t="s">
        <v>874</v>
      </c>
      <c r="H931" s="75">
        <v>20000</v>
      </c>
      <c r="I931" s="62" t="s">
        <v>767</v>
      </c>
      <c r="J931" s="61" t="s">
        <v>200</v>
      </c>
      <c r="K931" s="62">
        <v>816</v>
      </c>
      <c r="L931" s="61"/>
      <c r="M931" s="61"/>
      <c r="N931" s="61"/>
      <c r="O931" s="61"/>
      <c r="P931" s="61">
        <f t="shared" si="42"/>
        <v>11</v>
      </c>
      <c r="Q931" s="61">
        <f t="shared" si="43"/>
        <v>2021</v>
      </c>
      <c r="R931" s="100">
        <f t="shared" si="44"/>
        <v>30</v>
      </c>
    </row>
    <row r="932" spans="1:18" s="59" customFormat="1" x14ac:dyDescent="0.2">
      <c r="A932" s="69">
        <v>44467</v>
      </c>
      <c r="B932" s="61" t="s">
        <v>368</v>
      </c>
      <c r="C932" s="61" t="s">
        <v>18</v>
      </c>
      <c r="D932" s="125">
        <v>44561</v>
      </c>
      <c r="E932" s="61" t="s">
        <v>65</v>
      </c>
      <c r="F932" s="61">
        <v>45506252</v>
      </c>
      <c r="G932" s="61" t="s">
        <v>874</v>
      </c>
      <c r="H932" s="75">
        <v>20000</v>
      </c>
      <c r="I932" s="62" t="s">
        <v>767</v>
      </c>
      <c r="J932" s="61" t="s">
        <v>200</v>
      </c>
      <c r="K932" s="62">
        <v>817</v>
      </c>
      <c r="L932" s="61"/>
      <c r="M932" s="61"/>
      <c r="N932" s="61"/>
      <c r="O932" s="61"/>
      <c r="P932" s="61">
        <f t="shared" si="42"/>
        <v>12</v>
      </c>
      <c r="Q932" s="61">
        <f t="shared" si="43"/>
        <v>2021</v>
      </c>
      <c r="R932" s="100">
        <f t="shared" si="44"/>
        <v>31</v>
      </c>
    </row>
    <row r="933" spans="1:18" s="59" customFormat="1" x14ac:dyDescent="0.2">
      <c r="A933" s="69">
        <v>44467</v>
      </c>
      <c r="B933" s="61" t="s">
        <v>1289</v>
      </c>
      <c r="C933" s="61" t="s">
        <v>18</v>
      </c>
      <c r="D933" s="73">
        <v>44540</v>
      </c>
      <c r="E933" s="61" t="s">
        <v>47</v>
      </c>
      <c r="F933" s="61">
        <v>87130942</v>
      </c>
      <c r="G933" s="61" t="s">
        <v>631</v>
      </c>
      <c r="H933" s="75">
        <v>20000</v>
      </c>
      <c r="I933" s="62" t="s">
        <v>767</v>
      </c>
      <c r="J933" s="61" t="s">
        <v>632</v>
      </c>
      <c r="K933" s="62">
        <v>818</v>
      </c>
      <c r="L933" s="61"/>
      <c r="M933" s="61"/>
      <c r="N933" s="61"/>
      <c r="O933" s="61"/>
      <c r="P933" s="61">
        <f t="shared" si="42"/>
        <v>12</v>
      </c>
      <c r="Q933" s="61">
        <f t="shared" si="43"/>
        <v>2021</v>
      </c>
      <c r="R933" s="100">
        <f t="shared" si="44"/>
        <v>10</v>
      </c>
    </row>
    <row r="934" spans="1:18" s="59" customFormat="1" x14ac:dyDescent="0.2">
      <c r="A934" s="69">
        <v>44467</v>
      </c>
      <c r="B934" s="61" t="s">
        <v>1289</v>
      </c>
      <c r="C934" s="61" t="s">
        <v>18</v>
      </c>
      <c r="D934" s="73">
        <v>44550</v>
      </c>
      <c r="E934" s="61" t="s">
        <v>47</v>
      </c>
      <c r="F934" s="61">
        <v>87130943</v>
      </c>
      <c r="G934" s="61" t="s">
        <v>631</v>
      </c>
      <c r="H934" s="75">
        <v>20000</v>
      </c>
      <c r="I934" s="62" t="s">
        <v>767</v>
      </c>
      <c r="J934" s="61" t="s">
        <v>632</v>
      </c>
      <c r="K934" s="62">
        <v>819</v>
      </c>
      <c r="L934" s="61"/>
      <c r="M934" s="61"/>
      <c r="N934" s="61"/>
      <c r="O934" s="61"/>
      <c r="P934" s="61">
        <f t="shared" si="42"/>
        <v>12</v>
      </c>
      <c r="Q934" s="61">
        <f t="shared" si="43"/>
        <v>2021</v>
      </c>
      <c r="R934" s="100">
        <f t="shared" si="44"/>
        <v>20</v>
      </c>
    </row>
    <row r="935" spans="1:18" s="59" customFormat="1" x14ac:dyDescent="0.2">
      <c r="A935" s="69">
        <v>44467</v>
      </c>
      <c r="B935" s="61" t="s">
        <v>1289</v>
      </c>
      <c r="C935" s="61" t="s">
        <v>18</v>
      </c>
      <c r="D935" s="73">
        <v>44561</v>
      </c>
      <c r="E935" s="61" t="s">
        <v>57</v>
      </c>
      <c r="F935" s="61">
        <v>72339</v>
      </c>
      <c r="G935" s="61" t="s">
        <v>411</v>
      </c>
      <c r="H935" s="75">
        <v>13259</v>
      </c>
      <c r="I935" s="62" t="s">
        <v>767</v>
      </c>
      <c r="J935" s="61" t="s">
        <v>412</v>
      </c>
      <c r="K935" s="62">
        <v>820</v>
      </c>
      <c r="L935" s="61"/>
      <c r="M935" s="61"/>
      <c r="N935" s="61"/>
      <c r="O935" s="61"/>
      <c r="P935" s="61">
        <f t="shared" si="42"/>
        <v>12</v>
      </c>
      <c r="Q935" s="61">
        <f t="shared" si="43"/>
        <v>2021</v>
      </c>
      <c r="R935" s="100">
        <f t="shared" si="44"/>
        <v>31</v>
      </c>
    </row>
    <row r="936" spans="1:18" s="59" customFormat="1" x14ac:dyDescent="0.2">
      <c r="A936" s="69">
        <v>44467</v>
      </c>
      <c r="B936" s="61" t="s">
        <v>1264</v>
      </c>
      <c r="C936" s="61" t="s">
        <v>18</v>
      </c>
      <c r="D936" s="73">
        <v>44481</v>
      </c>
      <c r="E936" s="61" t="s">
        <v>47</v>
      </c>
      <c r="F936" s="61">
        <v>75125489</v>
      </c>
      <c r="G936" s="61" t="s">
        <v>252</v>
      </c>
      <c r="H936" s="75">
        <v>12000</v>
      </c>
      <c r="I936" s="62" t="s">
        <v>49</v>
      </c>
      <c r="J936" s="61" t="s">
        <v>253</v>
      </c>
      <c r="K936" s="62">
        <v>821</v>
      </c>
      <c r="L936" s="61"/>
      <c r="M936" s="64">
        <v>44481</v>
      </c>
      <c r="N936" s="61"/>
      <c r="O936" s="61"/>
      <c r="P936" s="61">
        <f t="shared" si="42"/>
        <v>10</v>
      </c>
      <c r="Q936" s="61">
        <f t="shared" si="43"/>
        <v>2021</v>
      </c>
      <c r="R936" s="100">
        <f t="shared" si="44"/>
        <v>12</v>
      </c>
    </row>
    <row r="937" spans="1:18" s="59" customFormat="1" x14ac:dyDescent="0.2">
      <c r="A937" s="69">
        <v>44475</v>
      </c>
      <c r="B937" s="61" t="s">
        <v>158</v>
      </c>
      <c r="C937" s="61" t="s">
        <v>18</v>
      </c>
      <c r="D937" s="73">
        <v>44468</v>
      </c>
      <c r="E937" s="61" t="s">
        <v>47</v>
      </c>
      <c r="F937" s="61">
        <v>88254217</v>
      </c>
      <c r="G937" s="61" t="s">
        <v>216</v>
      </c>
      <c r="H937" s="75">
        <v>8372.5</v>
      </c>
      <c r="I937" s="62" t="s">
        <v>49</v>
      </c>
      <c r="J937" s="61" t="s">
        <v>217</v>
      </c>
      <c r="K937" s="62">
        <v>822</v>
      </c>
      <c r="L937" s="61"/>
      <c r="M937" s="64">
        <v>44475</v>
      </c>
      <c r="N937" s="61"/>
      <c r="O937" s="61"/>
      <c r="P937" s="61">
        <f t="shared" si="42"/>
        <v>9</v>
      </c>
      <c r="Q937" s="61">
        <f t="shared" si="43"/>
        <v>2021</v>
      </c>
      <c r="R937" s="100">
        <f t="shared" si="44"/>
        <v>29</v>
      </c>
    </row>
    <row r="938" spans="1:18" s="59" customFormat="1" x14ac:dyDescent="0.2">
      <c r="A938" s="69">
        <v>44475</v>
      </c>
      <c r="B938" s="61" t="s">
        <v>158</v>
      </c>
      <c r="C938" s="61" t="s">
        <v>18</v>
      </c>
      <c r="D938" s="73">
        <v>44485</v>
      </c>
      <c r="E938" s="61" t="s">
        <v>47</v>
      </c>
      <c r="F938" s="61">
        <v>88254219</v>
      </c>
      <c r="G938" s="61" t="s">
        <v>216</v>
      </c>
      <c r="H938" s="75">
        <v>8372.5</v>
      </c>
      <c r="I938" s="62" t="s">
        <v>49</v>
      </c>
      <c r="J938" s="61" t="s">
        <v>217</v>
      </c>
      <c r="K938" s="62">
        <v>823</v>
      </c>
      <c r="L938" s="61"/>
      <c r="M938" s="64">
        <v>44487</v>
      </c>
      <c r="N938" s="61"/>
      <c r="O938" s="61"/>
      <c r="P938" s="61">
        <f t="shared" si="42"/>
        <v>10</v>
      </c>
      <c r="Q938" s="61">
        <f t="shared" si="43"/>
        <v>2021</v>
      </c>
      <c r="R938" s="100">
        <f t="shared" si="44"/>
        <v>16</v>
      </c>
    </row>
    <row r="939" spans="1:18" s="59" customFormat="1" x14ac:dyDescent="0.2">
      <c r="A939" s="69">
        <v>44478</v>
      </c>
      <c r="B939" s="61" t="s">
        <v>1252</v>
      </c>
      <c r="C939" s="61" t="s">
        <v>18</v>
      </c>
      <c r="D939" s="73">
        <v>44489</v>
      </c>
      <c r="E939" s="61" t="s">
        <v>43</v>
      </c>
      <c r="F939" s="61">
        <v>15440709</v>
      </c>
      <c r="G939" s="61" t="s">
        <v>1293</v>
      </c>
      <c r="H939" s="75">
        <v>20000</v>
      </c>
      <c r="I939" s="62" t="s">
        <v>49</v>
      </c>
      <c r="J939" s="61" t="s">
        <v>1294</v>
      </c>
      <c r="K939" s="62">
        <v>824</v>
      </c>
      <c r="L939" s="61"/>
      <c r="M939" s="64">
        <v>44489</v>
      </c>
      <c r="N939" s="61"/>
      <c r="O939" s="61"/>
      <c r="P939" s="61">
        <f t="shared" si="42"/>
        <v>10</v>
      </c>
      <c r="Q939" s="61">
        <f t="shared" si="43"/>
        <v>2021</v>
      </c>
      <c r="R939" s="100">
        <f t="shared" si="44"/>
        <v>20</v>
      </c>
    </row>
    <row r="940" spans="1:18" s="59" customFormat="1" x14ac:dyDescent="0.2">
      <c r="A940" s="69">
        <v>44481</v>
      </c>
      <c r="B940" s="61" t="s">
        <v>42</v>
      </c>
      <c r="C940" s="61" t="s">
        <v>18</v>
      </c>
      <c r="D940" s="73">
        <v>44455</v>
      </c>
      <c r="E940" s="61" t="s">
        <v>61</v>
      </c>
      <c r="F940" s="61">
        <v>283766</v>
      </c>
      <c r="G940" s="61" t="s">
        <v>1255</v>
      </c>
      <c r="H940" s="75">
        <v>33947.589999999997</v>
      </c>
      <c r="I940" s="62" t="s">
        <v>49</v>
      </c>
      <c r="J940" s="61" t="s">
        <v>459</v>
      </c>
      <c r="K940" s="62">
        <v>825</v>
      </c>
      <c r="L940" s="61"/>
      <c r="M940" s="64">
        <v>44481</v>
      </c>
      <c r="N940" s="61"/>
      <c r="O940" s="61"/>
      <c r="P940" s="61">
        <f t="shared" si="42"/>
        <v>9</v>
      </c>
      <c r="Q940" s="61">
        <f t="shared" si="43"/>
        <v>2021</v>
      </c>
      <c r="R940" s="100">
        <f t="shared" si="44"/>
        <v>16</v>
      </c>
    </row>
    <row r="941" spans="1:18" s="59" customFormat="1" x14ac:dyDescent="0.2">
      <c r="A941" s="69">
        <v>44483</v>
      </c>
      <c r="B941" s="61" t="s">
        <v>368</v>
      </c>
      <c r="C941" s="61" t="s">
        <v>18</v>
      </c>
      <c r="D941" s="73">
        <v>44489</v>
      </c>
      <c r="E941" s="61" t="s">
        <v>57</v>
      </c>
      <c r="F941" s="61">
        <v>3591863</v>
      </c>
      <c r="G941" s="61" t="s">
        <v>874</v>
      </c>
      <c r="H941" s="75">
        <v>28000</v>
      </c>
      <c r="I941" s="62" t="s">
        <v>49</v>
      </c>
      <c r="J941" s="61" t="s">
        <v>200</v>
      </c>
      <c r="K941" s="62">
        <v>826</v>
      </c>
      <c r="L941" s="61"/>
      <c r="M941" s="64">
        <v>44489</v>
      </c>
      <c r="N941" s="61"/>
      <c r="O941" s="61"/>
      <c r="P941" s="61">
        <f t="shared" si="42"/>
        <v>10</v>
      </c>
      <c r="Q941" s="61">
        <f t="shared" si="43"/>
        <v>2021</v>
      </c>
      <c r="R941" s="100">
        <f t="shared" si="44"/>
        <v>20</v>
      </c>
    </row>
    <row r="942" spans="1:18" s="59" customFormat="1" x14ac:dyDescent="0.2">
      <c r="A942" s="69"/>
      <c r="B942" s="61"/>
      <c r="C942" s="61" t="s">
        <v>18</v>
      </c>
      <c r="D942" s="73"/>
      <c r="E942" s="61"/>
      <c r="F942" s="61"/>
      <c r="G942" s="61"/>
      <c r="H942" s="75"/>
      <c r="I942" s="52"/>
      <c r="J942" s="61"/>
      <c r="K942" s="62">
        <v>827</v>
      </c>
      <c r="L942" s="61"/>
      <c r="M942" s="61"/>
      <c r="N942" s="61"/>
      <c r="O942" s="61"/>
      <c r="P942" s="61">
        <f t="shared" si="42"/>
        <v>1</v>
      </c>
      <c r="Q942" s="61">
        <f t="shared" si="43"/>
        <v>1900</v>
      </c>
      <c r="R942" s="100">
        <f t="shared" si="44"/>
        <v>0</v>
      </c>
    </row>
    <row r="943" spans="1:18" s="59" customFormat="1" x14ac:dyDescent="0.2">
      <c r="A943" s="69"/>
      <c r="B943" s="61"/>
      <c r="C943" s="61" t="s">
        <v>18</v>
      </c>
      <c r="D943" s="73"/>
      <c r="E943" s="61"/>
      <c r="F943" s="61"/>
      <c r="G943" s="61"/>
      <c r="H943" s="75"/>
      <c r="I943" s="52"/>
      <c r="J943" s="61"/>
      <c r="K943" s="62">
        <v>828</v>
      </c>
      <c r="L943" s="61"/>
      <c r="M943" s="61"/>
      <c r="N943" s="61"/>
      <c r="O943" s="61"/>
      <c r="P943" s="61">
        <f t="shared" si="42"/>
        <v>1</v>
      </c>
      <c r="Q943" s="61">
        <f t="shared" si="43"/>
        <v>1900</v>
      </c>
      <c r="R943" s="100">
        <f t="shared" si="44"/>
        <v>0</v>
      </c>
    </row>
    <row r="944" spans="1:18" s="59" customFormat="1" x14ac:dyDescent="0.2">
      <c r="A944" s="69"/>
      <c r="B944" s="61"/>
      <c r="C944" s="61" t="s">
        <v>18</v>
      </c>
      <c r="D944" s="73"/>
      <c r="E944" s="61"/>
      <c r="F944" s="61"/>
      <c r="G944" s="61"/>
      <c r="H944" s="75"/>
      <c r="I944" s="52"/>
      <c r="J944" s="61"/>
      <c r="K944" s="62">
        <v>829</v>
      </c>
      <c r="L944" s="61"/>
      <c r="M944" s="61"/>
      <c r="N944" s="61"/>
      <c r="O944" s="61"/>
      <c r="P944" s="61">
        <f t="shared" si="42"/>
        <v>1</v>
      </c>
      <c r="Q944" s="61">
        <f t="shared" si="43"/>
        <v>1900</v>
      </c>
      <c r="R944" s="100">
        <f t="shared" si="44"/>
        <v>0</v>
      </c>
    </row>
    <row r="945" spans="1:18" s="59" customFormat="1" x14ac:dyDescent="0.2">
      <c r="A945" s="69"/>
      <c r="B945" s="61"/>
      <c r="C945" s="61" t="s">
        <v>18</v>
      </c>
      <c r="D945" s="73"/>
      <c r="E945" s="61"/>
      <c r="F945" s="61"/>
      <c r="G945" s="61"/>
      <c r="H945" s="75"/>
      <c r="I945" s="52"/>
      <c r="J945" s="61"/>
      <c r="K945" s="62">
        <v>830</v>
      </c>
      <c r="L945" s="61"/>
      <c r="M945" s="61"/>
      <c r="N945" s="61"/>
      <c r="O945" s="61"/>
      <c r="P945" s="61">
        <f t="shared" si="42"/>
        <v>1</v>
      </c>
      <c r="Q945" s="61">
        <f t="shared" si="43"/>
        <v>1900</v>
      </c>
      <c r="R945" s="100">
        <f t="shared" si="44"/>
        <v>0</v>
      </c>
    </row>
    <row r="946" spans="1:18" s="59" customFormat="1" x14ac:dyDescent="0.2">
      <c r="A946" s="69"/>
      <c r="B946" s="61"/>
      <c r="C946" s="61" t="s">
        <v>18</v>
      </c>
      <c r="D946" s="73"/>
      <c r="E946" s="61"/>
      <c r="F946" s="61"/>
      <c r="G946" s="61"/>
      <c r="H946" s="75"/>
      <c r="I946" s="52"/>
      <c r="J946" s="61"/>
      <c r="K946" s="62">
        <v>831</v>
      </c>
      <c r="L946" s="61"/>
      <c r="M946" s="61"/>
      <c r="N946" s="61"/>
      <c r="O946" s="61"/>
      <c r="P946" s="61">
        <f t="shared" si="42"/>
        <v>1</v>
      </c>
      <c r="Q946" s="61">
        <f t="shared" si="43"/>
        <v>1900</v>
      </c>
      <c r="R946" s="100">
        <f t="shared" si="44"/>
        <v>0</v>
      </c>
    </row>
    <row r="947" spans="1:18" s="59" customFormat="1" x14ac:dyDescent="0.2">
      <c r="A947" s="69"/>
      <c r="B947" s="61"/>
      <c r="C947" s="61" t="s">
        <v>18</v>
      </c>
      <c r="D947" s="73"/>
      <c r="E947" s="61"/>
      <c r="F947" s="61"/>
      <c r="G947" s="61"/>
      <c r="H947" s="75"/>
      <c r="I947" s="52"/>
      <c r="J947" s="61"/>
      <c r="K947" s="62">
        <v>832</v>
      </c>
      <c r="L947" s="61"/>
      <c r="M947" s="61"/>
      <c r="N947" s="61"/>
      <c r="O947" s="61"/>
      <c r="P947" s="61">
        <f t="shared" si="42"/>
        <v>1</v>
      </c>
      <c r="Q947" s="61">
        <f t="shared" si="43"/>
        <v>1900</v>
      </c>
      <c r="R947" s="100">
        <f t="shared" si="44"/>
        <v>0</v>
      </c>
    </row>
    <row r="948" spans="1:18" s="59" customFormat="1" x14ac:dyDescent="0.2">
      <c r="A948" s="69"/>
      <c r="B948" s="61"/>
      <c r="C948" s="61" t="s">
        <v>18</v>
      </c>
      <c r="D948" s="73"/>
      <c r="E948" s="61"/>
      <c r="F948" s="61"/>
      <c r="G948" s="61"/>
      <c r="H948" s="75"/>
      <c r="I948" s="52"/>
      <c r="J948" s="61"/>
      <c r="K948" s="62">
        <v>833</v>
      </c>
      <c r="L948" s="61"/>
      <c r="M948" s="61"/>
      <c r="N948" s="61"/>
      <c r="O948" s="61"/>
      <c r="P948" s="61">
        <f t="shared" si="42"/>
        <v>1</v>
      </c>
      <c r="Q948" s="61">
        <f t="shared" si="43"/>
        <v>1900</v>
      </c>
      <c r="R948" s="100">
        <f t="shared" si="44"/>
        <v>0</v>
      </c>
    </row>
    <row r="949" spans="1:18" s="59" customFormat="1" x14ac:dyDescent="0.2">
      <c r="A949" s="69"/>
      <c r="B949" s="61"/>
      <c r="C949" s="61" t="s">
        <v>18</v>
      </c>
      <c r="D949" s="73"/>
      <c r="E949" s="61"/>
      <c r="F949" s="61"/>
      <c r="G949" s="61"/>
      <c r="H949" s="75"/>
      <c r="I949" s="52"/>
      <c r="J949" s="61"/>
      <c r="K949" s="62"/>
      <c r="L949" s="61"/>
      <c r="M949" s="61"/>
      <c r="N949" s="61"/>
      <c r="O949" s="61"/>
      <c r="P949" s="61">
        <f t="shared" si="42"/>
        <v>1</v>
      </c>
      <c r="Q949" s="61">
        <f t="shared" si="43"/>
        <v>1900</v>
      </c>
      <c r="R949" s="100">
        <f t="shared" si="44"/>
        <v>0</v>
      </c>
    </row>
    <row r="950" spans="1:18" s="59" customFormat="1" x14ac:dyDescent="0.2">
      <c r="A950" s="69"/>
      <c r="B950" s="61"/>
      <c r="C950" s="61" t="s">
        <v>18</v>
      </c>
      <c r="D950" s="73"/>
      <c r="E950" s="61"/>
      <c r="F950" s="61"/>
      <c r="G950" s="61"/>
      <c r="H950" s="75"/>
      <c r="I950" s="52"/>
      <c r="J950" s="61"/>
      <c r="K950" s="62"/>
      <c r="L950" s="61"/>
      <c r="M950" s="61"/>
      <c r="N950" s="61"/>
      <c r="O950" s="61"/>
      <c r="P950" s="61">
        <f t="shared" si="42"/>
        <v>1</v>
      </c>
      <c r="Q950" s="61">
        <f t="shared" si="43"/>
        <v>1900</v>
      </c>
      <c r="R950" s="100">
        <f t="shared" si="44"/>
        <v>0</v>
      </c>
    </row>
    <row r="951" spans="1:18" s="59" customFormat="1" x14ac:dyDescent="0.2">
      <c r="A951" s="69"/>
      <c r="B951" s="61"/>
      <c r="C951" s="61" t="s">
        <v>18</v>
      </c>
      <c r="D951" s="73"/>
      <c r="E951" s="61"/>
      <c r="F951" s="61"/>
      <c r="G951" s="61"/>
      <c r="H951" s="75"/>
      <c r="I951" s="52"/>
      <c r="J951" s="61"/>
      <c r="K951" s="62"/>
      <c r="L951" s="61"/>
      <c r="M951" s="61"/>
      <c r="N951" s="61"/>
      <c r="O951" s="61"/>
      <c r="P951" s="61">
        <f t="shared" si="42"/>
        <v>1</v>
      </c>
      <c r="Q951" s="61">
        <f t="shared" si="43"/>
        <v>1900</v>
      </c>
      <c r="R951" s="100">
        <f t="shared" si="44"/>
        <v>0</v>
      </c>
    </row>
    <row r="952" spans="1:18" s="59" customFormat="1" x14ac:dyDescent="0.2">
      <c r="A952" s="69"/>
      <c r="B952" s="61"/>
      <c r="C952" s="61" t="s">
        <v>18</v>
      </c>
      <c r="D952" s="73"/>
      <c r="E952" s="61"/>
      <c r="F952" s="61"/>
      <c r="G952" s="61"/>
      <c r="H952" s="75"/>
      <c r="I952" s="52"/>
      <c r="J952" s="61"/>
      <c r="K952" s="62"/>
      <c r="L952" s="61"/>
      <c r="M952" s="61"/>
      <c r="N952" s="61"/>
      <c r="O952" s="61"/>
      <c r="P952" s="61">
        <f t="shared" si="42"/>
        <v>1</v>
      </c>
      <c r="Q952" s="61">
        <f t="shared" si="43"/>
        <v>1900</v>
      </c>
      <c r="R952" s="100">
        <f t="shared" si="44"/>
        <v>0</v>
      </c>
    </row>
    <row r="953" spans="1:18" s="59" customFormat="1" x14ac:dyDescent="0.2">
      <c r="A953" s="69"/>
      <c r="B953" s="61"/>
      <c r="C953" s="61" t="s">
        <v>18</v>
      </c>
      <c r="D953" s="73"/>
      <c r="E953" s="61"/>
      <c r="F953" s="61"/>
      <c r="G953" s="61"/>
      <c r="H953" s="75"/>
      <c r="I953" s="52"/>
      <c r="J953" s="61"/>
      <c r="K953" s="62"/>
      <c r="L953" s="61"/>
      <c r="M953" s="61"/>
      <c r="N953" s="61"/>
      <c r="O953" s="61"/>
      <c r="P953" s="61">
        <f t="shared" si="42"/>
        <v>1</v>
      </c>
      <c r="Q953" s="61">
        <f t="shared" si="43"/>
        <v>1900</v>
      </c>
      <c r="R953" s="100">
        <f t="shared" si="44"/>
        <v>0</v>
      </c>
    </row>
    <row r="954" spans="1:18" s="59" customFormat="1" x14ac:dyDescent="0.2">
      <c r="A954" s="69"/>
      <c r="B954" s="61"/>
      <c r="C954" s="61" t="s">
        <v>18</v>
      </c>
      <c r="D954" s="73"/>
      <c r="E954" s="61"/>
      <c r="F954" s="61"/>
      <c r="G954" s="61"/>
      <c r="H954" s="75"/>
      <c r="I954" s="52"/>
      <c r="J954" s="61"/>
      <c r="K954" s="62"/>
      <c r="L954" s="61"/>
      <c r="M954" s="61"/>
      <c r="N954" s="61"/>
      <c r="O954" s="61"/>
      <c r="P954" s="61">
        <f t="shared" si="42"/>
        <v>1</v>
      </c>
      <c r="Q954" s="61">
        <f t="shared" si="43"/>
        <v>1900</v>
      </c>
      <c r="R954" s="100">
        <f t="shared" si="44"/>
        <v>0</v>
      </c>
    </row>
    <row r="955" spans="1:18" s="59" customFormat="1" x14ac:dyDescent="0.2">
      <c r="A955" s="69"/>
      <c r="B955" s="61"/>
      <c r="C955" s="61" t="s">
        <v>18</v>
      </c>
      <c r="D955" s="73"/>
      <c r="E955" s="61"/>
      <c r="F955" s="61"/>
      <c r="G955" s="61"/>
      <c r="H955" s="75"/>
      <c r="I955" s="52"/>
      <c r="J955" s="61"/>
      <c r="K955" s="62"/>
      <c r="L955" s="61"/>
      <c r="M955" s="61"/>
      <c r="N955" s="61"/>
      <c r="O955" s="61"/>
      <c r="P955" s="61">
        <f t="shared" si="42"/>
        <v>1</v>
      </c>
      <c r="Q955" s="61">
        <f t="shared" si="43"/>
        <v>1900</v>
      </c>
      <c r="R955" s="100">
        <f t="shared" si="44"/>
        <v>0</v>
      </c>
    </row>
    <row r="956" spans="1:18" s="59" customFormat="1" x14ac:dyDescent="0.2">
      <c r="A956" s="69"/>
      <c r="B956" s="61"/>
      <c r="C956" s="61" t="s">
        <v>18</v>
      </c>
      <c r="D956" s="73"/>
      <c r="E956" s="61"/>
      <c r="F956" s="61"/>
      <c r="G956" s="61"/>
      <c r="H956" s="75"/>
      <c r="I956" s="52"/>
      <c r="J956" s="61"/>
      <c r="K956" s="62"/>
      <c r="L956" s="61"/>
      <c r="M956" s="61"/>
      <c r="N956" s="61"/>
      <c r="O956" s="61"/>
      <c r="P956" s="61">
        <f t="shared" si="42"/>
        <v>1</v>
      </c>
      <c r="Q956" s="61">
        <f t="shared" si="43"/>
        <v>1900</v>
      </c>
      <c r="R956" s="100">
        <f t="shared" si="44"/>
        <v>0</v>
      </c>
    </row>
    <row r="957" spans="1:18" s="59" customFormat="1" x14ac:dyDescent="0.2">
      <c r="A957" s="69"/>
      <c r="B957" s="61"/>
      <c r="C957" s="61" t="s">
        <v>18</v>
      </c>
      <c r="D957" s="73"/>
      <c r="E957" s="61"/>
      <c r="F957" s="61"/>
      <c r="G957" s="61"/>
      <c r="H957" s="75"/>
      <c r="I957" s="52"/>
      <c r="J957" s="61"/>
      <c r="K957" s="62"/>
      <c r="L957" s="61"/>
      <c r="M957" s="61"/>
      <c r="N957" s="61"/>
      <c r="O957" s="61"/>
      <c r="P957" s="61">
        <f t="shared" si="42"/>
        <v>1</v>
      </c>
      <c r="Q957" s="61">
        <f t="shared" si="43"/>
        <v>1900</v>
      </c>
      <c r="R957" s="100">
        <f t="shared" si="44"/>
        <v>0</v>
      </c>
    </row>
    <row r="958" spans="1:18" s="59" customFormat="1" x14ac:dyDescent="0.2">
      <c r="A958" s="69"/>
      <c r="B958" s="61"/>
      <c r="C958" s="61" t="s">
        <v>18</v>
      </c>
      <c r="D958" s="73"/>
      <c r="E958" s="61"/>
      <c r="F958" s="61"/>
      <c r="G958" s="61"/>
      <c r="H958" s="75"/>
      <c r="I958" s="52"/>
      <c r="J958" s="61"/>
      <c r="K958" s="62"/>
      <c r="L958" s="61"/>
      <c r="M958" s="61"/>
      <c r="N958" s="61"/>
      <c r="O958" s="61"/>
      <c r="P958" s="61">
        <f t="shared" si="42"/>
        <v>1</v>
      </c>
      <c r="Q958" s="61">
        <f t="shared" si="43"/>
        <v>1900</v>
      </c>
      <c r="R958" s="100">
        <f t="shared" si="44"/>
        <v>0</v>
      </c>
    </row>
    <row r="959" spans="1:18" s="59" customFormat="1" x14ac:dyDescent="0.2">
      <c r="A959" s="69"/>
      <c r="B959" s="61"/>
      <c r="C959" s="61" t="s">
        <v>18</v>
      </c>
      <c r="D959" s="73"/>
      <c r="E959" s="61"/>
      <c r="F959" s="61"/>
      <c r="G959" s="61"/>
      <c r="H959" s="75"/>
      <c r="I959" s="52"/>
      <c r="J959" s="61"/>
      <c r="K959" s="62"/>
      <c r="L959" s="61"/>
      <c r="M959" s="61"/>
      <c r="N959" s="61"/>
      <c r="O959" s="61"/>
      <c r="P959" s="61">
        <f t="shared" si="42"/>
        <v>1</v>
      </c>
      <c r="Q959" s="61">
        <f t="shared" si="43"/>
        <v>1900</v>
      </c>
      <c r="R959" s="100">
        <f t="shared" si="44"/>
        <v>0</v>
      </c>
    </row>
    <row r="960" spans="1:18" s="59" customFormat="1" x14ac:dyDescent="0.2">
      <c r="A960" s="69"/>
      <c r="B960" s="61"/>
      <c r="C960" s="61" t="s">
        <v>18</v>
      </c>
      <c r="D960" s="73"/>
      <c r="E960" s="61"/>
      <c r="F960" s="61"/>
      <c r="G960" s="61"/>
      <c r="H960" s="75"/>
      <c r="I960" s="52"/>
      <c r="J960" s="61"/>
      <c r="K960" s="62"/>
      <c r="L960" s="61"/>
      <c r="M960" s="61"/>
      <c r="N960" s="61"/>
      <c r="O960" s="61"/>
      <c r="P960" s="61">
        <f t="shared" si="42"/>
        <v>1</v>
      </c>
      <c r="Q960" s="61">
        <f t="shared" si="43"/>
        <v>1900</v>
      </c>
      <c r="R960" s="100">
        <f t="shared" si="44"/>
        <v>0</v>
      </c>
    </row>
    <row r="961" spans="1:18" s="59" customFormat="1" x14ac:dyDescent="0.2">
      <c r="A961" s="69"/>
      <c r="B961" s="61"/>
      <c r="C961" s="61" t="s">
        <v>18</v>
      </c>
      <c r="D961" s="73"/>
      <c r="E961" s="61"/>
      <c r="F961" s="61"/>
      <c r="G961" s="61"/>
      <c r="H961" s="75"/>
      <c r="I961" s="52"/>
      <c r="J961" s="61"/>
      <c r="K961" s="62"/>
      <c r="L961" s="61"/>
      <c r="M961" s="61"/>
      <c r="N961" s="61"/>
      <c r="O961" s="61"/>
      <c r="P961" s="61">
        <f t="shared" si="42"/>
        <v>1</v>
      </c>
      <c r="Q961" s="61">
        <f t="shared" si="43"/>
        <v>1900</v>
      </c>
      <c r="R961" s="100">
        <f t="shared" si="44"/>
        <v>0</v>
      </c>
    </row>
    <row r="962" spans="1:18" s="59" customFormat="1" x14ac:dyDescent="0.2">
      <c r="A962" s="69"/>
      <c r="B962" s="61"/>
      <c r="C962" s="61" t="s">
        <v>18</v>
      </c>
      <c r="D962" s="73"/>
      <c r="E962" s="61"/>
      <c r="F962" s="61"/>
      <c r="G962" s="61"/>
      <c r="H962" s="75"/>
      <c r="I962" s="52"/>
      <c r="J962" s="61"/>
      <c r="K962" s="62"/>
      <c r="L962" s="61"/>
      <c r="M962" s="61"/>
      <c r="N962" s="61"/>
      <c r="O962" s="61"/>
      <c r="P962" s="61">
        <f t="shared" ref="P962:P999" si="45">MONTH(D962)</f>
        <v>1</v>
      </c>
      <c r="Q962" s="61">
        <f t="shared" ref="Q962:Q999" si="46">YEAR(D962)</f>
        <v>1900</v>
      </c>
      <c r="R962" s="100">
        <f t="shared" si="44"/>
        <v>0</v>
      </c>
    </row>
    <row r="963" spans="1:18" s="59" customFormat="1" x14ac:dyDescent="0.2">
      <c r="A963" s="69"/>
      <c r="B963" s="61"/>
      <c r="C963" s="61" t="s">
        <v>18</v>
      </c>
      <c r="D963" s="73"/>
      <c r="E963" s="61"/>
      <c r="F963" s="61"/>
      <c r="G963" s="61"/>
      <c r="H963" s="75"/>
      <c r="I963" s="52"/>
      <c r="J963" s="61"/>
      <c r="K963" s="62"/>
      <c r="L963" s="61"/>
      <c r="M963" s="61"/>
      <c r="N963" s="61"/>
      <c r="O963" s="61"/>
      <c r="P963" s="61">
        <f t="shared" si="45"/>
        <v>1</v>
      </c>
      <c r="Q963" s="61">
        <f t="shared" si="46"/>
        <v>1900</v>
      </c>
      <c r="R963" s="100">
        <f t="shared" ref="R963:R999" si="47">DAY(D963)</f>
        <v>0</v>
      </c>
    </row>
    <row r="964" spans="1:18" s="59" customFormat="1" x14ac:dyDescent="0.2">
      <c r="A964" s="69"/>
      <c r="B964" s="61"/>
      <c r="C964" s="61" t="s">
        <v>18</v>
      </c>
      <c r="D964" s="73"/>
      <c r="E964" s="61"/>
      <c r="F964" s="61"/>
      <c r="G964" s="61"/>
      <c r="H964" s="75"/>
      <c r="I964" s="52"/>
      <c r="J964" s="61"/>
      <c r="K964" s="62"/>
      <c r="L964" s="61"/>
      <c r="M964" s="61"/>
      <c r="N964" s="61"/>
      <c r="O964" s="61"/>
      <c r="P964" s="61">
        <f t="shared" si="45"/>
        <v>1</v>
      </c>
      <c r="Q964" s="61">
        <f t="shared" si="46"/>
        <v>1900</v>
      </c>
      <c r="R964" s="100">
        <f t="shared" si="47"/>
        <v>0</v>
      </c>
    </row>
    <row r="965" spans="1:18" s="59" customFormat="1" x14ac:dyDescent="0.2">
      <c r="A965" s="69"/>
      <c r="B965" s="61"/>
      <c r="C965" s="61" t="s">
        <v>18</v>
      </c>
      <c r="D965" s="73"/>
      <c r="E965" s="61"/>
      <c r="F965" s="61"/>
      <c r="G965" s="61"/>
      <c r="H965" s="75"/>
      <c r="I965" s="52"/>
      <c r="J965" s="61"/>
      <c r="K965" s="62"/>
      <c r="L965" s="61"/>
      <c r="M965" s="61"/>
      <c r="N965" s="61"/>
      <c r="O965" s="61"/>
      <c r="P965" s="61">
        <f t="shared" si="45"/>
        <v>1</v>
      </c>
      <c r="Q965" s="61">
        <f t="shared" si="46"/>
        <v>1900</v>
      </c>
      <c r="R965" s="100">
        <f t="shared" si="47"/>
        <v>0</v>
      </c>
    </row>
    <row r="966" spans="1:18" s="59" customFormat="1" x14ac:dyDescent="0.2">
      <c r="A966" s="69"/>
      <c r="B966" s="61"/>
      <c r="C966" s="61" t="s">
        <v>18</v>
      </c>
      <c r="D966" s="73"/>
      <c r="E966" s="61"/>
      <c r="F966" s="61"/>
      <c r="G966" s="61"/>
      <c r="H966" s="75"/>
      <c r="I966" s="52"/>
      <c r="J966" s="61"/>
      <c r="K966" s="62"/>
      <c r="L966" s="61"/>
      <c r="M966" s="61"/>
      <c r="N966" s="61"/>
      <c r="O966" s="61"/>
      <c r="P966" s="61">
        <f t="shared" si="45"/>
        <v>1</v>
      </c>
      <c r="Q966" s="61">
        <f t="shared" si="46"/>
        <v>1900</v>
      </c>
      <c r="R966" s="100">
        <f t="shared" si="47"/>
        <v>0</v>
      </c>
    </row>
    <row r="967" spans="1:18" s="59" customFormat="1" x14ac:dyDescent="0.2">
      <c r="A967" s="69"/>
      <c r="B967" s="61"/>
      <c r="C967" s="61" t="s">
        <v>18</v>
      </c>
      <c r="D967" s="73"/>
      <c r="E967" s="61"/>
      <c r="F967" s="61"/>
      <c r="G967" s="61"/>
      <c r="H967" s="75"/>
      <c r="I967" s="52"/>
      <c r="J967" s="61"/>
      <c r="K967" s="62"/>
      <c r="L967" s="61"/>
      <c r="M967" s="61"/>
      <c r="N967" s="61"/>
      <c r="O967" s="61"/>
      <c r="P967" s="61">
        <f t="shared" si="45"/>
        <v>1</v>
      </c>
      <c r="Q967" s="61">
        <f t="shared" si="46"/>
        <v>1900</v>
      </c>
      <c r="R967" s="100">
        <f t="shared" si="47"/>
        <v>0</v>
      </c>
    </row>
    <row r="968" spans="1:18" s="59" customFormat="1" x14ac:dyDescent="0.2">
      <c r="A968" s="69"/>
      <c r="B968" s="61"/>
      <c r="C968" s="61" t="s">
        <v>18</v>
      </c>
      <c r="D968" s="73"/>
      <c r="E968" s="61"/>
      <c r="F968" s="61"/>
      <c r="G968" s="61"/>
      <c r="H968" s="75"/>
      <c r="I968" s="52"/>
      <c r="J968" s="61"/>
      <c r="K968" s="62"/>
      <c r="L968" s="61"/>
      <c r="M968" s="61"/>
      <c r="N968" s="61"/>
      <c r="O968" s="61"/>
      <c r="P968" s="61">
        <f t="shared" si="45"/>
        <v>1</v>
      </c>
      <c r="Q968" s="61">
        <f t="shared" si="46"/>
        <v>1900</v>
      </c>
      <c r="R968" s="100">
        <f t="shared" si="47"/>
        <v>0</v>
      </c>
    </row>
    <row r="969" spans="1:18" s="59" customFormat="1" x14ac:dyDescent="0.2">
      <c r="A969" s="69"/>
      <c r="B969" s="61"/>
      <c r="C969" s="61" t="s">
        <v>18</v>
      </c>
      <c r="D969" s="73"/>
      <c r="E969" s="61"/>
      <c r="F969" s="61"/>
      <c r="G969" s="61"/>
      <c r="H969" s="75"/>
      <c r="I969" s="52"/>
      <c r="J969" s="61"/>
      <c r="K969" s="62"/>
      <c r="L969" s="61"/>
      <c r="M969" s="61"/>
      <c r="N969" s="61"/>
      <c r="O969" s="61"/>
      <c r="P969" s="61">
        <f t="shared" si="45"/>
        <v>1</v>
      </c>
      <c r="Q969" s="61">
        <f t="shared" si="46"/>
        <v>1900</v>
      </c>
      <c r="R969" s="100">
        <f t="shared" si="47"/>
        <v>0</v>
      </c>
    </row>
    <row r="970" spans="1:18" s="59" customFormat="1" x14ac:dyDescent="0.2">
      <c r="A970" s="69"/>
      <c r="B970" s="61"/>
      <c r="C970" s="61" t="s">
        <v>18</v>
      </c>
      <c r="D970" s="73"/>
      <c r="E970" s="61"/>
      <c r="F970" s="61"/>
      <c r="G970" s="61"/>
      <c r="H970" s="75"/>
      <c r="I970" s="52"/>
      <c r="J970" s="61"/>
      <c r="K970" s="62"/>
      <c r="L970" s="61"/>
      <c r="M970" s="61"/>
      <c r="N970" s="61"/>
      <c r="O970" s="61"/>
      <c r="P970" s="61">
        <f t="shared" si="45"/>
        <v>1</v>
      </c>
      <c r="Q970" s="61">
        <f t="shared" si="46"/>
        <v>1900</v>
      </c>
      <c r="R970" s="100">
        <f t="shared" si="47"/>
        <v>0</v>
      </c>
    </row>
    <row r="971" spans="1:18" s="59" customFormat="1" x14ac:dyDescent="0.2">
      <c r="A971" s="69"/>
      <c r="B971" s="61"/>
      <c r="C971" s="61" t="s">
        <v>18</v>
      </c>
      <c r="D971" s="73"/>
      <c r="E971" s="61"/>
      <c r="F971" s="61"/>
      <c r="G971" s="61"/>
      <c r="H971" s="75"/>
      <c r="I971" s="52"/>
      <c r="J971" s="61"/>
      <c r="K971" s="62"/>
      <c r="L971" s="61"/>
      <c r="M971" s="61"/>
      <c r="N971" s="61"/>
      <c r="O971" s="61"/>
      <c r="P971" s="61">
        <f t="shared" si="45"/>
        <v>1</v>
      </c>
      <c r="Q971" s="61">
        <f t="shared" si="46"/>
        <v>1900</v>
      </c>
      <c r="R971" s="100">
        <f t="shared" si="47"/>
        <v>0</v>
      </c>
    </row>
    <row r="972" spans="1:18" s="59" customFormat="1" x14ac:dyDescent="0.2">
      <c r="A972" s="69"/>
      <c r="B972" s="61"/>
      <c r="C972" s="61" t="s">
        <v>18</v>
      </c>
      <c r="D972" s="73"/>
      <c r="E972" s="61"/>
      <c r="F972" s="61"/>
      <c r="G972" s="61"/>
      <c r="H972" s="75"/>
      <c r="I972" s="52"/>
      <c r="J972" s="61"/>
      <c r="K972" s="62"/>
      <c r="L972" s="61"/>
      <c r="M972" s="61"/>
      <c r="N972" s="61"/>
      <c r="O972" s="61"/>
      <c r="P972" s="61">
        <f t="shared" si="45"/>
        <v>1</v>
      </c>
      <c r="Q972" s="61">
        <f t="shared" si="46"/>
        <v>1900</v>
      </c>
      <c r="R972" s="100">
        <f t="shared" si="47"/>
        <v>0</v>
      </c>
    </row>
    <row r="973" spans="1:18" s="59" customFormat="1" x14ac:dyDescent="0.2">
      <c r="A973" s="69"/>
      <c r="B973" s="61"/>
      <c r="C973" s="61" t="s">
        <v>18</v>
      </c>
      <c r="D973" s="73"/>
      <c r="E973" s="61"/>
      <c r="F973" s="61"/>
      <c r="G973" s="61"/>
      <c r="H973" s="75"/>
      <c r="I973" s="52"/>
      <c r="J973" s="61"/>
      <c r="K973" s="62"/>
      <c r="L973" s="61"/>
      <c r="M973" s="61"/>
      <c r="N973" s="61"/>
      <c r="O973" s="61"/>
      <c r="P973" s="61">
        <f t="shared" si="45"/>
        <v>1</v>
      </c>
      <c r="Q973" s="61">
        <f t="shared" si="46"/>
        <v>1900</v>
      </c>
      <c r="R973" s="100">
        <f t="shared" si="47"/>
        <v>0</v>
      </c>
    </row>
    <row r="974" spans="1:18" s="59" customFormat="1" x14ac:dyDescent="0.2">
      <c r="A974" s="69"/>
      <c r="B974" s="61"/>
      <c r="C974" s="61" t="s">
        <v>18</v>
      </c>
      <c r="D974" s="73"/>
      <c r="E974" s="61"/>
      <c r="F974" s="61"/>
      <c r="G974" s="61"/>
      <c r="H974" s="75"/>
      <c r="I974" s="52"/>
      <c r="J974" s="61"/>
      <c r="K974" s="62"/>
      <c r="L974" s="61"/>
      <c r="M974" s="61"/>
      <c r="N974" s="61"/>
      <c r="O974" s="61"/>
      <c r="P974" s="61">
        <f t="shared" si="45"/>
        <v>1</v>
      </c>
      <c r="Q974" s="61">
        <f t="shared" si="46"/>
        <v>1900</v>
      </c>
      <c r="R974" s="100">
        <f t="shared" si="47"/>
        <v>0</v>
      </c>
    </row>
    <row r="975" spans="1:18" s="59" customFormat="1" x14ac:dyDescent="0.2">
      <c r="A975" s="69"/>
      <c r="B975" s="61"/>
      <c r="C975" s="61" t="s">
        <v>18</v>
      </c>
      <c r="D975" s="73"/>
      <c r="E975" s="61"/>
      <c r="F975" s="61"/>
      <c r="G975" s="61"/>
      <c r="H975" s="75"/>
      <c r="I975" s="52"/>
      <c r="J975" s="61"/>
      <c r="K975" s="62"/>
      <c r="L975" s="61"/>
      <c r="M975" s="61"/>
      <c r="N975" s="61"/>
      <c r="O975" s="61"/>
      <c r="P975" s="61">
        <f t="shared" si="45"/>
        <v>1</v>
      </c>
      <c r="Q975" s="61">
        <f t="shared" si="46"/>
        <v>1900</v>
      </c>
      <c r="R975" s="100">
        <f t="shared" si="47"/>
        <v>0</v>
      </c>
    </row>
    <row r="976" spans="1:18" s="59" customFormat="1" x14ac:dyDescent="0.2">
      <c r="A976" s="69"/>
      <c r="B976" s="61"/>
      <c r="C976" s="61" t="s">
        <v>18</v>
      </c>
      <c r="D976" s="73"/>
      <c r="E976" s="61"/>
      <c r="F976" s="61"/>
      <c r="G976" s="61"/>
      <c r="H976" s="75"/>
      <c r="I976" s="52"/>
      <c r="J976" s="61"/>
      <c r="K976" s="62"/>
      <c r="L976" s="61"/>
      <c r="M976" s="61"/>
      <c r="N976" s="61"/>
      <c r="O976" s="61"/>
      <c r="P976" s="61">
        <f t="shared" si="45"/>
        <v>1</v>
      </c>
      <c r="Q976" s="61">
        <f t="shared" si="46"/>
        <v>1900</v>
      </c>
      <c r="R976" s="100">
        <f t="shared" si="47"/>
        <v>0</v>
      </c>
    </row>
    <row r="977" spans="1:18" s="59" customFormat="1" x14ac:dyDescent="0.2">
      <c r="A977" s="69"/>
      <c r="B977" s="61"/>
      <c r="C977" s="61" t="s">
        <v>18</v>
      </c>
      <c r="D977" s="73"/>
      <c r="E977" s="61"/>
      <c r="F977" s="61"/>
      <c r="G977" s="61"/>
      <c r="H977" s="75"/>
      <c r="I977" s="52"/>
      <c r="J977" s="61"/>
      <c r="K977" s="62"/>
      <c r="L977" s="61"/>
      <c r="M977" s="61"/>
      <c r="N977" s="61"/>
      <c r="O977" s="61"/>
      <c r="P977" s="61">
        <f t="shared" si="45"/>
        <v>1</v>
      </c>
      <c r="Q977" s="61">
        <f t="shared" si="46"/>
        <v>1900</v>
      </c>
      <c r="R977" s="100">
        <f t="shared" si="47"/>
        <v>0</v>
      </c>
    </row>
    <row r="978" spans="1:18" s="59" customFormat="1" x14ac:dyDescent="0.2">
      <c r="A978" s="69"/>
      <c r="B978" s="61"/>
      <c r="C978" s="61" t="s">
        <v>18</v>
      </c>
      <c r="D978" s="73"/>
      <c r="E978" s="61"/>
      <c r="F978" s="61"/>
      <c r="G978" s="61"/>
      <c r="H978" s="75"/>
      <c r="I978" s="52"/>
      <c r="J978" s="61"/>
      <c r="K978" s="62"/>
      <c r="L978" s="61"/>
      <c r="M978" s="61"/>
      <c r="N978" s="61"/>
      <c r="O978" s="61"/>
      <c r="P978" s="61">
        <f t="shared" si="45"/>
        <v>1</v>
      </c>
      <c r="Q978" s="61">
        <f t="shared" si="46"/>
        <v>1900</v>
      </c>
      <c r="R978" s="100">
        <f t="shared" si="47"/>
        <v>0</v>
      </c>
    </row>
    <row r="979" spans="1:18" s="59" customFormat="1" x14ac:dyDescent="0.2">
      <c r="A979" s="69"/>
      <c r="B979" s="61"/>
      <c r="C979" s="61" t="s">
        <v>18</v>
      </c>
      <c r="D979" s="73"/>
      <c r="E979" s="61"/>
      <c r="F979" s="61"/>
      <c r="G979" s="61"/>
      <c r="H979" s="75"/>
      <c r="I979" s="52"/>
      <c r="J979" s="61"/>
      <c r="K979" s="62"/>
      <c r="L979" s="61"/>
      <c r="M979" s="61"/>
      <c r="N979" s="61"/>
      <c r="O979" s="61"/>
      <c r="P979" s="61">
        <f t="shared" si="45"/>
        <v>1</v>
      </c>
      <c r="Q979" s="61">
        <f t="shared" si="46"/>
        <v>1900</v>
      </c>
      <c r="R979" s="100">
        <f t="shared" si="47"/>
        <v>0</v>
      </c>
    </row>
    <row r="980" spans="1:18" s="59" customFormat="1" x14ac:dyDescent="0.2">
      <c r="A980" s="69"/>
      <c r="B980" s="61"/>
      <c r="C980" s="61" t="s">
        <v>18</v>
      </c>
      <c r="D980" s="73"/>
      <c r="E980" s="61"/>
      <c r="F980" s="61"/>
      <c r="G980" s="61"/>
      <c r="H980" s="75"/>
      <c r="I980" s="52"/>
      <c r="J980" s="61"/>
      <c r="K980" s="62"/>
      <c r="L980" s="61"/>
      <c r="M980" s="61"/>
      <c r="N980" s="61"/>
      <c r="O980" s="61"/>
      <c r="P980" s="61">
        <f t="shared" si="45"/>
        <v>1</v>
      </c>
      <c r="Q980" s="61">
        <f t="shared" si="46"/>
        <v>1900</v>
      </c>
      <c r="R980" s="100">
        <f t="shared" si="47"/>
        <v>0</v>
      </c>
    </row>
    <row r="981" spans="1:18" s="59" customFormat="1" x14ac:dyDescent="0.2">
      <c r="A981" s="69"/>
      <c r="B981" s="61"/>
      <c r="C981" s="61" t="s">
        <v>18</v>
      </c>
      <c r="D981" s="73"/>
      <c r="E981" s="61"/>
      <c r="F981" s="61"/>
      <c r="G981" s="61"/>
      <c r="H981" s="75"/>
      <c r="I981" s="52"/>
      <c r="J981" s="61"/>
      <c r="K981" s="62"/>
      <c r="L981" s="61"/>
      <c r="M981" s="61"/>
      <c r="N981" s="61"/>
      <c r="O981" s="61"/>
      <c r="P981" s="61">
        <f t="shared" si="45"/>
        <v>1</v>
      </c>
      <c r="Q981" s="61">
        <f t="shared" si="46"/>
        <v>1900</v>
      </c>
      <c r="R981" s="100">
        <f t="shared" si="47"/>
        <v>0</v>
      </c>
    </row>
    <row r="982" spans="1:18" s="59" customFormat="1" x14ac:dyDescent="0.2">
      <c r="A982" s="69"/>
      <c r="B982" s="61"/>
      <c r="C982" s="61" t="s">
        <v>18</v>
      </c>
      <c r="D982" s="73"/>
      <c r="E982" s="61"/>
      <c r="F982" s="61"/>
      <c r="G982" s="61"/>
      <c r="H982" s="75"/>
      <c r="I982" s="52"/>
      <c r="J982" s="61"/>
      <c r="K982" s="62"/>
      <c r="L982" s="61"/>
      <c r="M982" s="61"/>
      <c r="N982" s="61"/>
      <c r="O982" s="61"/>
      <c r="P982" s="61">
        <f t="shared" si="45"/>
        <v>1</v>
      </c>
      <c r="Q982" s="61">
        <f t="shared" si="46"/>
        <v>1900</v>
      </c>
      <c r="R982" s="100">
        <f t="shared" si="47"/>
        <v>0</v>
      </c>
    </row>
    <row r="983" spans="1:18" s="59" customFormat="1" x14ac:dyDescent="0.2">
      <c r="A983" s="69"/>
      <c r="B983" s="61"/>
      <c r="C983" s="61" t="s">
        <v>18</v>
      </c>
      <c r="D983" s="73"/>
      <c r="E983" s="61"/>
      <c r="F983" s="61"/>
      <c r="G983" s="61"/>
      <c r="H983" s="75"/>
      <c r="I983" s="52"/>
      <c r="J983" s="61"/>
      <c r="K983" s="62"/>
      <c r="L983" s="61"/>
      <c r="M983" s="61"/>
      <c r="N983" s="61"/>
      <c r="O983" s="61"/>
      <c r="P983" s="61">
        <f t="shared" si="45"/>
        <v>1</v>
      </c>
      <c r="Q983" s="61">
        <f t="shared" si="46"/>
        <v>1900</v>
      </c>
      <c r="R983" s="100">
        <f t="shared" si="47"/>
        <v>0</v>
      </c>
    </row>
    <row r="984" spans="1:18" s="59" customFormat="1" x14ac:dyDescent="0.2">
      <c r="A984" s="69"/>
      <c r="B984" s="61"/>
      <c r="C984" s="61" t="s">
        <v>18</v>
      </c>
      <c r="D984" s="73"/>
      <c r="E984" s="61"/>
      <c r="F984" s="61"/>
      <c r="G984" s="61"/>
      <c r="H984" s="75"/>
      <c r="I984" s="52"/>
      <c r="J984" s="61"/>
      <c r="K984" s="62"/>
      <c r="L984" s="61"/>
      <c r="M984" s="61"/>
      <c r="N984" s="61"/>
      <c r="O984" s="61"/>
      <c r="P984" s="61">
        <f t="shared" si="45"/>
        <v>1</v>
      </c>
      <c r="Q984" s="61">
        <f t="shared" si="46"/>
        <v>1900</v>
      </c>
      <c r="R984" s="100">
        <f t="shared" si="47"/>
        <v>0</v>
      </c>
    </row>
    <row r="985" spans="1:18" s="59" customFormat="1" x14ac:dyDescent="0.2">
      <c r="A985" s="69"/>
      <c r="B985" s="61"/>
      <c r="C985" s="61" t="s">
        <v>18</v>
      </c>
      <c r="D985" s="73"/>
      <c r="E985" s="61"/>
      <c r="F985" s="61"/>
      <c r="G985" s="61"/>
      <c r="H985" s="75"/>
      <c r="I985" s="52"/>
      <c r="J985" s="61"/>
      <c r="K985" s="62"/>
      <c r="L985" s="61"/>
      <c r="M985" s="61"/>
      <c r="N985" s="61"/>
      <c r="O985" s="61"/>
      <c r="P985" s="61">
        <f t="shared" si="45"/>
        <v>1</v>
      </c>
      <c r="Q985" s="61">
        <f t="shared" si="46"/>
        <v>1900</v>
      </c>
      <c r="R985" s="100">
        <f t="shared" si="47"/>
        <v>0</v>
      </c>
    </row>
    <row r="986" spans="1:18" s="59" customFormat="1" x14ac:dyDescent="0.2">
      <c r="A986" s="69"/>
      <c r="B986" s="61"/>
      <c r="C986" s="61" t="s">
        <v>18</v>
      </c>
      <c r="D986" s="73"/>
      <c r="E986" s="61"/>
      <c r="F986" s="61"/>
      <c r="G986" s="61"/>
      <c r="H986" s="75"/>
      <c r="I986" s="52"/>
      <c r="J986" s="61"/>
      <c r="K986" s="62"/>
      <c r="L986" s="61"/>
      <c r="M986" s="61"/>
      <c r="N986" s="61"/>
      <c r="O986" s="61"/>
      <c r="P986" s="61">
        <f t="shared" si="45"/>
        <v>1</v>
      </c>
      <c r="Q986" s="61">
        <f t="shared" si="46"/>
        <v>1900</v>
      </c>
      <c r="R986" s="100">
        <f t="shared" si="47"/>
        <v>0</v>
      </c>
    </row>
    <row r="987" spans="1:18" s="59" customFormat="1" x14ac:dyDescent="0.2">
      <c r="A987" s="69"/>
      <c r="B987" s="61"/>
      <c r="C987" s="61" t="s">
        <v>18</v>
      </c>
      <c r="D987" s="73"/>
      <c r="E987" s="61"/>
      <c r="F987" s="61"/>
      <c r="G987" s="61"/>
      <c r="H987" s="75"/>
      <c r="I987" s="52"/>
      <c r="J987" s="61"/>
      <c r="K987" s="62"/>
      <c r="L987" s="61"/>
      <c r="M987" s="61"/>
      <c r="N987" s="61"/>
      <c r="O987" s="61"/>
      <c r="P987" s="61">
        <f t="shared" si="45"/>
        <v>1</v>
      </c>
      <c r="Q987" s="61">
        <f t="shared" si="46"/>
        <v>1900</v>
      </c>
      <c r="R987" s="100">
        <f t="shared" si="47"/>
        <v>0</v>
      </c>
    </row>
    <row r="988" spans="1:18" s="59" customFormat="1" x14ac:dyDescent="0.2">
      <c r="A988" s="69"/>
      <c r="B988" s="61"/>
      <c r="C988" s="61" t="s">
        <v>18</v>
      </c>
      <c r="D988" s="73"/>
      <c r="E988" s="61"/>
      <c r="F988" s="61"/>
      <c r="G988" s="61"/>
      <c r="H988" s="75"/>
      <c r="I988" s="52"/>
      <c r="J988" s="61"/>
      <c r="K988" s="62"/>
      <c r="L988" s="61"/>
      <c r="M988" s="61"/>
      <c r="N988" s="61"/>
      <c r="O988" s="61"/>
      <c r="P988" s="61">
        <f t="shared" si="45"/>
        <v>1</v>
      </c>
      <c r="Q988" s="61">
        <f t="shared" si="46"/>
        <v>1900</v>
      </c>
      <c r="R988" s="100">
        <f t="shared" si="47"/>
        <v>0</v>
      </c>
    </row>
    <row r="989" spans="1:18" s="59" customFormat="1" x14ac:dyDescent="0.2">
      <c r="A989" s="69"/>
      <c r="B989" s="61"/>
      <c r="C989" s="61" t="s">
        <v>18</v>
      </c>
      <c r="D989" s="73"/>
      <c r="E989" s="61"/>
      <c r="F989" s="61"/>
      <c r="G989" s="61"/>
      <c r="H989" s="75"/>
      <c r="I989" s="52"/>
      <c r="J989" s="61"/>
      <c r="K989" s="62"/>
      <c r="L989" s="61"/>
      <c r="M989" s="61"/>
      <c r="N989" s="61"/>
      <c r="O989" s="61"/>
      <c r="P989" s="61">
        <f t="shared" si="45"/>
        <v>1</v>
      </c>
      <c r="Q989" s="61">
        <f t="shared" si="46"/>
        <v>1900</v>
      </c>
      <c r="R989" s="100">
        <f t="shared" si="47"/>
        <v>0</v>
      </c>
    </row>
    <row r="990" spans="1:18" s="59" customFormat="1" x14ac:dyDescent="0.2">
      <c r="A990" s="69"/>
      <c r="B990" s="61"/>
      <c r="C990" s="61" t="s">
        <v>18</v>
      </c>
      <c r="D990" s="73"/>
      <c r="E990" s="61"/>
      <c r="F990" s="61"/>
      <c r="G990" s="61"/>
      <c r="H990" s="75"/>
      <c r="I990" s="52"/>
      <c r="J990" s="61"/>
      <c r="K990" s="62"/>
      <c r="L990" s="61"/>
      <c r="M990" s="61"/>
      <c r="N990" s="61"/>
      <c r="O990" s="61"/>
      <c r="P990" s="61">
        <f t="shared" si="45"/>
        <v>1</v>
      </c>
      <c r="Q990" s="61">
        <f t="shared" si="46"/>
        <v>1900</v>
      </c>
      <c r="R990" s="100">
        <f t="shared" si="47"/>
        <v>0</v>
      </c>
    </row>
    <row r="991" spans="1:18" s="59" customFormat="1" x14ac:dyDescent="0.2">
      <c r="A991" s="69"/>
      <c r="B991" s="61"/>
      <c r="C991" s="61" t="s">
        <v>18</v>
      </c>
      <c r="D991" s="73"/>
      <c r="E991" s="61"/>
      <c r="F991" s="61"/>
      <c r="G991" s="61"/>
      <c r="H991" s="75"/>
      <c r="I991" s="52"/>
      <c r="J991" s="61"/>
      <c r="K991" s="62"/>
      <c r="L991" s="61"/>
      <c r="M991" s="61"/>
      <c r="N991" s="61"/>
      <c r="O991" s="61"/>
      <c r="P991" s="61">
        <f t="shared" si="45"/>
        <v>1</v>
      </c>
      <c r="Q991" s="61">
        <f t="shared" si="46"/>
        <v>1900</v>
      </c>
      <c r="R991" s="100">
        <f t="shared" si="47"/>
        <v>0</v>
      </c>
    </row>
    <row r="992" spans="1:18" s="59" customFormat="1" x14ac:dyDescent="0.2">
      <c r="A992" s="69"/>
      <c r="B992" s="61"/>
      <c r="C992" s="61" t="s">
        <v>18</v>
      </c>
      <c r="D992" s="73"/>
      <c r="E992" s="61"/>
      <c r="F992" s="61"/>
      <c r="G992" s="61"/>
      <c r="H992" s="75"/>
      <c r="I992" s="52"/>
      <c r="J992" s="61"/>
      <c r="K992" s="62"/>
      <c r="L992" s="61"/>
      <c r="M992" s="61"/>
      <c r="N992" s="61"/>
      <c r="O992" s="61"/>
      <c r="P992" s="61">
        <f t="shared" si="45"/>
        <v>1</v>
      </c>
      <c r="Q992" s="61">
        <f t="shared" si="46"/>
        <v>1900</v>
      </c>
      <c r="R992" s="100">
        <f t="shared" si="47"/>
        <v>0</v>
      </c>
    </row>
    <row r="993" spans="1:18" s="59" customFormat="1" x14ac:dyDescent="0.2">
      <c r="A993" s="69"/>
      <c r="B993" s="61"/>
      <c r="C993" s="61" t="s">
        <v>18</v>
      </c>
      <c r="D993" s="73"/>
      <c r="E993" s="61"/>
      <c r="F993" s="61"/>
      <c r="G993" s="61"/>
      <c r="H993" s="75"/>
      <c r="I993" s="52"/>
      <c r="J993" s="61"/>
      <c r="K993" s="62"/>
      <c r="L993" s="61"/>
      <c r="M993" s="61"/>
      <c r="N993" s="61"/>
      <c r="O993" s="61"/>
      <c r="P993" s="61">
        <f t="shared" si="45"/>
        <v>1</v>
      </c>
      <c r="Q993" s="61">
        <f t="shared" si="46"/>
        <v>1900</v>
      </c>
      <c r="R993" s="100">
        <f t="shared" si="47"/>
        <v>0</v>
      </c>
    </row>
    <row r="994" spans="1:18" s="59" customFormat="1" x14ac:dyDescent="0.2">
      <c r="A994" s="69"/>
      <c r="B994" s="61"/>
      <c r="C994" s="61" t="s">
        <v>18</v>
      </c>
      <c r="D994" s="73"/>
      <c r="E994" s="61"/>
      <c r="F994" s="61"/>
      <c r="G994" s="61"/>
      <c r="H994" s="75"/>
      <c r="I994" s="52"/>
      <c r="J994" s="61"/>
      <c r="K994" s="62"/>
      <c r="L994" s="61"/>
      <c r="M994" s="61"/>
      <c r="N994" s="61"/>
      <c r="O994" s="61"/>
      <c r="P994" s="61">
        <f t="shared" si="45"/>
        <v>1</v>
      </c>
      <c r="Q994" s="61">
        <f t="shared" si="46"/>
        <v>1900</v>
      </c>
      <c r="R994" s="100">
        <f t="shared" si="47"/>
        <v>0</v>
      </c>
    </row>
    <row r="995" spans="1:18" s="59" customFormat="1" x14ac:dyDescent="0.2">
      <c r="A995" s="69"/>
      <c r="B995" s="61"/>
      <c r="C995" s="61" t="s">
        <v>18</v>
      </c>
      <c r="D995" s="73"/>
      <c r="E995" s="61"/>
      <c r="F995" s="61"/>
      <c r="G995" s="61"/>
      <c r="H995" s="75"/>
      <c r="I995" s="52"/>
      <c r="J995" s="61"/>
      <c r="K995" s="62"/>
      <c r="L995" s="61"/>
      <c r="M995" s="61"/>
      <c r="N995" s="61"/>
      <c r="O995" s="61"/>
      <c r="P995" s="61">
        <f t="shared" si="45"/>
        <v>1</v>
      </c>
      <c r="Q995" s="61">
        <f t="shared" si="46"/>
        <v>1900</v>
      </c>
      <c r="R995" s="100">
        <f t="shared" si="47"/>
        <v>0</v>
      </c>
    </row>
    <row r="996" spans="1:18" s="59" customFormat="1" x14ac:dyDescent="0.2">
      <c r="A996" s="69"/>
      <c r="B996" s="61"/>
      <c r="C996" s="61" t="s">
        <v>18</v>
      </c>
      <c r="D996" s="73"/>
      <c r="E996" s="61"/>
      <c r="F996" s="61"/>
      <c r="G996" s="61"/>
      <c r="H996" s="75"/>
      <c r="I996" s="52"/>
      <c r="J996" s="61"/>
      <c r="K996" s="62"/>
      <c r="L996" s="61"/>
      <c r="M996" s="61"/>
      <c r="N996" s="61"/>
      <c r="O996" s="61"/>
      <c r="P996" s="61">
        <f t="shared" si="45"/>
        <v>1</v>
      </c>
      <c r="Q996" s="61">
        <f t="shared" si="46"/>
        <v>1900</v>
      </c>
      <c r="R996" s="100">
        <f t="shared" si="47"/>
        <v>0</v>
      </c>
    </row>
    <row r="997" spans="1:18" s="59" customFormat="1" x14ac:dyDescent="0.2">
      <c r="A997" s="69"/>
      <c r="B997" s="61"/>
      <c r="C997" s="61" t="s">
        <v>18</v>
      </c>
      <c r="D997" s="73"/>
      <c r="E997" s="61"/>
      <c r="F997" s="61"/>
      <c r="G997" s="61"/>
      <c r="H997" s="75"/>
      <c r="I997" s="52"/>
      <c r="J997" s="61"/>
      <c r="K997" s="62"/>
      <c r="L997" s="61"/>
      <c r="M997" s="61"/>
      <c r="N997" s="61"/>
      <c r="O997" s="61"/>
      <c r="P997" s="61">
        <f t="shared" si="45"/>
        <v>1</v>
      </c>
      <c r="Q997" s="61">
        <f t="shared" si="46"/>
        <v>1900</v>
      </c>
      <c r="R997" s="100">
        <f t="shared" si="47"/>
        <v>0</v>
      </c>
    </row>
    <row r="998" spans="1:18" s="59" customFormat="1" x14ac:dyDescent="0.2">
      <c r="A998" s="69"/>
      <c r="B998" s="61"/>
      <c r="C998" s="61" t="s">
        <v>18</v>
      </c>
      <c r="D998" s="73"/>
      <c r="E998" s="61"/>
      <c r="F998" s="61"/>
      <c r="G998" s="61"/>
      <c r="H998" s="75"/>
      <c r="I998" s="52"/>
      <c r="J998" s="61"/>
      <c r="K998" s="62"/>
      <c r="L998" s="61"/>
      <c r="M998" s="61"/>
      <c r="N998" s="61"/>
      <c r="O998" s="61"/>
      <c r="P998" s="61">
        <f t="shared" si="45"/>
        <v>1</v>
      </c>
      <c r="Q998" s="61">
        <f t="shared" si="46"/>
        <v>1900</v>
      </c>
      <c r="R998" s="100">
        <f t="shared" si="47"/>
        <v>0</v>
      </c>
    </row>
    <row r="999" spans="1:18" s="59" customFormat="1" x14ac:dyDescent="0.2">
      <c r="A999" s="69"/>
      <c r="B999" s="61"/>
      <c r="C999" s="61" t="s">
        <v>18</v>
      </c>
      <c r="D999" s="73"/>
      <c r="E999" s="61"/>
      <c r="F999" s="61"/>
      <c r="G999" s="61"/>
      <c r="H999" s="75"/>
      <c r="I999" s="52"/>
      <c r="J999" s="61"/>
      <c r="K999" s="62"/>
      <c r="L999" s="61"/>
      <c r="M999" s="61"/>
      <c r="N999" s="61"/>
      <c r="O999" s="61"/>
      <c r="P999" s="61">
        <f t="shared" si="45"/>
        <v>1</v>
      </c>
      <c r="Q999" s="61">
        <f t="shared" si="46"/>
        <v>1900</v>
      </c>
      <c r="R999" s="100">
        <f t="shared" si="47"/>
        <v>0</v>
      </c>
    </row>
    <row r="1000" spans="1:18" x14ac:dyDescent="0.2">
      <c r="A1000" s="69"/>
      <c r="B1000" s="61"/>
      <c r="C1000" s="136"/>
    </row>
    <row r="1002" spans="1:18" x14ac:dyDescent="0.2">
      <c r="H1002" s="198"/>
    </row>
    <row r="1003" spans="1:18" x14ac:dyDescent="0.2">
      <c r="H1003" s="198"/>
    </row>
  </sheetData>
  <autoFilter ref="A1:R1003"/>
  <conditionalFormatting sqref="A2:Q484 A662:Q662 A661:L661 O661:Q661 A663:L663 O663:Q663 A756:E756 G756:Q756 A757:Q757 A758:E758 G758:Q758 A664:Q755 A759:Q999">
    <cfRule type="expression" dxfId="197" priority="68">
      <formula>$I2="A depositar"</formula>
    </cfRule>
    <cfRule type="expression" dxfId="196" priority="69">
      <formula>$I2="Depositado"</formula>
    </cfRule>
    <cfRule type="expression" dxfId="195" priority="70">
      <formula>$I2="Endosado"</formula>
    </cfRule>
    <cfRule type="expression" dxfId="194" priority="71">
      <formula>$I2="Rechazado"</formula>
    </cfRule>
    <cfRule type="expression" dxfId="193" priority="73">
      <formula>$I2="Anulado"</formula>
    </cfRule>
    <cfRule type="expression" dxfId="192" priority="74">
      <formula>$I2="Posdatado"</formula>
    </cfRule>
  </conditionalFormatting>
  <conditionalFormatting sqref="I369">
    <cfRule type="notContainsBlanks" dxfId="191" priority="72">
      <formula>LEN(TRIM(I369))&gt;0</formula>
    </cfRule>
  </conditionalFormatting>
  <conditionalFormatting sqref="A485:Q495 A496:I497 K496:Q497 A498:Q651 A660:L660 O660:Q660 A653:Q659 A652:M652 O652:Q652">
    <cfRule type="expression" dxfId="190" priority="61">
      <formula>$I485="A depositar"</formula>
    </cfRule>
    <cfRule type="expression" dxfId="189" priority="62">
      <formula>$I485="Depositado"</formula>
    </cfRule>
    <cfRule type="expression" dxfId="188" priority="63">
      <formula>$I485="Endosado"</formula>
    </cfRule>
    <cfRule type="expression" dxfId="187" priority="64">
      <formula>$I485="Rechazado"</formula>
    </cfRule>
    <cfRule type="expression" dxfId="186" priority="65">
      <formula>$I485="Anulado"</formula>
    </cfRule>
    <cfRule type="expression" dxfId="185" priority="66">
      <formula>$I485="Posdatado"</formula>
    </cfRule>
  </conditionalFormatting>
  <conditionalFormatting sqref="J496">
    <cfRule type="expression" dxfId="184" priority="55">
      <formula>$I496="A depositar"</formula>
    </cfRule>
    <cfRule type="expression" dxfId="183" priority="56">
      <formula>$I496="Depositado"</formula>
    </cfRule>
    <cfRule type="expression" dxfId="182" priority="57">
      <formula>$I496="Endosado"</formula>
    </cfRule>
    <cfRule type="expression" dxfId="181" priority="58">
      <formula>$I496="Rechazado"</formula>
    </cfRule>
    <cfRule type="expression" dxfId="180" priority="59">
      <formula>$I496="Anulado"</formula>
    </cfRule>
    <cfRule type="expression" dxfId="179" priority="60">
      <formula>$I496="Posdatado"</formula>
    </cfRule>
  </conditionalFormatting>
  <conditionalFormatting sqref="J497">
    <cfRule type="expression" dxfId="178" priority="49">
      <formula>$I497="A depositar"</formula>
    </cfRule>
    <cfRule type="expression" dxfId="177" priority="50">
      <formula>$I497="Depositado"</formula>
    </cfRule>
    <cfRule type="expression" dxfId="176" priority="51">
      <formula>$I497="Endosado"</formula>
    </cfRule>
    <cfRule type="expression" dxfId="175" priority="52">
      <formula>$I497="Rechazado"</formula>
    </cfRule>
    <cfRule type="expression" dxfId="174" priority="53">
      <formula>$I497="Anulado"</formula>
    </cfRule>
    <cfRule type="expression" dxfId="173" priority="54">
      <formula>$I497="Posdatado"</formula>
    </cfRule>
  </conditionalFormatting>
  <conditionalFormatting sqref="M660:N660">
    <cfRule type="expression" dxfId="172" priority="81">
      <formula>$I661="A depositar"</formula>
    </cfRule>
    <cfRule type="expression" dxfId="171" priority="82">
      <formula>$I661="Depositado"</formula>
    </cfRule>
    <cfRule type="expression" dxfId="170" priority="83">
      <formula>$I661="Endosado"</formula>
    </cfRule>
    <cfRule type="expression" dxfId="169" priority="84">
      <formula>$I661="Rechazado"</formula>
    </cfRule>
    <cfRule type="expression" dxfId="168" priority="85">
      <formula>$I661="Anulado"</formula>
    </cfRule>
    <cfRule type="expression" dxfId="167" priority="86">
      <formula>$I661="Posdatado"</formula>
    </cfRule>
  </conditionalFormatting>
  <conditionalFormatting sqref="M661:N661">
    <cfRule type="expression" dxfId="166" priority="43">
      <formula>$I662="A depositar"</formula>
    </cfRule>
    <cfRule type="expression" dxfId="165" priority="44">
      <formula>$I662="Depositado"</formula>
    </cfRule>
    <cfRule type="expression" dxfId="164" priority="45">
      <formula>$I662="Endosado"</formula>
    </cfRule>
    <cfRule type="expression" dxfId="163" priority="46">
      <formula>$I662="Rechazado"</formula>
    </cfRule>
    <cfRule type="expression" dxfId="162" priority="47">
      <formula>$I662="Anulado"</formula>
    </cfRule>
    <cfRule type="expression" dxfId="161" priority="48">
      <formula>$I662="Posdatado"</formula>
    </cfRule>
  </conditionalFormatting>
  <conditionalFormatting sqref="M663:N663">
    <cfRule type="expression" dxfId="160" priority="31">
      <formula>$I663="A depositar"</formula>
    </cfRule>
    <cfRule type="expression" dxfId="159" priority="32">
      <formula>$I663="Depositado"</formula>
    </cfRule>
    <cfRule type="expression" dxfId="158" priority="33">
      <formula>$I663="Endosado"</formula>
    </cfRule>
    <cfRule type="expression" dxfId="157" priority="34">
      <formula>$I663="Rechazado"</formula>
    </cfRule>
    <cfRule type="expression" dxfId="156" priority="35">
      <formula>$I663="Anulado"</formula>
    </cfRule>
    <cfRule type="expression" dxfId="155" priority="36">
      <formula>$I663="Posdatado"</formula>
    </cfRule>
  </conditionalFormatting>
  <conditionalFormatting sqref="F756">
    <cfRule type="expression" dxfId="154" priority="25">
      <formula>$I756="A depositar"</formula>
    </cfRule>
    <cfRule type="expression" dxfId="153" priority="26">
      <formula>$I756="Depositado"</formula>
    </cfRule>
    <cfRule type="expression" dxfId="152" priority="27">
      <formula>$I756="Endosado"</formula>
    </cfRule>
    <cfRule type="expression" dxfId="151" priority="28">
      <formula>$I756="Rechazado"</formula>
    </cfRule>
    <cfRule type="expression" dxfId="150" priority="29">
      <formula>$I756="Anulado"</formula>
    </cfRule>
    <cfRule type="expression" dxfId="149" priority="30">
      <formula>$I756="Posdatado"</formula>
    </cfRule>
  </conditionalFormatting>
  <conditionalFormatting sqref="F758">
    <cfRule type="expression" dxfId="148" priority="19">
      <formula>$I758="A depositar"</formula>
    </cfRule>
    <cfRule type="expression" dxfId="147" priority="20">
      <formula>$I758="Depositado"</formula>
    </cfRule>
    <cfRule type="expression" dxfId="146" priority="21">
      <formula>$I758="Endosado"</formula>
    </cfRule>
    <cfRule type="expression" dxfId="145" priority="22">
      <formula>$I758="Rechazado"</formula>
    </cfRule>
    <cfRule type="expression" dxfId="144" priority="23">
      <formula>$I758="Anulado"</formula>
    </cfRule>
    <cfRule type="expression" dxfId="143" priority="24">
      <formula>$I758="Posdatado"</formula>
    </cfRule>
  </conditionalFormatting>
  <conditionalFormatting sqref="A1000">
    <cfRule type="expression" dxfId="142" priority="13">
      <formula>$I1000="A depositar"</formula>
    </cfRule>
    <cfRule type="expression" dxfId="141" priority="14">
      <formula>$I1000="Depositado"</formula>
    </cfRule>
    <cfRule type="expression" dxfId="140" priority="15">
      <formula>$I1000="Endosado"</formula>
    </cfRule>
    <cfRule type="expression" dxfId="139" priority="16">
      <formula>$I1000="Rechazado"</formula>
    </cfRule>
    <cfRule type="expression" dxfId="138" priority="17">
      <formula>$I1000="Anulado"</formula>
    </cfRule>
    <cfRule type="expression" dxfId="137" priority="18">
      <formula>$I1000="Posdatado"</formula>
    </cfRule>
  </conditionalFormatting>
  <conditionalFormatting sqref="B1000">
    <cfRule type="expression" dxfId="136" priority="7">
      <formula>$I1000="A depositar"</formula>
    </cfRule>
    <cfRule type="expression" dxfId="135" priority="8">
      <formula>$I1000="Depositado"</formula>
    </cfRule>
    <cfRule type="expression" dxfId="134" priority="9">
      <formula>$I1000="Endosado"</formula>
    </cfRule>
    <cfRule type="expression" dxfId="133" priority="10">
      <formula>$I1000="Rechazado"</formula>
    </cfRule>
    <cfRule type="expression" dxfId="132" priority="11">
      <formula>$I1000="Anulado"</formula>
    </cfRule>
    <cfRule type="expression" dxfId="131" priority="12">
      <formula>$I1000="Posdatado"</formula>
    </cfRule>
  </conditionalFormatting>
  <conditionalFormatting sqref="N652">
    <cfRule type="expression" dxfId="130" priority="1">
      <formula>$I652="A depositar"</formula>
    </cfRule>
    <cfRule type="expression" dxfId="129" priority="2">
      <formula>$I652="Depositado"</formula>
    </cfRule>
    <cfRule type="expression" dxfId="128" priority="3">
      <formula>$I652="Endosado"</formula>
    </cfRule>
    <cfRule type="expression" dxfId="127" priority="4">
      <formula>$I652="Rechazado"</formula>
    </cfRule>
    <cfRule type="expression" dxfId="126" priority="5">
      <formula>$I652="Anulado"</formula>
    </cfRule>
    <cfRule type="expression" dxfId="125" priority="6">
      <formula>$I652="Posdatado"</formula>
    </cfRule>
  </conditionalFormatting>
  <dataValidations count="1">
    <dataValidation type="list" allowBlank="1" showInputMessage="1" prompt="Haz clic e introduce un valor de la lista de elementos" sqref="I2:I999">
      <formula1>"A Depositar,Depositado,Endosado,Posdatado,Rechazado,Anulado,Falla Tecnica,Devuelto,"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1000"/>
  <sheetViews>
    <sheetView zoomScale="70" zoomScaleNormal="70" workbookViewId="0">
      <selection activeCell="B18" sqref="B18"/>
    </sheetView>
  </sheetViews>
  <sheetFormatPr baseColWidth="10" defaultColWidth="14.42578125" defaultRowHeight="15.75" customHeight="1" x14ac:dyDescent="0.2"/>
  <cols>
    <col min="1" max="1" width="10.42578125" style="156" bestFit="1" customWidth="1"/>
    <col min="2" max="2" width="15.85546875" customWidth="1"/>
    <col min="3" max="3" width="16.28515625" customWidth="1"/>
    <col min="4" max="4" width="17.42578125" customWidth="1"/>
    <col min="5" max="5" width="19.28515625" bestFit="1" customWidth="1"/>
    <col min="6" max="6" width="17.85546875" bestFit="1" customWidth="1"/>
    <col min="7" max="7" width="17" bestFit="1" customWidth="1"/>
    <col min="8" max="8" width="20" bestFit="1" customWidth="1"/>
    <col min="9" max="9" width="13.42578125" style="215" customWidth="1"/>
    <col min="10" max="10" width="18.28515625" customWidth="1"/>
    <col min="11" max="11" width="17" bestFit="1" customWidth="1"/>
    <col min="12" max="12" width="17.5703125" customWidth="1"/>
    <col min="13" max="13" width="17.28515625" customWidth="1"/>
    <col min="14" max="15" width="16.28515625" customWidth="1"/>
    <col min="16" max="16" width="18.7109375" customWidth="1"/>
    <col min="18" max="18" width="20" style="190" bestFit="1" customWidth="1"/>
    <col min="19" max="19" width="16" style="191" customWidth="1"/>
  </cols>
  <sheetData>
    <row r="1" spans="1:19" ht="57.75" customHeight="1" x14ac:dyDescent="0.25">
      <c r="A1" s="218"/>
      <c r="B1" s="44" t="s">
        <v>646</v>
      </c>
      <c r="C1" s="44" t="s">
        <v>648</v>
      </c>
      <c r="D1" s="44" t="s">
        <v>649</v>
      </c>
      <c r="E1" s="44" t="s">
        <v>650</v>
      </c>
      <c r="F1" s="44" t="s">
        <v>651</v>
      </c>
      <c r="G1" s="44" t="s">
        <v>652</v>
      </c>
      <c r="H1" s="44" t="s">
        <v>20</v>
      </c>
      <c r="I1" s="217" t="s">
        <v>1223</v>
      </c>
      <c r="J1" s="45" t="s">
        <v>653</v>
      </c>
      <c r="K1" s="45" t="s">
        <v>654</v>
      </c>
      <c r="L1" s="45" t="s">
        <v>655</v>
      </c>
      <c r="M1" s="45" t="s">
        <v>656</v>
      </c>
      <c r="N1" s="45" t="s">
        <v>657</v>
      </c>
      <c r="O1" s="45" t="s">
        <v>658</v>
      </c>
      <c r="P1" s="44" t="s">
        <v>20</v>
      </c>
      <c r="Q1" s="1"/>
      <c r="R1" s="192"/>
      <c r="S1" s="216"/>
    </row>
    <row r="2" spans="1:19" ht="19.5" customHeight="1" x14ac:dyDescent="0.25">
      <c r="A2" s="219" t="s">
        <v>136</v>
      </c>
      <c r="B2" s="46">
        <f>SUMIFS(Monto_a_pagar,Mes_de_pago,"7",Año_de_pago,"2019")</f>
        <v>160911.89000000001</v>
      </c>
      <c r="C2" s="46">
        <f>SUMIFS(Monto_a_pagar,Mes_de_pago,"8",Año_de_pago,"2019")</f>
        <v>195955.87999999998</v>
      </c>
      <c r="D2" s="46">
        <f>SUMIFS(Monto_a_pagar,Mes_de_pago,"9",Año_de_pago,"2019")</f>
        <v>227484.68</v>
      </c>
      <c r="E2" s="46">
        <f>SUMIFS(Monto_a_pagar,Mes_de_pago,"10",Año_de_pago,"2019")</f>
        <v>163149.74</v>
      </c>
      <c r="F2" s="46">
        <f>SUMIFS(Monto_a_pagar,Mes_de_pago,"11",Año_de_pago,"2019")</f>
        <v>315839.86</v>
      </c>
      <c r="G2" s="46">
        <f>SUMIFS(Monto_a_pagar,Mes_de_pago,"12",Año_de_pago,"2019")</f>
        <v>430812.06</v>
      </c>
      <c r="H2" s="47">
        <f>SUM(B2:G2)</f>
        <v>1494154.1099999999</v>
      </c>
      <c r="I2" s="196"/>
      <c r="J2" s="46">
        <f>SUMIFS(Monto_a_pagar,Mes_de_pago,"1",Año_de_pago,"2020")</f>
        <v>312380.37</v>
      </c>
      <c r="K2" s="46">
        <f>SUMIFS(Monto_a_pagar,Mes_de_pago,"2",Año_de_pago,"2020")</f>
        <v>319848.4599999999</v>
      </c>
      <c r="L2" s="46">
        <f>SUMIFS(Monto_a_pagar,Mes_de_pago,"3",Año_de_pago,"2020")</f>
        <v>333776.59000000003</v>
      </c>
      <c r="M2" s="46">
        <f>SUMIFS(Monto_a_pagar,Mes_de_pago,"4",Año_de_pago,"2020")</f>
        <v>377343.06000000006</v>
      </c>
      <c r="N2" s="46">
        <f>SUMIFS(Monto_a_pagar,Mes_de_pago,"5",Año_de_pago,"2020")</f>
        <v>208751.05999999997</v>
      </c>
      <c r="O2" s="46">
        <f>SUMIFS(Monto_a_pagar,Mes_de_pago,"6",Año_de_pago,"2020")</f>
        <v>198207.12</v>
      </c>
      <c r="P2" s="47">
        <f>SUM(J2:O2)</f>
        <v>1750306.6600000001</v>
      </c>
      <c r="Q2" s="1"/>
      <c r="R2" s="193"/>
      <c r="S2" s="196"/>
    </row>
    <row r="3" spans="1:19" ht="18" customHeight="1" x14ac:dyDescent="0.25">
      <c r="A3" s="219" t="s">
        <v>663</v>
      </c>
      <c r="B3" s="46">
        <f>SUMIFS(Monto_de_cobro,Mes_de_cobro,"7",Año_de_cobro,2019)</f>
        <v>64291</v>
      </c>
      <c r="C3" s="46">
        <f>SUMIFS(Monto_de_cobro,Mes_de_cobro,"8",Año_de_cobro,2019)</f>
        <v>240504.67</v>
      </c>
      <c r="D3" s="46">
        <f>SUMIFS(Monto_de_cobro,Mes_de_cobro,"9",Año_de_cobro,2019)</f>
        <v>454123.82999999996</v>
      </c>
      <c r="E3" s="46">
        <f>SUMIFS(Monto_de_cobro,Mes_de_cobro,"10",Año_de_cobro,2019)</f>
        <v>309827.7</v>
      </c>
      <c r="F3" s="46">
        <f>SUMIFS(Monto_de_cobro,Mes_de_cobro,"11",Año_de_cobro,2019)</f>
        <v>535333.43999999994</v>
      </c>
      <c r="G3" s="46">
        <f>SUMIFS(Monto_de_cobro,Mes_de_cobro,"12",Año_de_cobro,2019)</f>
        <v>643291.96</v>
      </c>
      <c r="H3" s="47">
        <f>SUM(B3:G3)</f>
        <v>2247372.5999999996</v>
      </c>
      <c r="I3" s="196"/>
      <c r="J3" s="46">
        <f>SUMIFS(Monto_de_cobro,Mes_de_cobro,"1",Año_de_cobro,2020)</f>
        <v>1119110.1499999999</v>
      </c>
      <c r="K3" s="46">
        <f>SUMIFS(Monto_de_cobro,Mes_de_cobro,"2",Año_de_cobro,2020)</f>
        <v>723835.41</v>
      </c>
      <c r="L3" s="46">
        <f>SUMIFS(Monto_de_cobro,Mes_de_cobro,"3",Año_de_cobro,2020)</f>
        <v>202069.5</v>
      </c>
      <c r="M3" s="46">
        <f>SUMIFS(Monto_de_cobro,Mes_de_cobro,"4",Año_de_cobro,2020)</f>
        <v>235927.33</v>
      </c>
      <c r="N3" s="46">
        <f>SUMIFS(Monto_de_cobro,Mes_de_cobro,"5",Año_de_cobro,2020)</f>
        <v>96550</v>
      </c>
      <c r="O3" s="46">
        <f>SUMIFS(Monto_de_cobro,Mes_de_cobro,"6",Año_de_cobro,2020)</f>
        <v>239371.31</v>
      </c>
      <c r="P3" s="47">
        <f>SUM(J3:O3)</f>
        <v>2616863.7000000002</v>
      </c>
      <c r="Q3" s="1"/>
      <c r="R3" s="193"/>
      <c r="S3" s="196"/>
    </row>
    <row r="4" spans="1:19" ht="22.5" customHeight="1" x14ac:dyDescent="0.25">
      <c r="A4" s="219" t="s">
        <v>20</v>
      </c>
      <c r="B4" s="47">
        <f t="shared" ref="B4:G4" si="0">B3-B2</f>
        <v>-96620.890000000014</v>
      </c>
      <c r="C4" s="47">
        <f t="shared" si="0"/>
        <v>44548.790000000037</v>
      </c>
      <c r="D4" s="47">
        <f t="shared" si="0"/>
        <v>226639.14999999997</v>
      </c>
      <c r="E4" s="47">
        <f t="shared" si="0"/>
        <v>146677.96000000002</v>
      </c>
      <c r="F4" s="47">
        <f t="shared" si="0"/>
        <v>219493.57999999996</v>
      </c>
      <c r="G4" s="47">
        <f t="shared" si="0"/>
        <v>212479.89999999997</v>
      </c>
      <c r="H4" s="88">
        <f>H3-H2</f>
        <v>753218.48999999976</v>
      </c>
      <c r="I4" s="196"/>
      <c r="J4" s="88">
        <f t="shared" ref="J4:O4" si="1">J3-J2</f>
        <v>806729.77999999991</v>
      </c>
      <c r="K4" s="47">
        <f t="shared" si="1"/>
        <v>403986.95000000013</v>
      </c>
      <c r="L4" s="47">
        <f t="shared" si="1"/>
        <v>-131707.09000000003</v>
      </c>
      <c r="M4" s="47">
        <f t="shared" si="1"/>
        <v>-141415.73000000007</v>
      </c>
      <c r="N4" s="47">
        <f t="shared" si="1"/>
        <v>-112201.05999999997</v>
      </c>
      <c r="O4" s="47">
        <f t="shared" si="1"/>
        <v>41164.19</v>
      </c>
      <c r="P4" s="88">
        <f>P3-P2</f>
        <v>866557.04</v>
      </c>
      <c r="Q4" s="1"/>
      <c r="R4" s="194"/>
      <c r="S4" s="196"/>
    </row>
    <row r="5" spans="1:19" ht="27.75" customHeight="1" x14ac:dyDescent="0.25">
      <c r="A5" s="220"/>
      <c r="B5" s="161">
        <f t="shared" ref="B5:F5" si="2">B3/$H$3</f>
        <v>2.8607183339335904E-2</v>
      </c>
      <c r="C5" s="161">
        <f t="shared" si="2"/>
        <v>0.10701593051370301</v>
      </c>
      <c r="D5" s="161">
        <f t="shared" si="2"/>
        <v>0.20206877577843568</v>
      </c>
      <c r="E5" s="161">
        <f t="shared" si="2"/>
        <v>0.13786218627031407</v>
      </c>
      <c r="F5" s="161">
        <f t="shared" si="2"/>
        <v>0.23820413223868619</v>
      </c>
      <c r="G5" s="161">
        <f>G3/$H$3</f>
        <v>0.28624179185952525</v>
      </c>
      <c r="H5" s="1"/>
      <c r="I5" s="161"/>
      <c r="J5" s="117"/>
      <c r="K5" s="117"/>
      <c r="L5" s="214" t="s">
        <v>887</v>
      </c>
      <c r="M5" s="117"/>
      <c r="N5" s="117"/>
      <c r="O5" s="117"/>
      <c r="P5" s="1"/>
      <c r="Q5" s="1"/>
      <c r="R5" s="1"/>
      <c r="S5" s="161"/>
    </row>
    <row r="6" spans="1:19" ht="15" customHeight="1" x14ac:dyDescent="0.25">
      <c r="A6" s="220"/>
      <c r="B6" s="1"/>
      <c r="C6" s="1"/>
      <c r="D6" s="1"/>
      <c r="E6" s="1"/>
      <c r="F6" s="1"/>
      <c r="G6" s="1"/>
      <c r="H6" s="1"/>
      <c r="I6" s="161"/>
      <c r="J6" s="1"/>
      <c r="K6" s="1"/>
      <c r="L6" s="1"/>
      <c r="M6" s="1"/>
      <c r="N6" s="1"/>
      <c r="O6" s="1"/>
      <c r="P6" s="1"/>
      <c r="Q6" s="1"/>
      <c r="R6" s="1"/>
      <c r="S6" s="161"/>
    </row>
    <row r="7" spans="1:19" ht="15.75" customHeight="1" x14ac:dyDescent="0.25">
      <c r="A7" s="218"/>
      <c r="B7" s="44" t="s">
        <v>646</v>
      </c>
      <c r="C7" s="44" t="s">
        <v>648</v>
      </c>
      <c r="D7" s="44" t="s">
        <v>649</v>
      </c>
      <c r="E7" s="44" t="s">
        <v>650</v>
      </c>
      <c r="F7" s="44" t="s">
        <v>651</v>
      </c>
      <c r="G7" s="44" t="s">
        <v>652</v>
      </c>
      <c r="H7" s="44" t="s">
        <v>20</v>
      </c>
      <c r="I7" s="195"/>
      <c r="J7" s="45" t="s">
        <v>653</v>
      </c>
      <c r="K7" s="45" t="s">
        <v>654</v>
      </c>
      <c r="L7" s="45" t="s">
        <v>655</v>
      </c>
      <c r="M7" s="45" t="s">
        <v>656</v>
      </c>
      <c r="N7" s="45" t="s">
        <v>657</v>
      </c>
      <c r="O7" s="45" t="s">
        <v>658</v>
      </c>
      <c r="P7" s="44" t="s">
        <v>20</v>
      </c>
      <c r="Q7" s="1"/>
      <c r="R7" s="192"/>
      <c r="S7" s="195"/>
    </row>
    <row r="8" spans="1:19" ht="19.5" customHeight="1" x14ac:dyDescent="0.25">
      <c r="A8" s="219" t="s">
        <v>136</v>
      </c>
      <c r="B8" s="46">
        <f>SUMIFS(Monto_a_pagar,Mes_de_pago,"7",Año_de_pago,"2020")</f>
        <v>183462.99999999997</v>
      </c>
      <c r="C8" s="46">
        <f>SUMIFS(Monto_a_pagar,Mes_de_pago,"8",Año_de_pago,"2020")</f>
        <v>280493.87</v>
      </c>
      <c r="D8" s="46">
        <f>SUMIFS(Monto_a_pagar,Mes_de_pago,"9",Año_de_pago,"2020")</f>
        <v>225097.02999999997</v>
      </c>
      <c r="E8" s="46">
        <f>SUMIFS(Monto_a_pagar,Mes_de_pago,"10",Año_de_pago,"2020")</f>
        <v>211838.1</v>
      </c>
      <c r="F8" s="46">
        <f>SUMIFS(Monto_a_pagar,Mes_de_pago,"11",Año_de_pago,"2020")</f>
        <v>99819.12</v>
      </c>
      <c r="G8" s="46">
        <f>SUMIFS(Monto_a_pagar,Mes_de_pago,"12",Año_de_pago,"2020")</f>
        <v>202149.28000000003</v>
      </c>
      <c r="H8" s="47">
        <f>SUM(B8:G8)</f>
        <v>1202860.3999999999</v>
      </c>
      <c r="I8" s="196">
        <f>-(1-H8/H2)</f>
        <v>-0.19495559932569473</v>
      </c>
      <c r="J8" s="46">
        <f>SUMIFS(Monto_a_pagar,Mes_de_pago,"1",Año_de_pago,"2021")</f>
        <v>259529.78999999998</v>
      </c>
      <c r="K8" s="46">
        <f>SUMIFS(Monto_a_pagar,Mes_de_pago,"2",Año_de_pago,"2021")</f>
        <v>336543.39</v>
      </c>
      <c r="L8" s="46">
        <f>SUMIFS(Monto_a_pagar,Mes_de_pago,"3",Año_de_pago,"2021")</f>
        <v>546665.72</v>
      </c>
      <c r="M8" s="46">
        <f>SUMIFS(Monto_a_pagar,Mes_de_pago,"4",Año_de_pago,"2021")</f>
        <v>350205.3</v>
      </c>
      <c r="N8" s="46">
        <f>SUMIFS(Monto_a_pagar,Mes_de_pago,"5",Año_de_pago,"2021")</f>
        <v>439796.02</v>
      </c>
      <c r="O8" s="46">
        <f>SUMIFS(Monto_a_pagar,Mes_de_pago,"6",Año_de_pago,"2021")</f>
        <v>731616.93</v>
      </c>
      <c r="P8" s="47">
        <f>SUM(J8:O8)</f>
        <v>2664357.15</v>
      </c>
      <c r="Q8" s="196">
        <f>(P8/P2)-1</f>
        <v>0.52222305433037652</v>
      </c>
      <c r="R8" s="193"/>
      <c r="S8" s="196"/>
    </row>
    <row r="9" spans="1:19" ht="21" customHeight="1" x14ac:dyDescent="0.25">
      <c r="A9" s="219" t="s">
        <v>663</v>
      </c>
      <c r="B9" s="46">
        <f>SUMIFS(Monto_de_cobro,Mes_de_cobro,"7",Año_de_cobro,2020)</f>
        <v>546096.65</v>
      </c>
      <c r="C9" s="46">
        <f>SUMIFS(Monto_de_cobro,Mes_de_cobro,"8",Año_de_cobro,2020)</f>
        <v>910971.16</v>
      </c>
      <c r="D9" s="46">
        <f>SUMIFS(Monto_de_cobro,Mes_de_cobro,"9",Año_de_cobro,2020)</f>
        <v>714793.4</v>
      </c>
      <c r="E9" s="46">
        <f>SUMIFS(Monto_de_cobro,Mes_de_cobro,"10",Año_de_cobro,2020)</f>
        <v>1030268.37</v>
      </c>
      <c r="F9" s="46">
        <f>SUMIFS(Monto_de_cobro,Mes_de_cobro,"11",Año_de_cobro,2020)</f>
        <v>174755.46000000002</v>
      </c>
      <c r="G9" s="46">
        <f>SUMIFS(Monto_de_cobro,Mes_de_cobro,"12",Año_de_cobro,2020)</f>
        <v>255639.6</v>
      </c>
      <c r="H9" s="47">
        <f>SUM(B9:G9)</f>
        <v>3632524.64</v>
      </c>
      <c r="I9" s="196">
        <f>(H9/H3)-1</f>
        <v>0.61634285298307923</v>
      </c>
      <c r="J9" s="46">
        <f>SUMIFS(Monto_de_cobro,Mes_de_cobro,"1",Año_de_cobro,2021)</f>
        <v>432258.81999999995</v>
      </c>
      <c r="K9" s="46">
        <f>SUMIFS(Monto_de_cobro,Mes_de_cobro,"2",Año_de_cobro,2021)</f>
        <v>239725</v>
      </c>
      <c r="L9" s="46">
        <f>SUMIFS(Monto_de_cobro,Mes_de_cobro,"3",Año_de_cobro,2021)</f>
        <v>463326</v>
      </c>
      <c r="M9" s="46">
        <f>SUMIFS(Monto_de_cobro,Mes_de_cobro,"4",Año_de_cobro,2021)</f>
        <v>395725</v>
      </c>
      <c r="N9" s="46">
        <f>SUMIFS(Monto_de_cobro,Mes_de_cobro,"5",Año_de_cobro,2021)</f>
        <v>492902</v>
      </c>
      <c r="O9" s="46">
        <f>SUMIFS(Monto_de_cobro,Mes_de_cobro,"6",Año_de_cobro,2021)</f>
        <v>535307</v>
      </c>
      <c r="P9" s="47">
        <f>SUM(J9:O9)</f>
        <v>2559243.8199999998</v>
      </c>
      <c r="Q9" s="196">
        <f>(P9/P3)-1</f>
        <v>-2.2018678313280304E-2</v>
      </c>
      <c r="R9" s="193"/>
      <c r="S9" s="196"/>
    </row>
    <row r="10" spans="1:19" ht="21" customHeight="1" x14ac:dyDescent="0.25">
      <c r="A10" s="219" t="s">
        <v>20</v>
      </c>
      <c r="B10" s="47">
        <f>B9-B8</f>
        <v>362633.65</v>
      </c>
      <c r="C10" s="47">
        <f t="shared" ref="C10:G10" si="3">C9-C8</f>
        <v>630477.29</v>
      </c>
      <c r="D10" s="47">
        <f t="shared" si="3"/>
        <v>489696.37000000005</v>
      </c>
      <c r="E10" s="47">
        <f t="shared" si="3"/>
        <v>818430.27</v>
      </c>
      <c r="F10" s="47">
        <f t="shared" si="3"/>
        <v>74936.340000000026</v>
      </c>
      <c r="G10" s="47">
        <f t="shared" si="3"/>
        <v>53490.319999999978</v>
      </c>
      <c r="H10" s="88">
        <f>H9-H8</f>
        <v>2429664.2400000002</v>
      </c>
      <c r="I10" s="196">
        <f>(H10/H4)-1</f>
        <v>2.2257097671619839</v>
      </c>
      <c r="J10" s="47">
        <f t="shared" ref="J10:O10" si="4">J9-J8</f>
        <v>172729.02999999997</v>
      </c>
      <c r="K10" s="47">
        <f t="shared" si="4"/>
        <v>-96818.390000000014</v>
      </c>
      <c r="L10" s="47">
        <f t="shared" si="4"/>
        <v>-83339.719999999972</v>
      </c>
      <c r="M10" s="47">
        <f t="shared" si="4"/>
        <v>45519.700000000012</v>
      </c>
      <c r="N10" s="47">
        <f t="shared" si="4"/>
        <v>53105.979999999981</v>
      </c>
      <c r="O10" s="47">
        <f t="shared" si="4"/>
        <v>-196309.93000000005</v>
      </c>
      <c r="P10" s="88">
        <f>P9-P8</f>
        <v>-105113.33000000007</v>
      </c>
      <c r="Q10" s="196">
        <f>(P10/P4)-1</f>
        <v>-1.1212999550496989</v>
      </c>
      <c r="R10" s="194"/>
      <c r="S10" s="196"/>
    </row>
    <row r="11" spans="1:19" s="79" customFormat="1" ht="16.5" customHeight="1" x14ac:dyDescent="0.25">
      <c r="A11" s="220"/>
      <c r="B11" s="161">
        <f>B9/$H$9</f>
        <v>0.1503352913250989</v>
      </c>
      <c r="C11" s="161">
        <f t="shared" ref="C11:F11" si="5">C9/$H$9</f>
        <v>0.25078182539182997</v>
      </c>
      <c r="D11" s="161">
        <f t="shared" si="5"/>
        <v>0.19677592606777197</v>
      </c>
      <c r="E11" s="161">
        <f t="shared" si="5"/>
        <v>0.28362322960044667</v>
      </c>
      <c r="F11" s="161">
        <f t="shared" si="5"/>
        <v>4.8108540841171006E-2</v>
      </c>
      <c r="G11" s="161">
        <f>G9/$H$9</f>
        <v>7.0375186773681458E-2</v>
      </c>
      <c r="H11" s="1"/>
      <c r="I11" s="161"/>
      <c r="J11" s="161">
        <f>+J9/$P$9</f>
        <v>0.16890099201255471</v>
      </c>
      <c r="K11" s="161">
        <f t="shared" ref="K11:O11" si="6">+K9/$P$9</f>
        <v>9.3670246705919571E-2</v>
      </c>
      <c r="L11" s="161">
        <f t="shared" si="6"/>
        <v>0.18104019491194864</v>
      </c>
      <c r="M11" s="161">
        <f t="shared" si="6"/>
        <v>0.15462575191448544</v>
      </c>
      <c r="N11" s="161">
        <f t="shared" si="6"/>
        <v>0.19259673351482393</v>
      </c>
      <c r="O11" s="161">
        <f t="shared" si="6"/>
        <v>0.20916608094026776</v>
      </c>
      <c r="P11" s="1"/>
      <c r="Q11" s="1"/>
      <c r="R11" s="1"/>
      <c r="S11" s="161"/>
    </row>
    <row r="12" spans="1:19" ht="14.25" customHeight="1" x14ac:dyDescent="0.25">
      <c r="A12" s="220"/>
      <c r="B12" s="1"/>
      <c r="C12" s="1"/>
      <c r="D12" s="1"/>
      <c r="E12" s="1"/>
      <c r="F12" s="1"/>
      <c r="G12" s="1"/>
      <c r="H12" s="1"/>
      <c r="I12" s="161"/>
      <c r="J12" s="1"/>
      <c r="K12" s="1"/>
      <c r="L12" s="1"/>
      <c r="M12" s="1"/>
      <c r="N12" s="1"/>
      <c r="O12" s="1"/>
      <c r="P12" s="1"/>
      <c r="Q12" s="1"/>
      <c r="R12" s="1"/>
      <c r="S12" s="161"/>
    </row>
    <row r="13" spans="1:19" ht="15.75" customHeight="1" x14ac:dyDescent="0.25">
      <c r="A13" s="218"/>
      <c r="B13" s="44" t="s">
        <v>646</v>
      </c>
      <c r="C13" s="44" t="s">
        <v>648</v>
      </c>
      <c r="D13" s="44" t="s">
        <v>649</v>
      </c>
      <c r="E13" s="44" t="s">
        <v>650</v>
      </c>
      <c r="F13" s="44" t="s">
        <v>651</v>
      </c>
      <c r="G13" s="44" t="s">
        <v>652</v>
      </c>
      <c r="H13" s="44" t="s">
        <v>20</v>
      </c>
      <c r="I13" s="195"/>
      <c r="J13" s="45" t="s">
        <v>653</v>
      </c>
      <c r="K13" s="45" t="s">
        <v>654</v>
      </c>
      <c r="L13" s="45" t="s">
        <v>655</v>
      </c>
      <c r="M13" s="45" t="s">
        <v>656</v>
      </c>
      <c r="N13" s="45" t="s">
        <v>657</v>
      </c>
      <c r="O13" s="45" t="s">
        <v>658</v>
      </c>
      <c r="P13" s="44" t="s">
        <v>20</v>
      </c>
      <c r="Q13" s="1"/>
      <c r="R13" s="192"/>
      <c r="S13" s="195"/>
    </row>
    <row r="14" spans="1:19" ht="19.5" customHeight="1" x14ac:dyDescent="0.25">
      <c r="A14" s="219" t="s">
        <v>136</v>
      </c>
      <c r="B14" s="46">
        <f>SUMIFS(Monto_a_pagar,Mes_de_pago,"7",Año_de_pago,"2021")</f>
        <v>450234.38</v>
      </c>
      <c r="C14" s="46">
        <f>SUMIFS(Monto_a_pagar,Mes_de_pago,"8",Año_de_pago,"2021")</f>
        <v>394647.16000000003</v>
      </c>
      <c r="D14" s="46">
        <f>SUMIFS(Monto_a_pagar,Mes_de_pago,"9",Año_de_pago,"2021")</f>
        <v>463912.18</v>
      </c>
      <c r="E14" s="46">
        <f>SUMIFS(Monto_a_pagar,Mes_de_pago,"10",Año_de_pago,"2021")</f>
        <v>317524.13999999996</v>
      </c>
      <c r="F14" s="46">
        <f>SUMIFS(Monto_a_pagar,Mes_de_pago,"11",Año_de_pago,"2021")</f>
        <v>396148.44999999995</v>
      </c>
      <c r="G14" s="46">
        <f>SUMIFS(Monto_a_pagar,Mes_de_pago,"12",Año_de_pago,"2021")</f>
        <v>346871.22</v>
      </c>
      <c r="H14" s="47">
        <f>SUM(B14:G14)</f>
        <v>2369337.5299999998</v>
      </c>
      <c r="I14" s="196">
        <f>(H14/H8)-1</f>
        <v>0.96975270779551814</v>
      </c>
      <c r="J14" s="46">
        <f>SUMIFS(Monto_a_pagar,Mes_de_pago,"1",Año_de_pago,"2022")</f>
        <v>51688.57</v>
      </c>
      <c r="K14" s="46">
        <f>SUMIFS(Monto_a_pagar,Mes_de_pago,"2",Año_de_pago,"2022")</f>
        <v>51277.85</v>
      </c>
      <c r="L14" s="46">
        <f>SUMIFS(Monto_a_pagar,Mes_de_pago,"3",Año_de_pago,"2022")</f>
        <v>48492.689999999995</v>
      </c>
      <c r="M14" s="46">
        <f>SUMIFS(Monto_a_pagar,Mes_de_pago,"4",Año_de_pago,"2022")</f>
        <v>50456.41</v>
      </c>
      <c r="N14" s="46">
        <f>SUMIFS(Monto_a_pagar,Mes_de_pago,"5",Año_de_pago,"2022")</f>
        <v>49284.649999999994</v>
      </c>
      <c r="O14" s="46">
        <f>SUMIFS(Monto_a_pagar,Mes_de_pago,"6",Año_de_pago,"2022")</f>
        <v>49634.96</v>
      </c>
      <c r="P14" s="47">
        <f>SUM(J14:O14)</f>
        <v>300835.13</v>
      </c>
      <c r="Q14" s="196">
        <f>(P14/P8)-1</f>
        <v>-0.88708903759392765</v>
      </c>
      <c r="R14" s="193"/>
      <c r="S14" s="196"/>
    </row>
    <row r="15" spans="1:19" ht="18" customHeight="1" x14ac:dyDescent="0.25">
      <c r="A15" s="219" t="s">
        <v>663</v>
      </c>
      <c r="B15" s="46">
        <f>SUMIFS(Monto_de_cobro,Mes_de_cobro,"7",Año_de_cobro,2021)</f>
        <v>861927.82</v>
      </c>
      <c r="C15" s="46">
        <f>SUMIFS(Monto_de_cobro,Mes_de_cobro,"8",Año_de_cobro,2021)</f>
        <v>483104.01</v>
      </c>
      <c r="D15" s="46">
        <f>SUMIFS(Monto_de_cobro,Mes_de_cobro,"9",Año_de_cobro,2021)</f>
        <v>335663.17999999993</v>
      </c>
      <c r="E15" s="46">
        <f>SUMIFS(Monto_de_cobro,Mes_de_cobro,"10",Año_de_cobro,2021)</f>
        <v>337967.5</v>
      </c>
      <c r="F15" s="46">
        <f>SUMIFS(Monto_de_cobro,Mes_de_cobro,"11",Año_de_cobro,2021)</f>
        <v>80076</v>
      </c>
      <c r="G15" s="46">
        <f>SUMIFS(Monto_de_cobro,Mes_de_cobro,"12",Año_de_cobro,2021)</f>
        <v>73259</v>
      </c>
      <c r="H15" s="47">
        <f>SUM(B15:G15)</f>
        <v>2171997.5099999998</v>
      </c>
      <c r="I15" s="196">
        <f>(H15/H9)-1</f>
        <v>-0.40206943510230397</v>
      </c>
      <c r="J15" s="46"/>
      <c r="K15" s="46"/>
      <c r="L15" s="46"/>
      <c r="M15" s="46"/>
      <c r="N15" s="46"/>
      <c r="O15" s="46"/>
      <c r="P15" s="47">
        <f>SUM(J15:O15)</f>
        <v>0</v>
      </c>
      <c r="Q15" s="196">
        <f>(P15/P9)-1</f>
        <v>-1</v>
      </c>
      <c r="R15" s="193"/>
      <c r="S15" s="196"/>
    </row>
    <row r="16" spans="1:19" ht="22.5" customHeight="1" x14ac:dyDescent="0.25">
      <c r="A16" s="219" t="s">
        <v>20</v>
      </c>
      <c r="B16" s="47">
        <f>B15-B14</f>
        <v>411693.43999999994</v>
      </c>
      <c r="C16" s="47">
        <f t="shared" ref="C16:G16" si="7">C15-C14</f>
        <v>88456.849999999977</v>
      </c>
      <c r="D16" s="47">
        <f t="shared" si="7"/>
        <v>-128249.00000000006</v>
      </c>
      <c r="E16" s="47">
        <f t="shared" si="7"/>
        <v>20443.360000000044</v>
      </c>
      <c r="F16" s="47">
        <f t="shared" si="7"/>
        <v>-316072.44999999995</v>
      </c>
      <c r="G16" s="47">
        <f t="shared" si="7"/>
        <v>-273612.21999999997</v>
      </c>
      <c r="H16" s="88">
        <f>H15-H14</f>
        <v>-197340.02000000002</v>
      </c>
      <c r="I16" s="196">
        <f>(H16/H10)-1</f>
        <v>-1.0812211073246893</v>
      </c>
      <c r="J16" s="47"/>
      <c r="K16" s="47"/>
      <c r="L16" s="47"/>
      <c r="M16" s="47"/>
      <c r="N16" s="47"/>
      <c r="O16" s="47"/>
      <c r="P16" s="88">
        <f>P15-P14</f>
        <v>-300835.13</v>
      </c>
      <c r="Q16" s="196">
        <f>(P16/P10)-1</f>
        <v>1.8620074161859375</v>
      </c>
      <c r="R16" s="194"/>
      <c r="S16" s="196"/>
    </row>
    <row r="17" spans="1:19" x14ac:dyDescent="0.25">
      <c r="A17" s="220"/>
      <c r="B17" s="161">
        <f>B15/$H$15</f>
        <v>0.39683646782817905</v>
      </c>
      <c r="C17" s="161">
        <f t="shared" ref="C17:G17" si="8">C15/$H$15</f>
        <v>0.22242383233671389</v>
      </c>
      <c r="D17" s="161">
        <f t="shared" si="8"/>
        <v>0.15454123609929921</v>
      </c>
      <c r="E17" s="161">
        <f t="shared" si="8"/>
        <v>0.1556021581258627</v>
      </c>
      <c r="F17" s="161">
        <f t="shared" si="8"/>
        <v>3.6867445580082647E-2</v>
      </c>
      <c r="G17" s="161">
        <f t="shared" si="8"/>
        <v>3.3728860029862563E-2</v>
      </c>
      <c r="H17" s="1"/>
      <c r="I17" s="1"/>
      <c r="J17" s="1"/>
      <c r="K17" s="1"/>
      <c r="L17" s="1"/>
      <c r="M17" s="1"/>
      <c r="N17" s="1"/>
      <c r="O17" s="1"/>
      <c r="P17" s="1"/>
      <c r="Q17" s="161"/>
      <c r="R17" s="1"/>
      <c r="S17" s="161"/>
    </row>
    <row r="18" spans="1:19" ht="69.75" customHeight="1" x14ac:dyDescent="0.25">
      <c r="A18" s="220"/>
      <c r="B18" s="214" t="s">
        <v>1211</v>
      </c>
      <c r="C18" s="1"/>
      <c r="D18" s="1"/>
      <c r="E18" s="1"/>
      <c r="F18" s="1"/>
      <c r="G18" s="1"/>
      <c r="H18" s="1"/>
      <c r="I18" s="1"/>
      <c r="J18" s="214" t="s">
        <v>1212</v>
      </c>
      <c r="K18" s="1"/>
      <c r="L18" s="1"/>
      <c r="M18" s="1"/>
      <c r="N18" s="1"/>
      <c r="O18" s="1"/>
      <c r="P18" s="1"/>
      <c r="Q18" s="1"/>
      <c r="R18" s="1"/>
      <c r="S18" s="161"/>
    </row>
    <row r="19" spans="1:19" ht="15" x14ac:dyDescent="0.2">
      <c r="J19" s="48"/>
    </row>
    <row r="20" spans="1:19" ht="15" x14ac:dyDescent="0.2">
      <c r="J20" s="48"/>
    </row>
    <row r="21" spans="1:19" ht="15" x14ac:dyDescent="0.2">
      <c r="J21" s="48"/>
    </row>
    <row r="22" spans="1:19" ht="15" x14ac:dyDescent="0.2">
      <c r="J22" s="48"/>
    </row>
    <row r="23" spans="1:19" ht="15" x14ac:dyDescent="0.2">
      <c r="J23" s="48"/>
    </row>
    <row r="24" spans="1:19" ht="15" x14ac:dyDescent="0.2">
      <c r="J24" s="48"/>
    </row>
    <row r="25" spans="1:19" ht="15" x14ac:dyDescent="0.2">
      <c r="J25" s="48"/>
    </row>
    <row r="26" spans="1:19" ht="15" x14ac:dyDescent="0.2">
      <c r="J26" s="48"/>
    </row>
    <row r="27" spans="1:19" ht="15" x14ac:dyDescent="0.2">
      <c r="J27" s="48"/>
    </row>
    <row r="28" spans="1:19" ht="15" x14ac:dyDescent="0.2">
      <c r="J28" s="48"/>
    </row>
    <row r="29" spans="1:19" ht="15" x14ac:dyDescent="0.2">
      <c r="J29" s="48"/>
    </row>
    <row r="30" spans="1:19" ht="15" x14ac:dyDescent="0.2">
      <c r="J30" s="48"/>
    </row>
    <row r="31" spans="1:19" ht="15" x14ac:dyDescent="0.2">
      <c r="J31" s="48"/>
    </row>
    <row r="32" spans="1:19" ht="15" x14ac:dyDescent="0.2">
      <c r="J32" s="48"/>
    </row>
    <row r="33" spans="10:10" ht="15" x14ac:dyDescent="0.2">
      <c r="J33" s="48"/>
    </row>
    <row r="34" spans="10:10" ht="15" x14ac:dyDescent="0.2">
      <c r="J34" s="48"/>
    </row>
    <row r="35" spans="10:10" ht="15" x14ac:dyDescent="0.2">
      <c r="J35" s="48"/>
    </row>
    <row r="36" spans="10:10" ht="15" x14ac:dyDescent="0.2">
      <c r="J36" s="48"/>
    </row>
    <row r="37" spans="10:10" ht="15" x14ac:dyDescent="0.2">
      <c r="J37" s="48"/>
    </row>
    <row r="38" spans="10:10" ht="15" x14ac:dyDescent="0.2">
      <c r="J38" s="48"/>
    </row>
    <row r="39" spans="10:10" ht="15" x14ac:dyDescent="0.2">
      <c r="J39" s="48"/>
    </row>
    <row r="40" spans="10:10" ht="15" x14ac:dyDescent="0.2">
      <c r="J40" s="48"/>
    </row>
    <row r="41" spans="10:10" ht="15" x14ac:dyDescent="0.2">
      <c r="J41" s="48"/>
    </row>
    <row r="42" spans="10:10" ht="15" x14ac:dyDescent="0.2">
      <c r="J42" s="48"/>
    </row>
    <row r="43" spans="10:10" ht="15" x14ac:dyDescent="0.2">
      <c r="J43" s="48"/>
    </row>
    <row r="44" spans="10:10" ht="15" x14ac:dyDescent="0.2">
      <c r="J44" s="48"/>
    </row>
    <row r="45" spans="10:10" ht="15" x14ac:dyDescent="0.2">
      <c r="J45" s="48"/>
    </row>
    <row r="46" spans="10:10" ht="15" x14ac:dyDescent="0.2">
      <c r="J46" s="48"/>
    </row>
    <row r="47" spans="10:10" ht="15" x14ac:dyDescent="0.2">
      <c r="J47" s="48"/>
    </row>
    <row r="48" spans="10:10" ht="15" x14ac:dyDescent="0.2">
      <c r="J48" s="48"/>
    </row>
    <row r="49" spans="10:10" ht="15" x14ac:dyDescent="0.2">
      <c r="J49" s="48"/>
    </row>
    <row r="50" spans="10:10" ht="15" x14ac:dyDescent="0.2">
      <c r="J50" s="48"/>
    </row>
    <row r="51" spans="10:10" ht="15" x14ac:dyDescent="0.2">
      <c r="J51" s="48"/>
    </row>
    <row r="52" spans="10:10" ht="15" x14ac:dyDescent="0.2">
      <c r="J52" s="48"/>
    </row>
    <row r="53" spans="10:10" ht="15" x14ac:dyDescent="0.2">
      <c r="J53" s="48"/>
    </row>
    <row r="54" spans="10:10" ht="15" x14ac:dyDescent="0.2">
      <c r="J54" s="48"/>
    </row>
    <row r="55" spans="10:10" ht="15" x14ac:dyDescent="0.2">
      <c r="J55" s="48"/>
    </row>
    <row r="56" spans="10:10" ht="15" x14ac:dyDescent="0.2">
      <c r="J56" s="48"/>
    </row>
    <row r="57" spans="10:10" ht="15" x14ac:dyDescent="0.2">
      <c r="J57" s="48"/>
    </row>
    <row r="58" spans="10:10" ht="15" x14ac:dyDescent="0.2">
      <c r="J58" s="48"/>
    </row>
    <row r="59" spans="10:10" ht="15" x14ac:dyDescent="0.2">
      <c r="J59" s="48"/>
    </row>
    <row r="60" spans="10:10" ht="15" x14ac:dyDescent="0.2">
      <c r="J60" s="48"/>
    </row>
    <row r="61" spans="10:10" ht="15" x14ac:dyDescent="0.2">
      <c r="J61" s="48"/>
    </row>
    <row r="62" spans="10:10" ht="15" x14ac:dyDescent="0.2">
      <c r="J62" s="48"/>
    </row>
    <row r="63" spans="10:10" ht="15" x14ac:dyDescent="0.2">
      <c r="J63" s="48"/>
    </row>
    <row r="64" spans="10:10" ht="15" x14ac:dyDescent="0.2">
      <c r="J64" s="48"/>
    </row>
    <row r="65" spans="10:10" ht="15" x14ac:dyDescent="0.2">
      <c r="J65" s="48"/>
    </row>
    <row r="66" spans="10:10" ht="15" x14ac:dyDescent="0.2">
      <c r="J66" s="48"/>
    </row>
    <row r="67" spans="10:10" ht="15" x14ac:dyDescent="0.2">
      <c r="J67" s="48"/>
    </row>
    <row r="68" spans="10:10" ht="15" x14ac:dyDescent="0.2">
      <c r="J68" s="48"/>
    </row>
    <row r="69" spans="10:10" ht="15" x14ac:dyDescent="0.2">
      <c r="J69" s="48"/>
    </row>
    <row r="70" spans="10:10" ht="15" x14ac:dyDescent="0.2">
      <c r="J70" s="48"/>
    </row>
    <row r="71" spans="10:10" ht="15" x14ac:dyDescent="0.2">
      <c r="J71" s="48"/>
    </row>
    <row r="72" spans="10:10" ht="15" x14ac:dyDescent="0.2">
      <c r="J72" s="48"/>
    </row>
    <row r="73" spans="10:10" ht="15" x14ac:dyDescent="0.2">
      <c r="J73" s="48"/>
    </row>
    <row r="74" spans="10:10" ht="15" x14ac:dyDescent="0.2">
      <c r="J74" s="48"/>
    </row>
    <row r="75" spans="10:10" ht="15" x14ac:dyDescent="0.2">
      <c r="J75" s="48"/>
    </row>
    <row r="76" spans="10:10" ht="15" x14ac:dyDescent="0.2">
      <c r="J76" s="48"/>
    </row>
    <row r="77" spans="10:10" ht="15" x14ac:dyDescent="0.2">
      <c r="J77" s="48"/>
    </row>
    <row r="78" spans="10:10" ht="15" x14ac:dyDescent="0.2">
      <c r="J78" s="48"/>
    </row>
    <row r="79" spans="10:10" ht="15" x14ac:dyDescent="0.2">
      <c r="J79" s="48"/>
    </row>
    <row r="80" spans="10:10" ht="15" x14ac:dyDescent="0.2">
      <c r="J80" s="48"/>
    </row>
    <row r="81" spans="10:10" ht="15" x14ac:dyDescent="0.2">
      <c r="J81" s="48"/>
    </row>
    <row r="82" spans="10:10" ht="15" x14ac:dyDescent="0.2">
      <c r="J82" s="48"/>
    </row>
    <row r="83" spans="10:10" ht="15" x14ac:dyDescent="0.2">
      <c r="J83" s="48"/>
    </row>
    <row r="84" spans="10:10" ht="15" x14ac:dyDescent="0.2">
      <c r="J84" s="48"/>
    </row>
    <row r="85" spans="10:10" ht="15" x14ac:dyDescent="0.2">
      <c r="J85" s="48"/>
    </row>
    <row r="86" spans="10:10" ht="15" x14ac:dyDescent="0.2">
      <c r="J86" s="48"/>
    </row>
    <row r="87" spans="10:10" ht="15" x14ac:dyDescent="0.2">
      <c r="J87" s="48"/>
    </row>
    <row r="88" spans="10:10" ht="15" x14ac:dyDescent="0.2">
      <c r="J88" s="48"/>
    </row>
    <row r="89" spans="10:10" ht="15" x14ac:dyDescent="0.2">
      <c r="J89" s="48"/>
    </row>
    <row r="90" spans="10:10" ht="15" x14ac:dyDescent="0.2">
      <c r="J90" s="48"/>
    </row>
    <row r="91" spans="10:10" ht="15" x14ac:dyDescent="0.2">
      <c r="J91" s="48"/>
    </row>
    <row r="92" spans="10:10" ht="15" x14ac:dyDescent="0.2">
      <c r="J92" s="48"/>
    </row>
    <row r="93" spans="10:10" ht="15" x14ac:dyDescent="0.2">
      <c r="J93" s="48"/>
    </row>
    <row r="94" spans="10:10" ht="15" x14ac:dyDescent="0.2">
      <c r="J94" s="48"/>
    </row>
    <row r="95" spans="10:10" ht="15" x14ac:dyDescent="0.2">
      <c r="J95" s="48"/>
    </row>
    <row r="96" spans="10:10" ht="15" x14ac:dyDescent="0.2">
      <c r="J96" s="48"/>
    </row>
    <row r="97" spans="10:10" ht="15" x14ac:dyDescent="0.2">
      <c r="J97" s="48"/>
    </row>
    <row r="98" spans="10:10" ht="15" x14ac:dyDescent="0.2">
      <c r="J98" s="48"/>
    </row>
    <row r="99" spans="10:10" ht="15" x14ac:dyDescent="0.2">
      <c r="J99" s="48"/>
    </row>
    <row r="100" spans="10:10" ht="15" x14ac:dyDescent="0.2">
      <c r="J100" s="48"/>
    </row>
    <row r="101" spans="10:10" ht="15" x14ac:dyDescent="0.2">
      <c r="J101" s="48"/>
    </row>
    <row r="102" spans="10:10" ht="15" x14ac:dyDescent="0.2">
      <c r="J102" s="48"/>
    </row>
    <row r="103" spans="10:10" ht="15" x14ac:dyDescent="0.2">
      <c r="J103" s="48"/>
    </row>
    <row r="104" spans="10:10" ht="15" x14ac:dyDescent="0.2">
      <c r="J104" s="48"/>
    </row>
    <row r="105" spans="10:10" ht="15" x14ac:dyDescent="0.2">
      <c r="J105" s="48"/>
    </row>
    <row r="106" spans="10:10" ht="15" x14ac:dyDescent="0.2">
      <c r="J106" s="48"/>
    </row>
    <row r="107" spans="10:10" ht="15" x14ac:dyDescent="0.2">
      <c r="J107" s="48"/>
    </row>
    <row r="108" spans="10:10" ht="15" x14ac:dyDescent="0.2">
      <c r="J108" s="48"/>
    </row>
    <row r="109" spans="10:10" ht="15" x14ac:dyDescent="0.2">
      <c r="J109" s="48"/>
    </row>
    <row r="110" spans="10:10" ht="15" x14ac:dyDescent="0.2">
      <c r="J110" s="48"/>
    </row>
    <row r="111" spans="10:10" ht="15" x14ac:dyDescent="0.2">
      <c r="J111" s="48"/>
    </row>
    <row r="112" spans="10:10" ht="15" x14ac:dyDescent="0.2">
      <c r="J112" s="48"/>
    </row>
    <row r="113" spans="10:10" ht="15" x14ac:dyDescent="0.2">
      <c r="J113" s="48"/>
    </row>
    <row r="114" spans="10:10" ht="15" x14ac:dyDescent="0.2">
      <c r="J114" s="48"/>
    </row>
    <row r="115" spans="10:10" ht="15" x14ac:dyDescent="0.2">
      <c r="J115" s="48"/>
    </row>
    <row r="116" spans="10:10" ht="15" x14ac:dyDescent="0.2">
      <c r="J116" s="48"/>
    </row>
    <row r="117" spans="10:10" ht="15" x14ac:dyDescent="0.2">
      <c r="J117" s="48"/>
    </row>
    <row r="118" spans="10:10" ht="15" x14ac:dyDescent="0.2">
      <c r="J118" s="48"/>
    </row>
    <row r="119" spans="10:10" ht="15" x14ac:dyDescent="0.2">
      <c r="J119" s="48"/>
    </row>
    <row r="120" spans="10:10" ht="15" x14ac:dyDescent="0.2">
      <c r="J120" s="48"/>
    </row>
    <row r="121" spans="10:10" ht="15" x14ac:dyDescent="0.2">
      <c r="J121" s="48"/>
    </row>
    <row r="122" spans="10:10" ht="15" x14ac:dyDescent="0.2">
      <c r="J122" s="48"/>
    </row>
    <row r="123" spans="10:10" ht="15" x14ac:dyDescent="0.2">
      <c r="J123" s="48"/>
    </row>
    <row r="124" spans="10:10" ht="15" x14ac:dyDescent="0.2">
      <c r="J124" s="48"/>
    </row>
    <row r="125" spans="10:10" ht="15" x14ac:dyDescent="0.2">
      <c r="J125" s="48"/>
    </row>
    <row r="126" spans="10:10" ht="15" x14ac:dyDescent="0.2">
      <c r="J126" s="48"/>
    </row>
    <row r="127" spans="10:10" ht="15" x14ac:dyDescent="0.2">
      <c r="J127" s="48"/>
    </row>
    <row r="128" spans="10:10" ht="15" x14ac:dyDescent="0.2">
      <c r="J128" s="48"/>
    </row>
    <row r="129" spans="10:10" ht="15" x14ac:dyDescent="0.2">
      <c r="J129" s="48"/>
    </row>
    <row r="130" spans="10:10" ht="15" x14ac:dyDescent="0.2">
      <c r="J130" s="48"/>
    </row>
    <row r="131" spans="10:10" ht="15" x14ac:dyDescent="0.2">
      <c r="J131" s="48"/>
    </row>
    <row r="132" spans="10:10" ht="15" x14ac:dyDescent="0.2">
      <c r="J132" s="48"/>
    </row>
    <row r="133" spans="10:10" ht="15" x14ac:dyDescent="0.2">
      <c r="J133" s="48"/>
    </row>
    <row r="134" spans="10:10" ht="15" x14ac:dyDescent="0.2">
      <c r="J134" s="48"/>
    </row>
    <row r="135" spans="10:10" ht="15" x14ac:dyDescent="0.2">
      <c r="J135" s="48"/>
    </row>
    <row r="136" spans="10:10" ht="15" x14ac:dyDescent="0.2">
      <c r="J136" s="48"/>
    </row>
    <row r="137" spans="10:10" ht="15" x14ac:dyDescent="0.2">
      <c r="J137" s="48"/>
    </row>
    <row r="138" spans="10:10" ht="15" x14ac:dyDescent="0.2">
      <c r="J138" s="48"/>
    </row>
    <row r="139" spans="10:10" ht="15" x14ac:dyDescent="0.2">
      <c r="J139" s="48"/>
    </row>
    <row r="140" spans="10:10" ht="15" x14ac:dyDescent="0.2">
      <c r="J140" s="48"/>
    </row>
    <row r="141" spans="10:10" ht="15" x14ac:dyDescent="0.2">
      <c r="J141" s="48"/>
    </row>
    <row r="142" spans="10:10" ht="15" x14ac:dyDescent="0.2">
      <c r="J142" s="48"/>
    </row>
    <row r="143" spans="10:10" ht="15" x14ac:dyDescent="0.2">
      <c r="J143" s="48"/>
    </row>
    <row r="144" spans="10:10" ht="15" x14ac:dyDescent="0.2">
      <c r="J144" s="48"/>
    </row>
    <row r="145" spans="10:10" ht="15" x14ac:dyDescent="0.2">
      <c r="J145" s="48"/>
    </row>
    <row r="146" spans="10:10" ht="15" x14ac:dyDescent="0.2">
      <c r="J146" s="48"/>
    </row>
    <row r="147" spans="10:10" ht="15" x14ac:dyDescent="0.2">
      <c r="J147" s="48"/>
    </row>
    <row r="148" spans="10:10" ht="15" x14ac:dyDescent="0.2">
      <c r="J148" s="48"/>
    </row>
    <row r="149" spans="10:10" ht="15" x14ac:dyDescent="0.2">
      <c r="J149" s="48"/>
    </row>
    <row r="150" spans="10:10" ht="15" x14ac:dyDescent="0.2">
      <c r="J150" s="48"/>
    </row>
    <row r="151" spans="10:10" ht="15" x14ac:dyDescent="0.2">
      <c r="J151" s="48"/>
    </row>
    <row r="152" spans="10:10" ht="15" x14ac:dyDescent="0.2">
      <c r="J152" s="48"/>
    </row>
    <row r="153" spans="10:10" ht="15" x14ac:dyDescent="0.2">
      <c r="J153" s="48"/>
    </row>
    <row r="154" spans="10:10" ht="15" x14ac:dyDescent="0.2">
      <c r="J154" s="48"/>
    </row>
    <row r="155" spans="10:10" ht="15" x14ac:dyDescent="0.2">
      <c r="J155" s="48"/>
    </row>
    <row r="156" spans="10:10" ht="15" x14ac:dyDescent="0.2">
      <c r="J156" s="48"/>
    </row>
    <row r="157" spans="10:10" ht="15" x14ac:dyDescent="0.2">
      <c r="J157" s="48"/>
    </row>
    <row r="158" spans="10:10" ht="15" x14ac:dyDescent="0.2">
      <c r="J158" s="48"/>
    </row>
    <row r="159" spans="10:10" ht="15" x14ac:dyDescent="0.2">
      <c r="J159" s="48"/>
    </row>
    <row r="160" spans="10:10" ht="15" x14ac:dyDescent="0.2">
      <c r="J160" s="48"/>
    </row>
    <row r="161" spans="10:10" ht="15" x14ac:dyDescent="0.2">
      <c r="J161" s="48"/>
    </row>
    <row r="162" spans="10:10" ht="15" x14ac:dyDescent="0.2">
      <c r="J162" s="48"/>
    </row>
    <row r="163" spans="10:10" ht="15" x14ac:dyDescent="0.2">
      <c r="J163" s="48"/>
    </row>
    <row r="164" spans="10:10" ht="15" x14ac:dyDescent="0.2">
      <c r="J164" s="48"/>
    </row>
    <row r="165" spans="10:10" ht="15" x14ac:dyDescent="0.2">
      <c r="J165" s="48"/>
    </row>
    <row r="166" spans="10:10" ht="15" x14ac:dyDescent="0.2">
      <c r="J166" s="48"/>
    </row>
    <row r="167" spans="10:10" ht="15" x14ac:dyDescent="0.2">
      <c r="J167" s="48"/>
    </row>
    <row r="168" spans="10:10" ht="15" x14ac:dyDescent="0.2">
      <c r="J168" s="48"/>
    </row>
    <row r="169" spans="10:10" ht="15" x14ac:dyDescent="0.2">
      <c r="J169" s="48"/>
    </row>
    <row r="170" spans="10:10" ht="15" x14ac:dyDescent="0.2">
      <c r="J170" s="48"/>
    </row>
    <row r="171" spans="10:10" ht="15" x14ac:dyDescent="0.2">
      <c r="J171" s="48"/>
    </row>
    <row r="172" spans="10:10" ht="15" x14ac:dyDescent="0.2">
      <c r="J172" s="48"/>
    </row>
    <row r="173" spans="10:10" ht="15" x14ac:dyDescent="0.2">
      <c r="J173" s="48"/>
    </row>
    <row r="174" spans="10:10" ht="15" x14ac:dyDescent="0.2">
      <c r="J174" s="48"/>
    </row>
    <row r="175" spans="10:10" ht="15" x14ac:dyDescent="0.2">
      <c r="J175" s="48"/>
    </row>
    <row r="176" spans="10:10" ht="15" x14ac:dyDescent="0.2">
      <c r="J176" s="48"/>
    </row>
    <row r="177" spans="10:10" ht="15" x14ac:dyDescent="0.2">
      <c r="J177" s="48"/>
    </row>
    <row r="178" spans="10:10" ht="15" x14ac:dyDescent="0.2">
      <c r="J178" s="48"/>
    </row>
    <row r="179" spans="10:10" ht="15" x14ac:dyDescent="0.2">
      <c r="J179" s="48"/>
    </row>
    <row r="180" spans="10:10" ht="15" x14ac:dyDescent="0.2">
      <c r="J180" s="48"/>
    </row>
    <row r="181" spans="10:10" ht="15" x14ac:dyDescent="0.2">
      <c r="J181" s="48"/>
    </row>
    <row r="182" spans="10:10" ht="15" x14ac:dyDescent="0.2">
      <c r="J182" s="48"/>
    </row>
    <row r="183" spans="10:10" ht="15" x14ac:dyDescent="0.2">
      <c r="J183" s="48"/>
    </row>
    <row r="184" spans="10:10" ht="15" x14ac:dyDescent="0.2">
      <c r="J184" s="48"/>
    </row>
    <row r="185" spans="10:10" ht="15" x14ac:dyDescent="0.2">
      <c r="J185" s="48"/>
    </row>
    <row r="186" spans="10:10" ht="15" x14ac:dyDescent="0.2">
      <c r="J186" s="48"/>
    </row>
    <row r="187" spans="10:10" ht="15" x14ac:dyDescent="0.2">
      <c r="J187" s="48"/>
    </row>
    <row r="188" spans="10:10" ht="15" x14ac:dyDescent="0.2">
      <c r="J188" s="48"/>
    </row>
    <row r="189" spans="10:10" ht="15" x14ac:dyDescent="0.2">
      <c r="J189" s="48"/>
    </row>
    <row r="190" spans="10:10" ht="15" x14ac:dyDescent="0.2">
      <c r="J190" s="48"/>
    </row>
    <row r="191" spans="10:10" ht="15" x14ac:dyDescent="0.2">
      <c r="J191" s="48"/>
    </row>
    <row r="192" spans="10:10" ht="15" x14ac:dyDescent="0.2">
      <c r="J192" s="48"/>
    </row>
    <row r="193" spans="10:10" ht="15" x14ac:dyDescent="0.2">
      <c r="J193" s="48"/>
    </row>
    <row r="194" spans="10:10" ht="15" x14ac:dyDescent="0.2">
      <c r="J194" s="48"/>
    </row>
    <row r="195" spans="10:10" ht="15" x14ac:dyDescent="0.2">
      <c r="J195" s="48"/>
    </row>
    <row r="196" spans="10:10" ht="15" x14ac:dyDescent="0.2">
      <c r="J196" s="48"/>
    </row>
    <row r="197" spans="10:10" ht="15" x14ac:dyDescent="0.2">
      <c r="J197" s="48"/>
    </row>
    <row r="198" spans="10:10" ht="15" x14ac:dyDescent="0.2">
      <c r="J198" s="48"/>
    </row>
    <row r="199" spans="10:10" ht="15" x14ac:dyDescent="0.2">
      <c r="J199" s="48"/>
    </row>
    <row r="200" spans="10:10" ht="15" x14ac:dyDescent="0.2">
      <c r="J200" s="48"/>
    </row>
    <row r="201" spans="10:10" ht="15" x14ac:dyDescent="0.2">
      <c r="J201" s="48"/>
    </row>
    <row r="202" spans="10:10" ht="15" x14ac:dyDescent="0.2">
      <c r="J202" s="48"/>
    </row>
    <row r="203" spans="10:10" ht="15" x14ac:dyDescent="0.2">
      <c r="J203" s="48"/>
    </row>
    <row r="204" spans="10:10" ht="15" x14ac:dyDescent="0.2">
      <c r="J204" s="48"/>
    </row>
    <row r="205" spans="10:10" ht="15" x14ac:dyDescent="0.2">
      <c r="J205" s="48"/>
    </row>
    <row r="206" spans="10:10" ht="15" x14ac:dyDescent="0.2">
      <c r="J206" s="48"/>
    </row>
    <row r="207" spans="10:10" ht="15" x14ac:dyDescent="0.2">
      <c r="J207" s="48"/>
    </row>
    <row r="208" spans="10:10" ht="15" x14ac:dyDescent="0.2">
      <c r="J208" s="48"/>
    </row>
    <row r="209" spans="10:10" ht="15" x14ac:dyDescent="0.2">
      <c r="J209" s="48"/>
    </row>
    <row r="210" spans="10:10" ht="15" x14ac:dyDescent="0.2">
      <c r="J210" s="48"/>
    </row>
    <row r="211" spans="10:10" ht="15" x14ac:dyDescent="0.2">
      <c r="J211" s="48"/>
    </row>
    <row r="212" spans="10:10" ht="15" x14ac:dyDescent="0.2">
      <c r="J212" s="48"/>
    </row>
    <row r="213" spans="10:10" ht="15" x14ac:dyDescent="0.2">
      <c r="J213" s="48"/>
    </row>
    <row r="214" spans="10:10" ht="15" x14ac:dyDescent="0.2">
      <c r="J214" s="48"/>
    </row>
    <row r="215" spans="10:10" ht="15" x14ac:dyDescent="0.2">
      <c r="J215" s="48"/>
    </row>
    <row r="216" spans="10:10" ht="15" x14ac:dyDescent="0.2">
      <c r="J216" s="48"/>
    </row>
    <row r="217" spans="10:10" ht="15" x14ac:dyDescent="0.2">
      <c r="J217" s="48"/>
    </row>
    <row r="218" spans="10:10" ht="15" x14ac:dyDescent="0.2">
      <c r="J218" s="48"/>
    </row>
    <row r="219" spans="10:10" ht="15" x14ac:dyDescent="0.2">
      <c r="J219" s="48"/>
    </row>
    <row r="220" spans="10:10" ht="15" x14ac:dyDescent="0.2">
      <c r="J220" s="48"/>
    </row>
    <row r="221" spans="10:10" ht="15" x14ac:dyDescent="0.2">
      <c r="J221" s="48"/>
    </row>
    <row r="222" spans="10:10" ht="15" x14ac:dyDescent="0.2">
      <c r="J222" s="48"/>
    </row>
    <row r="223" spans="10:10" ht="15" x14ac:dyDescent="0.2">
      <c r="J223" s="48"/>
    </row>
    <row r="224" spans="10:10" ht="15" x14ac:dyDescent="0.2">
      <c r="J224" s="48"/>
    </row>
    <row r="225" spans="10:10" ht="15" x14ac:dyDescent="0.2">
      <c r="J225" s="48"/>
    </row>
    <row r="226" spans="10:10" ht="15" x14ac:dyDescent="0.2">
      <c r="J226" s="48"/>
    </row>
    <row r="227" spans="10:10" ht="15" x14ac:dyDescent="0.2">
      <c r="J227" s="48"/>
    </row>
    <row r="228" spans="10:10" ht="15" x14ac:dyDescent="0.2">
      <c r="J228" s="48"/>
    </row>
    <row r="229" spans="10:10" ht="15" x14ac:dyDescent="0.2">
      <c r="J229" s="48"/>
    </row>
    <row r="230" spans="10:10" ht="15" x14ac:dyDescent="0.2">
      <c r="J230" s="48"/>
    </row>
    <row r="231" spans="10:10" ht="15" x14ac:dyDescent="0.2">
      <c r="J231" s="48"/>
    </row>
    <row r="232" spans="10:10" ht="15" x14ac:dyDescent="0.2">
      <c r="J232" s="48"/>
    </row>
    <row r="233" spans="10:10" ht="15" x14ac:dyDescent="0.2">
      <c r="J233" s="48"/>
    </row>
    <row r="234" spans="10:10" ht="15" x14ac:dyDescent="0.2">
      <c r="J234" s="48"/>
    </row>
    <row r="235" spans="10:10" ht="15" x14ac:dyDescent="0.2">
      <c r="J235" s="48"/>
    </row>
    <row r="236" spans="10:10" ht="15" x14ac:dyDescent="0.2">
      <c r="J236" s="48"/>
    </row>
    <row r="237" spans="10:10" ht="15" x14ac:dyDescent="0.2">
      <c r="J237" s="48"/>
    </row>
    <row r="238" spans="10:10" ht="15" x14ac:dyDescent="0.2">
      <c r="J238" s="48"/>
    </row>
    <row r="239" spans="10:10" ht="15" x14ac:dyDescent="0.2">
      <c r="J239" s="48"/>
    </row>
    <row r="240" spans="10:10" ht="15" x14ac:dyDescent="0.2">
      <c r="J240" s="48"/>
    </row>
    <row r="241" spans="10:10" ht="15" x14ac:dyDescent="0.2">
      <c r="J241" s="48"/>
    </row>
    <row r="242" spans="10:10" ht="15" x14ac:dyDescent="0.2">
      <c r="J242" s="48"/>
    </row>
    <row r="243" spans="10:10" ht="15" x14ac:dyDescent="0.2">
      <c r="J243" s="48"/>
    </row>
    <row r="244" spans="10:10" ht="15" x14ac:dyDescent="0.2">
      <c r="J244" s="48"/>
    </row>
    <row r="245" spans="10:10" ht="15" x14ac:dyDescent="0.2">
      <c r="J245" s="48"/>
    </row>
    <row r="246" spans="10:10" ht="15" x14ac:dyDescent="0.2">
      <c r="J246" s="48"/>
    </row>
    <row r="247" spans="10:10" ht="15" x14ac:dyDescent="0.2">
      <c r="J247" s="48"/>
    </row>
    <row r="248" spans="10:10" ht="15" x14ac:dyDescent="0.2">
      <c r="J248" s="48"/>
    </row>
    <row r="249" spans="10:10" ht="15" x14ac:dyDescent="0.2">
      <c r="J249" s="48"/>
    </row>
    <row r="250" spans="10:10" ht="15" x14ac:dyDescent="0.2">
      <c r="J250" s="48"/>
    </row>
    <row r="251" spans="10:10" ht="15" x14ac:dyDescent="0.2">
      <c r="J251" s="48"/>
    </row>
    <row r="252" spans="10:10" ht="15" x14ac:dyDescent="0.2">
      <c r="J252" s="48"/>
    </row>
    <row r="253" spans="10:10" ht="15" x14ac:dyDescent="0.2">
      <c r="J253" s="48"/>
    </row>
    <row r="254" spans="10:10" ht="15" x14ac:dyDescent="0.2">
      <c r="J254" s="48"/>
    </row>
    <row r="255" spans="10:10" ht="15" x14ac:dyDescent="0.2">
      <c r="J255" s="48"/>
    </row>
    <row r="256" spans="10:10" ht="15" x14ac:dyDescent="0.2">
      <c r="J256" s="48"/>
    </row>
    <row r="257" spans="10:10" ht="15" x14ac:dyDescent="0.2">
      <c r="J257" s="48"/>
    </row>
    <row r="258" spans="10:10" ht="15" x14ac:dyDescent="0.2">
      <c r="J258" s="48"/>
    </row>
    <row r="259" spans="10:10" ht="15" x14ac:dyDescent="0.2">
      <c r="J259" s="48"/>
    </row>
    <row r="260" spans="10:10" ht="15" x14ac:dyDescent="0.2">
      <c r="J260" s="48"/>
    </row>
    <row r="261" spans="10:10" ht="15" x14ac:dyDescent="0.2">
      <c r="J261" s="48"/>
    </row>
    <row r="262" spans="10:10" ht="15" x14ac:dyDescent="0.2">
      <c r="J262" s="48"/>
    </row>
    <row r="263" spans="10:10" ht="15" x14ac:dyDescent="0.2">
      <c r="J263" s="48"/>
    </row>
    <row r="264" spans="10:10" ht="15" x14ac:dyDescent="0.2">
      <c r="J264" s="48"/>
    </row>
    <row r="265" spans="10:10" ht="15" x14ac:dyDescent="0.2">
      <c r="J265" s="48"/>
    </row>
    <row r="266" spans="10:10" ht="15" x14ac:dyDescent="0.2">
      <c r="J266" s="48"/>
    </row>
    <row r="267" spans="10:10" ht="15" x14ac:dyDescent="0.2">
      <c r="J267" s="48"/>
    </row>
    <row r="268" spans="10:10" ht="15" x14ac:dyDescent="0.2">
      <c r="J268" s="48"/>
    </row>
    <row r="269" spans="10:10" ht="15" x14ac:dyDescent="0.2">
      <c r="J269" s="48"/>
    </row>
    <row r="270" spans="10:10" ht="15" x14ac:dyDescent="0.2">
      <c r="J270" s="48"/>
    </row>
    <row r="271" spans="10:10" ht="15" x14ac:dyDescent="0.2">
      <c r="J271" s="48"/>
    </row>
    <row r="272" spans="10:10" ht="15" x14ac:dyDescent="0.2">
      <c r="J272" s="48"/>
    </row>
    <row r="273" spans="10:10" ht="15" x14ac:dyDescent="0.2">
      <c r="J273" s="48"/>
    </row>
    <row r="274" spans="10:10" ht="15" x14ac:dyDescent="0.2">
      <c r="J274" s="48"/>
    </row>
    <row r="275" spans="10:10" ht="15" x14ac:dyDescent="0.2">
      <c r="J275" s="48"/>
    </row>
    <row r="276" spans="10:10" ht="15" x14ac:dyDescent="0.2">
      <c r="J276" s="48"/>
    </row>
    <row r="277" spans="10:10" ht="15" x14ac:dyDescent="0.2">
      <c r="J277" s="48"/>
    </row>
    <row r="278" spans="10:10" ht="15" x14ac:dyDescent="0.2">
      <c r="J278" s="48"/>
    </row>
    <row r="279" spans="10:10" ht="15" x14ac:dyDescent="0.2">
      <c r="J279" s="48"/>
    </row>
    <row r="280" spans="10:10" ht="15" x14ac:dyDescent="0.2">
      <c r="J280" s="48"/>
    </row>
    <row r="281" spans="10:10" ht="15" x14ac:dyDescent="0.2">
      <c r="J281" s="48"/>
    </row>
    <row r="282" spans="10:10" ht="15" x14ac:dyDescent="0.2">
      <c r="J282" s="48"/>
    </row>
    <row r="283" spans="10:10" ht="15" x14ac:dyDescent="0.2">
      <c r="J283" s="48"/>
    </row>
    <row r="284" spans="10:10" ht="15" x14ac:dyDescent="0.2">
      <c r="J284" s="48"/>
    </row>
    <row r="285" spans="10:10" ht="15" x14ac:dyDescent="0.2">
      <c r="J285" s="48"/>
    </row>
    <row r="286" spans="10:10" ht="15" x14ac:dyDescent="0.2">
      <c r="J286" s="48"/>
    </row>
    <row r="287" spans="10:10" ht="15" x14ac:dyDescent="0.2">
      <c r="J287" s="48"/>
    </row>
    <row r="288" spans="10:10" ht="15" x14ac:dyDescent="0.2">
      <c r="J288" s="48"/>
    </row>
    <row r="289" spans="10:10" ht="15" x14ac:dyDescent="0.2">
      <c r="J289" s="48"/>
    </row>
    <row r="290" spans="10:10" ht="15" x14ac:dyDescent="0.2">
      <c r="J290" s="48"/>
    </row>
    <row r="291" spans="10:10" ht="15" x14ac:dyDescent="0.2">
      <c r="J291" s="48"/>
    </row>
    <row r="292" spans="10:10" ht="15" x14ac:dyDescent="0.2">
      <c r="J292" s="48"/>
    </row>
    <row r="293" spans="10:10" ht="15" x14ac:dyDescent="0.2">
      <c r="J293" s="48"/>
    </row>
    <row r="294" spans="10:10" ht="15" x14ac:dyDescent="0.2">
      <c r="J294" s="48"/>
    </row>
    <row r="295" spans="10:10" ht="15" x14ac:dyDescent="0.2">
      <c r="J295" s="48"/>
    </row>
    <row r="296" spans="10:10" ht="15" x14ac:dyDescent="0.2">
      <c r="J296" s="48"/>
    </row>
    <row r="297" spans="10:10" ht="15" x14ac:dyDescent="0.2">
      <c r="J297" s="48"/>
    </row>
    <row r="298" spans="10:10" ht="15" x14ac:dyDescent="0.2">
      <c r="J298" s="48"/>
    </row>
    <row r="299" spans="10:10" ht="15" x14ac:dyDescent="0.2">
      <c r="J299" s="48"/>
    </row>
    <row r="300" spans="10:10" ht="15" x14ac:dyDescent="0.2">
      <c r="J300" s="48"/>
    </row>
    <row r="301" spans="10:10" ht="15" x14ac:dyDescent="0.2">
      <c r="J301" s="48"/>
    </row>
    <row r="302" spans="10:10" ht="15" x14ac:dyDescent="0.2">
      <c r="J302" s="48"/>
    </row>
    <row r="303" spans="10:10" ht="15" x14ac:dyDescent="0.2">
      <c r="J303" s="48"/>
    </row>
    <row r="304" spans="10:10" ht="15" x14ac:dyDescent="0.2">
      <c r="J304" s="48"/>
    </row>
    <row r="305" spans="10:10" ht="15" x14ac:dyDescent="0.2">
      <c r="J305" s="48"/>
    </row>
    <row r="306" spans="10:10" ht="15" x14ac:dyDescent="0.2">
      <c r="J306" s="48"/>
    </row>
    <row r="307" spans="10:10" ht="15" x14ac:dyDescent="0.2">
      <c r="J307" s="48"/>
    </row>
    <row r="308" spans="10:10" ht="15" x14ac:dyDescent="0.2">
      <c r="J308" s="48"/>
    </row>
    <row r="309" spans="10:10" ht="15" x14ac:dyDescent="0.2">
      <c r="J309" s="48"/>
    </row>
    <row r="310" spans="10:10" ht="15" x14ac:dyDescent="0.2">
      <c r="J310" s="48"/>
    </row>
    <row r="311" spans="10:10" ht="15" x14ac:dyDescent="0.2">
      <c r="J311" s="48"/>
    </row>
    <row r="312" spans="10:10" ht="15" x14ac:dyDescent="0.2">
      <c r="J312" s="48"/>
    </row>
    <row r="313" spans="10:10" ht="15" x14ac:dyDescent="0.2">
      <c r="J313" s="48"/>
    </row>
    <row r="314" spans="10:10" ht="15" x14ac:dyDescent="0.2">
      <c r="J314" s="48"/>
    </row>
    <row r="315" spans="10:10" ht="15" x14ac:dyDescent="0.2">
      <c r="J315" s="48"/>
    </row>
    <row r="316" spans="10:10" ht="15" x14ac:dyDescent="0.2">
      <c r="J316" s="48"/>
    </row>
    <row r="317" spans="10:10" ht="15" x14ac:dyDescent="0.2">
      <c r="J317" s="48"/>
    </row>
    <row r="318" spans="10:10" ht="15" x14ac:dyDescent="0.2">
      <c r="J318" s="48"/>
    </row>
    <row r="319" spans="10:10" ht="15" x14ac:dyDescent="0.2">
      <c r="J319" s="48"/>
    </row>
    <row r="320" spans="10:10" ht="15" x14ac:dyDescent="0.2">
      <c r="J320" s="48"/>
    </row>
    <row r="321" spans="10:10" ht="15" x14ac:dyDescent="0.2">
      <c r="J321" s="48"/>
    </row>
    <row r="322" spans="10:10" ht="15" x14ac:dyDescent="0.2">
      <c r="J322" s="48"/>
    </row>
    <row r="323" spans="10:10" ht="15" x14ac:dyDescent="0.2">
      <c r="J323" s="48"/>
    </row>
    <row r="324" spans="10:10" ht="15" x14ac:dyDescent="0.2">
      <c r="J324" s="48"/>
    </row>
    <row r="325" spans="10:10" ht="15" x14ac:dyDescent="0.2">
      <c r="J325" s="48"/>
    </row>
    <row r="326" spans="10:10" ht="15" x14ac:dyDescent="0.2">
      <c r="J326" s="48"/>
    </row>
    <row r="327" spans="10:10" ht="15" x14ac:dyDescent="0.2">
      <c r="J327" s="48"/>
    </row>
    <row r="328" spans="10:10" ht="15" x14ac:dyDescent="0.2">
      <c r="J328" s="48"/>
    </row>
    <row r="329" spans="10:10" ht="15" x14ac:dyDescent="0.2">
      <c r="J329" s="48"/>
    </row>
    <row r="330" spans="10:10" ht="15" x14ac:dyDescent="0.2">
      <c r="J330" s="48"/>
    </row>
    <row r="331" spans="10:10" ht="15" x14ac:dyDescent="0.2">
      <c r="J331" s="48"/>
    </row>
    <row r="332" spans="10:10" ht="15" x14ac:dyDescent="0.2">
      <c r="J332" s="48"/>
    </row>
    <row r="333" spans="10:10" ht="15" x14ac:dyDescent="0.2">
      <c r="J333" s="48"/>
    </row>
    <row r="334" spans="10:10" ht="15" x14ac:dyDescent="0.2">
      <c r="J334" s="48"/>
    </row>
    <row r="335" spans="10:10" ht="15" x14ac:dyDescent="0.2">
      <c r="J335" s="48"/>
    </row>
    <row r="336" spans="10:10" ht="15" x14ac:dyDescent="0.2">
      <c r="J336" s="48"/>
    </row>
    <row r="337" spans="10:10" ht="15" x14ac:dyDescent="0.2">
      <c r="J337" s="48"/>
    </row>
    <row r="338" spans="10:10" ht="15" x14ac:dyDescent="0.2">
      <c r="J338" s="48"/>
    </row>
    <row r="339" spans="10:10" ht="15" x14ac:dyDescent="0.2">
      <c r="J339" s="48"/>
    </row>
    <row r="340" spans="10:10" ht="15" x14ac:dyDescent="0.2">
      <c r="J340" s="48"/>
    </row>
    <row r="341" spans="10:10" ht="15" x14ac:dyDescent="0.2">
      <c r="J341" s="48"/>
    </row>
    <row r="342" spans="10:10" ht="15" x14ac:dyDescent="0.2">
      <c r="J342" s="48"/>
    </row>
    <row r="343" spans="10:10" ht="15" x14ac:dyDescent="0.2">
      <c r="J343" s="48"/>
    </row>
    <row r="344" spans="10:10" ht="15" x14ac:dyDescent="0.2">
      <c r="J344" s="48"/>
    </row>
    <row r="345" spans="10:10" ht="15" x14ac:dyDescent="0.2">
      <c r="J345" s="48"/>
    </row>
    <row r="346" spans="10:10" ht="15" x14ac:dyDescent="0.2">
      <c r="J346" s="48"/>
    </row>
    <row r="347" spans="10:10" ht="15" x14ac:dyDescent="0.2">
      <c r="J347" s="48"/>
    </row>
    <row r="348" spans="10:10" ht="15" x14ac:dyDescent="0.2">
      <c r="J348" s="48"/>
    </row>
    <row r="349" spans="10:10" ht="15" x14ac:dyDescent="0.2">
      <c r="J349" s="48"/>
    </row>
    <row r="350" spans="10:10" ht="15" x14ac:dyDescent="0.2">
      <c r="J350" s="48"/>
    </row>
    <row r="351" spans="10:10" ht="15" x14ac:dyDescent="0.2">
      <c r="J351" s="48"/>
    </row>
    <row r="352" spans="10:10" ht="15" x14ac:dyDescent="0.2">
      <c r="J352" s="48"/>
    </row>
    <row r="353" spans="10:10" ht="15" x14ac:dyDescent="0.2">
      <c r="J353" s="48"/>
    </row>
    <row r="354" spans="10:10" ht="15" x14ac:dyDescent="0.2">
      <c r="J354" s="48"/>
    </row>
    <row r="355" spans="10:10" ht="15" x14ac:dyDescent="0.2">
      <c r="J355" s="48"/>
    </row>
    <row r="356" spans="10:10" ht="15" x14ac:dyDescent="0.2">
      <c r="J356" s="48"/>
    </row>
    <row r="357" spans="10:10" ht="15" x14ac:dyDescent="0.2">
      <c r="J357" s="48"/>
    </row>
    <row r="358" spans="10:10" ht="15" x14ac:dyDescent="0.2">
      <c r="J358" s="48"/>
    </row>
    <row r="359" spans="10:10" ht="15" x14ac:dyDescent="0.2">
      <c r="J359" s="48"/>
    </row>
    <row r="360" spans="10:10" ht="15" x14ac:dyDescent="0.2">
      <c r="J360" s="48"/>
    </row>
    <row r="361" spans="10:10" ht="15" x14ac:dyDescent="0.2">
      <c r="J361" s="48"/>
    </row>
    <row r="362" spans="10:10" ht="15" x14ac:dyDescent="0.2">
      <c r="J362" s="48"/>
    </row>
    <row r="363" spans="10:10" ht="15" x14ac:dyDescent="0.2">
      <c r="J363" s="48"/>
    </row>
    <row r="364" spans="10:10" ht="15" x14ac:dyDescent="0.2">
      <c r="J364" s="48"/>
    </row>
    <row r="365" spans="10:10" ht="15" x14ac:dyDescent="0.2">
      <c r="J365" s="48"/>
    </row>
    <row r="366" spans="10:10" ht="15" x14ac:dyDescent="0.2">
      <c r="J366" s="48"/>
    </row>
    <row r="367" spans="10:10" ht="15" x14ac:dyDescent="0.2">
      <c r="J367" s="48"/>
    </row>
    <row r="368" spans="10:10" ht="15" x14ac:dyDescent="0.2">
      <c r="J368" s="48"/>
    </row>
    <row r="369" spans="10:10" ht="15" x14ac:dyDescent="0.2">
      <c r="J369" s="48"/>
    </row>
    <row r="370" spans="10:10" ht="15" x14ac:dyDescent="0.2">
      <c r="J370" s="48"/>
    </row>
    <row r="371" spans="10:10" ht="15" x14ac:dyDescent="0.2">
      <c r="J371" s="48"/>
    </row>
    <row r="372" spans="10:10" ht="15" x14ac:dyDescent="0.2">
      <c r="J372" s="48"/>
    </row>
    <row r="373" spans="10:10" ht="15" x14ac:dyDescent="0.2">
      <c r="J373" s="48"/>
    </row>
    <row r="374" spans="10:10" ht="15" x14ac:dyDescent="0.2">
      <c r="J374" s="48"/>
    </row>
    <row r="375" spans="10:10" ht="15" x14ac:dyDescent="0.2">
      <c r="J375" s="48"/>
    </row>
    <row r="376" spans="10:10" ht="15" x14ac:dyDescent="0.2">
      <c r="J376" s="48"/>
    </row>
    <row r="377" spans="10:10" ht="15" x14ac:dyDescent="0.2">
      <c r="J377" s="48"/>
    </row>
    <row r="378" spans="10:10" ht="15" x14ac:dyDescent="0.2">
      <c r="J378" s="48"/>
    </row>
    <row r="379" spans="10:10" ht="15" x14ac:dyDescent="0.2">
      <c r="J379" s="48"/>
    </row>
    <row r="380" spans="10:10" ht="15" x14ac:dyDescent="0.2">
      <c r="J380" s="48"/>
    </row>
    <row r="381" spans="10:10" ht="15" x14ac:dyDescent="0.2">
      <c r="J381" s="48"/>
    </row>
    <row r="382" spans="10:10" ht="15" x14ac:dyDescent="0.2">
      <c r="J382" s="48"/>
    </row>
    <row r="383" spans="10:10" ht="15" x14ac:dyDescent="0.2">
      <c r="J383" s="48"/>
    </row>
    <row r="384" spans="10:10" ht="15" x14ac:dyDescent="0.2">
      <c r="J384" s="48"/>
    </row>
    <row r="385" spans="10:10" ht="15" x14ac:dyDescent="0.2">
      <c r="J385" s="48"/>
    </row>
    <row r="386" spans="10:10" ht="15" x14ac:dyDescent="0.2">
      <c r="J386" s="48"/>
    </row>
    <row r="387" spans="10:10" ht="15" x14ac:dyDescent="0.2">
      <c r="J387" s="48"/>
    </row>
    <row r="388" spans="10:10" ht="15" x14ac:dyDescent="0.2">
      <c r="J388" s="48"/>
    </row>
    <row r="389" spans="10:10" ht="15" x14ac:dyDescent="0.2">
      <c r="J389" s="48"/>
    </row>
    <row r="390" spans="10:10" ht="15" x14ac:dyDescent="0.2">
      <c r="J390" s="48"/>
    </row>
    <row r="391" spans="10:10" ht="15" x14ac:dyDescent="0.2">
      <c r="J391" s="48"/>
    </row>
    <row r="392" spans="10:10" ht="15" x14ac:dyDescent="0.2">
      <c r="J392" s="48"/>
    </row>
    <row r="393" spans="10:10" ht="15" x14ac:dyDescent="0.2">
      <c r="J393" s="48"/>
    </row>
    <row r="394" spans="10:10" ht="15" x14ac:dyDescent="0.2">
      <c r="J394" s="48"/>
    </row>
    <row r="395" spans="10:10" ht="15" x14ac:dyDescent="0.2">
      <c r="J395" s="48"/>
    </row>
    <row r="396" spans="10:10" ht="15" x14ac:dyDescent="0.2">
      <c r="J396" s="48"/>
    </row>
    <row r="397" spans="10:10" ht="15" x14ac:dyDescent="0.2">
      <c r="J397" s="48"/>
    </row>
    <row r="398" spans="10:10" ht="15" x14ac:dyDescent="0.2">
      <c r="J398" s="48"/>
    </row>
    <row r="399" spans="10:10" ht="15" x14ac:dyDescent="0.2">
      <c r="J399" s="48"/>
    </row>
    <row r="400" spans="10:10" ht="15" x14ac:dyDescent="0.2">
      <c r="J400" s="48"/>
    </row>
    <row r="401" spans="10:10" ht="15" x14ac:dyDescent="0.2">
      <c r="J401" s="48"/>
    </row>
    <row r="402" spans="10:10" ht="15" x14ac:dyDescent="0.2">
      <c r="J402" s="48"/>
    </row>
    <row r="403" spans="10:10" ht="15" x14ac:dyDescent="0.2">
      <c r="J403" s="48"/>
    </row>
    <row r="404" spans="10:10" ht="15" x14ac:dyDescent="0.2">
      <c r="J404" s="48"/>
    </row>
    <row r="405" spans="10:10" ht="15" x14ac:dyDescent="0.2">
      <c r="J405" s="48"/>
    </row>
    <row r="406" spans="10:10" ht="15" x14ac:dyDescent="0.2">
      <c r="J406" s="48"/>
    </row>
    <row r="407" spans="10:10" ht="15" x14ac:dyDescent="0.2">
      <c r="J407" s="48"/>
    </row>
    <row r="408" spans="10:10" ht="15" x14ac:dyDescent="0.2">
      <c r="J408" s="48"/>
    </row>
    <row r="409" spans="10:10" ht="15" x14ac:dyDescent="0.2">
      <c r="J409" s="48"/>
    </row>
    <row r="410" spans="10:10" ht="15" x14ac:dyDescent="0.2">
      <c r="J410" s="48"/>
    </row>
    <row r="411" spans="10:10" ht="15" x14ac:dyDescent="0.2">
      <c r="J411" s="48"/>
    </row>
    <row r="412" spans="10:10" ht="15" x14ac:dyDescent="0.2">
      <c r="J412" s="48"/>
    </row>
    <row r="413" spans="10:10" ht="15" x14ac:dyDescent="0.2">
      <c r="J413" s="48"/>
    </row>
    <row r="414" spans="10:10" ht="15" x14ac:dyDescent="0.2">
      <c r="J414" s="48"/>
    </row>
    <row r="415" spans="10:10" ht="15" x14ac:dyDescent="0.2">
      <c r="J415" s="48"/>
    </row>
    <row r="416" spans="10:10" ht="15" x14ac:dyDescent="0.2">
      <c r="J416" s="48"/>
    </row>
    <row r="417" spans="10:10" ht="15" x14ac:dyDescent="0.2">
      <c r="J417" s="48"/>
    </row>
    <row r="418" spans="10:10" ht="15" x14ac:dyDescent="0.2">
      <c r="J418" s="48"/>
    </row>
    <row r="419" spans="10:10" ht="15" x14ac:dyDescent="0.2">
      <c r="J419" s="48"/>
    </row>
    <row r="420" spans="10:10" ht="15" x14ac:dyDescent="0.2">
      <c r="J420" s="48"/>
    </row>
    <row r="421" spans="10:10" ht="15" x14ac:dyDescent="0.2">
      <c r="J421" s="48"/>
    </row>
    <row r="422" spans="10:10" ht="15" x14ac:dyDescent="0.2">
      <c r="J422" s="48"/>
    </row>
    <row r="423" spans="10:10" ht="15" x14ac:dyDescent="0.2">
      <c r="J423" s="48"/>
    </row>
    <row r="424" spans="10:10" ht="15" x14ac:dyDescent="0.2">
      <c r="J424" s="48"/>
    </row>
    <row r="425" spans="10:10" ht="15" x14ac:dyDescent="0.2">
      <c r="J425" s="48"/>
    </row>
    <row r="426" spans="10:10" ht="15" x14ac:dyDescent="0.2">
      <c r="J426" s="48"/>
    </row>
    <row r="427" spans="10:10" ht="15" x14ac:dyDescent="0.2">
      <c r="J427" s="48"/>
    </row>
    <row r="428" spans="10:10" ht="15" x14ac:dyDescent="0.2">
      <c r="J428" s="48"/>
    </row>
    <row r="429" spans="10:10" ht="15" x14ac:dyDescent="0.2">
      <c r="J429" s="48"/>
    </row>
    <row r="430" spans="10:10" ht="15" x14ac:dyDescent="0.2">
      <c r="J430" s="48"/>
    </row>
    <row r="431" spans="10:10" ht="15" x14ac:dyDescent="0.2">
      <c r="J431" s="48"/>
    </row>
    <row r="432" spans="10:10" ht="15" x14ac:dyDescent="0.2">
      <c r="J432" s="48"/>
    </row>
    <row r="433" spans="10:10" ht="15" x14ac:dyDescent="0.2">
      <c r="J433" s="48"/>
    </row>
    <row r="434" spans="10:10" ht="15" x14ac:dyDescent="0.2">
      <c r="J434" s="48"/>
    </row>
    <row r="435" spans="10:10" ht="15" x14ac:dyDescent="0.2">
      <c r="J435" s="48"/>
    </row>
    <row r="436" spans="10:10" ht="15" x14ac:dyDescent="0.2">
      <c r="J436" s="48"/>
    </row>
    <row r="437" spans="10:10" ht="15" x14ac:dyDescent="0.2">
      <c r="J437" s="48"/>
    </row>
    <row r="438" spans="10:10" ht="15" x14ac:dyDescent="0.2">
      <c r="J438" s="48"/>
    </row>
    <row r="439" spans="10:10" ht="15" x14ac:dyDescent="0.2">
      <c r="J439" s="48"/>
    </row>
    <row r="440" spans="10:10" ht="15" x14ac:dyDescent="0.2">
      <c r="J440" s="48"/>
    </row>
    <row r="441" spans="10:10" ht="15" x14ac:dyDescent="0.2">
      <c r="J441" s="48"/>
    </row>
    <row r="442" spans="10:10" ht="15" x14ac:dyDescent="0.2">
      <c r="J442" s="48"/>
    </row>
    <row r="443" spans="10:10" ht="15" x14ac:dyDescent="0.2">
      <c r="J443" s="48"/>
    </row>
    <row r="444" spans="10:10" ht="15" x14ac:dyDescent="0.2">
      <c r="J444" s="48"/>
    </row>
    <row r="445" spans="10:10" ht="15" x14ac:dyDescent="0.2">
      <c r="J445" s="48"/>
    </row>
    <row r="446" spans="10:10" ht="15" x14ac:dyDescent="0.2">
      <c r="J446" s="48"/>
    </row>
    <row r="447" spans="10:10" ht="15" x14ac:dyDescent="0.2">
      <c r="J447" s="48"/>
    </row>
    <row r="448" spans="10:10" ht="15" x14ac:dyDescent="0.2">
      <c r="J448" s="48"/>
    </row>
    <row r="449" spans="10:10" ht="15" x14ac:dyDescent="0.2">
      <c r="J449" s="48"/>
    </row>
    <row r="450" spans="10:10" ht="15" x14ac:dyDescent="0.2">
      <c r="J450" s="48"/>
    </row>
    <row r="451" spans="10:10" ht="15" x14ac:dyDescent="0.2">
      <c r="J451" s="48"/>
    </row>
    <row r="452" spans="10:10" ht="15" x14ac:dyDescent="0.2">
      <c r="J452" s="48"/>
    </row>
    <row r="453" spans="10:10" ht="15" x14ac:dyDescent="0.2">
      <c r="J453" s="48"/>
    </row>
    <row r="454" spans="10:10" ht="15" x14ac:dyDescent="0.2">
      <c r="J454" s="48"/>
    </row>
    <row r="455" spans="10:10" ht="15" x14ac:dyDescent="0.2">
      <c r="J455" s="48"/>
    </row>
    <row r="456" spans="10:10" ht="15" x14ac:dyDescent="0.2">
      <c r="J456" s="48"/>
    </row>
    <row r="457" spans="10:10" ht="15" x14ac:dyDescent="0.2">
      <c r="J457" s="48"/>
    </row>
    <row r="458" spans="10:10" ht="15" x14ac:dyDescent="0.2">
      <c r="J458" s="48"/>
    </row>
    <row r="459" spans="10:10" ht="15" x14ac:dyDescent="0.2">
      <c r="J459" s="48"/>
    </row>
    <row r="460" spans="10:10" ht="15" x14ac:dyDescent="0.2">
      <c r="J460" s="48"/>
    </row>
    <row r="461" spans="10:10" ht="15" x14ac:dyDescent="0.2">
      <c r="J461" s="48"/>
    </row>
    <row r="462" spans="10:10" ht="15" x14ac:dyDescent="0.2">
      <c r="J462" s="48"/>
    </row>
    <row r="463" spans="10:10" ht="15" x14ac:dyDescent="0.2">
      <c r="J463" s="48"/>
    </row>
    <row r="464" spans="10:10" ht="15" x14ac:dyDescent="0.2">
      <c r="J464" s="48"/>
    </row>
    <row r="465" spans="10:10" ht="15" x14ac:dyDescent="0.2">
      <c r="J465" s="48"/>
    </row>
    <row r="466" spans="10:10" ht="15" x14ac:dyDescent="0.2">
      <c r="J466" s="48"/>
    </row>
    <row r="467" spans="10:10" ht="15" x14ac:dyDescent="0.2">
      <c r="J467" s="48"/>
    </row>
    <row r="468" spans="10:10" ht="15" x14ac:dyDescent="0.2">
      <c r="J468" s="48"/>
    </row>
    <row r="469" spans="10:10" ht="15" x14ac:dyDescent="0.2">
      <c r="J469" s="48"/>
    </row>
    <row r="470" spans="10:10" ht="15" x14ac:dyDescent="0.2">
      <c r="J470" s="48"/>
    </row>
    <row r="471" spans="10:10" ht="15" x14ac:dyDescent="0.2">
      <c r="J471" s="48"/>
    </row>
    <row r="472" spans="10:10" ht="15" x14ac:dyDescent="0.2">
      <c r="J472" s="48"/>
    </row>
    <row r="473" spans="10:10" ht="15" x14ac:dyDescent="0.2">
      <c r="J473" s="48"/>
    </row>
    <row r="474" spans="10:10" ht="15" x14ac:dyDescent="0.2">
      <c r="J474" s="48"/>
    </row>
    <row r="475" spans="10:10" ht="15" x14ac:dyDescent="0.2">
      <c r="J475" s="48"/>
    </row>
    <row r="476" spans="10:10" ht="15" x14ac:dyDescent="0.2">
      <c r="J476" s="48"/>
    </row>
    <row r="477" spans="10:10" ht="15" x14ac:dyDescent="0.2">
      <c r="J477" s="48"/>
    </row>
    <row r="478" spans="10:10" ht="15" x14ac:dyDescent="0.2">
      <c r="J478" s="48"/>
    </row>
    <row r="479" spans="10:10" ht="15" x14ac:dyDescent="0.2">
      <c r="J479" s="48"/>
    </row>
    <row r="480" spans="10:10" ht="15" x14ac:dyDescent="0.2">
      <c r="J480" s="48"/>
    </row>
    <row r="481" spans="10:10" ht="15" x14ac:dyDescent="0.2">
      <c r="J481" s="48"/>
    </row>
    <row r="482" spans="10:10" ht="15" x14ac:dyDescent="0.2">
      <c r="J482" s="48"/>
    </row>
    <row r="483" spans="10:10" ht="15" x14ac:dyDescent="0.2">
      <c r="J483" s="48"/>
    </row>
    <row r="484" spans="10:10" ht="15" x14ac:dyDescent="0.2">
      <c r="J484" s="48"/>
    </row>
    <row r="485" spans="10:10" ht="15" x14ac:dyDescent="0.2">
      <c r="J485" s="48"/>
    </row>
    <row r="486" spans="10:10" ht="15" x14ac:dyDescent="0.2">
      <c r="J486" s="48"/>
    </row>
    <row r="487" spans="10:10" ht="15" x14ac:dyDescent="0.2">
      <c r="J487" s="48"/>
    </row>
    <row r="488" spans="10:10" ht="15" x14ac:dyDescent="0.2">
      <c r="J488" s="48"/>
    </row>
    <row r="489" spans="10:10" ht="15" x14ac:dyDescent="0.2">
      <c r="J489" s="48"/>
    </row>
    <row r="490" spans="10:10" ht="15" x14ac:dyDescent="0.2">
      <c r="J490" s="48"/>
    </row>
    <row r="491" spans="10:10" ht="15" x14ac:dyDescent="0.2">
      <c r="J491" s="48"/>
    </row>
    <row r="492" spans="10:10" ht="15" x14ac:dyDescent="0.2">
      <c r="J492" s="48"/>
    </row>
    <row r="493" spans="10:10" ht="15" x14ac:dyDescent="0.2">
      <c r="J493" s="48"/>
    </row>
    <row r="494" spans="10:10" ht="15" x14ac:dyDescent="0.2">
      <c r="J494" s="48"/>
    </row>
    <row r="495" spans="10:10" ht="15" x14ac:dyDescent="0.2">
      <c r="J495" s="48"/>
    </row>
    <row r="496" spans="10:10" ht="15" x14ac:dyDescent="0.2">
      <c r="J496" s="48"/>
    </row>
    <row r="497" spans="10:10" ht="15" x14ac:dyDescent="0.2">
      <c r="J497" s="48"/>
    </row>
    <row r="498" spans="10:10" ht="15" x14ac:dyDescent="0.2">
      <c r="J498" s="48"/>
    </row>
    <row r="499" spans="10:10" ht="15" x14ac:dyDescent="0.2">
      <c r="J499" s="48"/>
    </row>
    <row r="500" spans="10:10" ht="15" x14ac:dyDescent="0.2">
      <c r="J500" s="48"/>
    </row>
    <row r="501" spans="10:10" ht="15" x14ac:dyDescent="0.2">
      <c r="J501" s="48"/>
    </row>
    <row r="502" spans="10:10" ht="15" x14ac:dyDescent="0.2">
      <c r="J502" s="48"/>
    </row>
    <row r="503" spans="10:10" ht="15" x14ac:dyDescent="0.2">
      <c r="J503" s="48"/>
    </row>
    <row r="504" spans="10:10" ht="15" x14ac:dyDescent="0.2">
      <c r="J504" s="48"/>
    </row>
    <row r="505" spans="10:10" ht="15" x14ac:dyDescent="0.2">
      <c r="J505" s="48"/>
    </row>
    <row r="506" spans="10:10" ht="15" x14ac:dyDescent="0.2">
      <c r="J506" s="48"/>
    </row>
    <row r="507" spans="10:10" ht="15" x14ac:dyDescent="0.2">
      <c r="J507" s="48"/>
    </row>
    <row r="508" spans="10:10" ht="15" x14ac:dyDescent="0.2">
      <c r="J508" s="48"/>
    </row>
    <row r="509" spans="10:10" ht="15" x14ac:dyDescent="0.2">
      <c r="J509" s="48"/>
    </row>
    <row r="510" spans="10:10" ht="15" x14ac:dyDescent="0.2">
      <c r="J510" s="48"/>
    </row>
    <row r="511" spans="10:10" ht="15" x14ac:dyDescent="0.2">
      <c r="J511" s="48"/>
    </row>
    <row r="512" spans="10:10" ht="15" x14ac:dyDescent="0.2">
      <c r="J512" s="48"/>
    </row>
    <row r="513" spans="10:10" ht="15" x14ac:dyDescent="0.2">
      <c r="J513" s="48"/>
    </row>
    <row r="514" spans="10:10" ht="15" x14ac:dyDescent="0.2">
      <c r="J514" s="48"/>
    </row>
    <row r="515" spans="10:10" ht="15" x14ac:dyDescent="0.2">
      <c r="J515" s="48"/>
    </row>
    <row r="516" spans="10:10" ht="15" x14ac:dyDescent="0.2">
      <c r="J516" s="48"/>
    </row>
    <row r="517" spans="10:10" ht="15" x14ac:dyDescent="0.2">
      <c r="J517" s="48"/>
    </row>
    <row r="518" spans="10:10" ht="15" x14ac:dyDescent="0.2">
      <c r="J518" s="48"/>
    </row>
    <row r="519" spans="10:10" ht="15" x14ac:dyDescent="0.2">
      <c r="J519" s="48"/>
    </row>
    <row r="520" spans="10:10" ht="15" x14ac:dyDescent="0.2">
      <c r="J520" s="48"/>
    </row>
    <row r="521" spans="10:10" ht="15" x14ac:dyDescent="0.2">
      <c r="J521" s="48"/>
    </row>
    <row r="522" spans="10:10" ht="15" x14ac:dyDescent="0.2">
      <c r="J522" s="48"/>
    </row>
    <row r="523" spans="10:10" ht="15" x14ac:dyDescent="0.2">
      <c r="J523" s="48"/>
    </row>
    <row r="524" spans="10:10" ht="15" x14ac:dyDescent="0.2">
      <c r="J524" s="48"/>
    </row>
    <row r="525" spans="10:10" ht="15" x14ac:dyDescent="0.2">
      <c r="J525" s="48"/>
    </row>
    <row r="526" spans="10:10" ht="15" x14ac:dyDescent="0.2">
      <c r="J526" s="48"/>
    </row>
    <row r="527" spans="10:10" ht="15" x14ac:dyDescent="0.2">
      <c r="J527" s="48"/>
    </row>
    <row r="528" spans="10:10" ht="15" x14ac:dyDescent="0.2">
      <c r="J528" s="48"/>
    </row>
    <row r="529" spans="10:10" ht="15" x14ac:dyDescent="0.2">
      <c r="J529" s="48"/>
    </row>
    <row r="530" spans="10:10" ht="15" x14ac:dyDescent="0.2">
      <c r="J530" s="48"/>
    </row>
    <row r="531" spans="10:10" ht="15" x14ac:dyDescent="0.2">
      <c r="J531" s="48"/>
    </row>
    <row r="532" spans="10:10" ht="15" x14ac:dyDescent="0.2">
      <c r="J532" s="48"/>
    </row>
    <row r="533" spans="10:10" ht="15" x14ac:dyDescent="0.2">
      <c r="J533" s="48"/>
    </row>
    <row r="534" spans="10:10" ht="15" x14ac:dyDescent="0.2">
      <c r="J534" s="48"/>
    </row>
    <row r="535" spans="10:10" ht="15" x14ac:dyDescent="0.2">
      <c r="J535" s="48"/>
    </row>
    <row r="536" spans="10:10" ht="15" x14ac:dyDescent="0.2">
      <c r="J536" s="48"/>
    </row>
    <row r="537" spans="10:10" ht="15" x14ac:dyDescent="0.2">
      <c r="J537" s="48"/>
    </row>
    <row r="538" spans="10:10" ht="15" x14ac:dyDescent="0.2">
      <c r="J538" s="48"/>
    </row>
    <row r="539" spans="10:10" ht="15" x14ac:dyDescent="0.2">
      <c r="J539" s="48"/>
    </row>
    <row r="540" spans="10:10" ht="15" x14ac:dyDescent="0.2">
      <c r="J540" s="48"/>
    </row>
    <row r="541" spans="10:10" ht="15" x14ac:dyDescent="0.2">
      <c r="J541" s="48"/>
    </row>
    <row r="542" spans="10:10" ht="15" x14ac:dyDescent="0.2">
      <c r="J542" s="48"/>
    </row>
    <row r="543" spans="10:10" ht="15" x14ac:dyDescent="0.2">
      <c r="J543" s="48"/>
    </row>
    <row r="544" spans="10:10" ht="15" x14ac:dyDescent="0.2">
      <c r="J544" s="48"/>
    </row>
    <row r="545" spans="10:10" ht="15" x14ac:dyDescent="0.2">
      <c r="J545" s="48"/>
    </row>
    <row r="546" spans="10:10" ht="15" x14ac:dyDescent="0.2">
      <c r="J546" s="48"/>
    </row>
    <row r="547" spans="10:10" ht="15" x14ac:dyDescent="0.2">
      <c r="J547" s="48"/>
    </row>
    <row r="548" spans="10:10" ht="15" x14ac:dyDescent="0.2">
      <c r="J548" s="48"/>
    </row>
    <row r="549" spans="10:10" ht="15" x14ac:dyDescent="0.2">
      <c r="J549" s="48"/>
    </row>
    <row r="550" spans="10:10" ht="15" x14ac:dyDescent="0.2">
      <c r="J550" s="48"/>
    </row>
    <row r="551" spans="10:10" ht="15" x14ac:dyDescent="0.2">
      <c r="J551" s="48"/>
    </row>
    <row r="552" spans="10:10" ht="15" x14ac:dyDescent="0.2">
      <c r="J552" s="48"/>
    </row>
    <row r="553" spans="10:10" ht="15" x14ac:dyDescent="0.2">
      <c r="J553" s="48"/>
    </row>
    <row r="554" spans="10:10" ht="15" x14ac:dyDescent="0.2">
      <c r="J554" s="48"/>
    </row>
    <row r="555" spans="10:10" ht="15" x14ac:dyDescent="0.2">
      <c r="J555" s="48"/>
    </row>
    <row r="556" spans="10:10" ht="15" x14ac:dyDescent="0.2">
      <c r="J556" s="48"/>
    </row>
    <row r="557" spans="10:10" ht="15" x14ac:dyDescent="0.2">
      <c r="J557" s="48"/>
    </row>
    <row r="558" spans="10:10" ht="15" x14ac:dyDescent="0.2">
      <c r="J558" s="48"/>
    </row>
    <row r="559" spans="10:10" ht="15" x14ac:dyDescent="0.2">
      <c r="J559" s="48"/>
    </row>
    <row r="560" spans="10:10" ht="15" x14ac:dyDescent="0.2">
      <c r="J560" s="48"/>
    </row>
    <row r="561" spans="10:10" ht="15" x14ac:dyDescent="0.2">
      <c r="J561" s="48"/>
    </row>
    <row r="562" spans="10:10" ht="15" x14ac:dyDescent="0.2">
      <c r="J562" s="48"/>
    </row>
    <row r="563" spans="10:10" ht="15" x14ac:dyDescent="0.2">
      <c r="J563" s="48"/>
    </row>
    <row r="564" spans="10:10" ht="15" x14ac:dyDescent="0.2">
      <c r="J564" s="48"/>
    </row>
    <row r="565" spans="10:10" ht="15" x14ac:dyDescent="0.2">
      <c r="J565" s="48"/>
    </row>
    <row r="566" spans="10:10" ht="15" x14ac:dyDescent="0.2">
      <c r="J566" s="48"/>
    </row>
    <row r="567" spans="10:10" ht="15" x14ac:dyDescent="0.2">
      <c r="J567" s="48"/>
    </row>
    <row r="568" spans="10:10" ht="15" x14ac:dyDescent="0.2">
      <c r="J568" s="48"/>
    </row>
    <row r="569" spans="10:10" ht="15" x14ac:dyDescent="0.2">
      <c r="J569" s="48"/>
    </row>
    <row r="570" spans="10:10" ht="15" x14ac:dyDescent="0.2">
      <c r="J570" s="48"/>
    </row>
    <row r="571" spans="10:10" ht="15" x14ac:dyDescent="0.2">
      <c r="J571" s="48"/>
    </row>
    <row r="572" spans="10:10" ht="15" x14ac:dyDescent="0.2">
      <c r="J572" s="48"/>
    </row>
    <row r="573" spans="10:10" ht="15" x14ac:dyDescent="0.2">
      <c r="J573" s="48"/>
    </row>
    <row r="574" spans="10:10" ht="15" x14ac:dyDescent="0.2">
      <c r="J574" s="48"/>
    </row>
    <row r="575" spans="10:10" ht="15" x14ac:dyDescent="0.2">
      <c r="J575" s="48"/>
    </row>
    <row r="576" spans="10:10" ht="15" x14ac:dyDescent="0.2">
      <c r="J576" s="48"/>
    </row>
    <row r="577" spans="10:10" ht="15" x14ac:dyDescent="0.2">
      <c r="J577" s="48"/>
    </row>
    <row r="578" spans="10:10" ht="15" x14ac:dyDescent="0.2">
      <c r="J578" s="48"/>
    </row>
    <row r="579" spans="10:10" ht="15" x14ac:dyDescent="0.2">
      <c r="J579" s="48"/>
    </row>
    <row r="580" spans="10:10" ht="15" x14ac:dyDescent="0.2">
      <c r="J580" s="48"/>
    </row>
    <row r="581" spans="10:10" ht="15" x14ac:dyDescent="0.2">
      <c r="J581" s="48"/>
    </row>
    <row r="582" spans="10:10" ht="15" x14ac:dyDescent="0.2">
      <c r="J582" s="48"/>
    </row>
    <row r="583" spans="10:10" ht="15" x14ac:dyDescent="0.2">
      <c r="J583" s="48"/>
    </row>
    <row r="584" spans="10:10" ht="15" x14ac:dyDescent="0.2">
      <c r="J584" s="48"/>
    </row>
    <row r="585" spans="10:10" ht="15" x14ac:dyDescent="0.2">
      <c r="J585" s="48"/>
    </row>
    <row r="586" spans="10:10" ht="15" x14ac:dyDescent="0.2">
      <c r="J586" s="48"/>
    </row>
    <row r="587" spans="10:10" ht="15" x14ac:dyDescent="0.2">
      <c r="J587" s="48"/>
    </row>
    <row r="588" spans="10:10" ht="15" x14ac:dyDescent="0.2">
      <c r="J588" s="48"/>
    </row>
    <row r="589" spans="10:10" ht="15" x14ac:dyDescent="0.2">
      <c r="J589" s="48"/>
    </row>
    <row r="590" spans="10:10" ht="15" x14ac:dyDescent="0.2">
      <c r="J590" s="48"/>
    </row>
    <row r="591" spans="10:10" ht="15" x14ac:dyDescent="0.2">
      <c r="J591" s="48"/>
    </row>
    <row r="592" spans="10:10" ht="15" x14ac:dyDescent="0.2">
      <c r="J592" s="48"/>
    </row>
    <row r="593" spans="10:10" ht="15" x14ac:dyDescent="0.2">
      <c r="J593" s="48"/>
    </row>
    <row r="594" spans="10:10" ht="15" x14ac:dyDescent="0.2">
      <c r="J594" s="48"/>
    </row>
    <row r="595" spans="10:10" ht="15" x14ac:dyDescent="0.2">
      <c r="J595" s="48"/>
    </row>
    <row r="596" spans="10:10" ht="15" x14ac:dyDescent="0.2">
      <c r="J596" s="48"/>
    </row>
    <row r="597" spans="10:10" ht="15" x14ac:dyDescent="0.2">
      <c r="J597" s="48"/>
    </row>
    <row r="598" spans="10:10" ht="15" x14ac:dyDescent="0.2">
      <c r="J598" s="48"/>
    </row>
    <row r="599" spans="10:10" ht="15" x14ac:dyDescent="0.2">
      <c r="J599" s="48"/>
    </row>
    <row r="600" spans="10:10" ht="15" x14ac:dyDescent="0.2">
      <c r="J600" s="48"/>
    </row>
    <row r="601" spans="10:10" ht="15" x14ac:dyDescent="0.2">
      <c r="J601" s="48"/>
    </row>
    <row r="602" spans="10:10" ht="15" x14ac:dyDescent="0.2">
      <c r="J602" s="48"/>
    </row>
    <row r="603" spans="10:10" ht="15" x14ac:dyDescent="0.2">
      <c r="J603" s="48"/>
    </row>
    <row r="604" spans="10:10" ht="15" x14ac:dyDescent="0.2">
      <c r="J604" s="48"/>
    </row>
    <row r="605" spans="10:10" ht="15" x14ac:dyDescent="0.2">
      <c r="J605" s="48"/>
    </row>
    <row r="606" spans="10:10" ht="15" x14ac:dyDescent="0.2">
      <c r="J606" s="48"/>
    </row>
    <row r="607" spans="10:10" ht="15" x14ac:dyDescent="0.2">
      <c r="J607" s="48"/>
    </row>
    <row r="608" spans="10:10" ht="15" x14ac:dyDescent="0.2">
      <c r="J608" s="48"/>
    </row>
    <row r="609" spans="10:10" ht="15" x14ac:dyDescent="0.2">
      <c r="J609" s="48"/>
    </row>
    <row r="610" spans="10:10" ht="15" x14ac:dyDescent="0.2">
      <c r="J610" s="48"/>
    </row>
    <row r="611" spans="10:10" ht="15" x14ac:dyDescent="0.2">
      <c r="J611" s="48"/>
    </row>
    <row r="612" spans="10:10" ht="15" x14ac:dyDescent="0.2">
      <c r="J612" s="48"/>
    </row>
    <row r="613" spans="10:10" ht="15" x14ac:dyDescent="0.2">
      <c r="J613" s="48"/>
    </row>
    <row r="614" spans="10:10" ht="15" x14ac:dyDescent="0.2">
      <c r="J614" s="48"/>
    </row>
    <row r="615" spans="10:10" ht="15" x14ac:dyDescent="0.2">
      <c r="J615" s="48"/>
    </row>
    <row r="616" spans="10:10" ht="15" x14ac:dyDescent="0.2">
      <c r="J616" s="48"/>
    </row>
    <row r="617" spans="10:10" ht="15" x14ac:dyDescent="0.2">
      <c r="J617" s="48"/>
    </row>
    <row r="618" spans="10:10" ht="15" x14ac:dyDescent="0.2">
      <c r="J618" s="48"/>
    </row>
    <row r="619" spans="10:10" ht="15" x14ac:dyDescent="0.2">
      <c r="J619" s="48"/>
    </row>
    <row r="620" spans="10:10" ht="15" x14ac:dyDescent="0.2">
      <c r="J620" s="48"/>
    </row>
    <row r="621" spans="10:10" ht="15" x14ac:dyDescent="0.2">
      <c r="J621" s="48"/>
    </row>
    <row r="622" spans="10:10" ht="15" x14ac:dyDescent="0.2">
      <c r="J622" s="48"/>
    </row>
    <row r="623" spans="10:10" ht="15" x14ac:dyDescent="0.2">
      <c r="J623" s="48"/>
    </row>
    <row r="624" spans="10:10" ht="15" x14ac:dyDescent="0.2">
      <c r="J624" s="48"/>
    </row>
    <row r="625" spans="10:10" ht="15" x14ac:dyDescent="0.2">
      <c r="J625" s="48"/>
    </row>
    <row r="626" spans="10:10" ht="15" x14ac:dyDescent="0.2">
      <c r="J626" s="48"/>
    </row>
    <row r="627" spans="10:10" ht="15" x14ac:dyDescent="0.2">
      <c r="J627" s="48"/>
    </row>
    <row r="628" spans="10:10" ht="15" x14ac:dyDescent="0.2">
      <c r="J628" s="48"/>
    </row>
    <row r="629" spans="10:10" ht="15" x14ac:dyDescent="0.2">
      <c r="J629" s="48"/>
    </row>
    <row r="630" spans="10:10" ht="15" x14ac:dyDescent="0.2">
      <c r="J630" s="48"/>
    </row>
    <row r="631" spans="10:10" ht="15" x14ac:dyDescent="0.2">
      <c r="J631" s="48"/>
    </row>
    <row r="632" spans="10:10" ht="15" x14ac:dyDescent="0.2">
      <c r="J632" s="48"/>
    </row>
    <row r="633" spans="10:10" ht="15" x14ac:dyDescent="0.2">
      <c r="J633" s="48"/>
    </row>
    <row r="634" spans="10:10" ht="15" x14ac:dyDescent="0.2">
      <c r="J634" s="48"/>
    </row>
    <row r="635" spans="10:10" ht="15" x14ac:dyDescent="0.2">
      <c r="J635" s="48"/>
    </row>
    <row r="636" spans="10:10" ht="15" x14ac:dyDescent="0.2">
      <c r="J636" s="48"/>
    </row>
    <row r="637" spans="10:10" ht="15" x14ac:dyDescent="0.2">
      <c r="J637" s="48"/>
    </row>
    <row r="638" spans="10:10" ht="15" x14ac:dyDescent="0.2">
      <c r="J638" s="48"/>
    </row>
    <row r="639" spans="10:10" ht="15" x14ac:dyDescent="0.2">
      <c r="J639" s="48"/>
    </row>
    <row r="640" spans="10:10" ht="15" x14ac:dyDescent="0.2">
      <c r="J640" s="48"/>
    </row>
    <row r="641" spans="10:10" ht="15" x14ac:dyDescent="0.2">
      <c r="J641" s="48"/>
    </row>
    <row r="642" spans="10:10" ht="15" x14ac:dyDescent="0.2">
      <c r="J642" s="48"/>
    </row>
    <row r="643" spans="10:10" ht="15" x14ac:dyDescent="0.2">
      <c r="J643" s="48"/>
    </row>
    <row r="644" spans="10:10" ht="15" x14ac:dyDescent="0.2">
      <c r="J644" s="48"/>
    </row>
    <row r="645" spans="10:10" ht="15" x14ac:dyDescent="0.2">
      <c r="J645" s="48"/>
    </row>
    <row r="646" spans="10:10" ht="15" x14ac:dyDescent="0.2">
      <c r="J646" s="48"/>
    </row>
    <row r="647" spans="10:10" ht="15" x14ac:dyDescent="0.2">
      <c r="J647" s="48"/>
    </row>
    <row r="648" spans="10:10" ht="15" x14ac:dyDescent="0.2">
      <c r="J648" s="48"/>
    </row>
    <row r="649" spans="10:10" ht="15" x14ac:dyDescent="0.2">
      <c r="J649" s="48"/>
    </row>
    <row r="650" spans="10:10" ht="15" x14ac:dyDescent="0.2">
      <c r="J650" s="48"/>
    </row>
    <row r="651" spans="10:10" ht="15" x14ac:dyDescent="0.2">
      <c r="J651" s="48"/>
    </row>
    <row r="652" spans="10:10" ht="15" x14ac:dyDescent="0.2">
      <c r="J652" s="48"/>
    </row>
    <row r="653" spans="10:10" ht="15" x14ac:dyDescent="0.2">
      <c r="J653" s="48"/>
    </row>
    <row r="654" spans="10:10" ht="15" x14ac:dyDescent="0.2">
      <c r="J654" s="48"/>
    </row>
    <row r="655" spans="10:10" ht="15" x14ac:dyDescent="0.2">
      <c r="J655" s="48"/>
    </row>
    <row r="656" spans="10:10" ht="15" x14ac:dyDescent="0.2">
      <c r="J656" s="48"/>
    </row>
    <row r="657" spans="10:10" ht="15" x14ac:dyDescent="0.2">
      <c r="J657" s="48"/>
    </row>
    <row r="658" spans="10:10" ht="15" x14ac:dyDescent="0.2">
      <c r="J658" s="48"/>
    </row>
    <row r="659" spans="10:10" ht="15" x14ac:dyDescent="0.2">
      <c r="J659" s="48"/>
    </row>
    <row r="660" spans="10:10" ht="15" x14ac:dyDescent="0.2">
      <c r="J660" s="48"/>
    </row>
    <row r="661" spans="10:10" ht="15" x14ac:dyDescent="0.2">
      <c r="J661" s="48"/>
    </row>
    <row r="662" spans="10:10" ht="15" x14ac:dyDescent="0.2">
      <c r="J662" s="48"/>
    </row>
    <row r="663" spans="10:10" ht="15" x14ac:dyDescent="0.2">
      <c r="J663" s="48"/>
    </row>
    <row r="664" spans="10:10" ht="15" x14ac:dyDescent="0.2">
      <c r="J664" s="48"/>
    </row>
    <row r="665" spans="10:10" ht="15" x14ac:dyDescent="0.2">
      <c r="J665" s="48"/>
    </row>
    <row r="666" spans="10:10" ht="15" x14ac:dyDescent="0.2">
      <c r="J666" s="48"/>
    </row>
    <row r="667" spans="10:10" ht="15" x14ac:dyDescent="0.2">
      <c r="J667" s="48"/>
    </row>
    <row r="668" spans="10:10" ht="15" x14ac:dyDescent="0.2">
      <c r="J668" s="48"/>
    </row>
    <row r="669" spans="10:10" ht="15" x14ac:dyDescent="0.2">
      <c r="J669" s="48"/>
    </row>
    <row r="670" spans="10:10" ht="15" x14ac:dyDescent="0.2">
      <c r="J670" s="48"/>
    </row>
    <row r="671" spans="10:10" ht="15" x14ac:dyDescent="0.2">
      <c r="J671" s="48"/>
    </row>
    <row r="672" spans="10:10" ht="15" x14ac:dyDescent="0.2">
      <c r="J672" s="48"/>
    </row>
    <row r="673" spans="10:10" ht="15" x14ac:dyDescent="0.2">
      <c r="J673" s="48"/>
    </row>
    <row r="674" spans="10:10" ht="15" x14ac:dyDescent="0.2">
      <c r="J674" s="48"/>
    </row>
    <row r="675" spans="10:10" ht="15" x14ac:dyDescent="0.2">
      <c r="J675" s="48"/>
    </row>
    <row r="676" spans="10:10" ht="15" x14ac:dyDescent="0.2">
      <c r="J676" s="48"/>
    </row>
    <row r="677" spans="10:10" ht="15" x14ac:dyDescent="0.2">
      <c r="J677" s="48"/>
    </row>
    <row r="678" spans="10:10" ht="15" x14ac:dyDescent="0.2">
      <c r="J678" s="48"/>
    </row>
    <row r="679" spans="10:10" ht="15" x14ac:dyDescent="0.2">
      <c r="J679" s="48"/>
    </row>
    <row r="680" spans="10:10" ht="15" x14ac:dyDescent="0.2">
      <c r="J680" s="48"/>
    </row>
    <row r="681" spans="10:10" ht="15" x14ac:dyDescent="0.2">
      <c r="J681" s="48"/>
    </row>
    <row r="682" spans="10:10" ht="15" x14ac:dyDescent="0.2">
      <c r="J682" s="48"/>
    </row>
    <row r="683" spans="10:10" ht="15" x14ac:dyDescent="0.2">
      <c r="J683" s="48"/>
    </row>
    <row r="684" spans="10:10" ht="15" x14ac:dyDescent="0.2">
      <c r="J684" s="48"/>
    </row>
    <row r="685" spans="10:10" ht="15" x14ac:dyDescent="0.2">
      <c r="J685" s="48"/>
    </row>
    <row r="686" spans="10:10" ht="15" x14ac:dyDescent="0.2">
      <c r="J686" s="48"/>
    </row>
    <row r="687" spans="10:10" ht="15" x14ac:dyDescent="0.2">
      <c r="J687" s="48"/>
    </row>
    <row r="688" spans="10:10" ht="15" x14ac:dyDescent="0.2">
      <c r="J688" s="48"/>
    </row>
    <row r="689" spans="10:10" ht="15" x14ac:dyDescent="0.2">
      <c r="J689" s="48"/>
    </row>
    <row r="690" spans="10:10" ht="15" x14ac:dyDescent="0.2">
      <c r="J690" s="48"/>
    </row>
    <row r="691" spans="10:10" ht="15" x14ac:dyDescent="0.2">
      <c r="J691" s="48"/>
    </row>
    <row r="692" spans="10:10" ht="15" x14ac:dyDescent="0.2">
      <c r="J692" s="48"/>
    </row>
    <row r="693" spans="10:10" ht="15" x14ac:dyDescent="0.2">
      <c r="J693" s="48"/>
    </row>
    <row r="694" spans="10:10" ht="15" x14ac:dyDescent="0.2">
      <c r="J694" s="48"/>
    </row>
    <row r="695" spans="10:10" ht="15" x14ac:dyDescent="0.2">
      <c r="J695" s="48"/>
    </row>
    <row r="696" spans="10:10" ht="15" x14ac:dyDescent="0.2">
      <c r="J696" s="48"/>
    </row>
    <row r="697" spans="10:10" ht="15" x14ac:dyDescent="0.2">
      <c r="J697" s="48"/>
    </row>
    <row r="698" spans="10:10" ht="15" x14ac:dyDescent="0.2">
      <c r="J698" s="48"/>
    </row>
    <row r="699" spans="10:10" ht="15" x14ac:dyDescent="0.2">
      <c r="J699" s="48"/>
    </row>
    <row r="700" spans="10:10" ht="15" x14ac:dyDescent="0.2">
      <c r="J700" s="48"/>
    </row>
    <row r="701" spans="10:10" ht="15" x14ac:dyDescent="0.2">
      <c r="J701" s="48"/>
    </row>
    <row r="702" spans="10:10" ht="15" x14ac:dyDescent="0.2">
      <c r="J702" s="48"/>
    </row>
    <row r="703" spans="10:10" ht="15" x14ac:dyDescent="0.2">
      <c r="J703" s="48"/>
    </row>
    <row r="704" spans="10:10" ht="15" x14ac:dyDescent="0.2">
      <c r="J704" s="48"/>
    </row>
    <row r="705" spans="10:10" ht="15" x14ac:dyDescent="0.2">
      <c r="J705" s="48"/>
    </row>
    <row r="706" spans="10:10" ht="15" x14ac:dyDescent="0.2">
      <c r="J706" s="48"/>
    </row>
    <row r="707" spans="10:10" ht="15" x14ac:dyDescent="0.2">
      <c r="J707" s="48"/>
    </row>
    <row r="708" spans="10:10" ht="15" x14ac:dyDescent="0.2">
      <c r="J708" s="48"/>
    </row>
    <row r="709" spans="10:10" ht="15" x14ac:dyDescent="0.2">
      <c r="J709" s="48"/>
    </row>
    <row r="710" spans="10:10" ht="15" x14ac:dyDescent="0.2">
      <c r="J710" s="48"/>
    </row>
    <row r="711" spans="10:10" ht="15" x14ac:dyDescent="0.2">
      <c r="J711" s="48"/>
    </row>
    <row r="712" spans="10:10" ht="15" x14ac:dyDescent="0.2">
      <c r="J712" s="48"/>
    </row>
    <row r="713" spans="10:10" ht="15" x14ac:dyDescent="0.2">
      <c r="J713" s="48"/>
    </row>
    <row r="714" spans="10:10" ht="15" x14ac:dyDescent="0.2">
      <c r="J714" s="48"/>
    </row>
    <row r="715" spans="10:10" ht="15" x14ac:dyDescent="0.2">
      <c r="J715" s="48"/>
    </row>
    <row r="716" spans="10:10" ht="15" x14ac:dyDescent="0.2">
      <c r="J716" s="48"/>
    </row>
    <row r="717" spans="10:10" ht="15" x14ac:dyDescent="0.2">
      <c r="J717" s="48"/>
    </row>
    <row r="718" spans="10:10" ht="15" x14ac:dyDescent="0.2">
      <c r="J718" s="48"/>
    </row>
    <row r="719" spans="10:10" ht="15" x14ac:dyDescent="0.2">
      <c r="J719" s="48"/>
    </row>
    <row r="720" spans="10:10" ht="15" x14ac:dyDescent="0.2">
      <c r="J720" s="48"/>
    </row>
    <row r="721" spans="10:10" ht="15" x14ac:dyDescent="0.2">
      <c r="J721" s="48"/>
    </row>
    <row r="722" spans="10:10" ht="15" x14ac:dyDescent="0.2">
      <c r="J722" s="48"/>
    </row>
    <row r="723" spans="10:10" ht="15" x14ac:dyDescent="0.2">
      <c r="J723" s="48"/>
    </row>
    <row r="724" spans="10:10" ht="15" x14ac:dyDescent="0.2">
      <c r="J724" s="48"/>
    </row>
    <row r="725" spans="10:10" ht="15" x14ac:dyDescent="0.2">
      <c r="J725" s="48"/>
    </row>
    <row r="726" spans="10:10" ht="15" x14ac:dyDescent="0.2">
      <c r="J726" s="48"/>
    </row>
    <row r="727" spans="10:10" ht="15" x14ac:dyDescent="0.2">
      <c r="J727" s="48"/>
    </row>
    <row r="728" spans="10:10" ht="15" x14ac:dyDescent="0.2">
      <c r="J728" s="48"/>
    </row>
    <row r="729" spans="10:10" ht="15" x14ac:dyDescent="0.2">
      <c r="J729" s="48"/>
    </row>
    <row r="730" spans="10:10" ht="15" x14ac:dyDescent="0.2">
      <c r="J730" s="48"/>
    </row>
    <row r="731" spans="10:10" ht="15" x14ac:dyDescent="0.2">
      <c r="J731" s="48"/>
    </row>
    <row r="732" spans="10:10" ht="15" x14ac:dyDescent="0.2">
      <c r="J732" s="48"/>
    </row>
    <row r="733" spans="10:10" ht="15" x14ac:dyDescent="0.2">
      <c r="J733" s="48"/>
    </row>
    <row r="734" spans="10:10" ht="15" x14ac:dyDescent="0.2">
      <c r="J734" s="48"/>
    </row>
    <row r="735" spans="10:10" ht="15" x14ac:dyDescent="0.2">
      <c r="J735" s="48"/>
    </row>
    <row r="736" spans="10:10" ht="15" x14ac:dyDescent="0.2">
      <c r="J736" s="48"/>
    </row>
    <row r="737" spans="10:10" ht="15" x14ac:dyDescent="0.2">
      <c r="J737" s="48"/>
    </row>
    <row r="738" spans="10:10" ht="15" x14ac:dyDescent="0.2">
      <c r="J738" s="48"/>
    </row>
    <row r="739" spans="10:10" ht="15" x14ac:dyDescent="0.2">
      <c r="J739" s="48"/>
    </row>
    <row r="740" spans="10:10" ht="15" x14ac:dyDescent="0.2">
      <c r="J740" s="48"/>
    </row>
    <row r="741" spans="10:10" ht="15" x14ac:dyDescent="0.2">
      <c r="J741" s="48"/>
    </row>
    <row r="742" spans="10:10" ht="15" x14ac:dyDescent="0.2">
      <c r="J742" s="48"/>
    </row>
    <row r="743" spans="10:10" ht="15" x14ac:dyDescent="0.2">
      <c r="J743" s="48"/>
    </row>
    <row r="744" spans="10:10" ht="15" x14ac:dyDescent="0.2">
      <c r="J744" s="48"/>
    </row>
    <row r="745" spans="10:10" ht="15" x14ac:dyDescent="0.2">
      <c r="J745" s="48"/>
    </row>
    <row r="746" spans="10:10" ht="15" x14ac:dyDescent="0.2">
      <c r="J746" s="48"/>
    </row>
    <row r="747" spans="10:10" ht="15" x14ac:dyDescent="0.2">
      <c r="J747" s="48"/>
    </row>
    <row r="748" spans="10:10" ht="15" x14ac:dyDescent="0.2">
      <c r="J748" s="48"/>
    </row>
    <row r="749" spans="10:10" ht="15" x14ac:dyDescent="0.2">
      <c r="J749" s="48"/>
    </row>
    <row r="750" spans="10:10" ht="15" x14ac:dyDescent="0.2">
      <c r="J750" s="48"/>
    </row>
    <row r="751" spans="10:10" ht="15" x14ac:dyDescent="0.2">
      <c r="J751" s="48"/>
    </row>
    <row r="752" spans="10:10" ht="15" x14ac:dyDescent="0.2">
      <c r="J752" s="48"/>
    </row>
    <row r="753" spans="10:10" ht="15" x14ac:dyDescent="0.2">
      <c r="J753" s="48"/>
    </row>
    <row r="754" spans="10:10" ht="15" x14ac:dyDescent="0.2">
      <c r="J754" s="48"/>
    </row>
    <row r="755" spans="10:10" ht="15" x14ac:dyDescent="0.2">
      <c r="J755" s="48"/>
    </row>
    <row r="756" spans="10:10" ht="15" x14ac:dyDescent="0.2">
      <c r="J756" s="48"/>
    </row>
    <row r="757" spans="10:10" ht="15" x14ac:dyDescent="0.2">
      <c r="J757" s="48"/>
    </row>
    <row r="758" spans="10:10" ht="15" x14ac:dyDescent="0.2">
      <c r="J758" s="48"/>
    </row>
    <row r="759" spans="10:10" ht="15" x14ac:dyDescent="0.2">
      <c r="J759" s="48"/>
    </row>
    <row r="760" spans="10:10" ht="15" x14ac:dyDescent="0.2">
      <c r="J760" s="48"/>
    </row>
    <row r="761" spans="10:10" ht="15" x14ac:dyDescent="0.2">
      <c r="J761" s="48"/>
    </row>
    <row r="762" spans="10:10" ht="15" x14ac:dyDescent="0.2">
      <c r="J762" s="48"/>
    </row>
    <row r="763" spans="10:10" ht="15" x14ac:dyDescent="0.2">
      <c r="J763" s="48"/>
    </row>
    <row r="764" spans="10:10" ht="15" x14ac:dyDescent="0.2">
      <c r="J764" s="48"/>
    </row>
    <row r="765" spans="10:10" ht="15" x14ac:dyDescent="0.2">
      <c r="J765" s="48"/>
    </row>
    <row r="766" spans="10:10" ht="15" x14ac:dyDescent="0.2">
      <c r="J766" s="48"/>
    </row>
    <row r="767" spans="10:10" ht="15" x14ac:dyDescent="0.2">
      <c r="J767" s="48"/>
    </row>
    <row r="768" spans="10:10" ht="15" x14ac:dyDescent="0.2">
      <c r="J768" s="48"/>
    </row>
    <row r="769" spans="10:10" ht="15" x14ac:dyDescent="0.2">
      <c r="J769" s="48"/>
    </row>
    <row r="770" spans="10:10" ht="15" x14ac:dyDescent="0.2">
      <c r="J770" s="48"/>
    </row>
    <row r="771" spans="10:10" ht="15" x14ac:dyDescent="0.2">
      <c r="J771" s="48"/>
    </row>
    <row r="772" spans="10:10" ht="15" x14ac:dyDescent="0.2">
      <c r="J772" s="48"/>
    </row>
    <row r="773" spans="10:10" ht="15" x14ac:dyDescent="0.2">
      <c r="J773" s="48"/>
    </row>
    <row r="774" spans="10:10" ht="15" x14ac:dyDescent="0.2">
      <c r="J774" s="48"/>
    </row>
    <row r="775" spans="10:10" ht="15" x14ac:dyDescent="0.2">
      <c r="J775" s="48"/>
    </row>
    <row r="776" spans="10:10" ht="15" x14ac:dyDescent="0.2">
      <c r="J776" s="48"/>
    </row>
    <row r="777" spans="10:10" ht="15" x14ac:dyDescent="0.2">
      <c r="J777" s="48"/>
    </row>
    <row r="778" spans="10:10" ht="15" x14ac:dyDescent="0.2">
      <c r="J778" s="48"/>
    </row>
    <row r="779" spans="10:10" ht="15" x14ac:dyDescent="0.2">
      <c r="J779" s="48"/>
    </row>
    <row r="780" spans="10:10" ht="15" x14ac:dyDescent="0.2">
      <c r="J780" s="48"/>
    </row>
    <row r="781" spans="10:10" ht="15" x14ac:dyDescent="0.2">
      <c r="J781" s="48"/>
    </row>
    <row r="782" spans="10:10" ht="15" x14ac:dyDescent="0.2">
      <c r="J782" s="48"/>
    </row>
    <row r="783" spans="10:10" ht="15" x14ac:dyDescent="0.2">
      <c r="J783" s="48"/>
    </row>
    <row r="784" spans="10:10" ht="15" x14ac:dyDescent="0.2">
      <c r="J784" s="48"/>
    </row>
    <row r="785" spans="10:10" ht="15" x14ac:dyDescent="0.2">
      <c r="J785" s="48"/>
    </row>
    <row r="786" spans="10:10" ht="15" x14ac:dyDescent="0.2">
      <c r="J786" s="48"/>
    </row>
    <row r="787" spans="10:10" ht="15" x14ac:dyDescent="0.2">
      <c r="J787" s="48"/>
    </row>
    <row r="788" spans="10:10" ht="15" x14ac:dyDescent="0.2">
      <c r="J788" s="48"/>
    </row>
    <row r="789" spans="10:10" ht="15" x14ac:dyDescent="0.2">
      <c r="J789" s="48"/>
    </row>
    <row r="790" spans="10:10" ht="15" x14ac:dyDescent="0.2">
      <c r="J790" s="48"/>
    </row>
    <row r="791" spans="10:10" ht="15" x14ac:dyDescent="0.2">
      <c r="J791" s="48"/>
    </row>
    <row r="792" spans="10:10" ht="15" x14ac:dyDescent="0.2">
      <c r="J792" s="48"/>
    </row>
    <row r="793" spans="10:10" ht="15" x14ac:dyDescent="0.2">
      <c r="J793" s="48"/>
    </row>
    <row r="794" spans="10:10" ht="15" x14ac:dyDescent="0.2">
      <c r="J794" s="48"/>
    </row>
    <row r="795" spans="10:10" ht="15" x14ac:dyDescent="0.2">
      <c r="J795" s="48"/>
    </row>
    <row r="796" spans="10:10" ht="15" x14ac:dyDescent="0.2">
      <c r="J796" s="48"/>
    </row>
    <row r="797" spans="10:10" ht="15" x14ac:dyDescent="0.2">
      <c r="J797" s="48"/>
    </row>
    <row r="798" spans="10:10" ht="15" x14ac:dyDescent="0.2">
      <c r="J798" s="48"/>
    </row>
    <row r="799" spans="10:10" ht="15" x14ac:dyDescent="0.2">
      <c r="J799" s="48"/>
    </row>
    <row r="800" spans="10:10" ht="15" x14ac:dyDescent="0.2">
      <c r="J800" s="48"/>
    </row>
    <row r="801" spans="10:10" ht="15" x14ac:dyDescent="0.2">
      <c r="J801" s="48"/>
    </row>
    <row r="802" spans="10:10" ht="15" x14ac:dyDescent="0.2">
      <c r="J802" s="48"/>
    </row>
    <row r="803" spans="10:10" ht="15" x14ac:dyDescent="0.2">
      <c r="J803" s="48"/>
    </row>
    <row r="804" spans="10:10" ht="15" x14ac:dyDescent="0.2">
      <c r="J804" s="48"/>
    </row>
    <row r="805" spans="10:10" ht="15" x14ac:dyDescent="0.2">
      <c r="J805" s="48"/>
    </row>
    <row r="806" spans="10:10" ht="15" x14ac:dyDescent="0.2">
      <c r="J806" s="48"/>
    </row>
    <row r="807" spans="10:10" ht="15" x14ac:dyDescent="0.2">
      <c r="J807" s="48"/>
    </row>
    <row r="808" spans="10:10" ht="15" x14ac:dyDescent="0.2">
      <c r="J808" s="48"/>
    </row>
    <row r="809" spans="10:10" ht="15" x14ac:dyDescent="0.2">
      <c r="J809" s="48"/>
    </row>
    <row r="810" spans="10:10" ht="15" x14ac:dyDescent="0.2">
      <c r="J810" s="48"/>
    </row>
    <row r="811" spans="10:10" ht="15" x14ac:dyDescent="0.2">
      <c r="J811" s="48"/>
    </row>
    <row r="812" spans="10:10" ht="15" x14ac:dyDescent="0.2">
      <c r="J812" s="48"/>
    </row>
    <row r="813" spans="10:10" ht="15" x14ac:dyDescent="0.2">
      <c r="J813" s="48"/>
    </row>
    <row r="814" spans="10:10" ht="15" x14ac:dyDescent="0.2">
      <c r="J814" s="48"/>
    </row>
    <row r="815" spans="10:10" ht="15" x14ac:dyDescent="0.2">
      <c r="J815" s="48"/>
    </row>
    <row r="816" spans="10:10" ht="15" x14ac:dyDescent="0.2">
      <c r="J816" s="48"/>
    </row>
    <row r="817" spans="10:10" ht="15" x14ac:dyDescent="0.2">
      <c r="J817" s="48"/>
    </row>
    <row r="818" spans="10:10" ht="15" x14ac:dyDescent="0.2">
      <c r="J818" s="48"/>
    </row>
    <row r="819" spans="10:10" ht="15" x14ac:dyDescent="0.2">
      <c r="J819" s="48"/>
    </row>
    <row r="820" spans="10:10" ht="15" x14ac:dyDescent="0.2">
      <c r="J820" s="48"/>
    </row>
    <row r="821" spans="10:10" ht="15" x14ac:dyDescent="0.2">
      <c r="J821" s="48"/>
    </row>
    <row r="822" spans="10:10" ht="15" x14ac:dyDescent="0.2">
      <c r="J822" s="48"/>
    </row>
    <row r="823" spans="10:10" ht="15" x14ac:dyDescent="0.2">
      <c r="J823" s="48"/>
    </row>
    <row r="824" spans="10:10" ht="15" x14ac:dyDescent="0.2">
      <c r="J824" s="48"/>
    </row>
    <row r="825" spans="10:10" ht="15" x14ac:dyDescent="0.2">
      <c r="J825" s="48"/>
    </row>
    <row r="826" spans="10:10" ht="15" x14ac:dyDescent="0.2">
      <c r="J826" s="48"/>
    </row>
    <row r="827" spans="10:10" ht="15" x14ac:dyDescent="0.2">
      <c r="J827" s="48"/>
    </row>
    <row r="828" spans="10:10" ht="15" x14ac:dyDescent="0.2">
      <c r="J828" s="48"/>
    </row>
    <row r="829" spans="10:10" ht="15" x14ac:dyDescent="0.2">
      <c r="J829" s="48"/>
    </row>
    <row r="830" spans="10:10" ht="15" x14ac:dyDescent="0.2">
      <c r="J830" s="48"/>
    </row>
    <row r="831" spans="10:10" ht="15" x14ac:dyDescent="0.2">
      <c r="J831" s="48"/>
    </row>
    <row r="832" spans="10:10" ht="15" x14ac:dyDescent="0.2">
      <c r="J832" s="48"/>
    </row>
    <row r="833" spans="10:10" ht="15" x14ac:dyDescent="0.2">
      <c r="J833" s="48"/>
    </row>
    <row r="834" spans="10:10" ht="15" x14ac:dyDescent="0.2">
      <c r="J834" s="48"/>
    </row>
    <row r="835" spans="10:10" ht="15" x14ac:dyDescent="0.2">
      <c r="J835" s="48"/>
    </row>
    <row r="836" spans="10:10" ht="15" x14ac:dyDescent="0.2">
      <c r="J836" s="48"/>
    </row>
    <row r="837" spans="10:10" ht="15" x14ac:dyDescent="0.2">
      <c r="J837" s="48"/>
    </row>
    <row r="838" spans="10:10" ht="15" x14ac:dyDescent="0.2">
      <c r="J838" s="48"/>
    </row>
    <row r="839" spans="10:10" ht="15" x14ac:dyDescent="0.2">
      <c r="J839" s="48"/>
    </row>
    <row r="840" spans="10:10" ht="15" x14ac:dyDescent="0.2">
      <c r="J840" s="48"/>
    </row>
    <row r="841" spans="10:10" ht="15" x14ac:dyDescent="0.2">
      <c r="J841" s="48"/>
    </row>
    <row r="842" spans="10:10" ht="15" x14ac:dyDescent="0.2">
      <c r="J842" s="48"/>
    </row>
    <row r="843" spans="10:10" ht="15" x14ac:dyDescent="0.2">
      <c r="J843" s="48"/>
    </row>
    <row r="844" spans="10:10" ht="15" x14ac:dyDescent="0.2">
      <c r="J844" s="48"/>
    </row>
    <row r="845" spans="10:10" ht="15" x14ac:dyDescent="0.2">
      <c r="J845" s="48"/>
    </row>
    <row r="846" spans="10:10" ht="15" x14ac:dyDescent="0.2">
      <c r="J846" s="48"/>
    </row>
    <row r="847" spans="10:10" ht="15" x14ac:dyDescent="0.2">
      <c r="J847" s="48"/>
    </row>
    <row r="848" spans="10:10" ht="15" x14ac:dyDescent="0.2">
      <c r="J848" s="48"/>
    </row>
    <row r="849" spans="10:10" ht="15" x14ac:dyDescent="0.2">
      <c r="J849" s="48"/>
    </row>
    <row r="850" spans="10:10" ht="15" x14ac:dyDescent="0.2">
      <c r="J850" s="48"/>
    </row>
    <row r="851" spans="10:10" ht="15" x14ac:dyDescent="0.2">
      <c r="J851" s="48"/>
    </row>
    <row r="852" spans="10:10" ht="15" x14ac:dyDescent="0.2">
      <c r="J852" s="48"/>
    </row>
    <row r="853" spans="10:10" ht="15" x14ac:dyDescent="0.2">
      <c r="J853" s="48"/>
    </row>
    <row r="854" spans="10:10" ht="15" x14ac:dyDescent="0.2">
      <c r="J854" s="48"/>
    </row>
    <row r="855" spans="10:10" ht="15" x14ac:dyDescent="0.2">
      <c r="J855" s="48"/>
    </row>
    <row r="856" spans="10:10" ht="15" x14ac:dyDescent="0.2">
      <c r="J856" s="48"/>
    </row>
    <row r="857" spans="10:10" ht="15" x14ac:dyDescent="0.2">
      <c r="J857" s="48"/>
    </row>
    <row r="858" spans="10:10" ht="15" x14ac:dyDescent="0.2">
      <c r="J858" s="48"/>
    </row>
    <row r="859" spans="10:10" ht="15" x14ac:dyDescent="0.2">
      <c r="J859" s="48"/>
    </row>
    <row r="860" spans="10:10" ht="15" x14ac:dyDescent="0.2">
      <c r="J860" s="48"/>
    </row>
    <row r="861" spans="10:10" ht="15" x14ac:dyDescent="0.2">
      <c r="J861" s="48"/>
    </row>
    <row r="862" spans="10:10" ht="15" x14ac:dyDescent="0.2">
      <c r="J862" s="48"/>
    </row>
    <row r="863" spans="10:10" ht="15" x14ac:dyDescent="0.2">
      <c r="J863" s="48"/>
    </row>
    <row r="864" spans="10:10" ht="15" x14ac:dyDescent="0.2">
      <c r="J864" s="48"/>
    </row>
    <row r="865" spans="10:10" ht="15" x14ac:dyDescent="0.2">
      <c r="J865" s="48"/>
    </row>
    <row r="866" spans="10:10" ht="15" x14ac:dyDescent="0.2">
      <c r="J866" s="48"/>
    </row>
    <row r="867" spans="10:10" ht="15" x14ac:dyDescent="0.2">
      <c r="J867" s="48"/>
    </row>
    <row r="868" spans="10:10" ht="15" x14ac:dyDescent="0.2">
      <c r="J868" s="48"/>
    </row>
    <row r="869" spans="10:10" ht="15" x14ac:dyDescent="0.2">
      <c r="J869" s="48"/>
    </row>
    <row r="870" spans="10:10" ht="15" x14ac:dyDescent="0.2">
      <c r="J870" s="48"/>
    </row>
    <row r="871" spans="10:10" ht="15" x14ac:dyDescent="0.2">
      <c r="J871" s="48"/>
    </row>
    <row r="872" spans="10:10" ht="15" x14ac:dyDescent="0.2">
      <c r="J872" s="48"/>
    </row>
    <row r="873" spans="10:10" ht="15" x14ac:dyDescent="0.2">
      <c r="J873" s="48"/>
    </row>
    <row r="874" spans="10:10" ht="15" x14ac:dyDescent="0.2">
      <c r="J874" s="48"/>
    </row>
    <row r="875" spans="10:10" ht="15" x14ac:dyDescent="0.2">
      <c r="J875" s="48"/>
    </row>
    <row r="876" spans="10:10" ht="15" x14ac:dyDescent="0.2">
      <c r="J876" s="48"/>
    </row>
    <row r="877" spans="10:10" ht="15" x14ac:dyDescent="0.2">
      <c r="J877" s="48"/>
    </row>
    <row r="878" spans="10:10" ht="15" x14ac:dyDescent="0.2">
      <c r="J878" s="48"/>
    </row>
    <row r="879" spans="10:10" ht="15" x14ac:dyDescent="0.2">
      <c r="J879" s="48"/>
    </row>
    <row r="880" spans="10:10" ht="15" x14ac:dyDescent="0.2">
      <c r="J880" s="48"/>
    </row>
    <row r="881" spans="10:10" ht="15" x14ac:dyDescent="0.2">
      <c r="J881" s="48"/>
    </row>
    <row r="882" spans="10:10" ht="15" x14ac:dyDescent="0.2">
      <c r="J882" s="48"/>
    </row>
    <row r="883" spans="10:10" ht="15" x14ac:dyDescent="0.2">
      <c r="J883" s="48"/>
    </row>
    <row r="884" spans="10:10" ht="15" x14ac:dyDescent="0.2">
      <c r="J884" s="48"/>
    </row>
    <row r="885" spans="10:10" ht="15" x14ac:dyDescent="0.2">
      <c r="J885" s="48"/>
    </row>
    <row r="886" spans="10:10" ht="15" x14ac:dyDescent="0.2">
      <c r="J886" s="48"/>
    </row>
    <row r="887" spans="10:10" ht="15" x14ac:dyDescent="0.2">
      <c r="J887" s="48"/>
    </row>
    <row r="888" spans="10:10" ht="15" x14ac:dyDescent="0.2">
      <c r="J888" s="48"/>
    </row>
    <row r="889" spans="10:10" ht="15" x14ac:dyDescent="0.2">
      <c r="J889" s="48"/>
    </row>
    <row r="890" spans="10:10" ht="15" x14ac:dyDescent="0.2">
      <c r="J890" s="48"/>
    </row>
    <row r="891" spans="10:10" ht="15" x14ac:dyDescent="0.2">
      <c r="J891" s="48"/>
    </row>
    <row r="892" spans="10:10" ht="15" x14ac:dyDescent="0.2">
      <c r="J892" s="48"/>
    </row>
    <row r="893" spans="10:10" ht="15" x14ac:dyDescent="0.2">
      <c r="J893" s="48"/>
    </row>
    <row r="894" spans="10:10" ht="15" x14ac:dyDescent="0.2">
      <c r="J894" s="48"/>
    </row>
    <row r="895" spans="10:10" ht="15" x14ac:dyDescent="0.2">
      <c r="J895" s="48"/>
    </row>
    <row r="896" spans="10:10" ht="15" x14ac:dyDescent="0.2">
      <c r="J896" s="48"/>
    </row>
    <row r="897" spans="10:10" ht="15" x14ac:dyDescent="0.2">
      <c r="J897" s="48"/>
    </row>
    <row r="898" spans="10:10" ht="15" x14ac:dyDescent="0.2">
      <c r="J898" s="48"/>
    </row>
    <row r="899" spans="10:10" ht="15" x14ac:dyDescent="0.2">
      <c r="J899" s="48"/>
    </row>
    <row r="900" spans="10:10" ht="15" x14ac:dyDescent="0.2">
      <c r="J900" s="48"/>
    </row>
    <row r="901" spans="10:10" ht="15" x14ac:dyDescent="0.2">
      <c r="J901" s="48"/>
    </row>
    <row r="902" spans="10:10" ht="15" x14ac:dyDescent="0.2">
      <c r="J902" s="48"/>
    </row>
    <row r="903" spans="10:10" ht="15" x14ac:dyDescent="0.2">
      <c r="J903" s="48"/>
    </row>
    <row r="904" spans="10:10" ht="15" x14ac:dyDescent="0.2">
      <c r="J904" s="48"/>
    </row>
    <row r="905" spans="10:10" ht="15" x14ac:dyDescent="0.2">
      <c r="J905" s="48"/>
    </row>
    <row r="906" spans="10:10" ht="15" x14ac:dyDescent="0.2">
      <c r="J906" s="48"/>
    </row>
    <row r="907" spans="10:10" ht="15" x14ac:dyDescent="0.2">
      <c r="J907" s="48"/>
    </row>
    <row r="908" spans="10:10" ht="15" x14ac:dyDescent="0.2">
      <c r="J908" s="48"/>
    </row>
    <row r="909" spans="10:10" ht="15" x14ac:dyDescent="0.2">
      <c r="J909" s="48"/>
    </row>
    <row r="910" spans="10:10" ht="15" x14ac:dyDescent="0.2">
      <c r="J910" s="48"/>
    </row>
    <row r="911" spans="10:10" ht="15" x14ac:dyDescent="0.2">
      <c r="J911" s="48"/>
    </row>
    <row r="912" spans="10:10" ht="15" x14ac:dyDescent="0.2">
      <c r="J912" s="48"/>
    </row>
    <row r="913" spans="10:10" ht="15" x14ac:dyDescent="0.2">
      <c r="J913" s="48"/>
    </row>
    <row r="914" spans="10:10" ht="15" x14ac:dyDescent="0.2">
      <c r="J914" s="48"/>
    </row>
    <row r="915" spans="10:10" ht="15" x14ac:dyDescent="0.2">
      <c r="J915" s="48"/>
    </row>
    <row r="916" spans="10:10" ht="15" x14ac:dyDescent="0.2">
      <c r="J916" s="48"/>
    </row>
    <row r="917" spans="10:10" ht="15" x14ac:dyDescent="0.2">
      <c r="J917" s="48"/>
    </row>
    <row r="918" spans="10:10" ht="15" x14ac:dyDescent="0.2">
      <c r="J918" s="48"/>
    </row>
    <row r="919" spans="10:10" ht="15" x14ac:dyDescent="0.2">
      <c r="J919" s="48"/>
    </row>
    <row r="920" spans="10:10" ht="15" x14ac:dyDescent="0.2">
      <c r="J920" s="48"/>
    </row>
    <row r="921" spans="10:10" ht="15" x14ac:dyDescent="0.2">
      <c r="J921" s="48"/>
    </row>
    <row r="922" spans="10:10" ht="15" x14ac:dyDescent="0.2">
      <c r="J922" s="48"/>
    </row>
    <row r="923" spans="10:10" ht="15" x14ac:dyDescent="0.2">
      <c r="J923" s="48"/>
    </row>
    <row r="924" spans="10:10" ht="15" x14ac:dyDescent="0.2">
      <c r="J924" s="48"/>
    </row>
    <row r="925" spans="10:10" ht="15" x14ac:dyDescent="0.2">
      <c r="J925" s="48"/>
    </row>
    <row r="926" spans="10:10" ht="15" x14ac:dyDescent="0.2">
      <c r="J926" s="48"/>
    </row>
    <row r="927" spans="10:10" ht="15" x14ac:dyDescent="0.2">
      <c r="J927" s="48"/>
    </row>
    <row r="928" spans="10:10" ht="15" x14ac:dyDescent="0.2">
      <c r="J928" s="48"/>
    </row>
    <row r="929" spans="10:10" ht="15" x14ac:dyDescent="0.2">
      <c r="J929" s="48"/>
    </row>
    <row r="930" spans="10:10" ht="15" x14ac:dyDescent="0.2">
      <c r="J930" s="48"/>
    </row>
    <row r="931" spans="10:10" ht="15" x14ac:dyDescent="0.2">
      <c r="J931" s="48"/>
    </row>
    <row r="932" spans="10:10" ht="15" x14ac:dyDescent="0.2">
      <c r="J932" s="48"/>
    </row>
    <row r="933" spans="10:10" ht="15" x14ac:dyDescent="0.2">
      <c r="J933" s="48"/>
    </row>
    <row r="934" spans="10:10" ht="15" x14ac:dyDescent="0.2">
      <c r="J934" s="48"/>
    </row>
    <row r="935" spans="10:10" ht="15" x14ac:dyDescent="0.2">
      <c r="J935" s="48"/>
    </row>
    <row r="936" spans="10:10" ht="15" x14ac:dyDescent="0.2">
      <c r="J936" s="48"/>
    </row>
    <row r="937" spans="10:10" ht="15" x14ac:dyDescent="0.2">
      <c r="J937" s="48"/>
    </row>
    <row r="938" spans="10:10" ht="15" x14ac:dyDescent="0.2">
      <c r="J938" s="48"/>
    </row>
    <row r="939" spans="10:10" ht="15" x14ac:dyDescent="0.2">
      <c r="J939" s="48"/>
    </row>
    <row r="940" spans="10:10" ht="15" x14ac:dyDescent="0.2">
      <c r="J940" s="48"/>
    </row>
    <row r="941" spans="10:10" ht="15" x14ac:dyDescent="0.2">
      <c r="J941" s="48"/>
    </row>
    <row r="942" spans="10:10" ht="15" x14ac:dyDescent="0.2">
      <c r="J942" s="48"/>
    </row>
    <row r="943" spans="10:10" ht="15" x14ac:dyDescent="0.2">
      <c r="J943" s="48"/>
    </row>
    <row r="944" spans="10:10" ht="15" x14ac:dyDescent="0.2">
      <c r="J944" s="48"/>
    </row>
    <row r="945" spans="10:10" ht="15" x14ac:dyDescent="0.2">
      <c r="J945" s="48"/>
    </row>
    <row r="946" spans="10:10" ht="15" x14ac:dyDescent="0.2">
      <c r="J946" s="48"/>
    </row>
    <row r="947" spans="10:10" ht="15" x14ac:dyDescent="0.2">
      <c r="J947" s="48"/>
    </row>
    <row r="948" spans="10:10" ht="15" x14ac:dyDescent="0.2">
      <c r="J948" s="48"/>
    </row>
    <row r="949" spans="10:10" ht="15" x14ac:dyDescent="0.2">
      <c r="J949" s="48"/>
    </row>
    <row r="950" spans="10:10" ht="15" x14ac:dyDescent="0.2">
      <c r="J950" s="48"/>
    </row>
    <row r="951" spans="10:10" ht="15" x14ac:dyDescent="0.2">
      <c r="J951" s="48"/>
    </row>
    <row r="952" spans="10:10" ht="15" x14ac:dyDescent="0.2">
      <c r="J952" s="48"/>
    </row>
    <row r="953" spans="10:10" ht="15" x14ac:dyDescent="0.2">
      <c r="J953" s="48"/>
    </row>
    <row r="954" spans="10:10" ht="15" x14ac:dyDescent="0.2">
      <c r="J954" s="48"/>
    </row>
    <row r="955" spans="10:10" ht="15" x14ac:dyDescent="0.2">
      <c r="J955" s="48"/>
    </row>
    <row r="956" spans="10:10" ht="15" x14ac:dyDescent="0.2">
      <c r="J956" s="48"/>
    </row>
    <row r="957" spans="10:10" ht="15" x14ac:dyDescent="0.2">
      <c r="J957" s="48"/>
    </row>
    <row r="958" spans="10:10" ht="15" x14ac:dyDescent="0.2">
      <c r="J958" s="48"/>
    </row>
    <row r="959" spans="10:10" ht="15" x14ac:dyDescent="0.2">
      <c r="J959" s="48"/>
    </row>
    <row r="960" spans="10:10" ht="15" x14ac:dyDescent="0.2">
      <c r="J960" s="48"/>
    </row>
    <row r="961" spans="10:10" ht="15" x14ac:dyDescent="0.2">
      <c r="J961" s="48"/>
    </row>
    <row r="962" spans="10:10" ht="15" x14ac:dyDescent="0.2">
      <c r="J962" s="48"/>
    </row>
    <row r="963" spans="10:10" ht="15" x14ac:dyDescent="0.2">
      <c r="J963" s="48"/>
    </row>
    <row r="964" spans="10:10" ht="15" x14ac:dyDescent="0.2">
      <c r="J964" s="48"/>
    </row>
    <row r="965" spans="10:10" ht="15" x14ac:dyDescent="0.2">
      <c r="J965" s="48"/>
    </row>
    <row r="966" spans="10:10" ht="15" x14ac:dyDescent="0.2">
      <c r="J966" s="48"/>
    </row>
    <row r="967" spans="10:10" ht="15" x14ac:dyDescent="0.2">
      <c r="J967" s="48"/>
    </row>
    <row r="968" spans="10:10" ht="15" x14ac:dyDescent="0.2">
      <c r="J968" s="48"/>
    </row>
    <row r="969" spans="10:10" ht="15" x14ac:dyDescent="0.2">
      <c r="J969" s="48"/>
    </row>
    <row r="970" spans="10:10" ht="15" x14ac:dyDescent="0.2">
      <c r="J970" s="48"/>
    </row>
    <row r="971" spans="10:10" ht="15" x14ac:dyDescent="0.2">
      <c r="J971" s="48"/>
    </row>
    <row r="972" spans="10:10" ht="15" x14ac:dyDescent="0.2">
      <c r="J972" s="48"/>
    </row>
    <row r="973" spans="10:10" ht="15" x14ac:dyDescent="0.2">
      <c r="J973" s="48"/>
    </row>
    <row r="974" spans="10:10" ht="15" x14ac:dyDescent="0.2">
      <c r="J974" s="48"/>
    </row>
    <row r="975" spans="10:10" ht="15" x14ac:dyDescent="0.2">
      <c r="J975" s="48"/>
    </row>
    <row r="976" spans="10:10" ht="15" x14ac:dyDescent="0.2">
      <c r="J976" s="48"/>
    </row>
    <row r="977" spans="10:10" ht="15" x14ac:dyDescent="0.2">
      <c r="J977" s="48"/>
    </row>
    <row r="978" spans="10:10" ht="15" x14ac:dyDescent="0.2">
      <c r="J978" s="48"/>
    </row>
    <row r="979" spans="10:10" ht="15" x14ac:dyDescent="0.2">
      <c r="J979" s="48"/>
    </row>
    <row r="980" spans="10:10" ht="15" x14ac:dyDescent="0.2">
      <c r="J980" s="48"/>
    </row>
    <row r="981" spans="10:10" ht="15" x14ac:dyDescent="0.2">
      <c r="J981" s="48"/>
    </row>
    <row r="982" spans="10:10" ht="15" x14ac:dyDescent="0.2">
      <c r="J982" s="48"/>
    </row>
    <row r="983" spans="10:10" ht="15" x14ac:dyDescent="0.2">
      <c r="J983" s="48"/>
    </row>
    <row r="984" spans="10:10" ht="15" x14ac:dyDescent="0.2">
      <c r="J984" s="48"/>
    </row>
    <row r="985" spans="10:10" ht="15" x14ac:dyDescent="0.2">
      <c r="J985" s="48"/>
    </row>
    <row r="986" spans="10:10" ht="15" x14ac:dyDescent="0.2">
      <c r="J986" s="48"/>
    </row>
    <row r="987" spans="10:10" ht="15" x14ac:dyDescent="0.2">
      <c r="J987" s="48"/>
    </row>
    <row r="988" spans="10:10" ht="15" x14ac:dyDescent="0.2">
      <c r="J988" s="48"/>
    </row>
    <row r="989" spans="10:10" ht="15" x14ac:dyDescent="0.2">
      <c r="J989" s="48"/>
    </row>
    <row r="990" spans="10:10" ht="15" x14ac:dyDescent="0.2">
      <c r="J990" s="48"/>
    </row>
    <row r="991" spans="10:10" ht="15" x14ac:dyDescent="0.2">
      <c r="J991" s="48"/>
    </row>
    <row r="992" spans="10:10" ht="15" x14ac:dyDescent="0.2">
      <c r="J992" s="48"/>
    </row>
    <row r="993" spans="10:10" ht="15" x14ac:dyDescent="0.2">
      <c r="J993" s="48"/>
    </row>
    <row r="994" spans="10:10" ht="15" x14ac:dyDescent="0.2">
      <c r="J994" s="48"/>
    </row>
    <row r="995" spans="10:10" ht="15" x14ac:dyDescent="0.2">
      <c r="J995" s="48"/>
    </row>
    <row r="996" spans="10:10" ht="15" x14ac:dyDescent="0.2">
      <c r="J996" s="48"/>
    </row>
    <row r="997" spans="10:10" ht="15" x14ac:dyDescent="0.2">
      <c r="J997" s="48"/>
    </row>
    <row r="998" spans="10:10" ht="15" x14ac:dyDescent="0.2">
      <c r="J998" s="48"/>
    </row>
    <row r="999" spans="10:10" ht="15" x14ac:dyDescent="0.2">
      <c r="J999" s="48"/>
    </row>
    <row r="1000" spans="10:10" ht="15" x14ac:dyDescent="0.2">
      <c r="J1000" s="48"/>
    </row>
  </sheetData>
  <conditionalFormatting sqref="J2:O2">
    <cfRule type="colorScale" priority="25">
      <colorScale>
        <cfvo type="min"/>
        <cfvo type="percentile" val="50"/>
        <cfvo type="max"/>
        <color theme="6" tint="0.59999389629810485"/>
        <color theme="5" tint="0.59999389629810485"/>
        <color theme="5"/>
      </colorScale>
    </cfRule>
  </conditionalFormatting>
  <conditionalFormatting sqref="B4:G4 K4:O4">
    <cfRule type="colorScale" priority="26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J16:O16">
    <cfRule type="colorScale" priority="22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J4:O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G3">
    <cfRule type="colorScale" priority="18">
      <colorScale>
        <cfvo type="min"/>
        <cfvo type="max"/>
        <color rgb="FFFCFCFF"/>
        <color rgb="FF63BE7B"/>
      </colorScale>
    </cfRule>
  </conditionalFormatting>
  <conditionalFormatting sqref="J3:O3">
    <cfRule type="colorScale" priority="17">
      <colorScale>
        <cfvo type="min"/>
        <cfvo type="max"/>
        <color rgb="FFFCFCFF"/>
        <color rgb="FF63BE7B"/>
      </colorScale>
    </cfRule>
  </conditionalFormatting>
  <conditionalFormatting sqref="B2:G2">
    <cfRule type="colorScale" priority="15">
      <colorScale>
        <cfvo type="min"/>
        <cfvo type="percentile" val="50"/>
        <cfvo type="max"/>
        <color theme="6" tint="0.59999389629810485"/>
        <color theme="5" tint="0.39997558519241921"/>
        <color theme="5"/>
      </colorScale>
    </cfRule>
  </conditionalFormatting>
  <conditionalFormatting sqref="B10:G10">
    <cfRule type="colorScale" priority="14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B10:G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12">
      <colorScale>
        <cfvo type="min"/>
        <cfvo type="max"/>
        <color rgb="FFFCFCFF"/>
        <color rgb="FF63BE7B"/>
      </colorScale>
    </cfRule>
  </conditionalFormatting>
  <conditionalFormatting sqref="B8:G8">
    <cfRule type="colorScale" priority="11">
      <colorScale>
        <cfvo type="min"/>
        <cfvo type="percentile" val="50"/>
        <cfvo type="max"/>
        <color theme="6" tint="0.59999389629810485"/>
        <color theme="5" tint="0.39997558519241921"/>
        <color theme="5"/>
      </colorScale>
    </cfRule>
  </conditionalFormatting>
  <conditionalFormatting sqref="J10:O10">
    <cfRule type="colorScale" priority="10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J10:O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O9">
    <cfRule type="colorScale" priority="8">
      <colorScale>
        <cfvo type="min"/>
        <cfvo type="max"/>
        <color rgb="FFFCFCFF"/>
        <color rgb="FF63BE7B"/>
      </colorScale>
    </cfRule>
  </conditionalFormatting>
  <conditionalFormatting sqref="J8:O8">
    <cfRule type="colorScale" priority="7">
      <colorScale>
        <cfvo type="min"/>
        <cfvo type="percentile" val="50"/>
        <cfvo type="max"/>
        <color theme="6" tint="0.59999389629810485"/>
        <color theme="5" tint="0.39997558519241921"/>
        <color theme="5"/>
      </colorScale>
    </cfRule>
  </conditionalFormatting>
  <conditionalFormatting sqref="B15:G15">
    <cfRule type="colorScale" priority="4">
      <colorScale>
        <cfvo type="min"/>
        <cfvo type="max"/>
        <color rgb="FFFCFCFF"/>
        <color rgb="FF63BE7B"/>
      </colorScale>
    </cfRule>
  </conditionalFormatting>
  <conditionalFormatting sqref="B14:G14">
    <cfRule type="colorScale" priority="3">
      <colorScale>
        <cfvo type="min"/>
        <cfvo type="percentile" val="50"/>
        <cfvo type="max"/>
        <color theme="6" tint="0.59999389629810485"/>
        <color theme="5" tint="0.39997558519241921"/>
        <color theme="5"/>
      </colorScale>
    </cfRule>
  </conditionalFormatting>
  <conditionalFormatting sqref="B16:G16">
    <cfRule type="colorScale" priority="2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B16: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14"/>
  <sheetViews>
    <sheetView workbookViewId="0">
      <selection activeCell="D14" sqref="D14"/>
    </sheetView>
  </sheetViews>
  <sheetFormatPr baseColWidth="10" defaultColWidth="14.42578125" defaultRowHeight="12.75" x14ac:dyDescent="0.2"/>
  <cols>
    <col min="1" max="1" width="90.140625" customWidth="1"/>
    <col min="3" max="3" width="16.28515625" customWidth="1"/>
    <col min="4" max="4" width="41.42578125" customWidth="1"/>
  </cols>
  <sheetData>
    <row r="2" spans="1:4" ht="30" x14ac:dyDescent="0.4">
      <c r="A2" s="246" t="s">
        <v>613</v>
      </c>
      <c r="B2" s="247"/>
      <c r="C2" s="247"/>
    </row>
    <row r="3" spans="1:4" ht="23.25" x14ac:dyDescent="0.35">
      <c r="A3" s="40" t="s">
        <v>614</v>
      </c>
      <c r="B3" s="41"/>
      <c r="C3" s="41"/>
      <c r="D3" s="42" t="s">
        <v>615</v>
      </c>
    </row>
    <row r="4" spans="1:4" ht="23.25" x14ac:dyDescent="0.35">
      <c r="A4" s="40" t="s">
        <v>616</v>
      </c>
      <c r="B4" s="41"/>
      <c r="C4" s="41"/>
    </row>
    <row r="5" spans="1:4" ht="23.25" x14ac:dyDescent="0.35">
      <c r="A5" s="40" t="s">
        <v>618</v>
      </c>
      <c r="B5" s="41"/>
      <c r="C5" s="41"/>
    </row>
    <row r="6" spans="1:4" ht="23.25" x14ac:dyDescent="0.35">
      <c r="A6" s="40" t="s">
        <v>620</v>
      </c>
      <c r="B6" s="41"/>
      <c r="C6" s="41"/>
    </row>
    <row r="7" spans="1:4" ht="23.25" x14ac:dyDescent="0.35">
      <c r="A7" s="40" t="s">
        <v>622</v>
      </c>
      <c r="B7" s="41"/>
      <c r="C7" s="41"/>
    </row>
    <row r="8" spans="1:4" ht="23.25" x14ac:dyDescent="0.35">
      <c r="A8" s="41"/>
      <c r="B8" s="41"/>
      <c r="C8" s="41"/>
    </row>
    <row r="9" spans="1:4" ht="23.25" x14ac:dyDescent="0.35">
      <c r="A9" s="41"/>
      <c r="B9" s="41"/>
      <c r="C9" s="41"/>
    </row>
    <row r="10" spans="1:4" ht="30" x14ac:dyDescent="0.4">
      <c r="A10" s="39" t="s">
        <v>623</v>
      </c>
      <c r="B10" s="43"/>
      <c r="C10" s="43"/>
    </row>
    <row r="11" spans="1:4" ht="23.25" x14ac:dyDescent="0.35">
      <c r="A11" s="40" t="s">
        <v>624</v>
      </c>
      <c r="B11" s="43"/>
      <c r="C11" s="43"/>
    </row>
    <row r="12" spans="1:4" ht="23.25" x14ac:dyDescent="0.35">
      <c r="A12" s="40" t="s">
        <v>625</v>
      </c>
      <c r="B12" s="43"/>
      <c r="C12" s="43"/>
    </row>
    <row r="13" spans="1:4" ht="23.25" x14ac:dyDescent="0.35">
      <c r="A13" s="40" t="s">
        <v>626</v>
      </c>
    </row>
    <row r="14" spans="1:4" ht="23.25" x14ac:dyDescent="0.35">
      <c r="A14" s="40" t="s">
        <v>627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9</vt:i4>
      </vt:variant>
    </vt:vector>
  </HeadingPairs>
  <TitlesOfParts>
    <vt:vector size="20" baseType="lpstr">
      <vt:lpstr>FILTRO</vt:lpstr>
      <vt:lpstr>A PAGAR</vt:lpstr>
      <vt:lpstr>Hoja1</vt:lpstr>
      <vt:lpstr>Hoja2</vt:lpstr>
      <vt:lpstr>Hoja3</vt:lpstr>
      <vt:lpstr>Fechas de Pagos</vt:lpstr>
      <vt:lpstr>PRESTAMOS</vt:lpstr>
      <vt:lpstr>Fechas de Cobros</vt:lpstr>
      <vt:lpstr>A DEPOSITAR</vt:lpstr>
      <vt:lpstr>Estadistica</vt:lpstr>
      <vt:lpstr>INSTRUCCIONES</vt:lpstr>
      <vt:lpstr>Año_de_cobro</vt:lpstr>
      <vt:lpstr>Año_de_pago</vt:lpstr>
      <vt:lpstr>'Fechas de Pagos'!Área_de_impresión</vt:lpstr>
      <vt:lpstr>Estado_del_cheque_de_cobro</vt:lpstr>
      <vt:lpstr>Fecha_de_deposito</vt:lpstr>
      <vt:lpstr>Mes_de_cobro</vt:lpstr>
      <vt:lpstr>Mes_de_pago</vt:lpstr>
      <vt:lpstr>Monto_a_pagar</vt:lpstr>
      <vt:lpstr>Monto_de_cobro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2021-07-13T19:13:04Z</cp:lastPrinted>
  <dcterms:created xsi:type="dcterms:W3CDTF">2020-03-02T14:48:02Z</dcterms:created>
  <dcterms:modified xsi:type="dcterms:W3CDTF">2021-10-21T13:17:41Z</dcterms:modified>
</cp:coreProperties>
</file>