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 tabRatio="863"/>
  </bookViews>
  <sheets>
    <sheet name="Costos" sheetId="1" r:id="rId1"/>
    <sheet name="Hoja2" sheetId="7" r:id="rId2"/>
    <sheet name="Lista P Imprimir Horizontal" sheetId="5" r:id="rId3"/>
    <sheet name="Imprimir Valor Fabrica" sheetId="3" r:id="rId4"/>
    <sheet name="Imprimir Valor Vendedor" sheetId="4" r:id="rId5"/>
    <sheet name="Imprimir Valor Vorrazo" sheetId="15" r:id="rId6"/>
    <sheet name="Creacion de Precios" sheetId="8" r:id="rId7"/>
    <sheet name="Punto de Equilibrio" sheetId="9" r:id="rId8"/>
    <sheet name="Lista Vendedor borra-Sep" sheetId="12" r:id="rId9"/>
    <sheet name="Lavado y Planchado" sheetId="13" r:id="rId10"/>
    <sheet name="Hoja3" sheetId="16" r:id="rId11"/>
    <sheet name="Hoja1" sheetId="14" r:id="rId12"/>
  </sheets>
  <definedNames>
    <definedName name="_xlnm.Print_Area" localSheetId="6">'Creacion de Precios'!$A$1:$L$61</definedName>
    <definedName name="_xlnm.Print_Area" localSheetId="3">'Imprimir Valor Fabrica'!$A$1:$L$47</definedName>
    <definedName name="_xlnm.Print_Area" localSheetId="4">'Imprimir Valor Vendedor'!$A$1:$H$48</definedName>
    <definedName name="_xlnm.Print_Area" localSheetId="5">'Imprimir Valor Vorrazo'!$A$1:$D$32</definedName>
    <definedName name="_xlnm.Print_Area" localSheetId="9">'Lavado y Planchado'!$A$1:$D$11</definedName>
    <definedName name="_xlnm.Print_Area" localSheetId="2">'Lista P Imprimir Horizontal'!$A$1:$S$34</definedName>
    <definedName name="_xlnm.Print_Area" localSheetId="8">'Lista Vendedor borra-Sep'!$A$1:$S$34</definedName>
    <definedName name="Precios">Costos!$A$5:$X$129</definedName>
    <definedName name="_xlnm.Print_Titles" localSheetId="0">Costos!$4:$4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8" l="1"/>
  <c r="I3" i="1" l="1"/>
  <c r="C9" i="15" l="1"/>
  <c r="V23" i="1"/>
  <c r="V24" i="1"/>
  <c r="V25" i="1"/>
  <c r="V26" i="1"/>
  <c r="V61" i="1"/>
  <c r="V63" i="1"/>
  <c r="V72" i="1"/>
  <c r="W23" i="1"/>
  <c r="W24" i="1"/>
  <c r="W25" i="1"/>
  <c r="W26" i="1"/>
  <c r="W61" i="1"/>
  <c r="W63" i="1"/>
  <c r="W72" i="1"/>
  <c r="G21" i="12" l="1"/>
  <c r="I33" i="1"/>
  <c r="V33" i="1" s="1"/>
  <c r="D3" i="8"/>
  <c r="I21" i="8"/>
  <c r="C4" i="15" l="1"/>
  <c r="W33" i="1"/>
  <c r="I80" i="1"/>
  <c r="V80" i="1" s="1"/>
  <c r="W80" i="1" s="1"/>
  <c r="I110" i="1"/>
  <c r="V110" i="1" s="1"/>
  <c r="W110" i="1" s="1"/>
  <c r="I111" i="1"/>
  <c r="V111" i="1" s="1"/>
  <c r="I82" i="1"/>
  <c r="V82" i="1" s="1"/>
  <c r="D18" i="8"/>
  <c r="C15" i="15" l="1"/>
  <c r="W82" i="1"/>
  <c r="W111" i="1"/>
  <c r="C20" i="15"/>
  <c r="J32" i="8"/>
  <c r="G15" i="8" l="1"/>
  <c r="I112" i="1"/>
  <c r="V112" i="1" s="1"/>
  <c r="C21" i="15" l="1"/>
  <c r="W112" i="1"/>
  <c r="N38" i="8"/>
  <c r="H28" i="8" l="1"/>
  <c r="F31" i="8"/>
  <c r="L30" i="8" l="1"/>
  <c r="B24" i="9"/>
  <c r="F21" i="9"/>
  <c r="B21" i="9"/>
  <c r="J20" i="9" l="1"/>
  <c r="E23" i="9"/>
  <c r="F24" i="9"/>
  <c r="B20" i="9"/>
  <c r="F20" i="9"/>
  <c r="A22" i="9"/>
  <c r="I106" i="1" l="1"/>
  <c r="V106" i="1" s="1"/>
  <c r="I105" i="1"/>
  <c r="V105" i="1" s="1"/>
  <c r="W105" i="1" s="1"/>
  <c r="C19" i="15" l="1"/>
  <c r="W106" i="1"/>
  <c r="D25" i="8"/>
  <c r="D19" i="8"/>
  <c r="D17" i="8"/>
  <c r="D16" i="8"/>
  <c r="D15" i="8"/>
  <c r="D14" i="8"/>
  <c r="D13" i="8"/>
  <c r="D11" i="8"/>
  <c r="D10" i="8"/>
  <c r="D9" i="8"/>
  <c r="D8" i="8"/>
  <c r="D7" i="8"/>
  <c r="D6" i="8"/>
  <c r="D5" i="8"/>
  <c r="D4" i="8"/>
  <c r="H4" i="13" l="1"/>
  <c r="H6" i="13"/>
  <c r="H7" i="13"/>
  <c r="H9" i="13"/>
  <c r="H10" i="13"/>
  <c r="H3" i="13"/>
  <c r="Q9" i="12" l="1"/>
  <c r="Q9" i="5"/>
  <c r="J105" i="1"/>
  <c r="K105" i="1" s="1"/>
  <c r="I63" i="1" l="1"/>
  <c r="I61" i="1"/>
  <c r="I24" i="1"/>
  <c r="I25" i="1"/>
  <c r="I26" i="1"/>
  <c r="I23" i="1"/>
  <c r="F17" i="8"/>
  <c r="F4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2" i="8"/>
  <c r="I23" i="8"/>
  <c r="I24" i="8"/>
  <c r="I25" i="8"/>
  <c r="I3" i="8"/>
  <c r="J28" i="8"/>
  <c r="R36" i="8"/>
  <c r="J29" i="8" s="1"/>
  <c r="H32" i="8"/>
  <c r="H11" i="8"/>
  <c r="H25" i="8"/>
  <c r="B22" i="9" l="1"/>
  <c r="F23" i="9"/>
  <c r="B23" i="9"/>
  <c r="B25" i="9" s="1"/>
  <c r="J31" i="8"/>
  <c r="G11" i="8" s="1"/>
  <c r="J11" i="8" s="1"/>
  <c r="H19" i="8"/>
  <c r="H4" i="8"/>
  <c r="F19" i="8"/>
  <c r="F5" i="8"/>
  <c r="F6" i="8"/>
  <c r="F3" i="8"/>
  <c r="D31" i="8"/>
  <c r="J16" i="8"/>
  <c r="J20" i="8"/>
  <c r="J21" i="8"/>
  <c r="J22" i="8"/>
  <c r="J23" i="8"/>
  <c r="J24" i="8"/>
  <c r="G10" i="8" l="1"/>
  <c r="J10" i="8" s="1"/>
  <c r="G19" i="8"/>
  <c r="J19" i="8" s="1"/>
  <c r="G5" i="8"/>
  <c r="J5" i="8" s="1"/>
  <c r="G6" i="8"/>
  <c r="J6" i="8" s="1"/>
  <c r="G17" i="8"/>
  <c r="J17" i="8" s="1"/>
  <c r="G9" i="8"/>
  <c r="J9" i="8" s="1"/>
  <c r="G4" i="8"/>
  <c r="J4" i="8" s="1"/>
  <c r="G8" i="8"/>
  <c r="J8" i="8" s="1"/>
  <c r="G3" i="8"/>
  <c r="G25" i="8"/>
  <c r="G7" i="8"/>
  <c r="J7" i="8" s="1"/>
  <c r="F22" i="9"/>
  <c r="F25" i="9" s="1"/>
  <c r="G18" i="8"/>
  <c r="J18" i="8" s="1"/>
  <c r="J15" i="8"/>
  <c r="G14" i="8"/>
  <c r="J14" i="8" s="1"/>
  <c r="G13" i="8"/>
  <c r="J13" i="8" s="1"/>
  <c r="B28" i="9"/>
  <c r="B32" i="9"/>
  <c r="B37" i="9"/>
  <c r="D12" i="8"/>
  <c r="J12" i="8" s="1"/>
  <c r="J3" i="8"/>
  <c r="J25" i="8"/>
  <c r="Q8" i="12"/>
  <c r="Q8" i="5"/>
  <c r="L34" i="12"/>
  <c r="L34" i="5"/>
  <c r="O105" i="1"/>
  <c r="P105" i="1" s="1"/>
  <c r="Q105" i="1"/>
  <c r="R105" i="1" s="1"/>
  <c r="M105" i="1"/>
  <c r="G34" i="5"/>
  <c r="J22" i="9" l="1"/>
  <c r="F37" i="9"/>
  <c r="F28" i="9"/>
  <c r="F32" i="9"/>
  <c r="S105" i="1"/>
  <c r="T105" i="1" s="1"/>
  <c r="G34" i="12"/>
  <c r="J63" i="1"/>
  <c r="K63" i="1" s="1"/>
  <c r="Q63" i="1" s="1"/>
  <c r="S63" i="1" s="1"/>
  <c r="T63" i="1" s="1"/>
  <c r="M63" i="1"/>
  <c r="O63" i="1" l="1"/>
  <c r="P63" i="1" s="1"/>
  <c r="R63" i="1"/>
  <c r="L21" i="7"/>
  <c r="J22" i="7"/>
  <c r="J20" i="7"/>
  <c r="J19" i="7"/>
  <c r="D37" i="12" l="1"/>
  <c r="Q31" i="12"/>
  <c r="L33" i="12"/>
  <c r="G33" i="12"/>
  <c r="C32" i="12"/>
  <c r="B32" i="12"/>
  <c r="Q30" i="12"/>
  <c r="G32" i="12"/>
  <c r="B31" i="12"/>
  <c r="G31" i="12"/>
  <c r="Q28" i="12"/>
  <c r="L30" i="12"/>
  <c r="G30" i="12"/>
  <c r="B29" i="12"/>
  <c r="Q27" i="12"/>
  <c r="L29" i="12"/>
  <c r="G29" i="12"/>
  <c r="B28" i="12"/>
  <c r="Q26" i="12"/>
  <c r="L28" i="12"/>
  <c r="G28" i="12"/>
  <c r="B27" i="12"/>
  <c r="R25" i="12"/>
  <c r="Q25" i="12"/>
  <c r="L27" i="12"/>
  <c r="G27" i="12"/>
  <c r="B26" i="12"/>
  <c r="R24" i="12"/>
  <c r="Q24" i="12"/>
  <c r="L26" i="12"/>
  <c r="G26" i="12"/>
  <c r="C25" i="12"/>
  <c r="B25" i="12"/>
  <c r="R23" i="12"/>
  <c r="Q23" i="12"/>
  <c r="L25" i="12"/>
  <c r="G25" i="12"/>
  <c r="B24" i="12"/>
  <c r="Q22" i="12"/>
  <c r="L24" i="12"/>
  <c r="G24" i="12"/>
  <c r="B23" i="12"/>
  <c r="Q21" i="12"/>
  <c r="L23" i="12"/>
  <c r="G23" i="12"/>
  <c r="B22" i="12"/>
  <c r="R20" i="12"/>
  <c r="Q20" i="12"/>
  <c r="L22" i="12"/>
  <c r="G22" i="12"/>
  <c r="B21" i="12"/>
  <c r="Q19" i="12"/>
  <c r="C20" i="12"/>
  <c r="B20" i="12"/>
  <c r="Q18" i="12"/>
  <c r="L20" i="12"/>
  <c r="G20" i="12"/>
  <c r="B19" i="12"/>
  <c r="Q17" i="12"/>
  <c r="L19" i="12"/>
  <c r="G19" i="12"/>
  <c r="C18" i="12"/>
  <c r="B18" i="12"/>
  <c r="L18" i="12"/>
  <c r="G18" i="12"/>
  <c r="B17" i="12"/>
  <c r="Q16" i="12"/>
  <c r="M17" i="12"/>
  <c r="L17" i="12"/>
  <c r="G17" i="12"/>
  <c r="B16" i="12"/>
  <c r="Q15" i="12"/>
  <c r="L16" i="12"/>
  <c r="G16" i="12"/>
  <c r="C15" i="12"/>
  <c r="B15" i="12"/>
  <c r="Q14" i="12"/>
  <c r="L15" i="12"/>
  <c r="G15" i="12"/>
  <c r="C14" i="12"/>
  <c r="B14" i="12"/>
  <c r="Q13" i="12"/>
  <c r="L14" i="12"/>
  <c r="G14" i="12"/>
  <c r="C13" i="12"/>
  <c r="B13" i="12"/>
  <c r="L13" i="12"/>
  <c r="G13" i="12"/>
  <c r="B12" i="12"/>
  <c r="L12" i="12"/>
  <c r="G12" i="12"/>
  <c r="C11" i="12"/>
  <c r="B11" i="12"/>
  <c r="L11" i="12"/>
  <c r="G11" i="12"/>
  <c r="B10" i="12"/>
  <c r="Q10" i="12"/>
  <c r="L10" i="12"/>
  <c r="B9" i="12"/>
  <c r="L9" i="12"/>
  <c r="G9" i="12"/>
  <c r="M8" i="12"/>
  <c r="L8" i="12"/>
  <c r="G8" i="12"/>
  <c r="L7" i="12"/>
  <c r="H7" i="12"/>
  <c r="G7" i="12"/>
  <c r="Q6" i="12"/>
  <c r="L6" i="12"/>
  <c r="G6" i="12"/>
  <c r="Q5" i="12"/>
  <c r="M5" i="12"/>
  <c r="L5" i="12"/>
  <c r="G5" i="12"/>
  <c r="Q4" i="12"/>
  <c r="M4" i="12"/>
  <c r="L4" i="12"/>
  <c r="G4" i="12"/>
  <c r="Q3" i="12"/>
  <c r="L3" i="12"/>
  <c r="G3" i="12"/>
  <c r="B3" i="9" l="1"/>
  <c r="B2" i="9"/>
  <c r="Q4" i="5"/>
  <c r="Q5" i="5"/>
  <c r="Q6" i="5"/>
  <c r="Q10" i="5"/>
  <c r="Q14" i="5"/>
  <c r="Q15" i="5"/>
  <c r="Q16" i="5"/>
  <c r="Q17" i="5"/>
  <c r="Q19" i="5"/>
  <c r="Q20" i="5"/>
  <c r="Q21" i="5"/>
  <c r="Q22" i="5"/>
  <c r="Q23" i="5"/>
  <c r="Q24" i="5"/>
  <c r="Q25" i="5"/>
  <c r="Q26" i="5"/>
  <c r="Q27" i="5"/>
  <c r="Q28" i="5"/>
  <c r="Q29" i="5"/>
  <c r="Q30" i="5"/>
  <c r="Q32" i="5"/>
  <c r="Q33" i="5"/>
  <c r="Q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2" i="5"/>
  <c r="L23" i="5"/>
  <c r="L24" i="5"/>
  <c r="L25" i="5"/>
  <c r="L26" i="5"/>
  <c r="L27" i="5"/>
  <c r="L28" i="5"/>
  <c r="L29" i="5"/>
  <c r="L30" i="5"/>
  <c r="L33" i="5"/>
  <c r="L4" i="5"/>
  <c r="L3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1" i="5"/>
  <c r="B32" i="5"/>
  <c r="O72" i="1" l="1"/>
  <c r="P72" i="1" s="1"/>
  <c r="K72" i="1"/>
  <c r="M72" i="1"/>
  <c r="Q72" i="1" l="1"/>
  <c r="S72" i="1" s="1"/>
  <c r="T72" i="1" s="1"/>
  <c r="R72" i="1"/>
  <c r="I83" i="1"/>
  <c r="M26" i="1"/>
  <c r="M25" i="1"/>
  <c r="M24" i="1"/>
  <c r="M23" i="1"/>
  <c r="M106" i="1"/>
  <c r="J61" i="1"/>
  <c r="I36" i="1"/>
  <c r="V36" i="1" s="1"/>
  <c r="W36" i="1" s="1"/>
  <c r="J83" i="1" l="1"/>
  <c r="M19" i="12" s="1"/>
  <c r="V83" i="1"/>
  <c r="H29" i="12"/>
  <c r="J10" i="7"/>
  <c r="D14" i="7"/>
  <c r="G12" i="7"/>
  <c r="G54" i="8"/>
  <c r="H54" i="8"/>
  <c r="G55" i="8"/>
  <c r="H55" i="8"/>
  <c r="G56" i="8"/>
  <c r="H56" i="8"/>
  <c r="G57" i="8"/>
  <c r="H57" i="8"/>
  <c r="G58" i="8"/>
  <c r="H58" i="8"/>
  <c r="N16" i="8"/>
  <c r="N17" i="8"/>
  <c r="N19" i="8"/>
  <c r="N20" i="8"/>
  <c r="N21" i="8"/>
  <c r="N22" i="8"/>
  <c r="N23" i="8"/>
  <c r="K19" i="8"/>
  <c r="K20" i="8"/>
  <c r="K21" i="8"/>
  <c r="K22" i="8"/>
  <c r="K23" i="8"/>
  <c r="K17" i="8"/>
  <c r="W83" i="1" l="1"/>
  <c r="C14" i="15"/>
  <c r="L22" i="8"/>
  <c r="R22" i="8" s="1"/>
  <c r="L20" i="8"/>
  <c r="R20" i="8" s="1"/>
  <c r="T20" i="8" s="1"/>
  <c r="U20" i="8" s="1"/>
  <c r="L23" i="8"/>
  <c r="R23" i="8" s="1"/>
  <c r="L21" i="8"/>
  <c r="R21" i="8" s="1"/>
  <c r="S21" i="8" s="1"/>
  <c r="S23" i="8"/>
  <c r="T23" i="8"/>
  <c r="U23" i="8" s="1"/>
  <c r="P23" i="8"/>
  <c r="Q23" i="8" s="1"/>
  <c r="P21" i="8"/>
  <c r="Q21" i="8" s="1"/>
  <c r="L19" i="8"/>
  <c r="R19" i="8" s="1"/>
  <c r="P19" i="8"/>
  <c r="Q19" i="8" s="1"/>
  <c r="L17" i="8"/>
  <c r="R17" i="8" s="1"/>
  <c r="T17" i="8" s="1"/>
  <c r="U17" i="8" s="1"/>
  <c r="P17" i="8"/>
  <c r="Q17" i="8" s="1"/>
  <c r="T22" i="8"/>
  <c r="U22" i="8" s="1"/>
  <c r="S22" i="8"/>
  <c r="P22" i="8"/>
  <c r="Q22" i="8" s="1"/>
  <c r="P20" i="8"/>
  <c r="Q20" i="8" s="1"/>
  <c r="K16" i="8"/>
  <c r="K18" i="8"/>
  <c r="N18" i="8"/>
  <c r="M61" i="1"/>
  <c r="S20" i="8" l="1"/>
  <c r="T21" i="8"/>
  <c r="U21" i="8" s="1"/>
  <c r="L18" i="8"/>
  <c r="R18" i="8" s="1"/>
  <c r="T18" i="8" s="1"/>
  <c r="U18" i="8" s="1"/>
  <c r="S17" i="8"/>
  <c r="S19" i="8"/>
  <c r="T19" i="8"/>
  <c r="U19" i="8" s="1"/>
  <c r="L16" i="8"/>
  <c r="R16" i="8" s="1"/>
  <c r="P16" i="8"/>
  <c r="Q16" i="8" s="1"/>
  <c r="P18" i="8"/>
  <c r="Q18" i="8" s="1"/>
  <c r="S16" i="8" l="1"/>
  <c r="T16" i="8"/>
  <c r="U16" i="8" s="1"/>
  <c r="S18" i="8"/>
  <c r="J26" i="1" l="1"/>
  <c r="J23" i="1"/>
  <c r="J106" i="1"/>
  <c r="J25" i="1"/>
  <c r="J24" i="1"/>
  <c r="C23" i="12" l="1"/>
  <c r="C21" i="12"/>
  <c r="C22" i="12"/>
  <c r="R10" i="12"/>
  <c r="C24" i="12"/>
  <c r="K24" i="1"/>
  <c r="O24" i="1"/>
  <c r="P24" i="1" s="1"/>
  <c r="K25" i="1"/>
  <c r="O25" i="1"/>
  <c r="P25" i="1" s="1"/>
  <c r="K61" i="1"/>
  <c r="O61" i="1"/>
  <c r="P61" i="1" s="1"/>
  <c r="K26" i="1"/>
  <c r="O26" i="1"/>
  <c r="P26" i="1" s="1"/>
  <c r="K106" i="1"/>
  <c r="O106" i="1"/>
  <c r="P106" i="1" s="1"/>
  <c r="G51" i="8"/>
  <c r="J51" i="8" s="1"/>
  <c r="K23" i="1"/>
  <c r="O23" i="1"/>
  <c r="P23" i="1" s="1"/>
  <c r="Q61" i="1" l="1"/>
  <c r="Q25" i="1"/>
  <c r="S25" i="1" s="1"/>
  <c r="T25" i="1" s="1"/>
  <c r="Q24" i="1"/>
  <c r="S24" i="1" s="1"/>
  <c r="T24" i="1" s="1"/>
  <c r="Q23" i="1"/>
  <c r="S23" i="1" s="1"/>
  <c r="T23" i="1" s="1"/>
  <c r="Q26" i="1"/>
  <c r="R23" i="1"/>
  <c r="Q106" i="1"/>
  <c r="H51" i="8"/>
  <c r="K51" i="8" s="1"/>
  <c r="I129" i="1"/>
  <c r="V129" i="1" s="1"/>
  <c r="I128" i="1"/>
  <c r="V128" i="1" s="1"/>
  <c r="I121" i="1"/>
  <c r="V121" i="1" s="1"/>
  <c r="W121" i="1" s="1"/>
  <c r="I122" i="1"/>
  <c r="V122" i="1" s="1"/>
  <c r="W122" i="1" s="1"/>
  <c r="I123" i="1"/>
  <c r="V123" i="1" s="1"/>
  <c r="W123" i="1" s="1"/>
  <c r="I124" i="1"/>
  <c r="V124" i="1" s="1"/>
  <c r="W124" i="1" s="1"/>
  <c r="I125" i="1"/>
  <c r="V125" i="1" s="1"/>
  <c r="W125" i="1" s="1"/>
  <c r="I126" i="1"/>
  <c r="V126" i="1" s="1"/>
  <c r="W126" i="1" s="1"/>
  <c r="I113" i="1"/>
  <c r="V113" i="1" s="1"/>
  <c r="W113" i="1" s="1"/>
  <c r="I114" i="1"/>
  <c r="V114" i="1" s="1"/>
  <c r="W114" i="1" s="1"/>
  <c r="I115" i="1"/>
  <c r="V115" i="1" s="1"/>
  <c r="W115" i="1" s="1"/>
  <c r="I116" i="1"/>
  <c r="V116" i="1" s="1"/>
  <c r="W116" i="1" s="1"/>
  <c r="I117" i="1"/>
  <c r="V117" i="1" s="1"/>
  <c r="W117" i="1" s="1"/>
  <c r="I118" i="1"/>
  <c r="V118" i="1" s="1"/>
  <c r="W118" i="1" s="1"/>
  <c r="I119" i="1"/>
  <c r="V119" i="1" s="1"/>
  <c r="W119" i="1" s="1"/>
  <c r="I120" i="1"/>
  <c r="V120" i="1" s="1"/>
  <c r="W120" i="1" s="1"/>
  <c r="I108" i="1"/>
  <c r="V108" i="1" s="1"/>
  <c r="W108" i="1" s="1"/>
  <c r="I109" i="1"/>
  <c r="V109" i="1" s="1"/>
  <c r="W109" i="1" s="1"/>
  <c r="I100" i="1"/>
  <c r="V103" i="1"/>
  <c r="I107" i="1"/>
  <c r="V107" i="1" s="1"/>
  <c r="W107" i="1" s="1"/>
  <c r="I99" i="1"/>
  <c r="I96" i="1"/>
  <c r="V96" i="1" s="1"/>
  <c r="W96" i="1" s="1"/>
  <c r="I97" i="1"/>
  <c r="V97" i="1" s="1"/>
  <c r="W97" i="1" s="1"/>
  <c r="I95" i="1"/>
  <c r="V95" i="1" s="1"/>
  <c r="W95" i="1" s="1"/>
  <c r="I94" i="1"/>
  <c r="I89" i="1"/>
  <c r="V89" i="1" s="1"/>
  <c r="W89" i="1" s="1"/>
  <c r="I90" i="1"/>
  <c r="V90" i="1" s="1"/>
  <c r="W90" i="1" s="1"/>
  <c r="I91" i="1"/>
  <c r="V91" i="1" s="1"/>
  <c r="W91" i="1" s="1"/>
  <c r="I92" i="1"/>
  <c r="V92" i="1" s="1"/>
  <c r="W92" i="1" s="1"/>
  <c r="I93" i="1"/>
  <c r="V93" i="1" s="1"/>
  <c r="W93" i="1" s="1"/>
  <c r="I81" i="1"/>
  <c r="V81" i="1" s="1"/>
  <c r="W81" i="1" s="1"/>
  <c r="I84" i="1"/>
  <c r="V84" i="1" s="1"/>
  <c r="W84" i="1" s="1"/>
  <c r="I85" i="1"/>
  <c r="V85" i="1" s="1"/>
  <c r="W85" i="1" s="1"/>
  <c r="I86" i="1"/>
  <c r="I87" i="1"/>
  <c r="V87" i="1" s="1"/>
  <c r="W87" i="1" s="1"/>
  <c r="I88" i="1"/>
  <c r="I69" i="1"/>
  <c r="V69" i="1" s="1"/>
  <c r="W69" i="1" s="1"/>
  <c r="I70" i="1"/>
  <c r="V70" i="1" s="1"/>
  <c r="W70" i="1" s="1"/>
  <c r="I71" i="1"/>
  <c r="V71" i="1" s="1"/>
  <c r="W71" i="1" s="1"/>
  <c r="I73" i="1"/>
  <c r="V73" i="1" s="1"/>
  <c r="W73" i="1" s="1"/>
  <c r="I74" i="1"/>
  <c r="V74" i="1" s="1"/>
  <c r="W74" i="1" s="1"/>
  <c r="I75" i="1"/>
  <c r="V75" i="1" s="1"/>
  <c r="W75" i="1" s="1"/>
  <c r="I76" i="1"/>
  <c r="V76" i="1" s="1"/>
  <c r="W76" i="1" s="1"/>
  <c r="I68" i="1"/>
  <c r="V68" i="1" s="1"/>
  <c r="W68" i="1" s="1"/>
  <c r="I66" i="1"/>
  <c r="V66" i="1" s="1"/>
  <c r="W66" i="1" s="1"/>
  <c r="I65" i="1"/>
  <c r="V65" i="1" s="1"/>
  <c r="W65" i="1" s="1"/>
  <c r="I64" i="1"/>
  <c r="I54" i="1"/>
  <c r="I50" i="1"/>
  <c r="V50" i="1" s="1"/>
  <c r="W50" i="1" s="1"/>
  <c r="I49" i="1"/>
  <c r="V49" i="1" s="1"/>
  <c r="W49" i="1" s="1"/>
  <c r="I48" i="1"/>
  <c r="V48" i="1" s="1"/>
  <c r="W48" i="1" s="1"/>
  <c r="I40" i="1"/>
  <c r="V40" i="1" s="1"/>
  <c r="W40" i="1" s="1"/>
  <c r="I41" i="1"/>
  <c r="V41" i="1" s="1"/>
  <c r="W41" i="1" s="1"/>
  <c r="I42" i="1"/>
  <c r="V42" i="1" s="1"/>
  <c r="W42" i="1" s="1"/>
  <c r="I43" i="1"/>
  <c r="V43" i="1" s="1"/>
  <c r="W43" i="1" s="1"/>
  <c r="I44" i="1"/>
  <c r="V44" i="1" s="1"/>
  <c r="W44" i="1" s="1"/>
  <c r="I45" i="1"/>
  <c r="V45" i="1" s="1"/>
  <c r="W45" i="1" s="1"/>
  <c r="I46" i="1"/>
  <c r="V46" i="1" s="1"/>
  <c r="W46" i="1" s="1"/>
  <c r="I39" i="1"/>
  <c r="V39" i="1" s="1"/>
  <c r="W39" i="1" s="1"/>
  <c r="I38" i="1"/>
  <c r="V38" i="1" s="1"/>
  <c r="W38" i="1" s="1"/>
  <c r="I37" i="1"/>
  <c r="I34" i="1"/>
  <c r="V34" i="1" s="1"/>
  <c r="W34" i="1" s="1"/>
  <c r="I5" i="1"/>
  <c r="V5" i="1" s="1"/>
  <c r="W5" i="1" s="1"/>
  <c r="I6" i="1"/>
  <c r="V6" i="1" s="1"/>
  <c r="W6" i="1" s="1"/>
  <c r="I7" i="1"/>
  <c r="V7" i="1" s="1"/>
  <c r="W7" i="1" s="1"/>
  <c r="I8" i="1"/>
  <c r="V8" i="1" s="1"/>
  <c r="W8" i="1" s="1"/>
  <c r="I9" i="1"/>
  <c r="V9" i="1" s="1"/>
  <c r="W9" i="1" s="1"/>
  <c r="I10" i="1"/>
  <c r="V10" i="1" s="1"/>
  <c r="W10" i="1" s="1"/>
  <c r="I11" i="1"/>
  <c r="V11" i="1" s="1"/>
  <c r="W11" i="1" s="1"/>
  <c r="I12" i="1"/>
  <c r="V12" i="1" s="1"/>
  <c r="W12" i="1" s="1"/>
  <c r="I13" i="1"/>
  <c r="V13" i="1" s="1"/>
  <c r="W13" i="1" s="1"/>
  <c r="I14" i="1"/>
  <c r="V14" i="1" s="1"/>
  <c r="W14" i="1" s="1"/>
  <c r="I15" i="1"/>
  <c r="V15" i="1" s="1"/>
  <c r="W15" i="1" s="1"/>
  <c r="I16" i="1"/>
  <c r="V16" i="1" s="1"/>
  <c r="W16" i="1" s="1"/>
  <c r="I17" i="1"/>
  <c r="V17" i="1" s="1"/>
  <c r="W17" i="1" s="1"/>
  <c r="I18" i="1"/>
  <c r="V18" i="1" s="1"/>
  <c r="W18" i="1" s="1"/>
  <c r="I19" i="1"/>
  <c r="V19" i="1" s="1"/>
  <c r="W19" i="1" s="1"/>
  <c r="I20" i="1"/>
  <c r="V20" i="1" s="1"/>
  <c r="W20" i="1" s="1"/>
  <c r="I21" i="1"/>
  <c r="V21" i="1" s="1"/>
  <c r="W21" i="1" s="1"/>
  <c r="I22" i="1"/>
  <c r="V22" i="1" s="1"/>
  <c r="W22" i="1" s="1"/>
  <c r="I27" i="1"/>
  <c r="V27" i="1" s="1"/>
  <c r="W27" i="1" s="1"/>
  <c r="I28" i="1"/>
  <c r="V28" i="1" s="1"/>
  <c r="W28" i="1" s="1"/>
  <c r="I29" i="1"/>
  <c r="V29" i="1" s="1"/>
  <c r="W29" i="1" s="1"/>
  <c r="I30" i="1"/>
  <c r="V30" i="1" s="1"/>
  <c r="W30" i="1" s="1"/>
  <c r="I31" i="1"/>
  <c r="V31" i="1" s="1"/>
  <c r="W31" i="1" s="1"/>
  <c r="I32" i="1"/>
  <c r="V32" i="1" s="1"/>
  <c r="W32" i="1" s="1"/>
  <c r="I35" i="1"/>
  <c r="I47" i="1"/>
  <c r="V47" i="1" s="1"/>
  <c r="I51" i="1"/>
  <c r="I52" i="1"/>
  <c r="I53" i="1"/>
  <c r="I55" i="1"/>
  <c r="I56" i="1"/>
  <c r="I57" i="1"/>
  <c r="I58" i="1"/>
  <c r="I59" i="1"/>
  <c r="I60" i="1"/>
  <c r="I62" i="1"/>
  <c r="I67" i="1"/>
  <c r="I77" i="1"/>
  <c r="V77" i="1" s="1"/>
  <c r="I78" i="1"/>
  <c r="I79" i="1"/>
  <c r="V79" i="1" s="1"/>
  <c r="K25" i="8"/>
  <c r="N25" i="8"/>
  <c r="K4" i="8"/>
  <c r="K5" i="8"/>
  <c r="K6" i="8"/>
  <c r="K7" i="8"/>
  <c r="K8" i="8"/>
  <c r="K9" i="8"/>
  <c r="K10" i="8"/>
  <c r="K11" i="8"/>
  <c r="K12" i="8"/>
  <c r="K13" i="8"/>
  <c r="K14" i="8"/>
  <c r="K15" i="8"/>
  <c r="K3" i="8"/>
  <c r="J64" i="1" l="1"/>
  <c r="V64" i="1"/>
  <c r="W64" i="1" s="1"/>
  <c r="J54" i="1"/>
  <c r="V54" i="1"/>
  <c r="W54" i="1" s="1"/>
  <c r="J88" i="1"/>
  <c r="V88" i="1"/>
  <c r="W88" i="1" s="1"/>
  <c r="J86" i="1"/>
  <c r="V86" i="1"/>
  <c r="W86" i="1" s="1"/>
  <c r="C7" i="15"/>
  <c r="W47" i="1"/>
  <c r="J94" i="1"/>
  <c r="V94" i="1"/>
  <c r="C13" i="15"/>
  <c r="W79" i="1"/>
  <c r="J78" i="1"/>
  <c r="M14" i="12" s="1"/>
  <c r="V78" i="1"/>
  <c r="C11" i="15"/>
  <c r="W77" i="1"/>
  <c r="J67" i="1"/>
  <c r="V67" i="1"/>
  <c r="J62" i="1"/>
  <c r="V62" i="1"/>
  <c r="W62" i="1" s="1"/>
  <c r="J60" i="1"/>
  <c r="V60" i="1"/>
  <c r="J59" i="1"/>
  <c r="V59" i="1"/>
  <c r="W59" i="1" s="1"/>
  <c r="J58" i="1"/>
  <c r="V58" i="1"/>
  <c r="W58" i="1" s="1"/>
  <c r="J57" i="1"/>
  <c r="V57" i="1"/>
  <c r="W57" i="1" s="1"/>
  <c r="J56" i="1"/>
  <c r="V56" i="1"/>
  <c r="W56" i="1" s="1"/>
  <c r="J55" i="1"/>
  <c r="V55" i="1"/>
  <c r="W55" i="1" s="1"/>
  <c r="J53" i="1"/>
  <c r="V53" i="1"/>
  <c r="W53" i="1" s="1"/>
  <c r="J52" i="1"/>
  <c r="V52" i="1"/>
  <c r="W52" i="1" s="1"/>
  <c r="J51" i="1"/>
  <c r="V51" i="1"/>
  <c r="W51" i="1" s="1"/>
  <c r="J37" i="1"/>
  <c r="V37" i="1"/>
  <c r="J35" i="1"/>
  <c r="V35" i="1"/>
  <c r="W103" i="1"/>
  <c r="C18" i="15"/>
  <c r="J99" i="1"/>
  <c r="V99" i="1"/>
  <c r="W99" i="1" s="1"/>
  <c r="J100" i="1"/>
  <c r="V100" i="1"/>
  <c r="W100" i="1" s="1"/>
  <c r="L3" i="8"/>
  <c r="L14" i="8"/>
  <c r="L12" i="8"/>
  <c r="L10" i="8"/>
  <c r="L8" i="8"/>
  <c r="L6" i="8"/>
  <c r="L4" i="8"/>
  <c r="L25" i="8"/>
  <c r="R25" i="8" s="1"/>
  <c r="T25" i="8" s="1"/>
  <c r="U25" i="8" s="1"/>
  <c r="L15" i="8"/>
  <c r="L13" i="8"/>
  <c r="L11" i="8"/>
  <c r="L9" i="8"/>
  <c r="L7" i="8"/>
  <c r="L5" i="8"/>
  <c r="J77" i="1"/>
  <c r="M13" i="12" s="1"/>
  <c r="I104" i="1"/>
  <c r="V104" i="1" s="1"/>
  <c r="W104" i="1" s="1"/>
  <c r="I101" i="1"/>
  <c r="V101" i="1" s="1"/>
  <c r="W101" i="1" s="1"/>
  <c r="I102" i="1"/>
  <c r="V102" i="1" s="1"/>
  <c r="W102" i="1" s="1"/>
  <c r="I98" i="1"/>
  <c r="V98" i="1" s="1"/>
  <c r="R25" i="1"/>
  <c r="M3" i="12"/>
  <c r="H28" i="12"/>
  <c r="H26" i="12"/>
  <c r="H24" i="12"/>
  <c r="H21" i="12"/>
  <c r="H19" i="12"/>
  <c r="H3" i="12"/>
  <c r="H22" i="12"/>
  <c r="M24" i="12"/>
  <c r="M22" i="12"/>
  <c r="S26" i="1"/>
  <c r="T26" i="1" s="1"/>
  <c r="R26" i="1"/>
  <c r="S61" i="1"/>
  <c r="T61" i="1" s="1"/>
  <c r="R61" i="1"/>
  <c r="H30" i="12"/>
  <c r="H27" i="12"/>
  <c r="H25" i="12"/>
  <c r="H23" i="12"/>
  <c r="H20" i="12"/>
  <c r="H5" i="12"/>
  <c r="H31" i="12"/>
  <c r="M30" i="12"/>
  <c r="R4" i="12"/>
  <c r="R24" i="1"/>
  <c r="J47" i="1"/>
  <c r="R106" i="1"/>
  <c r="S106" i="1"/>
  <c r="T106" i="1" s="1"/>
  <c r="P25" i="8"/>
  <c r="Q25" i="8" s="1"/>
  <c r="N15" i="8"/>
  <c r="N14" i="8"/>
  <c r="N13" i="8"/>
  <c r="N12" i="8"/>
  <c r="N11" i="8"/>
  <c r="N10" i="8"/>
  <c r="N9" i="8"/>
  <c r="N8" i="8"/>
  <c r="N5" i="8"/>
  <c r="N7" i="8"/>
  <c r="N6" i="8"/>
  <c r="N4" i="8"/>
  <c r="N3" i="8"/>
  <c r="C16" i="15" l="1"/>
  <c r="W94" i="1"/>
  <c r="W78" i="1"/>
  <c r="C12" i="15"/>
  <c r="C10" i="15"/>
  <c r="W67" i="1"/>
  <c r="W60" i="1"/>
  <c r="C8" i="15"/>
  <c r="C6" i="15"/>
  <c r="W37" i="1"/>
  <c r="C5" i="15"/>
  <c r="W35" i="1"/>
  <c r="W98" i="1"/>
  <c r="C17" i="15"/>
  <c r="S25" i="8"/>
  <c r="G53" i="8"/>
  <c r="J53" i="8" s="1"/>
  <c r="H15" i="12"/>
  <c r="F143" i="1"/>
  <c r="I143" i="1" s="1"/>
  <c r="G46" i="8" l="1"/>
  <c r="H46" i="8" l="1"/>
  <c r="J40" i="1"/>
  <c r="J42" i="1"/>
  <c r="J96" i="1"/>
  <c r="J114" i="1"/>
  <c r="J85" i="1"/>
  <c r="J32" i="1"/>
  <c r="J107" i="1"/>
  <c r="J108" i="1"/>
  <c r="J102" i="1"/>
  <c r="J101" i="1"/>
  <c r="R5" i="12" s="1"/>
  <c r="J6" i="1"/>
  <c r="J7" i="1"/>
  <c r="J8" i="1"/>
  <c r="J9" i="1"/>
  <c r="J10" i="1"/>
  <c r="K7" i="1"/>
  <c r="J5" i="1"/>
  <c r="C3" i="12" l="1"/>
  <c r="C8" i="12"/>
  <c r="C6" i="12"/>
  <c r="C4" i="12"/>
  <c r="R11" i="12"/>
  <c r="M21" i="12"/>
  <c r="M32" i="12"/>
  <c r="H8" i="12"/>
  <c r="C7" i="12"/>
  <c r="C5" i="12"/>
  <c r="R6" i="12"/>
  <c r="R12" i="12"/>
  <c r="C30" i="12"/>
  <c r="H10" i="12"/>
  <c r="C22" i="5"/>
  <c r="O96" i="1"/>
  <c r="P96" i="1" s="1"/>
  <c r="H5" i="5"/>
  <c r="C3" i="5"/>
  <c r="K15" i="3"/>
  <c r="C4" i="3"/>
  <c r="C34" i="3"/>
  <c r="Q7" i="1"/>
  <c r="R7" i="1" s="1"/>
  <c r="D5" i="5"/>
  <c r="O9" i="1"/>
  <c r="P9" i="1" s="1"/>
  <c r="C7" i="5"/>
  <c r="O7" i="1"/>
  <c r="P7" i="1" s="1"/>
  <c r="C5" i="5"/>
  <c r="O32" i="1"/>
  <c r="P32" i="1" s="1"/>
  <c r="H26" i="5"/>
  <c r="H28" i="5"/>
  <c r="O114" i="1"/>
  <c r="P114" i="1" s="1"/>
  <c r="O42" i="1"/>
  <c r="P42" i="1" s="1"/>
  <c r="K47" i="1"/>
  <c r="C36" i="3"/>
  <c r="C26" i="3"/>
  <c r="C8" i="3"/>
  <c r="C6" i="3"/>
  <c r="K11" i="3"/>
  <c r="K5" i="3"/>
  <c r="O10" i="1"/>
  <c r="P10" i="1" s="1"/>
  <c r="C8" i="5"/>
  <c r="O8" i="1"/>
  <c r="P8" i="1" s="1"/>
  <c r="C6" i="5"/>
  <c r="O6" i="1"/>
  <c r="P6" i="1" s="1"/>
  <c r="C4" i="5"/>
  <c r="O101" i="1"/>
  <c r="P101" i="1" s="1"/>
  <c r="R4" i="5"/>
  <c r="O108" i="1"/>
  <c r="P108" i="1" s="1"/>
  <c r="M3" i="5"/>
  <c r="O85" i="1"/>
  <c r="P85" i="1" s="1"/>
  <c r="K114" i="1"/>
  <c r="K96" i="1"/>
  <c r="K42" i="1"/>
  <c r="C41" i="3"/>
  <c r="C9" i="3"/>
  <c r="C7" i="3"/>
  <c r="C5" i="3"/>
  <c r="G36" i="3"/>
  <c r="G20" i="3"/>
  <c r="K21" i="3"/>
  <c r="K14" i="3"/>
  <c r="K10" i="3"/>
  <c r="K40" i="1"/>
  <c r="O40" i="1"/>
  <c r="P40" i="1" s="1"/>
  <c r="K9" i="1"/>
  <c r="O47" i="1"/>
  <c r="P47" i="1" s="1"/>
  <c r="K101" i="1"/>
  <c r="O68" i="1"/>
  <c r="P68" i="1" s="1"/>
  <c r="K10" i="1"/>
  <c r="K8" i="1"/>
  <c r="K6" i="1"/>
  <c r="K102" i="1"/>
  <c r="O102" i="1"/>
  <c r="P102" i="1" s="1"/>
  <c r="K108" i="1"/>
  <c r="K68" i="1"/>
  <c r="K32" i="1"/>
  <c r="K85" i="1"/>
  <c r="K107" i="1"/>
  <c r="O107" i="1"/>
  <c r="P107" i="1" s="1"/>
  <c r="O5" i="1"/>
  <c r="P5" i="1" s="1"/>
  <c r="K5" i="1"/>
  <c r="M47" i="1"/>
  <c r="M101" i="1"/>
  <c r="M40" i="1"/>
  <c r="M42" i="1"/>
  <c r="M96" i="1"/>
  <c r="M114" i="1"/>
  <c r="M107" i="1"/>
  <c r="M85" i="1"/>
  <c r="M32" i="1"/>
  <c r="M68" i="1"/>
  <c r="M108" i="1"/>
  <c r="M102" i="1"/>
  <c r="S7" i="1" l="1"/>
  <c r="T7" i="1" s="1"/>
  <c r="H53" i="8"/>
  <c r="K53" i="8" s="1"/>
  <c r="Q107" i="1"/>
  <c r="R107" i="1" s="1"/>
  <c r="Q85" i="1"/>
  <c r="S85" i="1" s="1"/>
  <c r="T85" i="1" s="1"/>
  <c r="Q68" i="1"/>
  <c r="Q6" i="1"/>
  <c r="R6" i="1" s="1"/>
  <c r="D4" i="5"/>
  <c r="Q10" i="1"/>
  <c r="R10" i="1" s="1"/>
  <c r="D8" i="5"/>
  <c r="Q101" i="1"/>
  <c r="Q96" i="1"/>
  <c r="Q5" i="1"/>
  <c r="S5" i="1" s="1"/>
  <c r="T5" i="1" s="1"/>
  <c r="D3" i="5"/>
  <c r="D22" i="5"/>
  <c r="Q32" i="1"/>
  <c r="Q108" i="1"/>
  <c r="Q102" i="1"/>
  <c r="R102" i="1" s="1"/>
  <c r="Q8" i="1"/>
  <c r="R8" i="1" s="1"/>
  <c r="D6" i="5"/>
  <c r="Q9" i="1"/>
  <c r="D7" i="5"/>
  <c r="Q40" i="1"/>
  <c r="C11" i="4"/>
  <c r="Q42" i="1"/>
  <c r="C13" i="4"/>
  <c r="Q114" i="1"/>
  <c r="Q47" i="1"/>
  <c r="C18" i="4"/>
  <c r="J18" i="1"/>
  <c r="J19" i="1"/>
  <c r="J21" i="1"/>
  <c r="J29" i="1"/>
  <c r="J41" i="1"/>
  <c r="J50" i="1"/>
  <c r="J65" i="1"/>
  <c r="J71" i="1"/>
  <c r="J73" i="1"/>
  <c r="J80" i="1"/>
  <c r="J82" i="1"/>
  <c r="J89" i="1"/>
  <c r="J90" i="1"/>
  <c r="J92" i="1"/>
  <c r="J93" i="1"/>
  <c r="J95" i="1"/>
  <c r="J97" i="1"/>
  <c r="R5" i="5"/>
  <c r="J103" i="1"/>
  <c r="R7" i="12" s="1"/>
  <c r="J109" i="1"/>
  <c r="J113" i="1"/>
  <c r="J116" i="1"/>
  <c r="J117" i="1"/>
  <c r="J119" i="1"/>
  <c r="J120" i="1"/>
  <c r="J124" i="1"/>
  <c r="J125" i="1"/>
  <c r="J126" i="1"/>
  <c r="J129" i="1"/>
  <c r="J12" i="1"/>
  <c r="R31" i="12" l="1"/>
  <c r="R29" i="5"/>
  <c r="R27" i="12"/>
  <c r="R22" i="12"/>
  <c r="R19" i="12"/>
  <c r="R16" i="12"/>
  <c r="M33" i="12"/>
  <c r="M29" i="12"/>
  <c r="M26" i="12"/>
  <c r="G52" i="8"/>
  <c r="J52" i="8" s="1"/>
  <c r="M18" i="12"/>
  <c r="M9" i="12"/>
  <c r="H32" i="12"/>
  <c r="H9" i="12"/>
  <c r="C19" i="12"/>
  <c r="C16" i="12"/>
  <c r="C10" i="12"/>
  <c r="R30" i="5"/>
  <c r="R28" i="12"/>
  <c r="R26" i="12"/>
  <c r="R21" i="12"/>
  <c r="R18" i="12"/>
  <c r="M30" i="5"/>
  <c r="M31" i="12"/>
  <c r="M28" i="12"/>
  <c r="M25" i="12"/>
  <c r="M16" i="12"/>
  <c r="M7" i="12"/>
  <c r="H18" i="12"/>
  <c r="C27" i="5"/>
  <c r="C27" i="12"/>
  <c r="C17" i="12"/>
  <c r="S107" i="1"/>
  <c r="T107" i="1" s="1"/>
  <c r="S10" i="1"/>
  <c r="T10" i="1" s="1"/>
  <c r="S6" i="1"/>
  <c r="T6" i="1" s="1"/>
  <c r="R85" i="1"/>
  <c r="C11" i="5"/>
  <c r="R28" i="5"/>
  <c r="K33" i="3"/>
  <c r="R26" i="5"/>
  <c r="K31" i="3"/>
  <c r="R24" i="5"/>
  <c r="K29" i="3"/>
  <c r="O120" i="1"/>
  <c r="P120" i="1" s="1"/>
  <c r="K27" i="3"/>
  <c r="K117" i="1"/>
  <c r="K24" i="3"/>
  <c r="K20" i="3"/>
  <c r="R6" i="5"/>
  <c r="K12" i="3"/>
  <c r="K99" i="1"/>
  <c r="K8" i="3"/>
  <c r="K95" i="1"/>
  <c r="G5" i="4" s="1"/>
  <c r="M29" i="5"/>
  <c r="K4" i="3"/>
  <c r="G43" i="3"/>
  <c r="G40" i="3"/>
  <c r="G31" i="3"/>
  <c r="G23" i="3"/>
  <c r="K64" i="1"/>
  <c r="C33" i="4" s="1"/>
  <c r="H30" i="5"/>
  <c r="G16" i="3"/>
  <c r="C35" i="3"/>
  <c r="K22" i="1"/>
  <c r="C20" i="5"/>
  <c r="C20" i="3"/>
  <c r="C18" i="5"/>
  <c r="C18" i="3"/>
  <c r="K18" i="1"/>
  <c r="C16" i="5"/>
  <c r="C16" i="3"/>
  <c r="R47" i="1"/>
  <c r="S47" i="1"/>
  <c r="T47" i="1" s="1"/>
  <c r="R114" i="1"/>
  <c r="S114" i="1"/>
  <c r="T114" i="1" s="1"/>
  <c r="R42" i="1"/>
  <c r="S42" i="1"/>
  <c r="T42" i="1" s="1"/>
  <c r="R40" i="1"/>
  <c r="S40" i="1"/>
  <c r="T40" i="1" s="1"/>
  <c r="R9" i="1"/>
  <c r="S9" i="1"/>
  <c r="T9" i="1" s="1"/>
  <c r="R108" i="1"/>
  <c r="S108" i="1"/>
  <c r="T108" i="1" s="1"/>
  <c r="R32" i="1"/>
  <c r="S32" i="1"/>
  <c r="T32" i="1" s="1"/>
  <c r="R96" i="1"/>
  <c r="S96" i="1"/>
  <c r="T96" i="1" s="1"/>
  <c r="R101" i="1"/>
  <c r="S101" i="1"/>
  <c r="T101" i="1" s="1"/>
  <c r="K12" i="1"/>
  <c r="C10" i="5"/>
  <c r="C11" i="3"/>
  <c r="R33" i="5"/>
  <c r="K38" i="3"/>
  <c r="K125" i="1"/>
  <c r="R27" i="5"/>
  <c r="K32" i="3"/>
  <c r="R25" i="5"/>
  <c r="K30" i="3"/>
  <c r="R23" i="5"/>
  <c r="K28" i="3"/>
  <c r="R21" i="5"/>
  <c r="K26" i="3"/>
  <c r="R18" i="5"/>
  <c r="K23" i="3"/>
  <c r="K109" i="1"/>
  <c r="R10" i="5"/>
  <c r="K16" i="3"/>
  <c r="K100" i="1"/>
  <c r="K9" i="3"/>
  <c r="M31" i="5"/>
  <c r="K6" i="3"/>
  <c r="K93" i="1"/>
  <c r="G44" i="3"/>
  <c r="M24" i="5"/>
  <c r="G41" i="3"/>
  <c r="K82" i="1"/>
  <c r="M7" i="5"/>
  <c r="G24" i="3"/>
  <c r="H31" i="5"/>
  <c r="G17" i="3"/>
  <c r="K50" i="1"/>
  <c r="C21" i="4" s="1"/>
  <c r="H15" i="5"/>
  <c r="G4" i="3"/>
  <c r="C24" i="5"/>
  <c r="C23" i="3"/>
  <c r="K21" i="1"/>
  <c r="C19" i="5"/>
  <c r="C19" i="3"/>
  <c r="C17" i="5"/>
  <c r="C17" i="3"/>
  <c r="R5" i="1"/>
  <c r="S8" i="1"/>
  <c r="T8" i="1" s="1"/>
  <c r="S102" i="1"/>
  <c r="T102" i="1" s="1"/>
  <c r="R68" i="1"/>
  <c r="S68" i="1"/>
  <c r="T68" i="1" s="1"/>
  <c r="O121" i="1"/>
  <c r="P121" i="1" s="1"/>
  <c r="O125" i="1"/>
  <c r="P125" i="1" s="1"/>
  <c r="O13" i="1"/>
  <c r="P13" i="1" s="1"/>
  <c r="K13" i="1"/>
  <c r="K116" i="1"/>
  <c r="O116" i="1"/>
  <c r="P116" i="1" s="1"/>
  <c r="O41" i="1"/>
  <c r="P41" i="1" s="1"/>
  <c r="K41" i="1"/>
  <c r="K129" i="1"/>
  <c r="O129" i="1"/>
  <c r="P129" i="1" s="1"/>
  <c r="K120" i="1"/>
  <c r="K103" i="1"/>
  <c r="O97" i="1"/>
  <c r="P97" i="1" s="1"/>
  <c r="K97" i="1"/>
  <c r="K92" i="1"/>
  <c r="O92" i="1"/>
  <c r="P92" i="1" s="1"/>
  <c r="O19" i="1"/>
  <c r="P19" i="1" s="1"/>
  <c r="K19" i="1"/>
  <c r="O123" i="1"/>
  <c r="P123" i="1" s="1"/>
  <c r="K123" i="1"/>
  <c r="O119" i="1"/>
  <c r="P119" i="1" s="1"/>
  <c r="K119" i="1"/>
  <c r="O90" i="1"/>
  <c r="P90" i="1" s="1"/>
  <c r="K90" i="1"/>
  <c r="K80" i="1"/>
  <c r="O80" i="1"/>
  <c r="P80" i="1" s="1"/>
  <c r="K65" i="1"/>
  <c r="C34" i="4" s="1"/>
  <c r="O65" i="1"/>
  <c r="P65" i="1" s="1"/>
  <c r="K121" i="1"/>
  <c r="O126" i="1"/>
  <c r="P126" i="1" s="1"/>
  <c r="K126" i="1"/>
  <c r="O122" i="1"/>
  <c r="P122" i="1" s="1"/>
  <c r="K122" i="1"/>
  <c r="O113" i="1"/>
  <c r="P113" i="1" s="1"/>
  <c r="K113" i="1"/>
  <c r="O109" i="1"/>
  <c r="P109" i="1" s="1"/>
  <c r="O99" i="1"/>
  <c r="P99" i="1" s="1"/>
  <c r="K89" i="1"/>
  <c r="O89" i="1"/>
  <c r="P89" i="1" s="1"/>
  <c r="O71" i="1"/>
  <c r="P71" i="1" s="1"/>
  <c r="K71" i="1"/>
  <c r="C39" i="4" s="1"/>
  <c r="O103" i="1"/>
  <c r="P103" i="1" s="1"/>
  <c r="O12" i="1"/>
  <c r="P12" i="1" s="1"/>
  <c r="O117" i="1"/>
  <c r="P117" i="1" s="1"/>
  <c r="O93" i="1"/>
  <c r="P93" i="1" s="1"/>
  <c r="O124" i="1"/>
  <c r="P124" i="1" s="1"/>
  <c r="K124" i="1"/>
  <c r="O73" i="1"/>
  <c r="P73" i="1" s="1"/>
  <c r="K73" i="1"/>
  <c r="O20" i="1"/>
  <c r="P20" i="1" s="1"/>
  <c r="O29" i="1"/>
  <c r="P29" i="1" s="1"/>
  <c r="O100" i="1"/>
  <c r="P100" i="1" s="1"/>
  <c r="O95" i="1"/>
  <c r="P95" i="1" s="1"/>
  <c r="O82" i="1"/>
  <c r="P82" i="1" s="1"/>
  <c r="O64" i="1"/>
  <c r="P64" i="1" s="1"/>
  <c r="O50" i="1"/>
  <c r="P50" i="1" s="1"/>
  <c r="O22" i="1"/>
  <c r="P22" i="1" s="1"/>
  <c r="O18" i="1"/>
  <c r="P18" i="1" s="1"/>
  <c r="K29" i="1"/>
  <c r="K20" i="1"/>
  <c r="O21" i="1"/>
  <c r="P21" i="1" s="1"/>
  <c r="M11" i="1"/>
  <c r="M12" i="1"/>
  <c r="M13" i="1"/>
  <c r="M14" i="1"/>
  <c r="M15" i="1"/>
  <c r="M16" i="1"/>
  <c r="M17" i="1"/>
  <c r="M18" i="1"/>
  <c r="M19" i="1"/>
  <c r="M20" i="1"/>
  <c r="M21" i="1"/>
  <c r="M22" i="1"/>
  <c r="M27" i="1"/>
  <c r="M28" i="1"/>
  <c r="M29" i="1"/>
  <c r="M30" i="1"/>
  <c r="M31" i="1"/>
  <c r="M33" i="1"/>
  <c r="M34" i="1"/>
  <c r="M35" i="1"/>
  <c r="M36" i="1"/>
  <c r="M37" i="1"/>
  <c r="M38" i="1"/>
  <c r="M39" i="1"/>
  <c r="M41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4" i="1"/>
  <c r="M65" i="1"/>
  <c r="M66" i="1"/>
  <c r="M67" i="1"/>
  <c r="M69" i="1"/>
  <c r="M70" i="1"/>
  <c r="M71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M87" i="1"/>
  <c r="M88" i="1"/>
  <c r="M89" i="1"/>
  <c r="M90" i="1"/>
  <c r="M91" i="1"/>
  <c r="M92" i="1"/>
  <c r="M93" i="1"/>
  <c r="M94" i="1"/>
  <c r="M95" i="1"/>
  <c r="M97" i="1"/>
  <c r="M98" i="1"/>
  <c r="M99" i="1"/>
  <c r="M100" i="1"/>
  <c r="M103" i="1"/>
  <c r="M104" i="1"/>
  <c r="M109" i="1"/>
  <c r="M110" i="1"/>
  <c r="M111" i="1"/>
  <c r="M112" i="1"/>
  <c r="M113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8" i="1"/>
  <c r="M129" i="1"/>
  <c r="G8" i="4" l="1"/>
  <c r="G7" i="4"/>
  <c r="D27" i="5"/>
  <c r="S30" i="5"/>
  <c r="H52" i="8"/>
  <c r="K52" i="8" s="1"/>
  <c r="S5" i="5"/>
  <c r="S29" i="5"/>
  <c r="S4" i="5"/>
  <c r="Q20" i="1"/>
  <c r="S20" i="1" s="1"/>
  <c r="T20" i="1" s="1"/>
  <c r="D18" i="5"/>
  <c r="Q73" i="1"/>
  <c r="R73" i="1" s="1"/>
  <c r="N7" i="5"/>
  <c r="Q71" i="1"/>
  <c r="R71" i="1" s="1"/>
  <c r="Q113" i="1"/>
  <c r="R113" i="1" s="1"/>
  <c r="Q122" i="1"/>
  <c r="R122" i="1" s="1"/>
  <c r="S24" i="5"/>
  <c r="Q126" i="1"/>
  <c r="R126" i="1" s="1"/>
  <c r="S28" i="5"/>
  <c r="Q121" i="1"/>
  <c r="R121" i="1" s="1"/>
  <c r="S23" i="5"/>
  <c r="Q65" i="1"/>
  <c r="R65" i="1" s="1"/>
  <c r="I31" i="5"/>
  <c r="Q80" i="1"/>
  <c r="R80" i="1" s="1"/>
  <c r="Q92" i="1"/>
  <c r="S92" i="1" s="1"/>
  <c r="T92" i="1" s="1"/>
  <c r="Q120" i="1"/>
  <c r="S120" i="1" s="1"/>
  <c r="T120" i="1" s="1"/>
  <c r="Q129" i="1"/>
  <c r="R129" i="1" s="1"/>
  <c r="S33" i="5"/>
  <c r="Q41" i="1"/>
  <c r="R41" i="1" s="1"/>
  <c r="C12" i="4"/>
  <c r="Q13" i="1"/>
  <c r="R13" i="1" s="1"/>
  <c r="D11" i="5"/>
  <c r="Q50" i="1"/>
  <c r="I15" i="5"/>
  <c r="Q82" i="1"/>
  <c r="Q100" i="1"/>
  <c r="Q109" i="1"/>
  <c r="S10" i="5"/>
  <c r="Q125" i="1"/>
  <c r="S27" i="5"/>
  <c r="Q22" i="1"/>
  <c r="D20" i="5"/>
  <c r="Q29" i="1"/>
  <c r="S29" i="1" s="1"/>
  <c r="T29" i="1" s="1"/>
  <c r="D24" i="5"/>
  <c r="Q124" i="1"/>
  <c r="R124" i="1" s="1"/>
  <c r="S26" i="5"/>
  <c r="Q89" i="1"/>
  <c r="R89" i="1" s="1"/>
  <c r="Q90" i="1"/>
  <c r="S90" i="1" s="1"/>
  <c r="T90" i="1" s="1"/>
  <c r="Q119" i="1"/>
  <c r="S119" i="1" s="1"/>
  <c r="T119" i="1" s="1"/>
  <c r="S21" i="5"/>
  <c r="Q123" i="1"/>
  <c r="S123" i="1" s="1"/>
  <c r="T123" i="1" s="1"/>
  <c r="S25" i="5"/>
  <c r="Q19" i="1"/>
  <c r="S19" i="1" s="1"/>
  <c r="T19" i="1" s="1"/>
  <c r="D17" i="5"/>
  <c r="Q97" i="1"/>
  <c r="S97" i="1" s="1"/>
  <c r="T97" i="1" s="1"/>
  <c r="N31" i="5"/>
  <c r="Q103" i="1"/>
  <c r="R103" i="1" s="1"/>
  <c r="S6" i="5"/>
  <c r="Q116" i="1"/>
  <c r="R116" i="1" s="1"/>
  <c r="S18" i="5"/>
  <c r="Q21" i="1"/>
  <c r="D19" i="5"/>
  <c r="Q93" i="1"/>
  <c r="Q12" i="1"/>
  <c r="D10" i="5"/>
  <c r="Q18" i="1"/>
  <c r="D16" i="5"/>
  <c r="Q64" i="1"/>
  <c r="Q95" i="1"/>
  <c r="Q99" i="1"/>
  <c r="Q117" i="1"/>
  <c r="R20" i="1"/>
  <c r="J128" i="1"/>
  <c r="J76" i="1"/>
  <c r="G40" i="8"/>
  <c r="J40" i="8" s="1"/>
  <c r="R30" i="12" l="1"/>
  <c r="M12" i="12"/>
  <c r="S129" i="1"/>
  <c r="T129" i="1" s="1"/>
  <c r="S124" i="1"/>
  <c r="T124" i="1" s="1"/>
  <c r="S65" i="1"/>
  <c r="T65" i="1" s="1"/>
  <c r="S80" i="1"/>
  <c r="T80" i="1" s="1"/>
  <c r="S116" i="1"/>
  <c r="T116" i="1" s="1"/>
  <c r="R97" i="1"/>
  <c r="S126" i="1"/>
  <c r="T126" i="1" s="1"/>
  <c r="R29" i="1"/>
  <c r="S89" i="1"/>
  <c r="T89" i="1" s="1"/>
  <c r="S13" i="1"/>
  <c r="T13" i="1" s="1"/>
  <c r="S41" i="1"/>
  <c r="T41" i="1" s="1"/>
  <c r="S103" i="1"/>
  <c r="T103" i="1" s="1"/>
  <c r="R19" i="1"/>
  <c r="S121" i="1"/>
  <c r="T121" i="1" s="1"/>
  <c r="S122" i="1"/>
  <c r="T122" i="1" s="1"/>
  <c r="S73" i="1"/>
  <c r="T73" i="1" s="1"/>
  <c r="R123" i="1"/>
  <c r="S113" i="1"/>
  <c r="T113" i="1" s="1"/>
  <c r="S71" i="1"/>
  <c r="T71" i="1" s="1"/>
  <c r="R120" i="1"/>
  <c r="R92" i="1"/>
  <c r="R90" i="1"/>
  <c r="R119" i="1"/>
  <c r="H22" i="5"/>
  <c r="G11" i="3"/>
  <c r="H27" i="5"/>
  <c r="H29" i="5"/>
  <c r="G15" i="3"/>
  <c r="G27" i="3"/>
  <c r="G5" i="3"/>
  <c r="H21" i="5"/>
  <c r="G10" i="3"/>
  <c r="H25" i="5"/>
  <c r="G14" i="3"/>
  <c r="R32" i="5"/>
  <c r="K37" i="3"/>
  <c r="S117" i="1"/>
  <c r="T117" i="1" s="1"/>
  <c r="R117" i="1"/>
  <c r="S99" i="1"/>
  <c r="T99" i="1" s="1"/>
  <c r="R99" i="1"/>
  <c r="S95" i="1"/>
  <c r="T95" i="1" s="1"/>
  <c r="R95" i="1"/>
  <c r="S64" i="1"/>
  <c r="T64" i="1" s="1"/>
  <c r="R64" i="1"/>
  <c r="S18" i="1"/>
  <c r="T18" i="1" s="1"/>
  <c r="R18" i="1"/>
  <c r="S12" i="1"/>
  <c r="T12" i="1" s="1"/>
  <c r="R12" i="1"/>
  <c r="S93" i="1"/>
  <c r="T93" i="1" s="1"/>
  <c r="R93" i="1"/>
  <c r="S21" i="1"/>
  <c r="T21" i="1" s="1"/>
  <c r="R21" i="1"/>
  <c r="S22" i="1"/>
  <c r="T22" i="1" s="1"/>
  <c r="R22" i="1"/>
  <c r="S125" i="1"/>
  <c r="T125" i="1" s="1"/>
  <c r="R125" i="1"/>
  <c r="S109" i="1"/>
  <c r="T109" i="1" s="1"/>
  <c r="R109" i="1"/>
  <c r="S100" i="1"/>
  <c r="T100" i="1" s="1"/>
  <c r="R100" i="1"/>
  <c r="S82" i="1"/>
  <c r="T82" i="1" s="1"/>
  <c r="R82" i="1"/>
  <c r="S50" i="1"/>
  <c r="T50" i="1" s="1"/>
  <c r="R50" i="1"/>
  <c r="O56" i="1"/>
  <c r="P56" i="1" s="1"/>
  <c r="K56" i="1"/>
  <c r="C27" i="4" s="1"/>
  <c r="O128" i="1"/>
  <c r="P128" i="1" s="1"/>
  <c r="K128" i="1"/>
  <c r="O62" i="1"/>
  <c r="P62" i="1" s="1"/>
  <c r="K62" i="1"/>
  <c r="C32" i="4" s="1"/>
  <c r="K51" i="1"/>
  <c r="C22" i="4" s="1"/>
  <c r="O51" i="1"/>
  <c r="P51" i="1" s="1"/>
  <c r="K60" i="1"/>
  <c r="C31" i="4" s="1"/>
  <c r="O60" i="1"/>
  <c r="P60" i="1" s="1"/>
  <c r="O57" i="1"/>
  <c r="P57" i="1" s="1"/>
  <c r="K57" i="1"/>
  <c r="C28" i="4" s="1"/>
  <c r="O76" i="1"/>
  <c r="P76" i="1" s="1"/>
  <c r="K76" i="1"/>
  <c r="C40" i="4" s="1"/>
  <c r="J14" i="1"/>
  <c r="J28" i="1"/>
  <c r="J30" i="1"/>
  <c r="J31" i="1"/>
  <c r="J33" i="1"/>
  <c r="J36" i="1"/>
  <c r="G39" i="8"/>
  <c r="J39" i="8" s="1"/>
  <c r="J38" i="1"/>
  <c r="H7" i="5"/>
  <c r="J43" i="1"/>
  <c r="J44" i="1"/>
  <c r="J45" i="1"/>
  <c r="J46" i="1"/>
  <c r="J48" i="1"/>
  <c r="J49" i="1"/>
  <c r="J66" i="1"/>
  <c r="G41" i="8"/>
  <c r="J41" i="8" s="1"/>
  <c r="J70" i="1"/>
  <c r="J74" i="1"/>
  <c r="J75" i="1"/>
  <c r="J79" i="1"/>
  <c r="G59" i="8"/>
  <c r="J59" i="8" s="1"/>
  <c r="J84" i="1"/>
  <c r="J87" i="1"/>
  <c r="J91" i="1"/>
  <c r="G45" i="8"/>
  <c r="J45" i="8" s="1"/>
  <c r="J98" i="1"/>
  <c r="J104" i="1"/>
  <c r="J110" i="1"/>
  <c r="J111" i="1"/>
  <c r="J112" i="1"/>
  <c r="J115" i="1"/>
  <c r="R22" i="5"/>
  <c r="J11" i="1"/>
  <c r="R8" i="12" l="1"/>
  <c r="R8" i="5"/>
  <c r="H34" i="5"/>
  <c r="H34" i="12"/>
  <c r="M34" i="12"/>
  <c r="M34" i="5"/>
  <c r="R16" i="5"/>
  <c r="R15" i="12"/>
  <c r="R14" i="5"/>
  <c r="R13" i="12"/>
  <c r="M33" i="5"/>
  <c r="R3" i="12"/>
  <c r="R3" i="5"/>
  <c r="M26" i="5"/>
  <c r="M27" i="12"/>
  <c r="M27" i="5"/>
  <c r="M23" i="12"/>
  <c r="M10" i="5"/>
  <c r="M11" i="12"/>
  <c r="M6" i="5"/>
  <c r="M6" i="12"/>
  <c r="H33" i="12"/>
  <c r="H16" i="5"/>
  <c r="H16" i="12"/>
  <c r="H13" i="12"/>
  <c r="H11" i="12"/>
  <c r="H6" i="5"/>
  <c r="H6" i="12"/>
  <c r="H4" i="12"/>
  <c r="C29" i="12"/>
  <c r="C26" i="5"/>
  <c r="C26" i="12"/>
  <c r="I30" i="5"/>
  <c r="C9" i="12"/>
  <c r="R19" i="5"/>
  <c r="R17" i="12"/>
  <c r="R15" i="5"/>
  <c r="R14" i="12"/>
  <c r="R9" i="5"/>
  <c r="R9" i="12"/>
  <c r="M23" i="5"/>
  <c r="M19" i="5"/>
  <c r="M20" i="12"/>
  <c r="M14" i="5"/>
  <c r="M15" i="12"/>
  <c r="M10" i="12"/>
  <c r="H17" i="12"/>
  <c r="H14" i="12"/>
  <c r="H12" i="5"/>
  <c r="H12" i="12"/>
  <c r="C31" i="12"/>
  <c r="C28" i="12"/>
  <c r="C12" i="12"/>
  <c r="I28" i="5"/>
  <c r="M16" i="5"/>
  <c r="G33" i="3"/>
  <c r="G48" i="8"/>
  <c r="J48" i="8" s="1"/>
  <c r="G44" i="8"/>
  <c r="J44" i="8" s="1"/>
  <c r="G42" i="8"/>
  <c r="J42" i="8" s="1"/>
  <c r="G38" i="8"/>
  <c r="J38" i="8" s="1"/>
  <c r="G37" i="8"/>
  <c r="J37" i="8" s="1"/>
  <c r="H40" i="8"/>
  <c r="K40" i="8" s="1"/>
  <c r="G49" i="8"/>
  <c r="J49" i="8" s="1"/>
  <c r="G47" i="8"/>
  <c r="J47" i="8" s="1"/>
  <c r="G43" i="8"/>
  <c r="J43" i="8" s="1"/>
  <c r="C9" i="5"/>
  <c r="C10" i="3"/>
  <c r="R17" i="5"/>
  <c r="K22" i="3"/>
  <c r="R12" i="5"/>
  <c r="K18" i="3"/>
  <c r="R7" i="5"/>
  <c r="K13" i="3"/>
  <c r="M28" i="5"/>
  <c r="G45" i="3"/>
  <c r="M22" i="5"/>
  <c r="G39" i="3"/>
  <c r="M20" i="5"/>
  <c r="G37" i="3"/>
  <c r="M17" i="5"/>
  <c r="G34" i="3"/>
  <c r="M13" i="5"/>
  <c r="G30" i="3"/>
  <c r="M11" i="5"/>
  <c r="G28" i="3"/>
  <c r="M8" i="5"/>
  <c r="G25" i="3"/>
  <c r="M4" i="5"/>
  <c r="G21" i="3"/>
  <c r="H32" i="5"/>
  <c r="G18" i="3"/>
  <c r="H23" i="5"/>
  <c r="G12" i="3"/>
  <c r="H19" i="5"/>
  <c r="G8" i="3"/>
  <c r="H17" i="5"/>
  <c r="G6" i="3"/>
  <c r="H13" i="5"/>
  <c r="C42" i="3"/>
  <c r="H10" i="5"/>
  <c r="C39" i="3"/>
  <c r="H8" i="5"/>
  <c r="C37" i="3"/>
  <c r="H3" i="5"/>
  <c r="C32" i="3"/>
  <c r="C31" i="5"/>
  <c r="C30" i="3"/>
  <c r="C29" i="5"/>
  <c r="C28" i="3"/>
  <c r="C25" i="3"/>
  <c r="C23" i="5"/>
  <c r="C22" i="3"/>
  <c r="C15" i="5"/>
  <c r="C15" i="3"/>
  <c r="C13" i="5"/>
  <c r="C13" i="3"/>
  <c r="Q76" i="1"/>
  <c r="S76" i="1" s="1"/>
  <c r="T76" i="1" s="1"/>
  <c r="Q57" i="1"/>
  <c r="S57" i="1" s="1"/>
  <c r="T57" i="1" s="1"/>
  <c r="Q62" i="1"/>
  <c r="R62" i="1" s="1"/>
  <c r="I29" i="5"/>
  <c r="Q128" i="1"/>
  <c r="S128" i="1" s="1"/>
  <c r="T128" i="1" s="1"/>
  <c r="S32" i="5"/>
  <c r="Q56" i="1"/>
  <c r="S56" i="1" s="1"/>
  <c r="T56" i="1" s="1"/>
  <c r="R20" i="5"/>
  <c r="K25" i="3"/>
  <c r="R13" i="5"/>
  <c r="K19" i="3"/>
  <c r="R11" i="5"/>
  <c r="K17" i="3"/>
  <c r="M32" i="5"/>
  <c r="K7" i="3"/>
  <c r="M25" i="5"/>
  <c r="G42" i="3"/>
  <c r="M21" i="5"/>
  <c r="G38" i="3"/>
  <c r="M18" i="5"/>
  <c r="G35" i="3"/>
  <c r="M15" i="5"/>
  <c r="G32" i="3"/>
  <c r="M12" i="5"/>
  <c r="G29" i="3"/>
  <c r="M9" i="5"/>
  <c r="G26" i="3"/>
  <c r="M5" i="5"/>
  <c r="G22" i="3"/>
  <c r="H33" i="5"/>
  <c r="G19" i="3"/>
  <c r="H24" i="5"/>
  <c r="G13" i="3"/>
  <c r="H20" i="5"/>
  <c r="G9" i="3"/>
  <c r="H18" i="5"/>
  <c r="G7" i="3"/>
  <c r="H14" i="5"/>
  <c r="C43" i="3"/>
  <c r="H11" i="5"/>
  <c r="C40" i="3"/>
  <c r="H9" i="5"/>
  <c r="C38" i="3"/>
  <c r="H4" i="5"/>
  <c r="C33" i="3"/>
  <c r="C32" i="5"/>
  <c r="C31" i="3"/>
  <c r="C30" i="5"/>
  <c r="C29" i="3"/>
  <c r="C28" i="5"/>
  <c r="C27" i="3"/>
  <c r="C25" i="5"/>
  <c r="C24" i="3"/>
  <c r="C21" i="5"/>
  <c r="C21" i="3"/>
  <c r="C14" i="5"/>
  <c r="C14" i="3"/>
  <c r="C12" i="5"/>
  <c r="C12" i="3"/>
  <c r="Q60" i="1"/>
  <c r="R60" i="1" s="1"/>
  <c r="I25" i="5"/>
  <c r="Q51" i="1"/>
  <c r="S51" i="1" s="1"/>
  <c r="T51" i="1" s="1"/>
  <c r="K86" i="1"/>
  <c r="O86" i="1"/>
  <c r="P86" i="1" s="1"/>
  <c r="K36" i="1"/>
  <c r="O36" i="1"/>
  <c r="P36" i="1" s="1"/>
  <c r="O110" i="1"/>
  <c r="P110" i="1" s="1"/>
  <c r="K110" i="1"/>
  <c r="G10" i="4" s="1"/>
  <c r="O79" i="1"/>
  <c r="P79" i="1" s="1"/>
  <c r="K79" i="1"/>
  <c r="C43" i="4" s="1"/>
  <c r="O54" i="1"/>
  <c r="P54" i="1" s="1"/>
  <c r="K54" i="1"/>
  <c r="C25" i="4" s="1"/>
  <c r="O43" i="1"/>
  <c r="P43" i="1" s="1"/>
  <c r="K43" i="1"/>
  <c r="O17" i="1"/>
  <c r="P17" i="1" s="1"/>
  <c r="K17" i="1"/>
  <c r="O84" i="1"/>
  <c r="P84" i="1" s="1"/>
  <c r="K84" i="1"/>
  <c r="O78" i="1"/>
  <c r="P78" i="1" s="1"/>
  <c r="K78" i="1"/>
  <c r="C42" i="4" s="1"/>
  <c r="K70" i="1"/>
  <c r="C38" i="4" s="1"/>
  <c r="O70" i="1"/>
  <c r="P70" i="1" s="1"/>
  <c r="O59" i="1"/>
  <c r="P59" i="1" s="1"/>
  <c r="K59" i="1"/>
  <c r="C30" i="4" s="1"/>
  <c r="O53" i="1"/>
  <c r="P53" i="1" s="1"/>
  <c r="K53" i="1"/>
  <c r="C24" i="4" s="1"/>
  <c r="K46" i="1"/>
  <c r="O46" i="1"/>
  <c r="P46" i="1" s="1"/>
  <c r="O39" i="1"/>
  <c r="P39" i="1" s="1"/>
  <c r="K39" i="1"/>
  <c r="O35" i="1"/>
  <c r="P35" i="1" s="1"/>
  <c r="K35" i="1"/>
  <c r="O30" i="1"/>
  <c r="P30" i="1" s="1"/>
  <c r="K30" i="1"/>
  <c r="K16" i="1"/>
  <c r="O16" i="1"/>
  <c r="P16" i="1" s="1"/>
  <c r="O74" i="1"/>
  <c r="P74" i="1" s="1"/>
  <c r="K74" i="1"/>
  <c r="K115" i="1"/>
  <c r="O115" i="1"/>
  <c r="P115" i="1" s="1"/>
  <c r="O91" i="1"/>
  <c r="P91" i="1" s="1"/>
  <c r="K91" i="1"/>
  <c r="O112" i="1"/>
  <c r="P112" i="1" s="1"/>
  <c r="K112" i="1"/>
  <c r="G12" i="4" s="1"/>
  <c r="O104" i="1"/>
  <c r="P104" i="1" s="1"/>
  <c r="K104" i="1"/>
  <c r="K88" i="1"/>
  <c r="O88" i="1"/>
  <c r="P88" i="1" s="1"/>
  <c r="K83" i="1"/>
  <c r="C44" i="4" s="1"/>
  <c r="O83" i="1"/>
  <c r="P83" i="1" s="1"/>
  <c r="K77" i="1"/>
  <c r="C41" i="4" s="1"/>
  <c r="O77" i="1"/>
  <c r="P77" i="1" s="1"/>
  <c r="O69" i="1"/>
  <c r="P69" i="1" s="1"/>
  <c r="K69" i="1"/>
  <c r="O58" i="1"/>
  <c r="P58" i="1" s="1"/>
  <c r="K58" i="1"/>
  <c r="C29" i="4" s="1"/>
  <c r="K52" i="1"/>
  <c r="C23" i="4" s="1"/>
  <c r="O52" i="1"/>
  <c r="P52" i="1" s="1"/>
  <c r="O45" i="1"/>
  <c r="P45" i="1" s="1"/>
  <c r="K45" i="1"/>
  <c r="K38" i="1"/>
  <c r="O38" i="1"/>
  <c r="P38" i="1" s="1"/>
  <c r="O34" i="1"/>
  <c r="P34" i="1" s="1"/>
  <c r="K34" i="1"/>
  <c r="O28" i="1"/>
  <c r="P28" i="1" s="1"/>
  <c r="K28" i="1"/>
  <c r="O15" i="1"/>
  <c r="P15" i="1" s="1"/>
  <c r="K15" i="1"/>
  <c r="O118" i="1"/>
  <c r="P118" i="1" s="1"/>
  <c r="K118" i="1"/>
  <c r="O94" i="1"/>
  <c r="P94" i="1" s="1"/>
  <c r="K94" i="1"/>
  <c r="G4" i="4" s="1"/>
  <c r="O66" i="1"/>
  <c r="P66" i="1" s="1"/>
  <c r="K66" i="1"/>
  <c r="C35" i="4" s="1"/>
  <c r="O48" i="1"/>
  <c r="P48" i="1" s="1"/>
  <c r="K48" i="1"/>
  <c r="K31" i="1"/>
  <c r="O31" i="1"/>
  <c r="P31" i="1" s="1"/>
  <c r="K11" i="1"/>
  <c r="O11" i="1"/>
  <c r="P11" i="1" s="1"/>
  <c r="O111" i="1"/>
  <c r="P111" i="1" s="1"/>
  <c r="K111" i="1"/>
  <c r="G11" i="4" s="1"/>
  <c r="K98" i="1"/>
  <c r="O98" i="1"/>
  <c r="P98" i="1" s="1"/>
  <c r="O87" i="1"/>
  <c r="P87" i="1" s="1"/>
  <c r="K87" i="1"/>
  <c r="O81" i="1"/>
  <c r="P81" i="1" s="1"/>
  <c r="K81" i="1"/>
  <c r="K75" i="1"/>
  <c r="O75" i="1"/>
  <c r="P75" i="1" s="1"/>
  <c r="O67" i="1"/>
  <c r="P67" i="1" s="1"/>
  <c r="K67" i="1"/>
  <c r="C36" i="4" s="1"/>
  <c r="K55" i="1"/>
  <c r="C26" i="4" s="1"/>
  <c r="O55" i="1"/>
  <c r="P55" i="1" s="1"/>
  <c r="K49" i="1"/>
  <c r="O49" i="1"/>
  <c r="P49" i="1" s="1"/>
  <c r="K44" i="1"/>
  <c r="O44" i="1"/>
  <c r="P44" i="1" s="1"/>
  <c r="O37" i="1"/>
  <c r="P37" i="1" s="1"/>
  <c r="K37" i="1"/>
  <c r="O33" i="1"/>
  <c r="P33" i="1" s="1"/>
  <c r="K33" i="1"/>
  <c r="K27" i="1"/>
  <c r="O27" i="1"/>
  <c r="P27" i="1" s="1"/>
  <c r="O14" i="1"/>
  <c r="P14" i="1" s="1"/>
  <c r="K14" i="1"/>
  <c r="G9" i="4" l="1"/>
  <c r="G6" i="4"/>
  <c r="C37" i="4"/>
  <c r="N34" i="5"/>
  <c r="I34" i="5"/>
  <c r="S22" i="5"/>
  <c r="S8" i="5"/>
  <c r="I7" i="5"/>
  <c r="I12" i="5"/>
  <c r="N10" i="5"/>
  <c r="N33" i="5"/>
  <c r="S3" i="5"/>
  <c r="I6" i="5"/>
  <c r="H59" i="8"/>
  <c r="K59" i="8" s="1"/>
  <c r="N23" i="5"/>
  <c r="N24" i="5"/>
  <c r="S19" i="5"/>
  <c r="N6" i="5"/>
  <c r="I5" i="5"/>
  <c r="N3" i="5"/>
  <c r="S15" i="5"/>
  <c r="I16" i="5"/>
  <c r="N29" i="5"/>
  <c r="N30" i="5"/>
  <c r="D26" i="5"/>
  <c r="I26" i="5"/>
  <c r="S9" i="5"/>
  <c r="S16" i="5"/>
  <c r="N26" i="5"/>
  <c r="N27" i="5"/>
  <c r="I21" i="5"/>
  <c r="I27" i="5"/>
  <c r="N19" i="5"/>
  <c r="I22" i="5"/>
  <c r="S14" i="5"/>
  <c r="N14" i="5"/>
  <c r="R51" i="1"/>
  <c r="J61" i="8"/>
  <c r="N16" i="5"/>
  <c r="H42" i="8"/>
  <c r="K42" i="8" s="1"/>
  <c r="H37" i="8"/>
  <c r="K37" i="8" s="1"/>
  <c r="H39" i="8"/>
  <c r="K39" i="8" s="1"/>
  <c r="H41" i="8"/>
  <c r="K41" i="8" s="1"/>
  <c r="H48" i="8"/>
  <c r="K48" i="8" s="1"/>
  <c r="H45" i="8"/>
  <c r="K45" i="8" s="1"/>
  <c r="H49" i="8"/>
  <c r="K49" i="8" s="1"/>
  <c r="H38" i="8"/>
  <c r="K38" i="8" s="1"/>
  <c r="H43" i="8"/>
  <c r="K43" i="8" s="1"/>
  <c r="H44" i="8"/>
  <c r="K44" i="8" s="1"/>
  <c r="H47" i="8"/>
  <c r="K47" i="8" s="1"/>
  <c r="R57" i="1"/>
  <c r="R56" i="1"/>
  <c r="S60" i="1"/>
  <c r="T60" i="1" s="1"/>
  <c r="S62" i="1"/>
  <c r="T62" i="1" s="1"/>
  <c r="R128" i="1"/>
  <c r="R76" i="1"/>
  <c r="Q27" i="1"/>
  <c r="R27" i="1" s="1"/>
  <c r="D21" i="5"/>
  <c r="Q44" i="1"/>
  <c r="S44" i="1" s="1"/>
  <c r="T44" i="1" s="1"/>
  <c r="I9" i="5"/>
  <c r="C15" i="4"/>
  <c r="Q49" i="1"/>
  <c r="R49" i="1" s="1"/>
  <c r="I14" i="5"/>
  <c r="C20" i="4"/>
  <c r="Q55" i="1"/>
  <c r="S55" i="1" s="1"/>
  <c r="T55" i="1" s="1"/>
  <c r="I20" i="5"/>
  <c r="Q75" i="1"/>
  <c r="R75" i="1" s="1"/>
  <c r="N9" i="5"/>
  <c r="Q98" i="1"/>
  <c r="R98" i="1" s="1"/>
  <c r="N32" i="5"/>
  <c r="Q11" i="1"/>
  <c r="R11" i="1" s="1"/>
  <c r="D9" i="5"/>
  <c r="Q31" i="1"/>
  <c r="R31" i="1" s="1"/>
  <c r="Q38" i="1"/>
  <c r="S38" i="1" s="1"/>
  <c r="T38" i="1" s="1"/>
  <c r="I3" i="5"/>
  <c r="C9" i="4"/>
  <c r="Q52" i="1"/>
  <c r="S52" i="1" s="1"/>
  <c r="T52" i="1" s="1"/>
  <c r="I17" i="5"/>
  <c r="Q77" i="1"/>
  <c r="S77" i="1" s="1"/>
  <c r="T77" i="1" s="1"/>
  <c r="N11" i="5"/>
  <c r="Q83" i="1"/>
  <c r="S83" i="1" s="1"/>
  <c r="T83" i="1" s="1"/>
  <c r="N17" i="5"/>
  <c r="Q88" i="1"/>
  <c r="R88" i="1" s="1"/>
  <c r="N22" i="5"/>
  <c r="Q115" i="1"/>
  <c r="R115" i="1" s="1"/>
  <c r="S17" i="5"/>
  <c r="Q16" i="1"/>
  <c r="R16" i="1" s="1"/>
  <c r="D14" i="5"/>
  <c r="Q46" i="1"/>
  <c r="R46" i="1" s="1"/>
  <c r="I11" i="5"/>
  <c r="C17" i="4"/>
  <c r="Q70" i="1"/>
  <c r="S70" i="1" s="1"/>
  <c r="T70" i="1" s="1"/>
  <c r="N5" i="5"/>
  <c r="Q36" i="1"/>
  <c r="R36" i="1" s="1"/>
  <c r="D31" i="5"/>
  <c r="C7" i="4"/>
  <c r="Q86" i="1"/>
  <c r="S86" i="1" s="1"/>
  <c r="T86" i="1" s="1"/>
  <c r="N20" i="5"/>
  <c r="Q14" i="1"/>
  <c r="S14" i="1" s="1"/>
  <c r="T14" i="1" s="1"/>
  <c r="D12" i="5"/>
  <c r="Q33" i="1"/>
  <c r="S33" i="1" s="1"/>
  <c r="T33" i="1" s="1"/>
  <c r="D28" i="5"/>
  <c r="C4" i="4"/>
  <c r="Q37" i="1"/>
  <c r="S37" i="1" s="1"/>
  <c r="T37" i="1" s="1"/>
  <c r="D32" i="5"/>
  <c r="C8" i="4"/>
  <c r="Q67" i="1"/>
  <c r="S67" i="1" s="1"/>
  <c r="I33" i="5"/>
  <c r="Q81" i="1"/>
  <c r="R81" i="1" s="1"/>
  <c r="N15" i="5"/>
  <c r="Q87" i="1"/>
  <c r="R87" i="1" s="1"/>
  <c r="N21" i="5"/>
  <c r="Q111" i="1"/>
  <c r="R111" i="1" s="1"/>
  <c r="S12" i="5"/>
  <c r="Q48" i="1"/>
  <c r="R48" i="1" s="1"/>
  <c r="I13" i="5"/>
  <c r="C19" i="4"/>
  <c r="Q66" i="1"/>
  <c r="R66" i="1" s="1"/>
  <c r="I32" i="5"/>
  <c r="Q94" i="1"/>
  <c r="S94" i="1" s="1"/>
  <c r="T94" i="1" s="1"/>
  <c r="N28" i="5"/>
  <c r="Q118" i="1"/>
  <c r="R118" i="1" s="1"/>
  <c r="S20" i="5"/>
  <c r="Q15" i="1"/>
  <c r="S15" i="1" s="1"/>
  <c r="T15" i="1" s="1"/>
  <c r="D13" i="5"/>
  <c r="Q28" i="1"/>
  <c r="R28" i="1" s="1"/>
  <c r="D23" i="5"/>
  <c r="Q34" i="1"/>
  <c r="S34" i="1" s="1"/>
  <c r="T34" i="1" s="1"/>
  <c r="D29" i="5"/>
  <c r="C5" i="4"/>
  <c r="Q45" i="1"/>
  <c r="S45" i="1" s="1"/>
  <c r="T45" i="1" s="1"/>
  <c r="I10" i="5"/>
  <c r="C16" i="4"/>
  <c r="Q58" i="1"/>
  <c r="S58" i="1" s="1"/>
  <c r="T58" i="1" s="1"/>
  <c r="I23" i="5"/>
  <c r="Q69" i="1"/>
  <c r="S69" i="1" s="1"/>
  <c r="T69" i="1" s="1"/>
  <c r="N4" i="5"/>
  <c r="Q104" i="1"/>
  <c r="R104" i="1" s="1"/>
  <c r="S7" i="5"/>
  <c r="Q112" i="1"/>
  <c r="R112" i="1" s="1"/>
  <c r="S13" i="5"/>
  <c r="Q91" i="1"/>
  <c r="S91" i="1" s="1"/>
  <c r="T91" i="1" s="1"/>
  <c r="N25" i="5"/>
  <c r="Q74" i="1"/>
  <c r="S74" i="1" s="1"/>
  <c r="T74" i="1" s="1"/>
  <c r="N8" i="5"/>
  <c r="Q30" i="1"/>
  <c r="R30" i="1" s="1"/>
  <c r="D25" i="5"/>
  <c r="Q35" i="1"/>
  <c r="S35" i="1" s="1"/>
  <c r="T35" i="1" s="1"/>
  <c r="D30" i="5"/>
  <c r="C6" i="4"/>
  <c r="Q39" i="1"/>
  <c r="R39" i="1" s="1"/>
  <c r="I4" i="5"/>
  <c r="C10" i="4"/>
  <c r="Q53" i="1"/>
  <c r="R53" i="1" s="1"/>
  <c r="I18" i="5"/>
  <c r="Q59" i="1"/>
  <c r="S59" i="1" s="1"/>
  <c r="T59" i="1" s="1"/>
  <c r="I24" i="5"/>
  <c r="Q78" i="1"/>
  <c r="S78" i="1" s="1"/>
  <c r="N12" i="5"/>
  <c r="Q84" i="1"/>
  <c r="R84" i="1" s="1"/>
  <c r="N18" i="5"/>
  <c r="Q17" i="1"/>
  <c r="R17" i="1" s="1"/>
  <c r="D15" i="5"/>
  <c r="Q43" i="1"/>
  <c r="S43" i="1" s="1"/>
  <c r="T43" i="1" s="1"/>
  <c r="I8" i="5"/>
  <c r="C14" i="4"/>
  <c r="Q54" i="1"/>
  <c r="R54" i="1" s="1"/>
  <c r="I19" i="5"/>
  <c r="Q79" i="1"/>
  <c r="S79" i="1" s="1"/>
  <c r="T79" i="1" s="1"/>
  <c r="N13" i="5"/>
  <c r="Q110" i="1"/>
  <c r="R110" i="1" s="1"/>
  <c r="S11" i="5"/>
  <c r="R14" i="1"/>
  <c r="T67" i="1" l="1"/>
  <c r="C3" i="9"/>
  <c r="T78" i="1"/>
  <c r="C2" i="9"/>
  <c r="K61" i="8"/>
  <c r="R78" i="1"/>
  <c r="S46" i="1"/>
  <c r="T46" i="1" s="1"/>
  <c r="S31" i="1"/>
  <c r="T31" i="1" s="1"/>
  <c r="S66" i="1"/>
  <c r="T66" i="1" s="1"/>
  <c r="R83" i="1"/>
  <c r="S36" i="1"/>
  <c r="T36" i="1" s="1"/>
  <c r="S88" i="1"/>
  <c r="T88" i="1" s="1"/>
  <c r="R67" i="1"/>
  <c r="S115" i="1"/>
  <c r="T115" i="1" s="1"/>
  <c r="R58" i="1"/>
  <c r="S49" i="1"/>
  <c r="T49" i="1" s="1"/>
  <c r="S54" i="1"/>
  <c r="T54" i="1" s="1"/>
  <c r="R91" i="1"/>
  <c r="R45" i="1"/>
  <c r="S98" i="1"/>
  <c r="T98" i="1" s="1"/>
  <c r="R44" i="1"/>
  <c r="R79" i="1"/>
  <c r="R59" i="1"/>
  <c r="S118" i="1"/>
  <c r="T118" i="1" s="1"/>
  <c r="S81" i="1"/>
  <c r="T81" i="1" s="1"/>
  <c r="S84" i="1"/>
  <c r="T84" i="1" s="1"/>
  <c r="S30" i="1"/>
  <c r="T30" i="1" s="1"/>
  <c r="R34" i="1"/>
  <c r="R86" i="1"/>
  <c r="R43" i="1"/>
  <c r="R70" i="1"/>
  <c r="R35" i="1"/>
  <c r="S112" i="1"/>
  <c r="T112" i="1" s="1"/>
  <c r="R77" i="1"/>
  <c r="S28" i="1"/>
  <c r="T28" i="1" s="1"/>
  <c r="S48" i="1"/>
  <c r="T48" i="1" s="1"/>
  <c r="S111" i="1"/>
  <c r="T111" i="1" s="1"/>
  <c r="S75" i="1"/>
  <c r="T75" i="1" s="1"/>
  <c r="S27" i="1"/>
  <c r="T27" i="1" s="1"/>
  <c r="S110" i="1"/>
  <c r="T110" i="1" s="1"/>
  <c r="S17" i="1"/>
  <c r="T17" i="1" s="1"/>
  <c r="S53" i="1"/>
  <c r="T53" i="1" s="1"/>
  <c r="S39" i="1"/>
  <c r="T39" i="1" s="1"/>
  <c r="S16" i="1"/>
  <c r="T16" i="1" s="1"/>
  <c r="S104" i="1"/>
  <c r="T104" i="1" s="1"/>
  <c r="R69" i="1"/>
  <c r="R38" i="1"/>
  <c r="R15" i="1"/>
  <c r="S11" i="1"/>
  <c r="T11" i="1" s="1"/>
  <c r="S87" i="1"/>
  <c r="T87" i="1" s="1"/>
  <c r="R55" i="1"/>
  <c r="R37" i="1"/>
  <c r="R74" i="1"/>
  <c r="R52" i="1"/>
  <c r="R94" i="1"/>
  <c r="R33" i="1"/>
  <c r="P10" i="8" l="1"/>
  <c r="Q10" i="8" s="1"/>
  <c r="P6" i="8"/>
  <c r="Q6" i="8" s="1"/>
  <c r="P15" i="8"/>
  <c r="Q15" i="8" s="1"/>
  <c r="P11" i="8"/>
  <c r="Q11" i="8" s="1"/>
  <c r="P13" i="8"/>
  <c r="Q13" i="8" s="1"/>
  <c r="P8" i="8"/>
  <c r="Q8" i="8" s="1"/>
  <c r="P3" i="8"/>
  <c r="Q3" i="8" s="1"/>
  <c r="R15" i="8"/>
  <c r="S15" i="8" s="1"/>
  <c r="P7" i="8"/>
  <c r="Q7" i="8" s="1"/>
  <c r="P5" i="8"/>
  <c r="Q5" i="8" s="1"/>
  <c r="R5" i="8"/>
  <c r="S5" i="8" s="1"/>
  <c r="P14" i="8"/>
  <c r="Q14" i="8" s="1"/>
  <c r="R4" i="8"/>
  <c r="R13" i="8"/>
  <c r="S13" i="8" s="1"/>
  <c r="P4" i="8"/>
  <c r="Q4" i="8" s="1"/>
  <c r="P12" i="8"/>
  <c r="Q12" i="8" s="1"/>
  <c r="P9" i="8"/>
  <c r="Q9" i="8" s="1"/>
  <c r="R8" i="8"/>
  <c r="S8" i="8" s="1"/>
  <c r="R3" i="8"/>
  <c r="S3" i="8" s="1"/>
  <c r="R14" i="8"/>
  <c r="S14" i="8" s="1"/>
  <c r="R7" i="8"/>
  <c r="S7" i="8" s="1"/>
  <c r="R6" i="8"/>
  <c r="S6" i="8" s="1"/>
  <c r="R9" i="8"/>
  <c r="T9" i="8" s="1"/>
  <c r="U9" i="8" s="1"/>
  <c r="R11" i="8"/>
  <c r="T11" i="8" s="1"/>
  <c r="U11" i="8" s="1"/>
  <c r="R12" i="8"/>
  <c r="S12" i="8" s="1"/>
  <c r="R10" i="8"/>
  <c r="S10" i="8" s="1"/>
  <c r="T4" i="8" l="1"/>
  <c r="U4" i="8" s="1"/>
  <c r="S4" i="8"/>
  <c r="T3" i="8"/>
  <c r="U3" i="8" s="1"/>
  <c r="T10" i="8"/>
  <c r="U10" i="8" s="1"/>
  <c r="T5" i="8"/>
  <c r="U5" i="8" s="1"/>
  <c r="T15" i="8"/>
  <c r="U15" i="8" s="1"/>
  <c r="S11" i="8"/>
  <c r="T6" i="8"/>
  <c r="U6" i="8" s="1"/>
  <c r="T13" i="8"/>
  <c r="U13" i="8" s="1"/>
  <c r="T8" i="8"/>
  <c r="U8" i="8" s="1"/>
  <c r="T7" i="8"/>
  <c r="U7" i="8" s="1"/>
  <c r="S9" i="8"/>
  <c r="T12" i="8"/>
  <c r="U12" i="8" s="1"/>
  <c r="T14" i="8"/>
  <c r="U14" i="8" s="1"/>
</calcChain>
</file>

<file path=xl/comments1.xml><?xml version="1.0" encoding="utf-8"?>
<comments xmlns="http://schemas.openxmlformats.org/spreadsheetml/2006/main">
  <authors>
    <author>Autor</author>
  </authors>
  <commentList>
    <comment ref="E3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DEL PASTOR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DEL PASTOR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Rontaltex
precio de lista + iva
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pastora rioja-neuquen - 30% RUBEN CABAS</t>
        </r>
      </text>
    </comment>
  </commentList>
</comments>
</file>

<file path=xl/sharedStrings.xml><?xml version="1.0" encoding="utf-8"?>
<sst xmlns="http://schemas.openxmlformats.org/spreadsheetml/2006/main" count="606" uniqueCount="288">
  <si>
    <t>LISTADO DE PRECIOS</t>
  </si>
  <si>
    <t>Lana/pelo-Mono</t>
  </si>
  <si>
    <t>Articulo</t>
  </si>
  <si>
    <t>Descripcion</t>
  </si>
  <si>
    <t>Fabrica</t>
  </si>
  <si>
    <t>Vendedor</t>
  </si>
  <si>
    <t>Bote Australia</t>
  </si>
  <si>
    <t>Bosa Australia rayas 2</t>
  </si>
  <si>
    <t>Bosa Mono</t>
  </si>
  <si>
    <t>Pollera</t>
  </si>
  <si>
    <t>Cardigan hombre</t>
  </si>
  <si>
    <t>Cardigan mono</t>
  </si>
  <si>
    <t>Chaleco c/bot</t>
  </si>
  <si>
    <t>Americano</t>
  </si>
  <si>
    <t>Cardigan Monkey</t>
  </si>
  <si>
    <t>Polera lisa</t>
  </si>
  <si>
    <t>Bosa fina bremer</t>
  </si>
  <si>
    <t>Escote V bremer</t>
  </si>
  <si>
    <t>Bosa rombo Ast</t>
  </si>
  <si>
    <t xml:space="preserve">Escote V sin manga </t>
  </si>
  <si>
    <t>Bosa rayado pull</t>
  </si>
  <si>
    <t>Poncho max</t>
  </si>
  <si>
    <t>Polo c/ 1/2 Cierre pull</t>
  </si>
  <si>
    <t>Polo grueso salgui</t>
  </si>
  <si>
    <t>Saco solapa hombre</t>
  </si>
  <si>
    <t>Saco flama grueso</t>
  </si>
  <si>
    <t>Bosa liso pull</t>
  </si>
  <si>
    <t>Cardigan Deal c/botones</t>
  </si>
  <si>
    <t>Cardigan nacho serido</t>
  </si>
  <si>
    <t>Cardigan dividido</t>
  </si>
  <si>
    <t>Bosa hilo rayado</t>
  </si>
  <si>
    <t>711/729</t>
  </si>
  <si>
    <t>Camp 2H hilo</t>
  </si>
  <si>
    <t>Bosa hilo Algodón</t>
  </si>
  <si>
    <t xml:space="preserve">E.V. liso algodón </t>
  </si>
  <si>
    <t>Bosa hilo grueso</t>
  </si>
  <si>
    <t>Polera hilo serido</t>
  </si>
  <si>
    <t>Saco cardigan liviano</t>
  </si>
  <si>
    <t>Americano Abeto 24/2</t>
  </si>
  <si>
    <t>Campera dama c/cierre</t>
  </si>
  <si>
    <t>Bosa flamita</t>
  </si>
  <si>
    <t>E.V. 3 cabos</t>
  </si>
  <si>
    <t>Bosa batich</t>
  </si>
  <si>
    <t>Cardigan flama grueso</t>
  </si>
  <si>
    <t xml:space="preserve">Bosa perla raul tejedor </t>
  </si>
  <si>
    <t>740/749</t>
  </si>
  <si>
    <t>Bosa cuadrado</t>
  </si>
  <si>
    <t>Polo c/vivo en el cuello</t>
  </si>
  <si>
    <t>Bosa perla fino raul tejedor</t>
  </si>
  <si>
    <t>E.V. c/8 vivo cuello</t>
  </si>
  <si>
    <t>E.V. serido rayado sisa</t>
  </si>
  <si>
    <t>Bosa m/pipa 2 colores</t>
  </si>
  <si>
    <t>E.V. S/manga</t>
  </si>
  <si>
    <t>E.V. uniforme</t>
  </si>
  <si>
    <t>Polerita morley</t>
  </si>
  <si>
    <t>Campera gruesa c/8 3/16</t>
  </si>
  <si>
    <t>Chaleco c/bot dralon</t>
  </si>
  <si>
    <t>Campera yamm</t>
  </si>
  <si>
    <t>Cardigan grto elos</t>
  </si>
  <si>
    <t>Bosa</t>
  </si>
  <si>
    <t>Polera elastizada</t>
  </si>
  <si>
    <t>Americano V</t>
  </si>
  <si>
    <t>Campera c/cierre</t>
  </si>
  <si>
    <t>Bosa mall</t>
  </si>
  <si>
    <t>Cardigan mall</t>
  </si>
  <si>
    <t>NIÑOS</t>
  </si>
  <si>
    <t>Bosa babero</t>
  </si>
  <si>
    <t>Escote U S/ manga</t>
  </si>
  <si>
    <t>Polera morley</t>
  </si>
  <si>
    <t>Bosa max abeja</t>
  </si>
  <si>
    <t>Cardigan c/bols ancho</t>
  </si>
  <si>
    <t>Bosa brillo</t>
  </si>
  <si>
    <t>Bosa fino rayado</t>
  </si>
  <si>
    <t>Sw c/</t>
  </si>
  <si>
    <t>E.V. largo</t>
  </si>
  <si>
    <t>Rontaltex los 3</t>
  </si>
  <si>
    <t>c/iva</t>
  </si>
  <si>
    <t>Pastora Acrilico</t>
  </si>
  <si>
    <t>Pull</t>
  </si>
  <si>
    <t>London</t>
  </si>
  <si>
    <t>Bremer</t>
  </si>
  <si>
    <t>Mono</t>
  </si>
  <si>
    <t>Sulepi</t>
  </si>
  <si>
    <t>Chene</t>
  </si>
  <si>
    <t>Costo</t>
  </si>
  <si>
    <t>Tejido</t>
  </si>
  <si>
    <t>Hilado</t>
  </si>
  <si>
    <t>Confec</t>
  </si>
  <si>
    <t>Cierre</t>
  </si>
  <si>
    <t>Fin</t>
  </si>
  <si>
    <t>Bosa Varios Bremer</t>
  </si>
  <si>
    <t>Cardigan tango  MAX</t>
  </si>
  <si>
    <t>Bosa perla c/ cola MAX</t>
  </si>
  <si>
    <t>Escote V liso PULL</t>
  </si>
  <si>
    <t>Saco c/ botones Paris PULL</t>
  </si>
  <si>
    <t>Sw smoking c/ 1 bot PULL</t>
  </si>
  <si>
    <t>Sw del negro PULL</t>
  </si>
  <si>
    <t>Bosa c/ trensa largo PULL</t>
  </si>
  <si>
    <t>Campera algodón PULL Agedi</t>
  </si>
  <si>
    <t>Bosa c/ raya ancha PULL</t>
  </si>
  <si>
    <t>Bosa con rayitas PULL</t>
  </si>
  <si>
    <t>Bosa  degrade PULL</t>
  </si>
  <si>
    <t>Bosa Rayado Pull</t>
  </si>
  <si>
    <t>Bosa Rallado Pull</t>
  </si>
  <si>
    <t>Polo c/ Bot Aron PULL</t>
  </si>
  <si>
    <t>Bosa hilo Flama</t>
  </si>
  <si>
    <t>E.V. Gigante Mollo</t>
  </si>
  <si>
    <t>EV. s/ manga lliso</t>
  </si>
  <si>
    <t>S</t>
  </si>
  <si>
    <t>KG</t>
  </si>
  <si>
    <t>Campera Patagonia PULL</t>
  </si>
  <si>
    <t>Tejidos Lucania</t>
  </si>
  <si>
    <t>% Fab/Cost</t>
  </si>
  <si>
    <t>Gan Neta Fav</t>
  </si>
  <si>
    <t>$Vent Neta Vendedor</t>
  </si>
  <si>
    <t>Clientas A</t>
  </si>
  <si>
    <t>Inversion en venta</t>
  </si>
  <si>
    <t>LISTADO DE PRECIOS Tejidos Lucania</t>
  </si>
  <si>
    <t>Gan Neta Vend</t>
  </si>
  <si>
    <t>% Vend/Cost</t>
  </si>
  <si>
    <t>Precio</t>
  </si>
  <si>
    <t xml:space="preserve">Los precios no contienen IVA. </t>
  </si>
  <si>
    <t>Art</t>
  </si>
  <si>
    <t>Precios sin IVA</t>
  </si>
  <si>
    <t>Camp pull 1Cabo</t>
  </si>
  <si>
    <t>US$</t>
  </si>
  <si>
    <t>Costos</t>
  </si>
  <si>
    <t xml:space="preserve">Oitranto </t>
  </si>
  <si>
    <t>Fechas</t>
  </si>
  <si>
    <t>Prueba cambio de precios</t>
  </si>
  <si>
    <t>Bosa Milan</t>
  </si>
  <si>
    <t>PRECIOS ACTUALES</t>
  </si>
  <si>
    <t>Variacion</t>
  </si>
  <si>
    <t>AJUSTES</t>
  </si>
  <si>
    <t>Camp 1 cabo  pull</t>
  </si>
  <si>
    <t>Aumento generalizado</t>
  </si>
  <si>
    <t>Costos unitarios</t>
  </si>
  <si>
    <t xml:space="preserve">Tiracierre de metal (niquel brillante) </t>
  </si>
  <si>
    <t>Bosa Pique - Punto perle</t>
  </si>
  <si>
    <t>E.V. S/manga uniforme</t>
  </si>
  <si>
    <t>Polera milan mujer</t>
  </si>
  <si>
    <t>Bosa milan hombre</t>
  </si>
  <si>
    <t>Ev. Serido c/coderas</t>
  </si>
  <si>
    <t>Camp  milan mujer</t>
  </si>
  <si>
    <t>Camp hilo</t>
  </si>
  <si>
    <t>Acrilico</t>
  </si>
  <si>
    <t>Algodón</t>
  </si>
  <si>
    <t>Ritex alg color</t>
  </si>
  <si>
    <t>Crudo</t>
  </si>
  <si>
    <t xml:space="preserve"> tintoreria</t>
  </si>
  <si>
    <t>Total:</t>
  </si>
  <si>
    <t>Milan</t>
  </si>
  <si>
    <t>Terminado</t>
  </si>
  <si>
    <t>Confeccion</t>
  </si>
  <si>
    <t>Remallado</t>
  </si>
  <si>
    <t>Bordado</t>
  </si>
  <si>
    <t>Bosa Pique</t>
  </si>
  <si>
    <t>Ev. Milan</t>
  </si>
  <si>
    <t>Polera Milan</t>
  </si>
  <si>
    <t>Camp c/ cierre Milan</t>
  </si>
  <si>
    <t>Bote Australia*</t>
  </si>
  <si>
    <t>Bosa m/corto*</t>
  </si>
  <si>
    <t>Escote U S/ manga*</t>
  </si>
  <si>
    <t>Bosa Varios Bremer*</t>
  </si>
  <si>
    <t>Bosa Mono*</t>
  </si>
  <si>
    <t>Cardigan mono*</t>
  </si>
  <si>
    <t>Pollera**</t>
  </si>
  <si>
    <t>Cardigan hombre*</t>
  </si>
  <si>
    <t>Chaleco c/bot*</t>
  </si>
  <si>
    <t>Americano*</t>
  </si>
  <si>
    <t>Cardigan Monkey*</t>
  </si>
  <si>
    <t>Polera lisa*</t>
  </si>
  <si>
    <t>Polera morley*</t>
  </si>
  <si>
    <t>Bosa rombo Ast*</t>
  </si>
  <si>
    <t>Cardigan tango  MAX*</t>
  </si>
  <si>
    <t>Bosa perla c/ cola MAX*</t>
  </si>
  <si>
    <t>Bosa Manga pipa 2 cao pull</t>
  </si>
  <si>
    <t>Bosa c/ trensa largo PULL*</t>
  </si>
  <si>
    <t>Campera algodón pull ajedrez</t>
  </si>
  <si>
    <t>Capaz ecco*</t>
  </si>
  <si>
    <t>Tubo**</t>
  </si>
  <si>
    <t>*</t>
  </si>
  <si>
    <t>Cardigan Deal c/botones*</t>
  </si>
  <si>
    <t>Cardigan dividido*</t>
  </si>
  <si>
    <t>Bosa hilo rayado*</t>
  </si>
  <si>
    <t>E.V. Gigante Moll</t>
  </si>
  <si>
    <t>Saco cardigan liviano*</t>
  </si>
  <si>
    <t>Bosa batich*</t>
  </si>
  <si>
    <t>Bosa brillo*</t>
  </si>
  <si>
    <t>Bosa cigarrillo</t>
  </si>
  <si>
    <t>Bosa CATE (3rayas)</t>
  </si>
  <si>
    <t>Campera yamm*</t>
  </si>
  <si>
    <t>Cardigan grto elos*</t>
  </si>
  <si>
    <t>E.V. largo*</t>
  </si>
  <si>
    <t>Polera elastizada*</t>
  </si>
  <si>
    <t>Americano V*</t>
  </si>
  <si>
    <t>Campera c/cierre*</t>
  </si>
  <si>
    <t>Bosa*</t>
  </si>
  <si>
    <t>Bosa mall*</t>
  </si>
  <si>
    <t>Cardigan mall*</t>
  </si>
  <si>
    <t>Articulos</t>
  </si>
  <si>
    <t>Punto de equilibrio</t>
  </si>
  <si>
    <t>COSTO FIJO</t>
  </si>
  <si>
    <t>Ventas</t>
  </si>
  <si>
    <t>Costo fijo</t>
  </si>
  <si>
    <t>pv-cv</t>
  </si>
  <si>
    <t>DESC:</t>
  </si>
  <si>
    <t>Lista de precios</t>
  </si>
  <si>
    <t>Kg de Lavado</t>
  </si>
  <si>
    <t>Kg de Planchado</t>
  </si>
  <si>
    <t>Lavado Sweater</t>
  </si>
  <si>
    <t>Planchado Sweater</t>
  </si>
  <si>
    <t>Lavado Sweater chico/buff</t>
  </si>
  <si>
    <t>Planchado Sweater chico/buff</t>
  </si>
  <si>
    <t>Ev. Serido con codera</t>
  </si>
  <si>
    <t>Hora Maquina $/Minuto</t>
  </si>
  <si>
    <t>Pull $ c/IVA</t>
  </si>
  <si>
    <t>Algodón $ c/IVA</t>
  </si>
  <si>
    <t>Acrilico $ c/IVA</t>
  </si>
  <si>
    <t>Milan U$S</t>
  </si>
  <si>
    <t>Dólar Oficial</t>
  </si>
  <si>
    <t>Cierre 70Cm</t>
  </si>
  <si>
    <t>Pegado cierre</t>
  </si>
  <si>
    <t>Cierre total</t>
  </si>
  <si>
    <t>Cierre 25Cm</t>
  </si>
  <si>
    <t>Remayado comun</t>
  </si>
  <si>
    <t>Terminacion</t>
  </si>
  <si>
    <t>Planchado</t>
  </si>
  <si>
    <t>Lv+Pl</t>
  </si>
  <si>
    <t xml:space="preserve">Confeccion </t>
  </si>
  <si>
    <t>Confec acril</t>
  </si>
  <si>
    <t>Carro</t>
  </si>
  <si>
    <t>tira cierre</t>
  </si>
  <si>
    <t>Revisado</t>
  </si>
  <si>
    <t>Bolsa</t>
  </si>
  <si>
    <t>Etiquetas</t>
  </si>
  <si>
    <t>Envolsado</t>
  </si>
  <si>
    <t>Etiquetado</t>
  </si>
  <si>
    <t>FIN</t>
  </si>
  <si>
    <t>Gladys</t>
  </si>
  <si>
    <t>Revisa</t>
  </si>
  <si>
    <t>sw/hs</t>
  </si>
  <si>
    <t>$/hs</t>
  </si>
  <si>
    <t>Nafta</t>
  </si>
  <si>
    <t>Capa Alg lisa</t>
  </si>
  <si>
    <t>Flete Hilado</t>
  </si>
  <si>
    <t>PROMEDIO</t>
  </si>
  <si>
    <t>Crear progama complejo vs progama simple</t>
  </si>
  <si>
    <t>Programa complejo</t>
  </si>
  <si>
    <t>CF:</t>
  </si>
  <si>
    <t>Programa simple</t>
  </si>
  <si>
    <t>Confeccio</t>
  </si>
  <si>
    <t>Total Variable</t>
  </si>
  <si>
    <t>Pv</t>
  </si>
  <si>
    <t>PV</t>
  </si>
  <si>
    <t>Tejido 6$</t>
  </si>
  <si>
    <t>Q eq</t>
  </si>
  <si>
    <t>Qeq</t>
  </si>
  <si>
    <t>Diferencia</t>
  </si>
  <si>
    <t>CF</t>
  </si>
  <si>
    <t>CV</t>
  </si>
  <si>
    <t>Q</t>
  </si>
  <si>
    <t xml:space="preserve">Con produccion de </t>
  </si>
  <si>
    <t>35 minutos</t>
  </si>
  <si>
    <t>30   Minutos</t>
  </si>
  <si>
    <t>Ter-Rev-Etiq - env</t>
  </si>
  <si>
    <t>Serido</t>
  </si>
  <si>
    <t>Pantalon Liso</t>
  </si>
  <si>
    <t>630-730</t>
  </si>
  <si>
    <t>650-750</t>
  </si>
  <si>
    <t>570-650</t>
  </si>
  <si>
    <t>600-690</t>
  </si>
  <si>
    <t>950-1080</t>
  </si>
  <si>
    <t>1000-1150</t>
  </si>
  <si>
    <t>Pantalon c/trenza</t>
  </si>
  <si>
    <t>Camp Americana</t>
  </si>
  <si>
    <t>Signori</t>
  </si>
  <si>
    <t>Sin Comision</t>
  </si>
  <si>
    <t>Pique</t>
  </si>
  <si>
    <t>Bosa Rangla</t>
  </si>
  <si>
    <t>Campera Pull 1 Cabo</t>
  </si>
  <si>
    <t xml:space="preserve"> Escote V serido con codera</t>
  </si>
  <si>
    <t>Polera serido</t>
  </si>
  <si>
    <t>Polerita morley mujer</t>
  </si>
  <si>
    <t>Manga rangla</t>
  </si>
  <si>
    <t>Aplicación y accesorios - Espaldin y coderas 45$</t>
  </si>
  <si>
    <t>Fecha 1/10/2021</t>
  </si>
  <si>
    <t>Fecha1/10/2021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</si>
</sst>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  <numFmt numFmtId="165" formatCode="0.000"/>
    <numFmt numFmtId="166" formatCode="0.0%"/>
    <numFmt numFmtId="167" formatCode="_-[$USD]\ * #,##0.00_-;\-[$USD]\ * #,##0.00_-;_-[$USD]\ * &quot;-&quot;??_-;_-@_-"/>
    <numFmt numFmtId="168" formatCode="hh:mm:ss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u/>
      <sz val="16"/>
      <color theme="1"/>
      <name val="Calibri Light"/>
      <family val="2"/>
    </font>
    <font>
      <b/>
      <u/>
      <sz val="14"/>
      <color rgb="FFFF0000"/>
      <name val="Calibri"/>
      <family val="2"/>
      <scheme val="minor"/>
    </font>
    <font>
      <sz val="14"/>
      <color theme="1"/>
      <name val="Calibri Light"/>
      <family val="2"/>
    </font>
    <font>
      <sz val="16"/>
      <color theme="1"/>
      <name val="Calibri Light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4" borderId="0" applyNumberFormat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5" borderId="4" applyNumberFormat="0" applyAlignment="0" applyProtection="0"/>
  </cellStyleXfs>
  <cellXfs count="18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6" fillId="0" borderId="1" xfId="0" applyFont="1" applyBorder="1"/>
    <xf numFmtId="0" fontId="7" fillId="3" borderId="1" xfId="2" applyFont="1" applyBorder="1"/>
    <xf numFmtId="0" fontId="8" fillId="2" borderId="1" xfId="1" applyFon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3" fillId="4" borderId="1" xfId="3" applyBorder="1" applyAlignment="1">
      <alignment horizontal="center"/>
    </xf>
    <xf numFmtId="0" fontId="6" fillId="4" borderId="1" xfId="3" applyFont="1" applyBorder="1" applyAlignment="1">
      <alignment horizontal="center"/>
    </xf>
    <xf numFmtId="44" fontId="0" fillId="0" borderId="0" xfId="4" applyFont="1"/>
    <xf numFmtId="14" fontId="10" fillId="0" borderId="0" xfId="0" applyNumberFormat="1" applyFont="1"/>
    <xf numFmtId="9" fontId="0" fillId="0" borderId="0" xfId="0" applyNumberFormat="1"/>
    <xf numFmtId="9" fontId="11" fillId="0" borderId="0" xfId="0" applyNumberFormat="1" applyFont="1" applyAlignment="1">
      <alignment horizontal="center"/>
    </xf>
    <xf numFmtId="44" fontId="6" fillId="0" borderId="1" xfId="4" applyFont="1" applyBorder="1"/>
    <xf numFmtId="44" fontId="0" fillId="0" borderId="1" xfId="4" applyFont="1" applyBorder="1"/>
    <xf numFmtId="44" fontId="5" fillId="3" borderId="1" xfId="2" applyNumberFormat="1" applyBorder="1"/>
    <xf numFmtId="44" fontId="4" fillId="2" borderId="1" xfId="1" applyNumberFormat="1" applyBorder="1"/>
    <xf numFmtId="0" fontId="1" fillId="0" borderId="0" xfId="0" applyFont="1"/>
    <xf numFmtId="44" fontId="0" fillId="0" borderId="0" xfId="0" applyNumberFormat="1"/>
    <xf numFmtId="0" fontId="6" fillId="0" borderId="2" xfId="0" applyFont="1" applyBorder="1"/>
    <xf numFmtId="44" fontId="0" fillId="0" borderId="1" xfId="0" applyNumberFormat="1" applyBorder="1"/>
    <xf numFmtId="0" fontId="1" fillId="0" borderId="1" xfId="0" applyFont="1" applyBorder="1"/>
    <xf numFmtId="9" fontId="0" fillId="0" borderId="0" xfId="5" applyFont="1"/>
    <xf numFmtId="9" fontId="6" fillId="0" borderId="1" xfId="5" applyFont="1" applyBorder="1"/>
    <xf numFmtId="9" fontId="0" fillId="0" borderId="1" xfId="5" applyFont="1" applyBorder="1"/>
    <xf numFmtId="0" fontId="5" fillId="3" borderId="1" xfId="2" applyBorder="1"/>
    <xf numFmtId="0" fontId="12" fillId="5" borderId="4" xfId="6"/>
    <xf numFmtId="44" fontId="12" fillId="5" borderId="4" xfId="6" applyNumberFormat="1"/>
    <xf numFmtId="44" fontId="0" fillId="0" borderId="2" xfId="0" applyNumberFormat="1" applyBorder="1"/>
    <xf numFmtId="0" fontId="4" fillId="2" borderId="3" xfId="1" applyBorder="1"/>
    <xf numFmtId="164" fontId="4" fillId="2" borderId="1" xfId="1" applyNumberFormat="1" applyBorder="1"/>
    <xf numFmtId="0" fontId="0" fillId="0" borderId="0" xfId="0" applyBorder="1"/>
    <xf numFmtId="44" fontId="0" fillId="0" borderId="5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6" fillId="0" borderId="1" xfId="4" applyFont="1" applyBorder="1" applyAlignment="1">
      <alignment horizontal="center"/>
    </xf>
    <xf numFmtId="44" fontId="0" fillId="0" borderId="0" xfId="4" applyFont="1" applyBorder="1"/>
    <xf numFmtId="14" fontId="0" fillId="0" borderId="0" xfId="0" applyNumberFormat="1"/>
    <xf numFmtId="0" fontId="6" fillId="0" borderId="0" xfId="0" applyFont="1"/>
    <xf numFmtId="44" fontId="6" fillId="0" borderId="0" xfId="4" applyFont="1" applyAlignment="1"/>
    <xf numFmtId="44" fontId="0" fillId="0" borderId="0" xfId="0" applyNumberFormat="1" applyBorder="1"/>
    <xf numFmtId="44" fontId="0" fillId="0" borderId="1" xfId="4" applyFont="1" applyFill="1" applyBorder="1" applyAlignment="1">
      <alignment horizontal="center"/>
    </xf>
    <xf numFmtId="44" fontId="0" fillId="0" borderId="1" xfId="4" applyFont="1" applyFill="1" applyBorder="1"/>
    <xf numFmtId="44" fontId="15" fillId="0" borderId="0" xfId="4" applyFont="1" applyAlignment="1"/>
    <xf numFmtId="44" fontId="16" fillId="0" borderId="0" xfId="4" applyFont="1" applyAlignment="1"/>
    <xf numFmtId="14" fontId="17" fillId="0" borderId="0" xfId="0" applyNumberFormat="1" applyFont="1"/>
    <xf numFmtId="0" fontId="14" fillId="0" borderId="0" xfId="0" applyFont="1"/>
    <xf numFmtId="44" fontId="1" fillId="0" borderId="1" xfId="4" applyFont="1" applyBorder="1"/>
    <xf numFmtId="0" fontId="1" fillId="0" borderId="5" xfId="0" applyFont="1" applyBorder="1"/>
    <xf numFmtId="44" fontId="1" fillId="0" borderId="0" xfId="4" applyFont="1" applyBorder="1"/>
    <xf numFmtId="0" fontId="1" fillId="0" borderId="0" xfId="0" applyFont="1" applyBorder="1"/>
    <xf numFmtId="14" fontId="17" fillId="0" borderId="0" xfId="0" applyNumberFormat="1" applyFont="1" applyBorder="1"/>
    <xf numFmtId="44" fontId="18" fillId="0" borderId="0" xfId="4" applyFont="1" applyAlignment="1"/>
    <xf numFmtId="44" fontId="0" fillId="6" borderId="1" xfId="4" applyFont="1" applyFill="1" applyBorder="1"/>
    <xf numFmtId="44" fontId="0" fillId="7" borderId="1" xfId="4" applyFont="1" applyFill="1" applyBorder="1"/>
    <xf numFmtId="166" fontId="0" fillId="0" borderId="0" xfId="5" applyNumberFormat="1" applyFont="1"/>
    <xf numFmtId="0" fontId="3" fillId="4" borderId="7" xfId="3" applyBorder="1" applyAlignment="1">
      <alignment horizontal="center"/>
    </xf>
    <xf numFmtId="44" fontId="0" fillId="0" borderId="7" xfId="4" applyFont="1" applyFill="1" applyBorder="1"/>
    <xf numFmtId="44" fontId="5" fillId="3" borderId="7" xfId="2" applyNumberFormat="1" applyBorder="1"/>
    <xf numFmtId="44" fontId="4" fillId="2" borderId="7" xfId="1" applyNumberFormat="1" applyBorder="1"/>
    <xf numFmtId="44" fontId="12" fillId="5" borderId="8" xfId="6" applyNumberFormat="1" applyBorder="1"/>
    <xf numFmtId="44" fontId="0" fillId="0" borderId="5" xfId="0" applyNumberFormat="1" applyFill="1" applyBorder="1"/>
    <xf numFmtId="164" fontId="4" fillId="2" borderId="7" xfId="1" applyNumberFormat="1" applyBorder="1"/>
    <xf numFmtId="9" fontId="0" fillId="0" borderId="7" xfId="5" applyFont="1" applyFill="1" applyBorder="1"/>
    <xf numFmtId="166" fontId="0" fillId="0" borderId="0" xfId="0" applyNumberFormat="1"/>
    <xf numFmtId="44" fontId="20" fillId="0" borderId="0" xfId="4" applyFont="1"/>
    <xf numFmtId="9" fontId="20" fillId="0" borderId="0" xfId="5" applyFont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165" fontId="0" fillId="6" borderId="7" xfId="0" applyNumberFormat="1" applyFill="1" applyBorder="1"/>
    <xf numFmtId="44" fontId="0" fillId="6" borderId="7" xfId="4" applyFont="1" applyFill="1" applyBorder="1"/>
    <xf numFmtId="0" fontId="0" fillId="0" borderId="1" xfId="0" applyBorder="1" applyAlignment="1">
      <alignment horizontal="center"/>
    </xf>
    <xf numFmtId="9" fontId="0" fillId="0" borderId="7" xfId="5" applyFont="1" applyBorder="1"/>
    <xf numFmtId="0" fontId="0" fillId="0" borderId="7" xfId="0" applyBorder="1" applyAlignment="1">
      <alignment horizontal="center"/>
    </xf>
    <xf numFmtId="0" fontId="0" fillId="0" borderId="7" xfId="0" applyBorder="1"/>
    <xf numFmtId="165" fontId="0" fillId="0" borderId="7" xfId="0" applyNumberFormat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67" fontId="0" fillId="0" borderId="0" xfId="0" applyNumberFormat="1"/>
    <xf numFmtId="44" fontId="0" fillId="8" borderId="0" xfId="4" applyFont="1" applyFill="1"/>
    <xf numFmtId="0" fontId="0" fillId="8" borderId="0" xfId="0" applyFill="1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165" fontId="0" fillId="9" borderId="1" xfId="0" applyNumberFormat="1" applyFill="1" applyBorder="1"/>
    <xf numFmtId="44" fontId="0" fillId="9" borderId="1" xfId="4" applyFont="1" applyFill="1" applyBorder="1"/>
    <xf numFmtId="0" fontId="1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21" fillId="10" borderId="1" xfId="0" applyFont="1" applyFill="1" applyBorder="1"/>
    <xf numFmtId="0" fontId="0" fillId="0" borderId="1" xfId="0" applyBorder="1" applyAlignment="1">
      <alignment horizontal="center"/>
    </xf>
    <xf numFmtId="10" fontId="0" fillId="0" borderId="0" xfId="5" applyNumberFormat="1" applyFont="1"/>
    <xf numFmtId="0" fontId="23" fillId="0" borderId="0" xfId="0" applyFont="1"/>
    <xf numFmtId="44" fontId="23" fillId="0" borderId="0" xfId="4" applyFont="1"/>
    <xf numFmtId="0" fontId="0" fillId="0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165" fontId="0" fillId="11" borderId="1" xfId="0" applyNumberFormat="1" applyFill="1" applyBorder="1"/>
    <xf numFmtId="44" fontId="0" fillId="11" borderId="1" xfId="4" applyFont="1" applyFill="1" applyBorder="1"/>
    <xf numFmtId="9" fontId="0" fillId="0" borderId="0" xfId="5" applyFont="1" applyBorder="1"/>
    <xf numFmtId="44" fontId="0" fillId="0" borderId="0" xfId="4" applyFont="1" applyFill="1" applyBorder="1"/>
    <xf numFmtId="9" fontId="0" fillId="0" borderId="0" xfId="5" applyFont="1" applyFill="1" applyBorder="1"/>
    <xf numFmtId="44" fontId="0" fillId="0" borderId="0" xfId="0" applyNumberFormat="1" applyFill="1" applyBorder="1"/>
    <xf numFmtId="164" fontId="4" fillId="2" borderId="0" xfId="1" applyNumberFormat="1" applyBorder="1"/>
    <xf numFmtId="168" fontId="0" fillId="0" borderId="0" xfId="4" applyNumberFormat="1" applyFont="1" applyFill="1" applyBorder="1"/>
    <xf numFmtId="44" fontId="5" fillId="0" borderId="7" xfId="2" applyNumberFormat="1" applyFill="1" applyBorder="1"/>
    <xf numFmtId="44" fontId="4" fillId="0" borderId="0" xfId="1" applyNumberFormat="1" applyFill="1" applyBorder="1"/>
    <xf numFmtId="0" fontId="0" fillId="0" borderId="0" xfId="0" applyFill="1"/>
    <xf numFmtId="0" fontId="3" fillId="0" borderId="0" xfId="3" applyFill="1" applyBorder="1" applyAlignment="1">
      <alignment horizontal="center"/>
    </xf>
    <xf numFmtId="44" fontId="5" fillId="0" borderId="0" xfId="2" applyNumberFormat="1" applyFill="1" applyBorder="1"/>
    <xf numFmtId="44" fontId="12" fillId="0" borderId="0" xfId="6" applyNumberFormat="1" applyFill="1" applyBorder="1"/>
    <xf numFmtId="0" fontId="0" fillId="0" borderId="7" xfId="0" applyFill="1" applyBorder="1"/>
    <xf numFmtId="167" fontId="0" fillId="0" borderId="0" xfId="4" applyNumberFormat="1" applyFont="1" applyFill="1" applyBorder="1"/>
    <xf numFmtId="0" fontId="0" fillId="0" borderId="7" xfId="4" applyNumberFormat="1" applyFont="1" applyFill="1" applyBorder="1" applyAlignment="1">
      <alignment horizontal="left"/>
    </xf>
    <xf numFmtId="0" fontId="0" fillId="7" borderId="7" xfId="4" applyNumberFormat="1" applyFont="1" applyFill="1" applyBorder="1"/>
    <xf numFmtId="0" fontId="0" fillId="0" borderId="7" xfId="4" applyNumberFormat="1" applyFont="1" applyFill="1" applyBorder="1"/>
    <xf numFmtId="44" fontId="0" fillId="6" borderId="0" xfId="4" applyFont="1" applyFill="1" applyBorder="1"/>
    <xf numFmtId="2" fontId="0" fillId="6" borderId="1" xfId="4" applyNumberFormat="1" applyFont="1" applyFill="1" applyBorder="1"/>
    <xf numFmtId="44" fontId="4" fillId="6" borderId="0" xfId="1" applyNumberFormat="1" applyFill="1" applyBorder="1"/>
    <xf numFmtId="0" fontId="1" fillId="12" borderId="1" xfId="0" applyFont="1" applyFill="1" applyBorder="1"/>
    <xf numFmtId="0" fontId="0" fillId="10" borderId="0" xfId="0" applyFill="1"/>
    <xf numFmtId="9" fontId="0" fillId="10" borderId="0" xfId="5" applyFont="1" applyFill="1"/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65" fontId="0" fillId="13" borderId="1" xfId="0" applyNumberFormat="1" applyFill="1" applyBorder="1"/>
    <xf numFmtId="44" fontId="0" fillId="13" borderId="1" xfId="4" applyFont="1" applyFill="1" applyBorder="1"/>
    <xf numFmtId="0" fontId="0" fillId="0" borderId="1" xfId="0" applyBorder="1" applyAlignment="1">
      <alignment horizontal="center"/>
    </xf>
    <xf numFmtId="0" fontId="0" fillId="13" borderId="7" xfId="0" applyFill="1" applyBorder="1"/>
    <xf numFmtId="165" fontId="0" fillId="13" borderId="7" xfId="0" applyNumberFormat="1" applyFill="1" applyBorder="1"/>
    <xf numFmtId="44" fontId="0" fillId="13" borderId="7" xfId="4" applyFont="1" applyFill="1" applyBorder="1"/>
    <xf numFmtId="14" fontId="6" fillId="0" borderId="0" xfId="4" applyNumberFormat="1" applyFont="1" applyAlignment="1"/>
    <xf numFmtId="44" fontId="0" fillId="14" borderId="7" xfId="4" applyFont="1" applyFill="1" applyBorder="1"/>
    <xf numFmtId="14" fontId="0" fillId="0" borderId="0" xfId="0" applyNumberFormat="1" applyFill="1" applyBorder="1" applyAlignment="1">
      <alignment horizontal="center"/>
    </xf>
    <xf numFmtId="44" fontId="21" fillId="14" borderId="7" xfId="4" applyFont="1" applyFill="1" applyBorder="1"/>
    <xf numFmtId="0" fontId="0" fillId="0" borderId="0" xfId="0" applyNumberFormat="1"/>
    <xf numFmtId="0" fontId="0" fillId="6" borderId="0" xfId="0" applyFill="1"/>
    <xf numFmtId="44" fontId="0" fillId="13" borderId="0" xfId="0" applyNumberFormat="1" applyFill="1"/>
    <xf numFmtId="9" fontId="0" fillId="0" borderId="1" xfId="5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6" fontId="0" fillId="0" borderId="1" xfId="5" applyNumberFormat="1" applyFont="1" applyFill="1" applyBorder="1"/>
    <xf numFmtId="44" fontId="0" fillId="0" borderId="0" xfId="0" applyNumberFormat="1" applyFill="1"/>
    <xf numFmtId="10" fontId="0" fillId="0" borderId="1" xfId="0" applyNumberFormat="1" applyFill="1" applyBorder="1"/>
    <xf numFmtId="44" fontId="0" fillId="10" borderId="1" xfId="4" applyFont="1" applyFill="1" applyBorder="1"/>
    <xf numFmtId="0" fontId="0" fillId="0" borderId="0" xfId="4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44" fontId="9" fillId="0" borderId="1" xfId="4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6" fillId="0" borderId="1" xfId="0" applyFont="1" applyFill="1" applyBorder="1"/>
    <xf numFmtId="44" fontId="26" fillId="0" borderId="1" xfId="4" applyFont="1" applyFill="1" applyBorder="1"/>
    <xf numFmtId="0" fontId="26" fillId="0" borderId="7" xfId="0" applyFont="1" applyFill="1" applyBorder="1" applyAlignment="1">
      <alignment horizontal="center"/>
    </xf>
    <xf numFmtId="0" fontId="26" fillId="0" borderId="7" xfId="0" applyFont="1" applyFill="1" applyBorder="1"/>
    <xf numFmtId="0" fontId="26" fillId="0" borderId="0" xfId="0" applyFont="1"/>
    <xf numFmtId="44" fontId="0" fillId="0" borderId="0" xfId="4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9" fillId="0" borderId="0" xfId="4" applyFont="1" applyAlignment="1">
      <alignment horizontal="center"/>
    </xf>
    <xf numFmtId="44" fontId="20" fillId="0" borderId="0" xfId="4" applyFont="1" applyAlignment="1">
      <alignment horizontal="center"/>
    </xf>
    <xf numFmtId="44" fontId="19" fillId="0" borderId="6" xfId="4" applyFont="1" applyBorder="1" applyAlignment="1">
      <alignment horizontal="center"/>
    </xf>
    <xf numFmtId="44" fontId="15" fillId="0" borderId="0" xfId="4" applyFont="1" applyAlignment="1">
      <alignment horizontal="center"/>
    </xf>
    <xf numFmtId="44" fontId="16" fillId="0" borderId="0" xfId="4" applyFont="1" applyAlignment="1">
      <alignment horizontal="center"/>
    </xf>
    <xf numFmtId="44" fontId="13" fillId="0" borderId="0" xfId="4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6" fillId="0" borderId="2" xfId="4" applyFont="1" applyBorder="1" applyAlignment="1">
      <alignment horizontal="center"/>
    </xf>
    <xf numFmtId="44" fontId="6" fillId="0" borderId="3" xfId="4" applyFont="1" applyBorder="1" applyAlignment="1">
      <alignment horizontal="center"/>
    </xf>
    <xf numFmtId="0" fontId="22" fillId="0" borderId="0" xfId="0" applyFont="1" applyAlignment="1">
      <alignment horizontal="center"/>
    </xf>
  </cellXfs>
  <cellStyles count="7">
    <cellStyle name="40% - Énfasis1" xfId="3" builtinId="31"/>
    <cellStyle name="Bueno" xfId="1" builtinId="26"/>
    <cellStyle name="Entrada" xfId="6" builtinId="20"/>
    <cellStyle name="Moneda" xfId="4" builtinId="4"/>
    <cellStyle name="Neutral" xfId="2" builtinId="28"/>
    <cellStyle name="Normal" xfId="0" builtinId="0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143"/>
  <sheetViews>
    <sheetView tabSelected="1" topLeftCell="G1" zoomScaleNormal="100" workbookViewId="0">
      <pane ySplit="4" topLeftCell="A29" activePane="bottomLeft" state="frozen"/>
      <selection pane="bottomLeft" activeCell="V4" sqref="V4"/>
    </sheetView>
  </sheetViews>
  <sheetFormatPr baseColWidth="10" defaultColWidth="9.140625" defaultRowHeight="15" x14ac:dyDescent="0.25"/>
  <cols>
    <col min="1" max="1" width="8.85546875" style="10" bestFit="1" customWidth="1"/>
    <col min="2" max="2" width="29.85546875" bestFit="1" customWidth="1"/>
    <col min="3" max="3" width="6" bestFit="1" customWidth="1"/>
    <col min="4" max="6" width="11" style="14" bestFit="1" customWidth="1"/>
    <col min="7" max="7" width="9.42578125" style="14" bestFit="1" customWidth="1"/>
    <col min="8" max="8" width="9.85546875" style="14" bestFit="1" customWidth="1"/>
    <col min="9" max="9" width="11" style="14" bestFit="1" customWidth="1"/>
    <col min="10" max="10" width="13.5703125" bestFit="1" customWidth="1"/>
    <col min="11" max="11" width="11.7109375" customWidth="1"/>
    <col min="12" max="12" width="2.140625" style="22" bestFit="1" customWidth="1"/>
    <col min="13" max="13" width="8.85546875" style="10" bestFit="1" customWidth="1"/>
    <col min="15" max="15" width="14" bestFit="1" customWidth="1"/>
    <col min="16" max="16" width="11.85546875" style="27" bestFit="1" customWidth="1"/>
    <col min="17" max="17" width="22.42578125" bestFit="1" customWidth="1"/>
    <col min="18" max="18" width="19.28515625" bestFit="1" customWidth="1"/>
    <col min="19" max="19" width="15.7109375" bestFit="1" customWidth="1"/>
    <col min="20" max="20" width="13.5703125" style="27" bestFit="1" customWidth="1"/>
    <col min="22" max="22" width="11" bestFit="1" customWidth="1"/>
    <col min="23" max="23" width="13.7109375" bestFit="1" customWidth="1"/>
    <col min="25" max="25" width="9.5703125" bestFit="1" customWidth="1"/>
  </cols>
  <sheetData>
    <row r="1" spans="1:23" ht="21" x14ac:dyDescent="0.35">
      <c r="E1" s="168" t="s">
        <v>0</v>
      </c>
      <c r="F1" s="168"/>
      <c r="G1" s="168"/>
      <c r="H1" s="168"/>
      <c r="I1" s="71"/>
      <c r="J1" s="15">
        <v>44409</v>
      </c>
      <c r="M1" s="10" t="s">
        <v>135</v>
      </c>
      <c r="O1" s="16">
        <v>1.04</v>
      </c>
    </row>
    <row r="2" spans="1:23" x14ac:dyDescent="0.25">
      <c r="A2"/>
      <c r="D2"/>
      <c r="H2" s="169" t="s">
        <v>135</v>
      </c>
      <c r="I2" s="169"/>
      <c r="J2" t="s">
        <v>115</v>
      </c>
    </row>
    <row r="3" spans="1:23" ht="18.75" x14ac:dyDescent="0.3">
      <c r="A3" s="166" t="s">
        <v>1</v>
      </c>
      <c r="B3" s="166"/>
      <c r="I3" s="72">
        <f>102%*124%*107%*104%*104.6%*104.61%*107%*102.65%*104%*105%*102%</f>
        <v>1.8841236546815963</v>
      </c>
      <c r="J3" s="17">
        <v>1.51</v>
      </c>
      <c r="K3" s="16">
        <v>1.04</v>
      </c>
    </row>
    <row r="4" spans="1:23" s="3" customFormat="1" ht="15.75" x14ac:dyDescent="0.25">
      <c r="A4" s="11" t="s">
        <v>2</v>
      </c>
      <c r="B4" s="3" t="s">
        <v>3</v>
      </c>
      <c r="C4" s="3" t="s">
        <v>109</v>
      </c>
      <c r="D4" s="18" t="s">
        <v>86</v>
      </c>
      <c r="E4" s="18" t="s">
        <v>85</v>
      </c>
      <c r="F4" s="18" t="s">
        <v>87</v>
      </c>
      <c r="G4" s="18" t="s">
        <v>88</v>
      </c>
      <c r="H4" s="18" t="s">
        <v>89</v>
      </c>
      <c r="I4" s="18" t="s">
        <v>84</v>
      </c>
      <c r="J4" s="4" t="s">
        <v>4</v>
      </c>
      <c r="K4" s="5" t="s">
        <v>5</v>
      </c>
      <c r="M4" s="13" t="s">
        <v>2</v>
      </c>
      <c r="N4" s="24"/>
      <c r="O4" s="30" t="s">
        <v>113</v>
      </c>
      <c r="P4" s="28" t="s">
        <v>112</v>
      </c>
      <c r="Q4" s="31" t="s">
        <v>114</v>
      </c>
      <c r="R4" s="3" t="s">
        <v>116</v>
      </c>
      <c r="S4" s="34" t="s">
        <v>118</v>
      </c>
      <c r="T4" s="28" t="s">
        <v>119</v>
      </c>
      <c r="V4" s="3" t="s">
        <v>276</v>
      </c>
      <c r="W4" s="3" t="s">
        <v>277</v>
      </c>
    </row>
    <row r="5" spans="1:23" x14ac:dyDescent="0.25">
      <c r="A5" s="8">
        <v>115</v>
      </c>
      <c r="B5" s="1"/>
      <c r="C5" s="6"/>
      <c r="D5" s="19">
        <v>400</v>
      </c>
      <c r="E5" s="19"/>
      <c r="F5" s="19"/>
      <c r="G5" s="19"/>
      <c r="H5" s="19"/>
      <c r="I5" s="19">
        <f t="shared" ref="I5:I22" si="0">SUM(D5:H5)*$I$3</f>
        <v>753.64946187263854</v>
      </c>
      <c r="J5" s="20">
        <f t="shared" ref="J5:J14" si="1">MROUND(I5*$J$3,10)</f>
        <v>1140</v>
      </c>
      <c r="K5" s="21">
        <f>MROUND(J5*$K$3,10)</f>
        <v>1190</v>
      </c>
      <c r="L5" s="26"/>
      <c r="M5" s="12">
        <v>115</v>
      </c>
      <c r="O5" s="20">
        <f>J5-I5</f>
        <v>386.35053812736146</v>
      </c>
      <c r="P5" s="29">
        <f>O5/J5</f>
        <v>0.33890398081347495</v>
      </c>
      <c r="Q5" s="32">
        <f>K5*0.85</f>
        <v>1011.5</v>
      </c>
      <c r="R5" s="33">
        <f>J5-Q5</f>
        <v>128.5</v>
      </c>
      <c r="S5" s="35">
        <f>Q5-I5</f>
        <v>257.85053812736146</v>
      </c>
      <c r="T5" s="29">
        <f t="shared" ref="T5:T71" si="2">S5/K5</f>
        <v>0.21668112447677434</v>
      </c>
      <c r="V5" s="19">
        <f>MROUND(I5*1.4*1.2,10)</f>
        <v>1270</v>
      </c>
      <c r="W5" s="14">
        <f>+(V5-V5*0.2)</f>
        <v>1016</v>
      </c>
    </row>
    <row r="6" spans="1:23" x14ac:dyDescent="0.25">
      <c r="A6" s="8">
        <v>122</v>
      </c>
      <c r="B6" s="1"/>
      <c r="C6" s="6"/>
      <c r="D6" s="19">
        <v>300</v>
      </c>
      <c r="E6" s="19"/>
      <c r="F6" s="19"/>
      <c r="G6" s="19"/>
      <c r="H6" s="19"/>
      <c r="I6" s="19">
        <f t="shared" si="0"/>
        <v>565.23709640447885</v>
      </c>
      <c r="J6" s="20">
        <f t="shared" si="1"/>
        <v>850</v>
      </c>
      <c r="K6" s="21">
        <f t="shared" ref="K6:K10" si="3">MROUND(J6*$K$3,10)</f>
        <v>880</v>
      </c>
      <c r="L6" s="26"/>
      <c r="M6" s="12">
        <v>122</v>
      </c>
      <c r="O6" s="20">
        <f t="shared" ref="O6:O10" si="4">J6-I6</f>
        <v>284.76290359552115</v>
      </c>
      <c r="P6" s="29">
        <f t="shared" ref="P6:P10" si="5">O6/J6</f>
        <v>0.33501518070061315</v>
      </c>
      <c r="Q6" s="32">
        <f t="shared" ref="Q6:Q10" si="6">K6*0.85</f>
        <v>748</v>
      </c>
      <c r="R6" s="33">
        <f t="shared" ref="R6:R10" si="7">J6-Q6</f>
        <v>102</v>
      </c>
      <c r="S6" s="35">
        <f>Q6-I6</f>
        <v>182.76290359552115</v>
      </c>
      <c r="T6" s="29">
        <f t="shared" si="2"/>
        <v>0.20768511772218312</v>
      </c>
      <c r="V6" s="19">
        <f t="shared" ref="V6:V69" si="8">MROUND(I6*1.4*1.2,10)</f>
        <v>950</v>
      </c>
      <c r="W6" s="14">
        <f t="shared" ref="W6:W69" si="9">+(V6-V6*0.2)</f>
        <v>760</v>
      </c>
    </row>
    <row r="7" spans="1:23" x14ac:dyDescent="0.25">
      <c r="A7" s="8">
        <v>128</v>
      </c>
      <c r="B7" s="1"/>
      <c r="C7" s="6"/>
      <c r="D7" s="19">
        <v>300</v>
      </c>
      <c r="E7" s="19"/>
      <c r="F7" s="19"/>
      <c r="G7" s="19"/>
      <c r="H7" s="19"/>
      <c r="I7" s="19">
        <f t="shared" si="0"/>
        <v>565.23709640447885</v>
      </c>
      <c r="J7" s="20">
        <f t="shared" si="1"/>
        <v>850</v>
      </c>
      <c r="K7" s="21">
        <f t="shared" si="3"/>
        <v>880</v>
      </c>
      <c r="L7" s="26"/>
      <c r="M7" s="12">
        <v>128</v>
      </c>
      <c r="O7" s="20">
        <f t="shared" si="4"/>
        <v>284.76290359552115</v>
      </c>
      <c r="P7" s="29">
        <f t="shared" si="5"/>
        <v>0.33501518070061315</v>
      </c>
      <c r="Q7" s="32">
        <f t="shared" si="6"/>
        <v>748</v>
      </c>
      <c r="R7" s="33">
        <f t="shared" si="7"/>
        <v>102</v>
      </c>
      <c r="S7" s="35">
        <f t="shared" ref="S7:S71" si="10">Q7-I7</f>
        <v>182.76290359552115</v>
      </c>
      <c r="T7" s="29">
        <f t="shared" si="2"/>
        <v>0.20768511772218312</v>
      </c>
      <c r="V7" s="19">
        <f t="shared" si="8"/>
        <v>950</v>
      </c>
      <c r="W7" s="14">
        <f t="shared" si="9"/>
        <v>760</v>
      </c>
    </row>
    <row r="8" spans="1:23" x14ac:dyDescent="0.25">
      <c r="A8" s="8">
        <v>130</v>
      </c>
      <c r="B8" s="1"/>
      <c r="C8" s="6"/>
      <c r="D8" s="19">
        <v>300</v>
      </c>
      <c r="E8" s="19"/>
      <c r="F8" s="19"/>
      <c r="G8" s="19"/>
      <c r="H8" s="19"/>
      <c r="I8" s="19">
        <f t="shared" si="0"/>
        <v>565.23709640447885</v>
      </c>
      <c r="J8" s="20">
        <f t="shared" si="1"/>
        <v>850</v>
      </c>
      <c r="K8" s="21">
        <f t="shared" si="3"/>
        <v>880</v>
      </c>
      <c r="L8" s="26"/>
      <c r="M8" s="12">
        <v>130</v>
      </c>
      <c r="O8" s="20">
        <f t="shared" si="4"/>
        <v>284.76290359552115</v>
      </c>
      <c r="P8" s="29">
        <f t="shared" si="5"/>
        <v>0.33501518070061315</v>
      </c>
      <c r="Q8" s="32">
        <f t="shared" si="6"/>
        <v>748</v>
      </c>
      <c r="R8" s="33">
        <f t="shared" si="7"/>
        <v>102</v>
      </c>
      <c r="S8" s="35">
        <f t="shared" si="10"/>
        <v>182.76290359552115</v>
      </c>
      <c r="T8" s="29">
        <f t="shared" si="2"/>
        <v>0.20768511772218312</v>
      </c>
      <c r="V8" s="19">
        <f t="shared" si="8"/>
        <v>950</v>
      </c>
      <c r="W8" s="14">
        <f t="shared" si="9"/>
        <v>760</v>
      </c>
    </row>
    <row r="9" spans="1:23" x14ac:dyDescent="0.25">
      <c r="A9" s="8">
        <v>131</v>
      </c>
      <c r="B9" s="1"/>
      <c r="C9" s="6"/>
      <c r="D9" s="19">
        <v>300</v>
      </c>
      <c r="E9" s="19"/>
      <c r="F9" s="19"/>
      <c r="G9" s="19"/>
      <c r="H9" s="19"/>
      <c r="I9" s="19">
        <f t="shared" si="0"/>
        <v>565.23709640447885</v>
      </c>
      <c r="J9" s="20">
        <f t="shared" si="1"/>
        <v>850</v>
      </c>
      <c r="K9" s="21">
        <f t="shared" si="3"/>
        <v>880</v>
      </c>
      <c r="L9" s="26"/>
      <c r="M9" s="12">
        <v>131</v>
      </c>
      <c r="O9" s="20">
        <f t="shared" si="4"/>
        <v>284.76290359552115</v>
      </c>
      <c r="P9" s="29">
        <f t="shared" si="5"/>
        <v>0.33501518070061315</v>
      </c>
      <c r="Q9" s="32">
        <f t="shared" si="6"/>
        <v>748</v>
      </c>
      <c r="R9" s="33">
        <f t="shared" si="7"/>
        <v>102</v>
      </c>
      <c r="S9" s="35">
        <f t="shared" si="10"/>
        <v>182.76290359552115</v>
      </c>
      <c r="T9" s="29">
        <f t="shared" si="2"/>
        <v>0.20768511772218312</v>
      </c>
      <c r="V9" s="19">
        <f t="shared" si="8"/>
        <v>950</v>
      </c>
      <c r="W9" s="14">
        <f t="shared" si="9"/>
        <v>760</v>
      </c>
    </row>
    <row r="10" spans="1:23" x14ac:dyDescent="0.25">
      <c r="A10" s="8">
        <v>145</v>
      </c>
      <c r="B10" s="1"/>
      <c r="C10" s="6"/>
      <c r="D10" s="19">
        <v>300</v>
      </c>
      <c r="E10" s="19"/>
      <c r="F10" s="19"/>
      <c r="G10" s="19"/>
      <c r="H10" s="19"/>
      <c r="I10" s="19">
        <f t="shared" si="0"/>
        <v>565.23709640447885</v>
      </c>
      <c r="J10" s="20">
        <f t="shared" si="1"/>
        <v>850</v>
      </c>
      <c r="K10" s="21">
        <f t="shared" si="3"/>
        <v>880</v>
      </c>
      <c r="L10" s="26"/>
      <c r="M10" s="12">
        <v>145</v>
      </c>
      <c r="O10" s="20">
        <f t="shared" si="4"/>
        <v>284.76290359552115</v>
      </c>
      <c r="P10" s="29">
        <f t="shared" si="5"/>
        <v>0.33501518070061315</v>
      </c>
      <c r="Q10" s="32">
        <f t="shared" si="6"/>
        <v>748</v>
      </c>
      <c r="R10" s="33">
        <f t="shared" si="7"/>
        <v>102</v>
      </c>
      <c r="S10" s="35">
        <f t="shared" si="10"/>
        <v>182.76290359552115</v>
      </c>
      <c r="T10" s="29">
        <f t="shared" si="2"/>
        <v>0.20768511772218312</v>
      </c>
      <c r="V10" s="19">
        <f t="shared" si="8"/>
        <v>950</v>
      </c>
      <c r="W10" s="14">
        <f t="shared" si="9"/>
        <v>760</v>
      </c>
    </row>
    <row r="11" spans="1:23" x14ac:dyDescent="0.25">
      <c r="A11" s="8">
        <v>200</v>
      </c>
      <c r="B11" s="98" t="s">
        <v>160</v>
      </c>
      <c r="C11" s="6">
        <v>0.2</v>
      </c>
      <c r="D11" s="19">
        <v>220</v>
      </c>
      <c r="E11" s="19">
        <v>150</v>
      </c>
      <c r="F11" s="19">
        <v>100</v>
      </c>
      <c r="G11" s="19">
        <v>0</v>
      </c>
      <c r="H11" s="19">
        <v>30</v>
      </c>
      <c r="I11" s="19">
        <f t="shared" si="0"/>
        <v>942.06182734079812</v>
      </c>
      <c r="J11" s="20">
        <f t="shared" si="1"/>
        <v>1420</v>
      </c>
      <c r="K11" s="21">
        <f t="shared" ref="K11:K87" si="11">MROUND(J11*$K$3,10)</f>
        <v>1480</v>
      </c>
      <c r="L11" s="26"/>
      <c r="M11" s="12">
        <f t="shared" ref="M11:M42" si="12">A11</f>
        <v>200</v>
      </c>
      <c r="O11" s="20">
        <f t="shared" ref="O11:O87" si="13">J11-I11</f>
        <v>477.93817265920188</v>
      </c>
      <c r="P11" s="29">
        <f t="shared" ref="P11:P87" si="14">O11/J11</f>
        <v>0.3365761779290154</v>
      </c>
      <c r="Q11" s="32">
        <f t="shared" ref="Q11:Q87" si="15">K11*0.85</f>
        <v>1258</v>
      </c>
      <c r="R11" s="33">
        <f t="shared" ref="R11:R87" si="16">J11-Q11</f>
        <v>162</v>
      </c>
      <c r="S11" s="35">
        <f t="shared" si="10"/>
        <v>315.93817265920188</v>
      </c>
      <c r="T11" s="29">
        <f t="shared" si="2"/>
        <v>0.21347173828324451</v>
      </c>
      <c r="V11" s="19">
        <f t="shared" si="8"/>
        <v>1580</v>
      </c>
      <c r="W11" s="14">
        <f t="shared" si="9"/>
        <v>1264</v>
      </c>
    </row>
    <row r="12" spans="1:23" x14ac:dyDescent="0.25">
      <c r="A12" s="8">
        <v>202</v>
      </c>
      <c r="B12" s="1" t="s">
        <v>7</v>
      </c>
      <c r="C12" s="6">
        <v>0.34</v>
      </c>
      <c r="D12" s="19">
        <v>560</v>
      </c>
      <c r="E12" s="19">
        <v>0</v>
      </c>
      <c r="F12" s="19">
        <v>0</v>
      </c>
      <c r="G12" s="19">
        <v>0</v>
      </c>
      <c r="H12" s="19">
        <v>0</v>
      </c>
      <c r="I12" s="19">
        <f t="shared" si="0"/>
        <v>1055.109246621694</v>
      </c>
      <c r="J12" s="20">
        <f t="shared" si="1"/>
        <v>1590</v>
      </c>
      <c r="K12" s="21">
        <f t="shared" si="11"/>
        <v>1650</v>
      </c>
      <c r="L12" s="26"/>
      <c r="M12" s="12">
        <f t="shared" si="12"/>
        <v>202</v>
      </c>
      <c r="O12" s="20">
        <f t="shared" si="13"/>
        <v>534.89075337830604</v>
      </c>
      <c r="P12" s="29">
        <f t="shared" si="14"/>
        <v>0.33640927885428051</v>
      </c>
      <c r="Q12" s="32">
        <f t="shared" si="15"/>
        <v>1402.5</v>
      </c>
      <c r="R12" s="33">
        <f t="shared" si="16"/>
        <v>187.5</v>
      </c>
      <c r="S12" s="35">
        <f t="shared" si="10"/>
        <v>347.39075337830604</v>
      </c>
      <c r="T12" s="29">
        <f t="shared" si="2"/>
        <v>0.2105398505323067</v>
      </c>
      <c r="V12" s="19">
        <f t="shared" si="8"/>
        <v>1770</v>
      </c>
      <c r="W12" s="14">
        <f t="shared" si="9"/>
        <v>1416</v>
      </c>
    </row>
    <row r="13" spans="1:23" x14ac:dyDescent="0.25">
      <c r="A13" s="8">
        <v>204</v>
      </c>
      <c r="B13" s="98" t="s">
        <v>161</v>
      </c>
      <c r="C13" s="6"/>
      <c r="D13" s="19">
        <v>300</v>
      </c>
      <c r="E13" s="19">
        <v>0</v>
      </c>
      <c r="F13" s="19">
        <v>0</v>
      </c>
      <c r="G13" s="19">
        <v>0</v>
      </c>
      <c r="H13" s="19">
        <v>0</v>
      </c>
      <c r="I13" s="19">
        <f t="shared" si="0"/>
        <v>565.23709640447885</v>
      </c>
      <c r="J13" s="20">
        <v>300</v>
      </c>
      <c r="K13" s="21">
        <f t="shared" si="11"/>
        <v>310</v>
      </c>
      <c r="L13" s="26" t="s">
        <v>108</v>
      </c>
      <c r="M13" s="12">
        <f t="shared" si="12"/>
        <v>204</v>
      </c>
      <c r="O13" s="20">
        <f t="shared" si="13"/>
        <v>-265.23709640447885</v>
      </c>
      <c r="P13" s="29">
        <f t="shared" si="14"/>
        <v>-0.88412365468159615</v>
      </c>
      <c r="Q13" s="32">
        <f t="shared" si="15"/>
        <v>263.5</v>
      </c>
      <c r="R13" s="33">
        <f t="shared" si="16"/>
        <v>36.5</v>
      </c>
      <c r="S13" s="35">
        <f t="shared" si="10"/>
        <v>-301.73709640447885</v>
      </c>
      <c r="T13" s="29">
        <f t="shared" si="2"/>
        <v>-0.97334547227251245</v>
      </c>
      <c r="V13" s="19">
        <f t="shared" si="8"/>
        <v>950</v>
      </c>
      <c r="W13" s="14">
        <f t="shared" si="9"/>
        <v>760</v>
      </c>
    </row>
    <row r="14" spans="1:23" x14ac:dyDescent="0.25">
      <c r="A14" s="8">
        <v>205</v>
      </c>
      <c r="B14" s="98" t="s">
        <v>162</v>
      </c>
      <c r="C14" s="6">
        <v>0.18</v>
      </c>
      <c r="D14" s="19">
        <v>200</v>
      </c>
      <c r="E14" s="19">
        <v>100</v>
      </c>
      <c r="F14" s="19">
        <v>130</v>
      </c>
      <c r="G14" s="19">
        <v>0</v>
      </c>
      <c r="H14" s="19">
        <v>30</v>
      </c>
      <c r="I14" s="19">
        <f t="shared" si="0"/>
        <v>866.69688115353426</v>
      </c>
      <c r="J14" s="20">
        <f t="shared" si="1"/>
        <v>1310</v>
      </c>
      <c r="K14" s="21">
        <f t="shared" si="11"/>
        <v>1360</v>
      </c>
      <c r="L14" s="26" t="s">
        <v>108</v>
      </c>
      <c r="M14" s="12">
        <f t="shared" si="12"/>
        <v>205</v>
      </c>
      <c r="O14" s="20">
        <f t="shared" si="13"/>
        <v>443.30311884646574</v>
      </c>
      <c r="P14" s="29">
        <f t="shared" si="14"/>
        <v>0.33839932736371431</v>
      </c>
      <c r="Q14" s="32">
        <f t="shared" si="15"/>
        <v>1156</v>
      </c>
      <c r="R14" s="33">
        <f t="shared" si="16"/>
        <v>154</v>
      </c>
      <c r="S14" s="35">
        <f t="shared" si="10"/>
        <v>289.30311884646574</v>
      </c>
      <c r="T14" s="29">
        <f t="shared" si="2"/>
        <v>0.21272288150475421</v>
      </c>
      <c r="V14" s="19">
        <f t="shared" si="8"/>
        <v>1460</v>
      </c>
      <c r="W14" s="14">
        <f t="shared" si="9"/>
        <v>1168</v>
      </c>
    </row>
    <row r="15" spans="1:23" x14ac:dyDescent="0.25">
      <c r="A15" s="8">
        <v>206</v>
      </c>
      <c r="B15" s="98" t="s">
        <v>163</v>
      </c>
      <c r="C15" s="6">
        <v>0.4</v>
      </c>
      <c r="D15" s="19">
        <v>800</v>
      </c>
      <c r="E15" s="19">
        <v>150</v>
      </c>
      <c r="F15" s="19">
        <v>100</v>
      </c>
      <c r="G15" s="19">
        <v>0</v>
      </c>
      <c r="H15" s="19">
        <v>30</v>
      </c>
      <c r="I15" s="19">
        <f t="shared" si="0"/>
        <v>2034.8535470561239</v>
      </c>
      <c r="J15" s="20">
        <v>1400</v>
      </c>
      <c r="K15" s="21">
        <f t="shared" si="11"/>
        <v>1460</v>
      </c>
      <c r="L15" s="26" t="s">
        <v>108</v>
      </c>
      <c r="M15" s="12">
        <f t="shared" si="12"/>
        <v>206</v>
      </c>
      <c r="O15" s="20">
        <f t="shared" si="13"/>
        <v>-634.85354705612394</v>
      </c>
      <c r="P15" s="29">
        <f t="shared" si="14"/>
        <v>-0.45346681932580279</v>
      </c>
      <c r="Q15" s="32">
        <f t="shared" si="15"/>
        <v>1241</v>
      </c>
      <c r="R15" s="33">
        <f t="shared" si="16"/>
        <v>159</v>
      </c>
      <c r="S15" s="35">
        <f t="shared" si="10"/>
        <v>-793.85354705612394</v>
      </c>
      <c r="T15" s="29">
        <f t="shared" si="2"/>
        <v>-0.54373530620282462</v>
      </c>
      <c r="V15" s="19">
        <f t="shared" si="8"/>
        <v>3420</v>
      </c>
      <c r="W15" s="14">
        <f t="shared" si="9"/>
        <v>2736</v>
      </c>
    </row>
    <row r="16" spans="1:23" x14ac:dyDescent="0.25">
      <c r="A16" s="8">
        <v>210</v>
      </c>
      <c r="B16" s="98" t="s">
        <v>164</v>
      </c>
      <c r="C16" s="6">
        <v>0.2</v>
      </c>
      <c r="D16" s="19">
        <v>227</v>
      </c>
      <c r="E16" s="19">
        <v>150</v>
      </c>
      <c r="F16" s="19">
        <v>100</v>
      </c>
      <c r="G16" s="19">
        <v>0</v>
      </c>
      <c r="H16" s="19">
        <v>15</v>
      </c>
      <c r="I16" s="19">
        <f t="shared" si="0"/>
        <v>926.98883810334542</v>
      </c>
      <c r="J16" s="20">
        <v>790</v>
      </c>
      <c r="K16" s="21">
        <f t="shared" si="11"/>
        <v>820</v>
      </c>
      <c r="L16" s="26"/>
      <c r="M16" s="12">
        <f t="shared" si="12"/>
        <v>210</v>
      </c>
      <c r="O16" s="20">
        <f t="shared" si="13"/>
        <v>-136.98883810334542</v>
      </c>
      <c r="P16" s="29">
        <f t="shared" si="14"/>
        <v>-0.17340359253588028</v>
      </c>
      <c r="Q16" s="32">
        <f t="shared" si="15"/>
        <v>697</v>
      </c>
      <c r="R16" s="33">
        <f t="shared" si="16"/>
        <v>93</v>
      </c>
      <c r="S16" s="35">
        <f t="shared" si="10"/>
        <v>-229.98883810334542</v>
      </c>
      <c r="T16" s="29">
        <f t="shared" si="2"/>
        <v>-0.2804741928089578</v>
      </c>
      <c r="V16" s="19">
        <f t="shared" si="8"/>
        <v>1560</v>
      </c>
      <c r="W16" s="14">
        <f t="shared" si="9"/>
        <v>1248</v>
      </c>
    </row>
    <row r="17" spans="1:23" x14ac:dyDescent="0.25">
      <c r="A17" s="8">
        <v>211</v>
      </c>
      <c r="B17" s="98" t="s">
        <v>165</v>
      </c>
      <c r="C17" s="6">
        <v>0.35</v>
      </c>
      <c r="D17" s="19">
        <v>400</v>
      </c>
      <c r="E17" s="19">
        <v>150</v>
      </c>
      <c r="F17" s="19">
        <v>150</v>
      </c>
      <c r="G17" s="19">
        <v>50</v>
      </c>
      <c r="H17" s="19">
        <v>15</v>
      </c>
      <c r="I17" s="19">
        <f t="shared" si="0"/>
        <v>1441.3545958314212</v>
      </c>
      <c r="J17" s="20">
        <v>1190</v>
      </c>
      <c r="K17" s="21">
        <f t="shared" si="11"/>
        <v>1240</v>
      </c>
      <c r="L17" s="26"/>
      <c r="M17" s="12">
        <f t="shared" si="12"/>
        <v>211</v>
      </c>
      <c r="O17" s="20">
        <f t="shared" si="13"/>
        <v>-251.35459583142119</v>
      </c>
      <c r="P17" s="29">
        <f t="shared" si="14"/>
        <v>-0.21122234943816906</v>
      </c>
      <c r="Q17" s="32">
        <f t="shared" si="15"/>
        <v>1054</v>
      </c>
      <c r="R17" s="33">
        <f t="shared" si="16"/>
        <v>136</v>
      </c>
      <c r="S17" s="35">
        <f t="shared" si="10"/>
        <v>-387.35459583142119</v>
      </c>
      <c r="T17" s="29">
        <f t="shared" si="2"/>
        <v>-0.31238273857372678</v>
      </c>
      <c r="V17" s="19">
        <f t="shared" si="8"/>
        <v>2420</v>
      </c>
      <c r="W17" s="14">
        <f t="shared" si="9"/>
        <v>1936</v>
      </c>
    </row>
    <row r="18" spans="1:23" x14ac:dyDescent="0.25">
      <c r="A18" s="8">
        <v>606</v>
      </c>
      <c r="B18" s="98" t="s">
        <v>166</v>
      </c>
      <c r="C18" s="6"/>
      <c r="D18" s="19">
        <v>400</v>
      </c>
      <c r="E18" s="19"/>
      <c r="F18" s="19"/>
      <c r="G18" s="19"/>
      <c r="H18" s="19"/>
      <c r="I18" s="19">
        <f t="shared" si="0"/>
        <v>753.64946187263854</v>
      </c>
      <c r="J18" s="20">
        <f t="shared" ref="J18:J93" si="17">MROUND(I18*$J$3,10)</f>
        <v>1140</v>
      </c>
      <c r="K18" s="21">
        <f t="shared" si="11"/>
        <v>1190</v>
      </c>
      <c r="L18" s="26"/>
      <c r="M18" s="12">
        <f t="shared" si="12"/>
        <v>606</v>
      </c>
      <c r="O18" s="20">
        <f t="shared" si="13"/>
        <v>386.35053812736146</v>
      </c>
      <c r="P18" s="29">
        <f t="shared" si="14"/>
        <v>0.33890398081347495</v>
      </c>
      <c r="Q18" s="32">
        <f t="shared" si="15"/>
        <v>1011.5</v>
      </c>
      <c r="R18" s="33">
        <f t="shared" si="16"/>
        <v>128.5</v>
      </c>
      <c r="S18" s="35">
        <f t="shared" si="10"/>
        <v>257.85053812736146</v>
      </c>
      <c r="T18" s="29">
        <f t="shared" si="2"/>
        <v>0.21668112447677434</v>
      </c>
      <c r="V18" s="19">
        <f t="shared" si="8"/>
        <v>1270</v>
      </c>
      <c r="W18" s="14">
        <f t="shared" si="9"/>
        <v>1016</v>
      </c>
    </row>
    <row r="19" spans="1:23" x14ac:dyDescent="0.25">
      <c r="A19" s="8">
        <v>224</v>
      </c>
      <c r="B19" s="98" t="s">
        <v>167</v>
      </c>
      <c r="C19" s="6"/>
      <c r="D19" s="19">
        <v>400</v>
      </c>
      <c r="E19" s="19"/>
      <c r="F19" s="19"/>
      <c r="G19" s="19"/>
      <c r="H19" s="19"/>
      <c r="I19" s="19">
        <f t="shared" si="0"/>
        <v>753.64946187263854</v>
      </c>
      <c r="J19" s="20">
        <f t="shared" si="17"/>
        <v>1140</v>
      </c>
      <c r="K19" s="21">
        <f t="shared" si="11"/>
        <v>1190</v>
      </c>
      <c r="L19" s="26" t="s">
        <v>108</v>
      </c>
      <c r="M19" s="12">
        <f t="shared" si="12"/>
        <v>224</v>
      </c>
      <c r="O19" s="20">
        <f t="shared" si="13"/>
        <v>386.35053812736146</v>
      </c>
      <c r="P19" s="29">
        <f t="shared" si="14"/>
        <v>0.33890398081347495</v>
      </c>
      <c r="Q19" s="32">
        <f t="shared" si="15"/>
        <v>1011.5</v>
      </c>
      <c r="R19" s="33">
        <f t="shared" si="16"/>
        <v>128.5</v>
      </c>
      <c r="S19" s="35">
        <f t="shared" si="10"/>
        <v>257.85053812736146</v>
      </c>
      <c r="T19" s="29">
        <f t="shared" si="2"/>
        <v>0.21668112447677434</v>
      </c>
      <c r="V19" s="19">
        <f t="shared" si="8"/>
        <v>1270</v>
      </c>
      <c r="W19" s="14">
        <f t="shared" si="9"/>
        <v>1016</v>
      </c>
    </row>
    <row r="20" spans="1:23" x14ac:dyDescent="0.25">
      <c r="A20" s="8">
        <v>228</v>
      </c>
      <c r="B20" s="98" t="s">
        <v>168</v>
      </c>
      <c r="C20" s="6"/>
      <c r="D20" s="19">
        <v>400</v>
      </c>
      <c r="E20" s="19"/>
      <c r="F20" s="19"/>
      <c r="G20" s="19"/>
      <c r="H20" s="19"/>
      <c r="I20" s="19">
        <f t="shared" si="0"/>
        <v>753.64946187263854</v>
      </c>
      <c r="J20" s="20">
        <v>450</v>
      </c>
      <c r="K20" s="21">
        <f t="shared" si="11"/>
        <v>470</v>
      </c>
      <c r="L20" s="26"/>
      <c r="M20" s="12">
        <f t="shared" si="12"/>
        <v>228</v>
      </c>
      <c r="O20" s="20">
        <f t="shared" si="13"/>
        <v>-303.64946187263854</v>
      </c>
      <c r="P20" s="29">
        <f t="shared" si="14"/>
        <v>-0.67477658193919676</v>
      </c>
      <c r="Q20" s="32">
        <f t="shared" si="15"/>
        <v>399.5</v>
      </c>
      <c r="R20" s="33">
        <f t="shared" si="16"/>
        <v>50.5</v>
      </c>
      <c r="S20" s="35">
        <f t="shared" si="10"/>
        <v>-354.14946187263854</v>
      </c>
      <c r="T20" s="29">
        <f t="shared" si="2"/>
        <v>-0.75350949334603945</v>
      </c>
      <c r="V20" s="19">
        <f t="shared" si="8"/>
        <v>1270</v>
      </c>
      <c r="W20" s="14">
        <f t="shared" si="9"/>
        <v>1016</v>
      </c>
    </row>
    <row r="21" spans="1:23" x14ac:dyDescent="0.25">
      <c r="A21" s="8">
        <v>230</v>
      </c>
      <c r="B21" s="98" t="s">
        <v>169</v>
      </c>
      <c r="C21" s="6"/>
      <c r="D21" s="19">
        <v>400</v>
      </c>
      <c r="E21" s="19"/>
      <c r="F21" s="19"/>
      <c r="G21" s="19"/>
      <c r="H21" s="19"/>
      <c r="I21" s="19">
        <f t="shared" si="0"/>
        <v>753.64946187263854</v>
      </c>
      <c r="J21" s="20">
        <f t="shared" si="17"/>
        <v>1140</v>
      </c>
      <c r="K21" s="21">
        <f t="shared" si="11"/>
        <v>1190</v>
      </c>
      <c r="L21" s="26"/>
      <c r="M21" s="12">
        <f t="shared" si="12"/>
        <v>230</v>
      </c>
      <c r="O21" s="20">
        <f t="shared" si="13"/>
        <v>386.35053812736146</v>
      </c>
      <c r="P21" s="29">
        <f t="shared" si="14"/>
        <v>0.33890398081347495</v>
      </c>
      <c r="Q21" s="32">
        <f t="shared" si="15"/>
        <v>1011.5</v>
      </c>
      <c r="R21" s="33">
        <f t="shared" si="16"/>
        <v>128.5</v>
      </c>
      <c r="S21" s="35">
        <f t="shared" si="10"/>
        <v>257.85053812736146</v>
      </c>
      <c r="T21" s="29">
        <f t="shared" si="2"/>
        <v>0.21668112447677434</v>
      </c>
      <c r="V21" s="19">
        <f t="shared" si="8"/>
        <v>1270</v>
      </c>
      <c r="W21" s="14">
        <f t="shared" si="9"/>
        <v>1016</v>
      </c>
    </row>
    <row r="22" spans="1:23" x14ac:dyDescent="0.25">
      <c r="A22" s="8">
        <v>241</v>
      </c>
      <c r="B22" s="98" t="s">
        <v>170</v>
      </c>
      <c r="C22" s="6"/>
      <c r="D22" s="19">
        <v>400</v>
      </c>
      <c r="E22" s="19"/>
      <c r="F22" s="19"/>
      <c r="G22" s="19"/>
      <c r="H22" s="19"/>
      <c r="I22" s="19">
        <f t="shared" si="0"/>
        <v>753.64946187263854</v>
      </c>
      <c r="J22" s="20">
        <v>450</v>
      </c>
      <c r="K22" s="21">
        <f t="shared" si="11"/>
        <v>470</v>
      </c>
      <c r="L22" s="26"/>
      <c r="M22" s="12">
        <f t="shared" si="12"/>
        <v>241</v>
      </c>
      <c r="O22" s="20">
        <f t="shared" si="13"/>
        <v>-303.64946187263854</v>
      </c>
      <c r="P22" s="29">
        <f t="shared" si="14"/>
        <v>-0.67477658193919676</v>
      </c>
      <c r="Q22" s="32">
        <f t="shared" si="15"/>
        <v>399.5</v>
      </c>
      <c r="R22" s="33">
        <f t="shared" si="16"/>
        <v>50.5</v>
      </c>
      <c r="S22" s="35">
        <f t="shared" si="10"/>
        <v>-354.14946187263854</v>
      </c>
      <c r="T22" s="29">
        <f t="shared" si="2"/>
        <v>-0.75350949334603945</v>
      </c>
      <c r="V22" s="19">
        <f t="shared" si="8"/>
        <v>1270</v>
      </c>
      <c r="W22" s="14">
        <f t="shared" si="9"/>
        <v>1016</v>
      </c>
    </row>
    <row r="23" spans="1:23" x14ac:dyDescent="0.25">
      <c r="A23" s="73">
        <v>245</v>
      </c>
      <c r="B23" s="74" t="s">
        <v>130</v>
      </c>
      <c r="C23" s="75">
        <v>0.21</v>
      </c>
      <c r="D23" s="59">
        <v>350</v>
      </c>
      <c r="E23" s="59">
        <v>250</v>
      </c>
      <c r="F23" s="59">
        <v>150</v>
      </c>
      <c r="G23" s="59">
        <v>0</v>
      </c>
      <c r="H23" s="59">
        <v>20</v>
      </c>
      <c r="I23" s="59">
        <f>SUM(D23:H23)*$O$1</f>
        <v>800.80000000000007</v>
      </c>
      <c r="J23" s="20">
        <f t="shared" si="17"/>
        <v>1210</v>
      </c>
      <c r="K23" s="21">
        <f t="shared" si="11"/>
        <v>1260</v>
      </c>
      <c r="L23" s="26"/>
      <c r="M23" s="12">
        <f t="shared" si="12"/>
        <v>245</v>
      </c>
      <c r="O23" s="20">
        <f t="shared" si="13"/>
        <v>409.19999999999993</v>
      </c>
      <c r="P23" s="29">
        <f t="shared" si="14"/>
        <v>0.33818181818181814</v>
      </c>
      <c r="Q23" s="32">
        <f t="shared" si="15"/>
        <v>1071</v>
      </c>
      <c r="R23" s="33">
        <f t="shared" si="16"/>
        <v>139</v>
      </c>
      <c r="S23" s="35">
        <f t="shared" si="10"/>
        <v>270.19999999999993</v>
      </c>
      <c r="T23" s="29">
        <f t="shared" si="2"/>
        <v>0.21444444444444438</v>
      </c>
      <c r="V23" s="19">
        <f t="shared" si="8"/>
        <v>1350</v>
      </c>
      <c r="W23" s="14">
        <f t="shared" si="9"/>
        <v>1080</v>
      </c>
    </row>
    <row r="24" spans="1:23" x14ac:dyDescent="0.25">
      <c r="A24" s="73">
        <v>246</v>
      </c>
      <c r="B24" s="74" t="s">
        <v>157</v>
      </c>
      <c r="C24" s="75">
        <v>0.21</v>
      </c>
      <c r="D24" s="59">
        <v>350</v>
      </c>
      <c r="E24" s="59">
        <v>25</v>
      </c>
      <c r="F24" s="59">
        <v>150</v>
      </c>
      <c r="G24" s="59">
        <v>0</v>
      </c>
      <c r="H24" s="59">
        <v>20</v>
      </c>
      <c r="I24" s="59">
        <f t="shared" ref="I24:I26" si="18">SUM(D24:H24)*$O$1</f>
        <v>566.80000000000007</v>
      </c>
      <c r="J24" s="20">
        <f t="shared" ref="J24" si="19">MROUND(I24*$J$3,10)</f>
        <v>860</v>
      </c>
      <c r="K24" s="21">
        <f t="shared" ref="K24" si="20">MROUND(J24*$K$3,10)</f>
        <v>890</v>
      </c>
      <c r="L24" s="26"/>
      <c r="M24" s="12">
        <f t="shared" si="12"/>
        <v>246</v>
      </c>
      <c r="O24" s="20">
        <f t="shared" ref="O24" si="21">J24-I24</f>
        <v>293.19999999999993</v>
      </c>
      <c r="P24" s="29">
        <f t="shared" ref="P24" si="22">O24/J24</f>
        <v>0.34093023255813948</v>
      </c>
      <c r="Q24" s="32">
        <f t="shared" ref="Q24" si="23">K24*0.85</f>
        <v>756.5</v>
      </c>
      <c r="R24" s="33">
        <f t="shared" ref="R24" si="24">J24-Q24</f>
        <v>103.5</v>
      </c>
      <c r="S24" s="35">
        <f t="shared" ref="S24" si="25">Q24-I24</f>
        <v>189.69999999999993</v>
      </c>
      <c r="T24" s="29">
        <f t="shared" ref="T24" si="26">S24/K24</f>
        <v>0.21314606741573025</v>
      </c>
      <c r="V24" s="19">
        <f t="shared" si="8"/>
        <v>950</v>
      </c>
      <c r="W24" s="14">
        <f t="shared" si="9"/>
        <v>760</v>
      </c>
    </row>
    <row r="25" spans="1:23" x14ac:dyDescent="0.25">
      <c r="A25" s="73">
        <v>247</v>
      </c>
      <c r="B25" s="74" t="s">
        <v>158</v>
      </c>
      <c r="C25" s="75">
        <v>0.21</v>
      </c>
      <c r="D25" s="59">
        <v>350</v>
      </c>
      <c r="E25" s="59">
        <v>250</v>
      </c>
      <c r="F25" s="59">
        <v>150</v>
      </c>
      <c r="G25" s="59">
        <v>0</v>
      </c>
      <c r="H25" s="59">
        <v>20</v>
      </c>
      <c r="I25" s="59">
        <f t="shared" si="18"/>
        <v>800.80000000000007</v>
      </c>
      <c r="J25" s="20">
        <f t="shared" ref="J25" si="27">MROUND(I25*$J$3,10)</f>
        <v>1210</v>
      </c>
      <c r="K25" s="21">
        <f t="shared" ref="K25" si="28">MROUND(J25*$K$3,10)</f>
        <v>1260</v>
      </c>
      <c r="L25" s="26"/>
      <c r="M25" s="12">
        <f t="shared" si="12"/>
        <v>247</v>
      </c>
      <c r="O25" s="20">
        <f t="shared" ref="O25" si="29">J25-I25</f>
        <v>409.19999999999993</v>
      </c>
      <c r="P25" s="29">
        <f t="shared" ref="P25" si="30">O25/J25</f>
        <v>0.33818181818181814</v>
      </c>
      <c r="Q25" s="32">
        <f t="shared" ref="Q25" si="31">K25*0.85</f>
        <v>1071</v>
      </c>
      <c r="R25" s="33">
        <f t="shared" ref="R25" si="32">J25-Q25</f>
        <v>139</v>
      </c>
      <c r="S25" s="35">
        <f t="shared" ref="S25" si="33">Q25-I25</f>
        <v>270.19999999999993</v>
      </c>
      <c r="T25" s="29">
        <f t="shared" ref="T25" si="34">S25/K25</f>
        <v>0.21444444444444438</v>
      </c>
      <c r="V25" s="19">
        <f t="shared" si="8"/>
        <v>1350</v>
      </c>
      <c r="W25" s="14">
        <f t="shared" si="9"/>
        <v>1080</v>
      </c>
    </row>
    <row r="26" spans="1:23" x14ac:dyDescent="0.25">
      <c r="A26" s="73">
        <v>248</v>
      </c>
      <c r="B26" s="74" t="s">
        <v>159</v>
      </c>
      <c r="C26" s="75">
        <v>0.3</v>
      </c>
      <c r="D26" s="59">
        <v>450</v>
      </c>
      <c r="E26" s="59">
        <v>250</v>
      </c>
      <c r="F26" s="59">
        <v>150</v>
      </c>
      <c r="G26" s="59">
        <v>0</v>
      </c>
      <c r="H26" s="59">
        <v>20</v>
      </c>
      <c r="I26" s="59">
        <f t="shared" si="18"/>
        <v>904.80000000000007</v>
      </c>
      <c r="J26" s="20">
        <f t="shared" ref="J26" si="35">MROUND(I26*$J$3,10)</f>
        <v>1370</v>
      </c>
      <c r="K26" s="21">
        <f t="shared" ref="K26" si="36">MROUND(J26*$K$3,10)</f>
        <v>1420</v>
      </c>
      <c r="L26" s="26"/>
      <c r="M26" s="12">
        <f t="shared" si="12"/>
        <v>248</v>
      </c>
      <c r="O26" s="20">
        <f t="shared" ref="O26" si="37">J26-I26</f>
        <v>465.19999999999993</v>
      </c>
      <c r="P26" s="29">
        <f t="shared" ref="P26" si="38">O26/J26</f>
        <v>0.33956204379562038</v>
      </c>
      <c r="Q26" s="32">
        <f t="shared" ref="Q26" si="39">K26*0.85</f>
        <v>1207</v>
      </c>
      <c r="R26" s="33">
        <f t="shared" ref="R26" si="40">J26-Q26</f>
        <v>163</v>
      </c>
      <c r="S26" s="35">
        <f t="shared" ref="S26" si="41">Q26-I26</f>
        <v>302.19999999999993</v>
      </c>
      <c r="T26" s="29">
        <f t="shared" ref="T26" si="42">S26/K26</f>
        <v>0.21281690140845066</v>
      </c>
      <c r="V26" s="19">
        <f t="shared" si="8"/>
        <v>1520</v>
      </c>
      <c r="W26" s="14">
        <f t="shared" si="9"/>
        <v>1216</v>
      </c>
    </row>
    <row r="27" spans="1:23" x14ac:dyDescent="0.25">
      <c r="A27" s="8">
        <v>254</v>
      </c>
      <c r="B27" s="98" t="s">
        <v>171</v>
      </c>
      <c r="C27" s="6"/>
      <c r="D27" s="19">
        <v>560</v>
      </c>
      <c r="E27" s="19">
        <v>150</v>
      </c>
      <c r="F27" s="19">
        <v>100</v>
      </c>
      <c r="G27" s="19">
        <v>0</v>
      </c>
      <c r="H27" s="19">
        <v>15</v>
      </c>
      <c r="I27" s="19">
        <f t="shared" ref="I27:I32" si="43">SUM(D27:H27)*$I$3</f>
        <v>1554.4020151123168</v>
      </c>
      <c r="J27" s="20">
        <v>650</v>
      </c>
      <c r="K27" s="21">
        <f t="shared" si="11"/>
        <v>680</v>
      </c>
      <c r="L27" s="26"/>
      <c r="M27" s="12">
        <f t="shared" si="12"/>
        <v>254</v>
      </c>
      <c r="O27" s="20">
        <f t="shared" si="13"/>
        <v>-904.4020151123168</v>
      </c>
      <c r="P27" s="29">
        <f t="shared" si="14"/>
        <v>-1.3913877155574104</v>
      </c>
      <c r="Q27" s="32">
        <f t="shared" si="15"/>
        <v>578</v>
      </c>
      <c r="R27" s="33">
        <f t="shared" si="16"/>
        <v>72</v>
      </c>
      <c r="S27" s="35">
        <f t="shared" si="10"/>
        <v>-976.4020151123168</v>
      </c>
      <c r="T27" s="29">
        <f t="shared" si="2"/>
        <v>-1.4358853163416423</v>
      </c>
      <c r="V27" s="19">
        <f t="shared" si="8"/>
        <v>2610</v>
      </c>
      <c r="W27" s="14">
        <f t="shared" si="9"/>
        <v>2088</v>
      </c>
    </row>
    <row r="28" spans="1:23" x14ac:dyDescent="0.25">
      <c r="A28" s="8">
        <v>269</v>
      </c>
      <c r="B28" s="1" t="s">
        <v>16</v>
      </c>
      <c r="C28" s="6">
        <v>0.28000000000000003</v>
      </c>
      <c r="D28" s="19">
        <v>560</v>
      </c>
      <c r="E28" s="19">
        <v>150</v>
      </c>
      <c r="F28" s="19">
        <v>100</v>
      </c>
      <c r="G28" s="19">
        <v>0</v>
      </c>
      <c r="H28" s="19">
        <v>15</v>
      </c>
      <c r="I28" s="19">
        <f t="shared" si="43"/>
        <v>1554.4020151123168</v>
      </c>
      <c r="J28" s="20">
        <f t="shared" si="17"/>
        <v>2350</v>
      </c>
      <c r="K28" s="21">
        <f t="shared" si="11"/>
        <v>2440</v>
      </c>
      <c r="L28" s="26"/>
      <c r="M28" s="12">
        <f t="shared" si="12"/>
        <v>269</v>
      </c>
      <c r="O28" s="20">
        <f t="shared" si="13"/>
        <v>795.5979848876832</v>
      </c>
      <c r="P28" s="29">
        <f t="shared" si="14"/>
        <v>0.33855233399475881</v>
      </c>
      <c r="Q28" s="32">
        <f t="shared" si="15"/>
        <v>2074</v>
      </c>
      <c r="R28" s="33">
        <f t="shared" si="16"/>
        <v>276</v>
      </c>
      <c r="S28" s="35">
        <f t="shared" si="10"/>
        <v>519.5979848876832</v>
      </c>
      <c r="T28" s="29">
        <f t="shared" si="2"/>
        <v>0.21294999380642754</v>
      </c>
      <c r="V28" s="19">
        <f t="shared" si="8"/>
        <v>2610</v>
      </c>
      <c r="W28" s="14">
        <f t="shared" si="9"/>
        <v>2088</v>
      </c>
    </row>
    <row r="29" spans="1:23" x14ac:dyDescent="0.25">
      <c r="A29" s="8">
        <v>292</v>
      </c>
      <c r="B29" s="98" t="s">
        <v>172</v>
      </c>
      <c r="C29" s="6"/>
      <c r="D29" s="19">
        <v>400</v>
      </c>
      <c r="E29" s="19"/>
      <c r="F29" s="19"/>
      <c r="G29" s="19"/>
      <c r="H29" s="19"/>
      <c r="I29" s="19">
        <f t="shared" si="43"/>
        <v>753.64946187263854</v>
      </c>
      <c r="J29" s="20">
        <f t="shared" si="17"/>
        <v>1140</v>
      </c>
      <c r="K29" s="21">
        <f t="shared" si="11"/>
        <v>1190</v>
      </c>
      <c r="L29" s="26"/>
      <c r="M29" s="12">
        <f t="shared" si="12"/>
        <v>292</v>
      </c>
      <c r="O29" s="20">
        <f t="shared" si="13"/>
        <v>386.35053812736146</v>
      </c>
      <c r="P29" s="29">
        <f t="shared" si="14"/>
        <v>0.33890398081347495</v>
      </c>
      <c r="Q29" s="32">
        <f t="shared" si="15"/>
        <v>1011.5</v>
      </c>
      <c r="R29" s="33">
        <f t="shared" si="16"/>
        <v>128.5</v>
      </c>
      <c r="S29" s="35">
        <f t="shared" si="10"/>
        <v>257.85053812736146</v>
      </c>
      <c r="T29" s="29">
        <f t="shared" si="2"/>
        <v>0.21668112447677434</v>
      </c>
      <c r="V29" s="19">
        <f t="shared" si="8"/>
        <v>1270</v>
      </c>
      <c r="W29" s="14">
        <f t="shared" si="9"/>
        <v>1016</v>
      </c>
    </row>
    <row r="30" spans="1:23" x14ac:dyDescent="0.25">
      <c r="A30" s="8">
        <v>294</v>
      </c>
      <c r="B30" s="1" t="s">
        <v>17</v>
      </c>
      <c r="C30" s="6">
        <v>0.28999999999999998</v>
      </c>
      <c r="D30" s="19">
        <v>580</v>
      </c>
      <c r="E30" s="19">
        <v>150</v>
      </c>
      <c r="F30" s="19">
        <v>100</v>
      </c>
      <c r="G30" s="19">
        <v>0</v>
      </c>
      <c r="H30" s="19">
        <v>15</v>
      </c>
      <c r="I30" s="19">
        <f t="shared" si="43"/>
        <v>1592.0844882059489</v>
      </c>
      <c r="J30" s="20">
        <f t="shared" si="17"/>
        <v>2400</v>
      </c>
      <c r="K30" s="21">
        <f t="shared" si="11"/>
        <v>2500</v>
      </c>
      <c r="L30" s="26"/>
      <c r="M30" s="12">
        <f t="shared" si="12"/>
        <v>294</v>
      </c>
      <c r="O30" s="20">
        <f t="shared" si="13"/>
        <v>807.9155117940511</v>
      </c>
      <c r="P30" s="29">
        <f t="shared" si="14"/>
        <v>0.3366314632475213</v>
      </c>
      <c r="Q30" s="32">
        <f t="shared" si="15"/>
        <v>2125</v>
      </c>
      <c r="R30" s="33">
        <f t="shared" si="16"/>
        <v>275</v>
      </c>
      <c r="S30" s="35">
        <f t="shared" si="10"/>
        <v>532.9155117940511</v>
      </c>
      <c r="T30" s="29">
        <f t="shared" si="2"/>
        <v>0.21316620471762043</v>
      </c>
      <c r="V30" s="19">
        <f t="shared" si="8"/>
        <v>2670</v>
      </c>
      <c r="W30" s="14">
        <f t="shared" si="9"/>
        <v>2136</v>
      </c>
    </row>
    <row r="31" spans="1:23" x14ac:dyDescent="0.25">
      <c r="A31" s="8">
        <v>295</v>
      </c>
      <c r="B31" s="98" t="s">
        <v>173</v>
      </c>
      <c r="C31" s="6">
        <v>0.31</v>
      </c>
      <c r="D31" s="19">
        <v>360</v>
      </c>
      <c r="E31" s="19">
        <v>200</v>
      </c>
      <c r="F31" s="19">
        <v>100</v>
      </c>
      <c r="G31" s="19">
        <v>0</v>
      </c>
      <c r="H31" s="19">
        <v>10</v>
      </c>
      <c r="I31" s="19">
        <f t="shared" si="43"/>
        <v>1262.3628486366695</v>
      </c>
      <c r="J31" s="20">
        <f t="shared" si="17"/>
        <v>1910</v>
      </c>
      <c r="K31" s="21">
        <f t="shared" si="11"/>
        <v>1990</v>
      </c>
      <c r="L31" s="26"/>
      <c r="M31" s="12">
        <f t="shared" si="12"/>
        <v>295</v>
      </c>
      <c r="O31" s="20">
        <f t="shared" si="13"/>
        <v>647.63715136333053</v>
      </c>
      <c r="P31" s="29">
        <f t="shared" si="14"/>
        <v>0.33907704259860239</v>
      </c>
      <c r="Q31" s="32">
        <f t="shared" si="15"/>
        <v>1691.5</v>
      </c>
      <c r="R31" s="33">
        <f t="shared" si="16"/>
        <v>218.5</v>
      </c>
      <c r="S31" s="35">
        <f t="shared" si="10"/>
        <v>429.13715136333053</v>
      </c>
      <c r="T31" s="29">
        <f t="shared" si="2"/>
        <v>0.21564680973031686</v>
      </c>
      <c r="V31" s="19">
        <f t="shared" si="8"/>
        <v>2120</v>
      </c>
      <c r="W31" s="14">
        <f t="shared" si="9"/>
        <v>1696</v>
      </c>
    </row>
    <row r="32" spans="1:23" x14ac:dyDescent="0.25">
      <c r="A32" s="8">
        <v>502</v>
      </c>
      <c r="B32" s="1"/>
      <c r="C32" s="6"/>
      <c r="D32" s="19">
        <v>700</v>
      </c>
      <c r="E32" s="19"/>
      <c r="F32" s="19"/>
      <c r="G32" s="19"/>
      <c r="H32" s="19"/>
      <c r="I32" s="19">
        <f t="shared" si="43"/>
        <v>1318.8865582771173</v>
      </c>
      <c r="J32" s="20">
        <f t="shared" si="17"/>
        <v>1990</v>
      </c>
      <c r="K32" s="21">
        <f t="shared" si="11"/>
        <v>2070</v>
      </c>
      <c r="L32" s="26"/>
      <c r="M32" s="12">
        <f t="shared" si="12"/>
        <v>502</v>
      </c>
      <c r="O32" s="20">
        <f t="shared" ref="O32" si="44">J32-I32</f>
        <v>671.11344172288273</v>
      </c>
      <c r="P32" s="29">
        <f t="shared" ref="P32" si="45">O32/J32</f>
        <v>0.33724293553913703</v>
      </c>
      <c r="Q32" s="32">
        <f t="shared" ref="Q32" si="46">K32*0.85</f>
        <v>1759.5</v>
      </c>
      <c r="R32" s="33">
        <f t="shared" ref="R32" si="47">J32-Q32</f>
        <v>230.5</v>
      </c>
      <c r="S32" s="35">
        <f t="shared" si="10"/>
        <v>440.61344172288273</v>
      </c>
      <c r="T32" s="29">
        <f t="shared" si="2"/>
        <v>0.2128567351318274</v>
      </c>
      <c r="V32" s="19">
        <f t="shared" si="8"/>
        <v>2220</v>
      </c>
      <c r="W32" s="14">
        <f t="shared" si="9"/>
        <v>1776</v>
      </c>
    </row>
    <row r="33" spans="1:23" x14ac:dyDescent="0.25">
      <c r="A33" s="133">
        <v>504</v>
      </c>
      <c r="B33" s="134" t="s">
        <v>19</v>
      </c>
      <c r="C33" s="135">
        <v>0.33</v>
      </c>
      <c r="D33" s="136">
        <v>587.4</v>
      </c>
      <c r="E33" s="136">
        <v>120</v>
      </c>
      <c r="F33" s="136">
        <v>213.44444444444446</v>
      </c>
      <c r="G33" s="136">
        <v>0</v>
      </c>
      <c r="H33" s="136">
        <v>25.5</v>
      </c>
      <c r="I33" s="136">
        <f>SUM(D33:H33)</f>
        <v>946.34444444444443</v>
      </c>
      <c r="J33" s="20">
        <f t="shared" si="17"/>
        <v>1430</v>
      </c>
      <c r="K33" s="21">
        <f t="shared" si="11"/>
        <v>1490</v>
      </c>
      <c r="L33" s="26"/>
      <c r="M33" s="12">
        <f t="shared" si="12"/>
        <v>504</v>
      </c>
      <c r="O33" s="20">
        <f t="shared" si="13"/>
        <v>483.65555555555557</v>
      </c>
      <c r="P33" s="29">
        <f t="shared" si="14"/>
        <v>0.33822066822066821</v>
      </c>
      <c r="Q33" s="32">
        <f t="shared" si="15"/>
        <v>1266.5</v>
      </c>
      <c r="R33" s="33">
        <f t="shared" si="16"/>
        <v>163.5</v>
      </c>
      <c r="S33" s="35">
        <f t="shared" si="10"/>
        <v>320.15555555555557</v>
      </c>
      <c r="T33" s="29">
        <f t="shared" si="2"/>
        <v>0.2148695003728561</v>
      </c>
      <c r="V33" s="19">
        <f t="shared" si="8"/>
        <v>1590</v>
      </c>
      <c r="W33" s="14">
        <f t="shared" si="9"/>
        <v>1272</v>
      </c>
    </row>
    <row r="34" spans="1:23" x14ac:dyDescent="0.25">
      <c r="A34" s="8">
        <v>513</v>
      </c>
      <c r="B34" s="98" t="s">
        <v>174</v>
      </c>
      <c r="C34" s="6">
        <v>0.4</v>
      </c>
      <c r="D34" s="19">
        <v>340</v>
      </c>
      <c r="E34" s="19">
        <v>150</v>
      </c>
      <c r="F34" s="19">
        <v>150</v>
      </c>
      <c r="G34" s="19">
        <v>40</v>
      </c>
      <c r="H34" s="19">
        <v>20</v>
      </c>
      <c r="I34" s="19">
        <f>SUM(D34:H34)*$I$3</f>
        <v>1318.8865582771173</v>
      </c>
      <c r="J34" s="20">
        <v>1070</v>
      </c>
      <c r="K34" s="21">
        <f t="shared" si="11"/>
        <v>1110</v>
      </c>
      <c r="L34" s="26"/>
      <c r="M34" s="12">
        <f t="shared" si="12"/>
        <v>513</v>
      </c>
      <c r="O34" s="20">
        <f t="shared" si="13"/>
        <v>-248.88655827711727</v>
      </c>
      <c r="P34" s="29">
        <f t="shared" si="14"/>
        <v>-0.23260426007207222</v>
      </c>
      <c r="Q34" s="32">
        <f t="shared" si="15"/>
        <v>943.5</v>
      </c>
      <c r="R34" s="33">
        <f t="shared" si="16"/>
        <v>126.5</v>
      </c>
      <c r="S34" s="35">
        <f t="shared" si="10"/>
        <v>-375.38655827711727</v>
      </c>
      <c r="T34" s="29">
        <f t="shared" si="2"/>
        <v>-0.33818608853794346</v>
      </c>
      <c r="V34" s="19">
        <f t="shared" si="8"/>
        <v>2220</v>
      </c>
      <c r="W34" s="14">
        <f t="shared" si="9"/>
        <v>1776</v>
      </c>
    </row>
    <row r="35" spans="1:23" x14ac:dyDescent="0.25">
      <c r="A35" s="133">
        <v>517</v>
      </c>
      <c r="B35" s="134" t="s">
        <v>110</v>
      </c>
      <c r="C35" s="135">
        <v>0.68</v>
      </c>
      <c r="D35" s="136">
        <v>1210.4000000000001</v>
      </c>
      <c r="E35" s="136">
        <v>220</v>
      </c>
      <c r="F35" s="136">
        <v>213.44444444444446</v>
      </c>
      <c r="G35" s="136">
        <v>148.85</v>
      </c>
      <c r="H35" s="136">
        <v>25.5</v>
      </c>
      <c r="I35" s="136">
        <f>SUM(D35:H35)</f>
        <v>1818.1944444444443</v>
      </c>
      <c r="J35" s="20">
        <f>MROUND(I35*$J$3,10)</f>
        <v>2750</v>
      </c>
      <c r="K35" s="21">
        <f t="shared" si="11"/>
        <v>2860</v>
      </c>
      <c r="L35" s="26"/>
      <c r="M35" s="12">
        <f t="shared" si="12"/>
        <v>517</v>
      </c>
      <c r="O35" s="20">
        <f t="shared" si="13"/>
        <v>931.80555555555566</v>
      </c>
      <c r="P35" s="29">
        <f t="shared" si="14"/>
        <v>0.33883838383838388</v>
      </c>
      <c r="Q35" s="32">
        <f t="shared" si="15"/>
        <v>2431</v>
      </c>
      <c r="R35" s="33">
        <f t="shared" si="16"/>
        <v>319</v>
      </c>
      <c r="S35" s="35">
        <f t="shared" si="10"/>
        <v>612.80555555555566</v>
      </c>
      <c r="T35" s="29">
        <f t="shared" si="2"/>
        <v>0.2142676767676768</v>
      </c>
      <c r="V35" s="19">
        <f t="shared" si="8"/>
        <v>3050</v>
      </c>
      <c r="W35" s="14">
        <f t="shared" si="9"/>
        <v>2440</v>
      </c>
    </row>
    <row r="36" spans="1:23" x14ac:dyDescent="0.25">
      <c r="A36" s="92">
        <v>518</v>
      </c>
      <c r="B36" s="93" t="s">
        <v>20</v>
      </c>
      <c r="C36" s="94">
        <v>0.45</v>
      </c>
      <c r="D36" s="95">
        <v>801</v>
      </c>
      <c r="E36" s="95">
        <v>210</v>
      </c>
      <c r="F36" s="95">
        <v>213.44444444444446</v>
      </c>
      <c r="G36" s="95">
        <v>0</v>
      </c>
      <c r="H36" s="95">
        <v>25.5</v>
      </c>
      <c r="I36" s="95">
        <f>SUM(D36:H36)</f>
        <v>1249.9444444444443</v>
      </c>
      <c r="J36" s="20">
        <f t="shared" si="17"/>
        <v>1890</v>
      </c>
      <c r="K36" s="21">
        <f t="shared" si="11"/>
        <v>1970</v>
      </c>
      <c r="L36" s="26"/>
      <c r="M36" s="12">
        <f t="shared" si="12"/>
        <v>518</v>
      </c>
      <c r="O36" s="20">
        <f t="shared" si="13"/>
        <v>640.05555555555566</v>
      </c>
      <c r="P36" s="29">
        <f t="shared" si="14"/>
        <v>0.33865373309817759</v>
      </c>
      <c r="Q36" s="32">
        <f t="shared" si="15"/>
        <v>1674.5</v>
      </c>
      <c r="R36" s="33">
        <f t="shared" si="16"/>
        <v>215.5</v>
      </c>
      <c r="S36" s="35">
        <f t="shared" si="10"/>
        <v>424.55555555555566</v>
      </c>
      <c r="T36" s="29">
        <f t="shared" si="2"/>
        <v>0.21551043429216024</v>
      </c>
      <c r="V36" s="19">
        <f t="shared" si="8"/>
        <v>2100</v>
      </c>
      <c r="W36" s="14">
        <f t="shared" si="9"/>
        <v>1680</v>
      </c>
    </row>
    <row r="37" spans="1:23" x14ac:dyDescent="0.25">
      <c r="A37" s="133">
        <v>521</v>
      </c>
      <c r="B37" s="134" t="s">
        <v>93</v>
      </c>
      <c r="C37" s="135">
        <v>0.45</v>
      </c>
      <c r="D37" s="136">
        <v>801</v>
      </c>
      <c r="E37" s="136">
        <v>180</v>
      </c>
      <c r="F37" s="136">
        <v>213.44444444444446</v>
      </c>
      <c r="G37" s="136">
        <v>0</v>
      </c>
      <c r="H37" s="136">
        <v>25.5</v>
      </c>
      <c r="I37" s="136">
        <f>SUM(D37:H37)</f>
        <v>1219.9444444444443</v>
      </c>
      <c r="J37" s="20">
        <f>MROUND(I37*$J$3,10)</f>
        <v>1840</v>
      </c>
      <c r="K37" s="21">
        <f t="shared" si="11"/>
        <v>1910</v>
      </c>
      <c r="L37" s="26"/>
      <c r="M37" s="12">
        <f t="shared" si="12"/>
        <v>521</v>
      </c>
      <c r="O37" s="20">
        <f t="shared" si="13"/>
        <v>620.05555555555566</v>
      </c>
      <c r="P37" s="29">
        <f t="shared" si="14"/>
        <v>0.33698671497584548</v>
      </c>
      <c r="Q37" s="32">
        <f t="shared" si="15"/>
        <v>1623.5</v>
      </c>
      <c r="R37" s="33">
        <f t="shared" si="16"/>
        <v>216.5</v>
      </c>
      <c r="S37" s="35">
        <f t="shared" si="10"/>
        <v>403.55555555555566</v>
      </c>
      <c r="T37" s="29">
        <f t="shared" si="2"/>
        <v>0.2112856311809192</v>
      </c>
      <c r="V37" s="19">
        <f t="shared" si="8"/>
        <v>2050</v>
      </c>
      <c r="W37" s="14">
        <f t="shared" si="9"/>
        <v>1640</v>
      </c>
    </row>
    <row r="38" spans="1:23" x14ac:dyDescent="0.25">
      <c r="A38" s="8">
        <v>524</v>
      </c>
      <c r="B38" s="1" t="s">
        <v>94</v>
      </c>
      <c r="C38" s="6">
        <v>0.65</v>
      </c>
      <c r="D38" s="19">
        <v>480</v>
      </c>
      <c r="E38" s="19">
        <v>150</v>
      </c>
      <c r="F38" s="19">
        <v>150</v>
      </c>
      <c r="G38" s="19">
        <v>50</v>
      </c>
      <c r="H38" s="19">
        <v>40</v>
      </c>
      <c r="I38" s="19">
        <f t="shared" ref="I38:I46" si="48">SUM(D38:H38)*$I$3</f>
        <v>1639.1875795729889</v>
      </c>
      <c r="J38" s="20">
        <f t="shared" si="17"/>
        <v>2480</v>
      </c>
      <c r="K38" s="21">
        <f t="shared" si="11"/>
        <v>2580</v>
      </c>
      <c r="L38" s="26"/>
      <c r="M38" s="12">
        <f t="shared" si="12"/>
        <v>524</v>
      </c>
      <c r="O38" s="20">
        <f t="shared" si="13"/>
        <v>840.81242042701115</v>
      </c>
      <c r="P38" s="29">
        <f t="shared" si="14"/>
        <v>0.33903726630121417</v>
      </c>
      <c r="Q38" s="32">
        <f t="shared" si="15"/>
        <v>2193</v>
      </c>
      <c r="R38" s="33">
        <f t="shared" si="16"/>
        <v>287</v>
      </c>
      <c r="S38" s="35">
        <f t="shared" si="10"/>
        <v>553.81242042701115</v>
      </c>
      <c r="T38" s="29">
        <f t="shared" si="2"/>
        <v>0.21465597690969423</v>
      </c>
      <c r="V38" s="19">
        <f t="shared" si="8"/>
        <v>2750</v>
      </c>
      <c r="W38" s="14">
        <f t="shared" si="9"/>
        <v>2200</v>
      </c>
    </row>
    <row r="39" spans="1:23" x14ac:dyDescent="0.25">
      <c r="A39" s="8">
        <v>525</v>
      </c>
      <c r="B39" s="98" t="s">
        <v>175</v>
      </c>
      <c r="C39" s="6">
        <v>0.3</v>
      </c>
      <c r="D39" s="19">
        <v>250</v>
      </c>
      <c r="E39" s="19">
        <v>150</v>
      </c>
      <c r="F39" s="19">
        <v>100</v>
      </c>
      <c r="G39" s="19">
        <v>0</v>
      </c>
      <c r="H39" s="19">
        <v>40</v>
      </c>
      <c r="I39" s="19">
        <f t="shared" si="48"/>
        <v>1017.426773528062</v>
      </c>
      <c r="J39" s="20">
        <v>860</v>
      </c>
      <c r="K39" s="21">
        <f t="shared" si="11"/>
        <v>890</v>
      </c>
      <c r="L39" s="26"/>
      <c r="M39" s="12">
        <f t="shared" si="12"/>
        <v>525</v>
      </c>
      <c r="O39" s="20">
        <f t="shared" si="13"/>
        <v>-157.42677352806197</v>
      </c>
      <c r="P39" s="29">
        <f t="shared" si="14"/>
        <v>-0.18305438782332786</v>
      </c>
      <c r="Q39" s="32">
        <f t="shared" si="15"/>
        <v>756.5</v>
      </c>
      <c r="R39" s="33">
        <f t="shared" si="16"/>
        <v>103.5</v>
      </c>
      <c r="S39" s="35">
        <f t="shared" si="10"/>
        <v>-260.92677352806197</v>
      </c>
      <c r="T39" s="29">
        <f t="shared" si="2"/>
        <v>-0.2931761500315303</v>
      </c>
      <c r="V39" s="19">
        <f t="shared" si="8"/>
        <v>1710</v>
      </c>
      <c r="W39" s="14">
        <f t="shared" si="9"/>
        <v>1368</v>
      </c>
    </row>
    <row r="40" spans="1:23" x14ac:dyDescent="0.25">
      <c r="A40" s="8">
        <v>526</v>
      </c>
      <c r="B40" s="1" t="s">
        <v>176</v>
      </c>
      <c r="C40" s="6">
        <v>0.6</v>
      </c>
      <c r="D40" s="19">
        <v>430</v>
      </c>
      <c r="E40" s="19">
        <v>150</v>
      </c>
      <c r="F40" s="19">
        <v>150</v>
      </c>
      <c r="G40" s="19">
        <v>0</v>
      </c>
      <c r="H40" s="19">
        <v>40</v>
      </c>
      <c r="I40" s="19">
        <f t="shared" si="48"/>
        <v>1450.775214104829</v>
      </c>
      <c r="J40" s="20">
        <f t="shared" ref="J40" si="49">MROUND(I40*$J$3,10)</f>
        <v>2190</v>
      </c>
      <c r="K40" s="21">
        <f t="shared" ref="K40" si="50">MROUND(J40*$K$3,10)</f>
        <v>2280</v>
      </c>
      <c r="L40" s="26"/>
      <c r="M40" s="12">
        <f t="shared" si="12"/>
        <v>526</v>
      </c>
      <c r="O40" s="20">
        <f t="shared" ref="O40" si="51">J40-I40</f>
        <v>739.22478589517095</v>
      </c>
      <c r="P40" s="29">
        <f t="shared" ref="P40" si="52">O40/J40</f>
        <v>0.33754556433569449</v>
      </c>
      <c r="Q40" s="32">
        <f t="shared" ref="Q40" si="53">K40*0.85</f>
        <v>1938</v>
      </c>
      <c r="R40" s="33">
        <f t="shared" ref="R40" si="54">J40-Q40</f>
        <v>252</v>
      </c>
      <c r="S40" s="35">
        <f t="shared" si="10"/>
        <v>487.22478589517095</v>
      </c>
      <c r="T40" s="29">
        <f t="shared" si="2"/>
        <v>0.21369508153296971</v>
      </c>
      <c r="V40" s="19">
        <f t="shared" si="8"/>
        <v>2440</v>
      </c>
      <c r="W40" s="14">
        <f t="shared" si="9"/>
        <v>1952</v>
      </c>
    </row>
    <row r="41" spans="1:23" x14ac:dyDescent="0.25">
      <c r="A41" s="8">
        <v>527</v>
      </c>
      <c r="B41" s="1" t="s">
        <v>95</v>
      </c>
      <c r="C41" s="6">
        <v>0.65</v>
      </c>
      <c r="D41" s="19">
        <v>880</v>
      </c>
      <c r="E41" s="19"/>
      <c r="F41" s="19"/>
      <c r="G41" s="19"/>
      <c r="H41" s="19"/>
      <c r="I41" s="19">
        <f t="shared" si="48"/>
        <v>1658.0288161198048</v>
      </c>
      <c r="J41" s="20">
        <f t="shared" si="17"/>
        <v>2500</v>
      </c>
      <c r="K41" s="21">
        <f t="shared" si="11"/>
        <v>2600</v>
      </c>
      <c r="L41" s="26"/>
      <c r="M41" s="12">
        <f t="shared" si="12"/>
        <v>527</v>
      </c>
      <c r="O41" s="20">
        <f t="shared" si="13"/>
        <v>841.97118388019521</v>
      </c>
      <c r="P41" s="29">
        <f t="shared" si="14"/>
        <v>0.33678847355207808</v>
      </c>
      <c r="Q41" s="32">
        <f t="shared" si="15"/>
        <v>2210</v>
      </c>
      <c r="R41" s="33">
        <f t="shared" si="16"/>
        <v>290</v>
      </c>
      <c r="S41" s="35">
        <f t="shared" si="10"/>
        <v>551.97118388019521</v>
      </c>
      <c r="T41" s="29">
        <f t="shared" si="2"/>
        <v>0.21229660918469045</v>
      </c>
      <c r="V41" s="19">
        <f t="shared" si="8"/>
        <v>2790</v>
      </c>
      <c r="W41" s="14">
        <f t="shared" si="9"/>
        <v>2232</v>
      </c>
    </row>
    <row r="42" spans="1:23" x14ac:dyDescent="0.25">
      <c r="A42" s="8">
        <v>528</v>
      </c>
      <c r="B42" s="1"/>
      <c r="C42" s="6"/>
      <c r="D42" s="19">
        <v>500</v>
      </c>
      <c r="E42" s="19"/>
      <c r="F42" s="19"/>
      <c r="G42" s="19"/>
      <c r="H42" s="19"/>
      <c r="I42" s="19">
        <f t="shared" si="48"/>
        <v>942.06182734079812</v>
      </c>
      <c r="J42" s="20">
        <f t="shared" ref="J42" si="55">MROUND(I42*$J$3,10)</f>
        <v>1420</v>
      </c>
      <c r="K42" s="21">
        <f t="shared" ref="K42" si="56">MROUND(J42*$K$3,10)</f>
        <v>1480</v>
      </c>
      <c r="L42" s="26"/>
      <c r="M42" s="12">
        <f t="shared" si="12"/>
        <v>528</v>
      </c>
      <c r="O42" s="20">
        <f t="shared" ref="O42" si="57">J42-I42</f>
        <v>477.93817265920188</v>
      </c>
      <c r="P42" s="29">
        <f t="shared" ref="P42" si="58">O42/J42</f>
        <v>0.3365761779290154</v>
      </c>
      <c r="Q42" s="32">
        <f t="shared" ref="Q42" si="59">K42*0.85</f>
        <v>1258</v>
      </c>
      <c r="R42" s="33">
        <f t="shared" ref="R42" si="60">J42-Q42</f>
        <v>162</v>
      </c>
      <c r="S42" s="35">
        <f t="shared" si="10"/>
        <v>315.93817265920188</v>
      </c>
      <c r="T42" s="29">
        <f t="shared" si="2"/>
        <v>0.21347173828324451</v>
      </c>
      <c r="V42" s="19">
        <f t="shared" si="8"/>
        <v>1580</v>
      </c>
      <c r="W42" s="14">
        <f t="shared" si="9"/>
        <v>1264</v>
      </c>
    </row>
    <row r="43" spans="1:23" x14ac:dyDescent="0.25">
      <c r="A43" s="8">
        <v>529</v>
      </c>
      <c r="B43" s="1" t="s">
        <v>96</v>
      </c>
      <c r="C43" s="6">
        <v>0.5</v>
      </c>
      <c r="D43" s="19">
        <v>400</v>
      </c>
      <c r="E43" s="19">
        <v>200</v>
      </c>
      <c r="F43" s="19">
        <v>150</v>
      </c>
      <c r="G43" s="19">
        <v>20</v>
      </c>
      <c r="H43" s="19">
        <v>20</v>
      </c>
      <c r="I43" s="19">
        <f t="shared" si="48"/>
        <v>1488.4576871984611</v>
      </c>
      <c r="J43" s="20">
        <f t="shared" si="17"/>
        <v>2250</v>
      </c>
      <c r="K43" s="21">
        <f t="shared" si="11"/>
        <v>2340</v>
      </c>
      <c r="L43" s="26"/>
      <c r="M43" s="12">
        <f t="shared" ref="M43:M74" si="61">A43</f>
        <v>529</v>
      </c>
      <c r="O43" s="20">
        <f t="shared" si="13"/>
        <v>761.54231280153886</v>
      </c>
      <c r="P43" s="29">
        <f t="shared" si="14"/>
        <v>0.33846325013401729</v>
      </c>
      <c r="Q43" s="32">
        <f t="shared" si="15"/>
        <v>1989</v>
      </c>
      <c r="R43" s="33">
        <f t="shared" si="16"/>
        <v>261</v>
      </c>
      <c r="S43" s="35">
        <f t="shared" si="10"/>
        <v>500.54231280153886</v>
      </c>
      <c r="T43" s="29">
        <f t="shared" si="2"/>
        <v>0.21390697128270891</v>
      </c>
      <c r="V43" s="19">
        <f t="shared" si="8"/>
        <v>2500</v>
      </c>
      <c r="W43" s="14">
        <f t="shared" si="9"/>
        <v>2000</v>
      </c>
    </row>
    <row r="44" spans="1:23" x14ac:dyDescent="0.25">
      <c r="A44" s="8">
        <v>532</v>
      </c>
      <c r="B44" s="1" t="s">
        <v>21</v>
      </c>
      <c r="C44" s="6">
        <v>0.32</v>
      </c>
      <c r="D44" s="19">
        <v>270</v>
      </c>
      <c r="E44" s="19">
        <v>150</v>
      </c>
      <c r="F44" s="19">
        <v>100</v>
      </c>
      <c r="G44" s="19">
        <v>0</v>
      </c>
      <c r="H44" s="19">
        <v>15</v>
      </c>
      <c r="I44" s="19">
        <f t="shared" si="48"/>
        <v>1008.006155254654</v>
      </c>
      <c r="J44" s="20">
        <f t="shared" si="17"/>
        <v>1520</v>
      </c>
      <c r="K44" s="21">
        <f t="shared" si="11"/>
        <v>1580</v>
      </c>
      <c r="L44" s="26" t="s">
        <v>108</v>
      </c>
      <c r="M44" s="12">
        <f t="shared" si="61"/>
        <v>532</v>
      </c>
      <c r="O44" s="20">
        <f t="shared" si="13"/>
        <v>511.993844745346</v>
      </c>
      <c r="P44" s="29">
        <f t="shared" si="14"/>
        <v>0.33683805575351711</v>
      </c>
      <c r="Q44" s="32">
        <f t="shared" si="15"/>
        <v>1343</v>
      </c>
      <c r="R44" s="33">
        <f t="shared" si="16"/>
        <v>177</v>
      </c>
      <c r="S44" s="35">
        <f t="shared" si="10"/>
        <v>334.993844745346</v>
      </c>
      <c r="T44" s="29">
        <f t="shared" si="2"/>
        <v>0.21202142072490252</v>
      </c>
      <c r="V44" s="19">
        <f t="shared" si="8"/>
        <v>1690</v>
      </c>
      <c r="W44" s="14">
        <f t="shared" si="9"/>
        <v>1352</v>
      </c>
    </row>
    <row r="45" spans="1:23" x14ac:dyDescent="0.25">
      <c r="A45" s="8">
        <v>534</v>
      </c>
      <c r="B45" s="98" t="s">
        <v>177</v>
      </c>
      <c r="C45" s="6">
        <v>0.4</v>
      </c>
      <c r="D45" s="19">
        <v>300</v>
      </c>
      <c r="E45" s="19">
        <v>150</v>
      </c>
      <c r="F45" s="19">
        <v>100</v>
      </c>
      <c r="G45" s="19">
        <v>0</v>
      </c>
      <c r="H45" s="19">
        <v>10</v>
      </c>
      <c r="I45" s="19">
        <f t="shared" si="48"/>
        <v>1055.109246621694</v>
      </c>
      <c r="J45" s="20">
        <f t="shared" si="17"/>
        <v>1590</v>
      </c>
      <c r="K45" s="21">
        <f t="shared" si="11"/>
        <v>1650</v>
      </c>
      <c r="L45" s="26"/>
      <c r="M45" s="12">
        <f t="shared" si="61"/>
        <v>534</v>
      </c>
      <c r="O45" s="20">
        <f t="shared" si="13"/>
        <v>534.89075337830604</v>
      </c>
      <c r="P45" s="29">
        <f t="shared" si="14"/>
        <v>0.33640927885428051</v>
      </c>
      <c r="Q45" s="32">
        <f t="shared" si="15"/>
        <v>1402.5</v>
      </c>
      <c r="R45" s="33">
        <f t="shared" si="16"/>
        <v>187.5</v>
      </c>
      <c r="S45" s="35">
        <f t="shared" si="10"/>
        <v>347.39075337830604</v>
      </c>
      <c r="T45" s="29">
        <f t="shared" si="2"/>
        <v>0.2105398505323067</v>
      </c>
      <c r="V45" s="19">
        <f t="shared" si="8"/>
        <v>1770</v>
      </c>
      <c r="W45" s="14">
        <f t="shared" si="9"/>
        <v>1416</v>
      </c>
    </row>
    <row r="46" spans="1:23" x14ac:dyDescent="0.25">
      <c r="A46" s="8">
        <v>539</v>
      </c>
      <c r="B46" s="1" t="s">
        <v>178</v>
      </c>
      <c r="C46" s="6">
        <v>0.55000000000000004</v>
      </c>
      <c r="D46" s="19">
        <v>407</v>
      </c>
      <c r="E46" s="19">
        <v>150</v>
      </c>
      <c r="F46" s="19">
        <v>100</v>
      </c>
      <c r="G46" s="19">
        <v>70</v>
      </c>
      <c r="H46" s="19">
        <v>10</v>
      </c>
      <c r="I46" s="19">
        <f t="shared" si="48"/>
        <v>1388.5991335003364</v>
      </c>
      <c r="J46" s="20">
        <f t="shared" si="17"/>
        <v>2100</v>
      </c>
      <c r="K46" s="21">
        <f t="shared" si="11"/>
        <v>2180</v>
      </c>
      <c r="L46" s="26" t="s">
        <v>108</v>
      </c>
      <c r="M46" s="12">
        <f t="shared" si="61"/>
        <v>539</v>
      </c>
      <c r="O46" s="20">
        <f t="shared" si="13"/>
        <v>711.40086649966361</v>
      </c>
      <c r="P46" s="29">
        <f t="shared" si="14"/>
        <v>0.33876231738079221</v>
      </c>
      <c r="Q46" s="32">
        <f t="shared" si="15"/>
        <v>1853</v>
      </c>
      <c r="R46" s="33">
        <f t="shared" si="16"/>
        <v>247</v>
      </c>
      <c r="S46" s="35">
        <f t="shared" si="10"/>
        <v>464.40086649966361</v>
      </c>
      <c r="T46" s="29">
        <f t="shared" si="2"/>
        <v>0.21302792041268973</v>
      </c>
      <c r="V46" s="19">
        <f t="shared" si="8"/>
        <v>2330</v>
      </c>
      <c r="W46" s="14">
        <f t="shared" si="9"/>
        <v>1864</v>
      </c>
    </row>
    <row r="47" spans="1:23" x14ac:dyDescent="0.25">
      <c r="A47" s="133">
        <v>541</v>
      </c>
      <c r="B47" s="134" t="s">
        <v>124</v>
      </c>
      <c r="C47" s="135">
        <v>0.5</v>
      </c>
      <c r="D47" s="136">
        <v>890</v>
      </c>
      <c r="E47" s="136">
        <v>240</v>
      </c>
      <c r="F47" s="136">
        <v>213.44444444444446</v>
      </c>
      <c r="G47" s="136">
        <v>148.85</v>
      </c>
      <c r="H47" s="136">
        <v>25.5</v>
      </c>
      <c r="I47" s="136">
        <f>SUM(D47:H47)</f>
        <v>1517.7944444444443</v>
      </c>
      <c r="J47" s="20">
        <f>MROUND(I47*$J$3,10)</f>
        <v>2290</v>
      </c>
      <c r="K47" s="21">
        <f t="shared" si="11"/>
        <v>2380</v>
      </c>
      <c r="L47" s="26"/>
      <c r="M47" s="12">
        <f t="shared" si="61"/>
        <v>541</v>
      </c>
      <c r="O47" s="20">
        <f t="shared" si="13"/>
        <v>772.20555555555575</v>
      </c>
      <c r="P47" s="29">
        <f t="shared" si="14"/>
        <v>0.33720766618146542</v>
      </c>
      <c r="Q47" s="32">
        <f t="shared" si="15"/>
        <v>2023</v>
      </c>
      <c r="R47" s="33">
        <f t="shared" si="16"/>
        <v>267</v>
      </c>
      <c r="S47" s="35">
        <f t="shared" si="10"/>
        <v>505.20555555555575</v>
      </c>
      <c r="T47" s="29">
        <f t="shared" si="2"/>
        <v>0.21227124183006543</v>
      </c>
      <c r="V47" s="19">
        <f t="shared" si="8"/>
        <v>2550</v>
      </c>
      <c r="W47" s="14">
        <f t="shared" si="9"/>
        <v>2040</v>
      </c>
    </row>
    <row r="48" spans="1:23" x14ac:dyDescent="0.25">
      <c r="A48" s="8">
        <v>544</v>
      </c>
      <c r="B48" s="1" t="s">
        <v>69</v>
      </c>
      <c r="C48" s="6">
        <v>0.35</v>
      </c>
      <c r="D48" s="19">
        <v>250</v>
      </c>
      <c r="E48" s="19">
        <v>150</v>
      </c>
      <c r="F48" s="19">
        <v>100</v>
      </c>
      <c r="G48" s="19">
        <v>0</v>
      </c>
      <c r="H48" s="19">
        <v>25</v>
      </c>
      <c r="I48" s="19">
        <f>SUM(D48:H48)*$I$3</f>
        <v>989.16491870783807</v>
      </c>
      <c r="J48" s="20">
        <f t="shared" si="17"/>
        <v>1490</v>
      </c>
      <c r="K48" s="21">
        <f t="shared" si="11"/>
        <v>1550</v>
      </c>
      <c r="L48" s="26"/>
      <c r="M48" s="12">
        <f t="shared" si="61"/>
        <v>544</v>
      </c>
      <c r="O48" s="20">
        <f t="shared" si="13"/>
        <v>500.83508129216193</v>
      </c>
      <c r="P48" s="29">
        <f t="shared" si="14"/>
        <v>0.33613092704171943</v>
      </c>
      <c r="Q48" s="32">
        <f t="shared" si="15"/>
        <v>1317.5</v>
      </c>
      <c r="R48" s="33">
        <f t="shared" si="16"/>
        <v>172.5</v>
      </c>
      <c r="S48" s="35">
        <f t="shared" si="10"/>
        <v>328.33508129216193</v>
      </c>
      <c r="T48" s="29">
        <f t="shared" si="2"/>
        <v>0.21182908470462061</v>
      </c>
      <c r="V48" s="19">
        <f t="shared" si="8"/>
        <v>1660</v>
      </c>
      <c r="W48" s="14">
        <f t="shared" si="9"/>
        <v>1328</v>
      </c>
    </row>
    <row r="49" spans="1:23" x14ac:dyDescent="0.25">
      <c r="A49" s="8">
        <v>545</v>
      </c>
      <c r="B49" s="1" t="s">
        <v>22</v>
      </c>
      <c r="C49" s="6">
        <v>0.65</v>
      </c>
      <c r="D49" s="19">
        <v>480</v>
      </c>
      <c r="E49" s="19">
        <v>150</v>
      </c>
      <c r="F49" s="19">
        <v>150</v>
      </c>
      <c r="G49" s="19">
        <v>45</v>
      </c>
      <c r="H49" s="19">
        <v>40</v>
      </c>
      <c r="I49" s="19">
        <f>SUM(D49:H49)*$I$3</f>
        <v>1629.7669612995808</v>
      </c>
      <c r="J49" s="20">
        <f t="shared" si="17"/>
        <v>2460</v>
      </c>
      <c r="K49" s="21">
        <f t="shared" si="11"/>
        <v>2560</v>
      </c>
      <c r="L49" s="26"/>
      <c r="M49" s="12">
        <f t="shared" si="61"/>
        <v>545</v>
      </c>
      <c r="O49" s="20">
        <f t="shared" si="13"/>
        <v>830.23303870041923</v>
      </c>
      <c r="P49" s="29">
        <f t="shared" si="14"/>
        <v>0.33749310516277203</v>
      </c>
      <c r="Q49" s="32">
        <f t="shared" si="15"/>
        <v>2176</v>
      </c>
      <c r="R49" s="33">
        <f t="shared" si="16"/>
        <v>284</v>
      </c>
      <c r="S49" s="35">
        <f t="shared" si="10"/>
        <v>546.23303870041923</v>
      </c>
      <c r="T49" s="29">
        <f t="shared" si="2"/>
        <v>0.21337228074235126</v>
      </c>
      <c r="V49" s="19">
        <f t="shared" si="8"/>
        <v>2740</v>
      </c>
      <c r="W49" s="14">
        <f t="shared" si="9"/>
        <v>2192</v>
      </c>
    </row>
    <row r="50" spans="1:23" x14ac:dyDescent="0.25">
      <c r="A50" s="8">
        <v>546</v>
      </c>
      <c r="B50" s="1" t="s">
        <v>23</v>
      </c>
      <c r="C50" s="6">
        <v>0.6</v>
      </c>
      <c r="D50" s="19">
        <v>730</v>
      </c>
      <c r="E50" s="19"/>
      <c r="F50" s="19"/>
      <c r="G50" s="19"/>
      <c r="H50" s="19"/>
      <c r="I50" s="19">
        <f>SUM(D50:H50)*$I$3</f>
        <v>1375.4102679175653</v>
      </c>
      <c r="J50" s="20">
        <f t="shared" si="17"/>
        <v>2080</v>
      </c>
      <c r="K50" s="21">
        <f t="shared" si="11"/>
        <v>2160</v>
      </c>
      <c r="L50" s="26" t="s">
        <v>108</v>
      </c>
      <c r="M50" s="12">
        <f t="shared" si="61"/>
        <v>546</v>
      </c>
      <c r="O50" s="20">
        <f t="shared" si="13"/>
        <v>704.58973208243469</v>
      </c>
      <c r="P50" s="29">
        <f t="shared" si="14"/>
        <v>0.33874506350117051</v>
      </c>
      <c r="Q50" s="32">
        <f t="shared" si="15"/>
        <v>1836</v>
      </c>
      <c r="R50" s="33">
        <f t="shared" si="16"/>
        <v>244</v>
      </c>
      <c r="S50" s="35">
        <f t="shared" si="10"/>
        <v>460.58973208243469</v>
      </c>
      <c r="T50" s="29">
        <f t="shared" si="2"/>
        <v>0.21323598707520125</v>
      </c>
      <c r="V50" s="19">
        <f t="shared" si="8"/>
        <v>2310</v>
      </c>
      <c r="W50" s="14">
        <f t="shared" si="9"/>
        <v>1848</v>
      </c>
    </row>
    <row r="51" spans="1:23" x14ac:dyDescent="0.25">
      <c r="A51" s="92">
        <v>551</v>
      </c>
      <c r="B51" s="93" t="s">
        <v>103</v>
      </c>
      <c r="C51" s="94">
        <v>0.4</v>
      </c>
      <c r="D51" s="95">
        <v>801</v>
      </c>
      <c r="E51" s="95">
        <v>210</v>
      </c>
      <c r="F51" s="95">
        <v>213.44444444444446</v>
      </c>
      <c r="G51" s="95">
        <v>0</v>
      </c>
      <c r="H51" s="95">
        <v>25.5</v>
      </c>
      <c r="I51" s="95">
        <f>SUM(D51:H51)</f>
        <v>1249.9444444444443</v>
      </c>
      <c r="J51" s="20">
        <f t="shared" ref="J51:J64" si="62">MROUND(I51*$J$3,10)</f>
        <v>1890</v>
      </c>
      <c r="K51" s="21">
        <f t="shared" si="11"/>
        <v>1970</v>
      </c>
      <c r="L51" s="26"/>
      <c r="M51" s="12">
        <f t="shared" si="61"/>
        <v>551</v>
      </c>
      <c r="O51" s="20">
        <f t="shared" si="13"/>
        <v>640.05555555555566</v>
      </c>
      <c r="P51" s="29">
        <f t="shared" si="14"/>
        <v>0.33865373309817759</v>
      </c>
      <c r="Q51" s="32">
        <f t="shared" si="15"/>
        <v>1674.5</v>
      </c>
      <c r="R51" s="33">
        <f t="shared" si="16"/>
        <v>215.5</v>
      </c>
      <c r="S51" s="35">
        <f t="shared" si="10"/>
        <v>424.55555555555566</v>
      </c>
      <c r="T51" s="29">
        <f t="shared" si="2"/>
        <v>0.21551043429216024</v>
      </c>
      <c r="V51" s="19">
        <f t="shared" si="8"/>
        <v>2100</v>
      </c>
      <c r="W51" s="14">
        <f t="shared" si="9"/>
        <v>1680</v>
      </c>
    </row>
    <row r="52" spans="1:23" x14ac:dyDescent="0.25">
      <c r="A52" s="92">
        <v>553</v>
      </c>
      <c r="B52" s="93" t="s">
        <v>99</v>
      </c>
      <c r="C52" s="94">
        <v>0.45</v>
      </c>
      <c r="D52" s="95">
        <v>801</v>
      </c>
      <c r="E52" s="95">
        <v>210</v>
      </c>
      <c r="F52" s="95">
        <v>213.44444444444446</v>
      </c>
      <c r="G52" s="95">
        <v>0</v>
      </c>
      <c r="H52" s="95">
        <v>25.5</v>
      </c>
      <c r="I52" s="95">
        <f>SUM(D52:H52)</f>
        <v>1249.9444444444443</v>
      </c>
      <c r="J52" s="20">
        <f t="shared" si="62"/>
        <v>1890</v>
      </c>
      <c r="K52" s="21">
        <f t="shared" si="11"/>
        <v>1970</v>
      </c>
      <c r="L52" s="26"/>
      <c r="M52" s="12">
        <f t="shared" si="61"/>
        <v>553</v>
      </c>
      <c r="O52" s="20">
        <f t="shared" si="13"/>
        <v>640.05555555555566</v>
      </c>
      <c r="P52" s="29">
        <f t="shared" si="14"/>
        <v>0.33865373309817759</v>
      </c>
      <c r="Q52" s="32">
        <f t="shared" si="15"/>
        <v>1674.5</v>
      </c>
      <c r="R52" s="33">
        <f t="shared" si="16"/>
        <v>215.5</v>
      </c>
      <c r="S52" s="35">
        <f t="shared" si="10"/>
        <v>424.55555555555566</v>
      </c>
      <c r="T52" s="29">
        <f t="shared" si="2"/>
        <v>0.21551043429216024</v>
      </c>
      <c r="V52" s="19">
        <f t="shared" si="8"/>
        <v>2100</v>
      </c>
      <c r="W52" s="14">
        <f t="shared" si="9"/>
        <v>1680</v>
      </c>
    </row>
    <row r="53" spans="1:23" x14ac:dyDescent="0.25">
      <c r="A53" s="92">
        <v>554</v>
      </c>
      <c r="B53" s="93" t="s">
        <v>100</v>
      </c>
      <c r="C53" s="94">
        <v>0.45</v>
      </c>
      <c r="D53" s="95">
        <v>801</v>
      </c>
      <c r="E53" s="95">
        <v>210</v>
      </c>
      <c r="F53" s="95">
        <v>213.44444444444446</v>
      </c>
      <c r="G53" s="95">
        <v>0</v>
      </c>
      <c r="H53" s="95">
        <v>25.5</v>
      </c>
      <c r="I53" s="95">
        <f>SUM(D53:H53)</f>
        <v>1249.9444444444443</v>
      </c>
      <c r="J53" s="20">
        <f t="shared" si="62"/>
        <v>1890</v>
      </c>
      <c r="K53" s="21">
        <f t="shared" si="11"/>
        <v>1970</v>
      </c>
      <c r="L53" s="26"/>
      <c r="M53" s="12">
        <f t="shared" si="61"/>
        <v>554</v>
      </c>
      <c r="O53" s="20">
        <f t="shared" si="13"/>
        <v>640.05555555555566</v>
      </c>
      <c r="P53" s="29">
        <f t="shared" si="14"/>
        <v>0.33865373309817759</v>
      </c>
      <c r="Q53" s="32">
        <f t="shared" si="15"/>
        <v>1674.5</v>
      </c>
      <c r="R53" s="33">
        <f t="shared" si="16"/>
        <v>215.5</v>
      </c>
      <c r="S53" s="35">
        <f t="shared" si="10"/>
        <v>424.55555555555566</v>
      </c>
      <c r="T53" s="29">
        <f t="shared" si="2"/>
        <v>0.21551043429216024</v>
      </c>
      <c r="V53" s="19">
        <f t="shared" si="8"/>
        <v>2100</v>
      </c>
      <c r="W53" s="14">
        <f t="shared" si="9"/>
        <v>1680</v>
      </c>
    </row>
    <row r="54" spans="1:23" x14ac:dyDescent="0.25">
      <c r="A54" s="8">
        <v>555</v>
      </c>
      <c r="B54" s="1" t="s">
        <v>101</v>
      </c>
      <c r="C54" s="6">
        <v>0.4</v>
      </c>
      <c r="D54" s="19">
        <v>280</v>
      </c>
      <c r="E54" s="19">
        <v>150</v>
      </c>
      <c r="F54" s="19">
        <v>100</v>
      </c>
      <c r="G54" s="19">
        <v>0</v>
      </c>
      <c r="H54" s="19">
        <v>40</v>
      </c>
      <c r="I54" s="19">
        <f>SUM(D54:H54)*$I$3</f>
        <v>1073.9504831685099</v>
      </c>
      <c r="J54" s="20">
        <f t="shared" si="62"/>
        <v>1620</v>
      </c>
      <c r="K54" s="21">
        <f t="shared" si="11"/>
        <v>1680</v>
      </c>
      <c r="L54" s="26"/>
      <c r="M54" s="12">
        <f t="shared" si="61"/>
        <v>555</v>
      </c>
      <c r="O54" s="20">
        <f t="shared" si="13"/>
        <v>546.04951683149011</v>
      </c>
      <c r="P54" s="29">
        <f t="shared" si="14"/>
        <v>0.33706760298240129</v>
      </c>
      <c r="Q54" s="32">
        <f t="shared" si="15"/>
        <v>1428</v>
      </c>
      <c r="R54" s="33">
        <f t="shared" si="16"/>
        <v>192</v>
      </c>
      <c r="S54" s="35">
        <f t="shared" si="10"/>
        <v>354.04951683149011</v>
      </c>
      <c r="T54" s="29">
        <f t="shared" si="2"/>
        <v>0.21074376001874412</v>
      </c>
      <c r="V54" s="19">
        <f t="shared" si="8"/>
        <v>1800</v>
      </c>
      <c r="W54" s="14">
        <f t="shared" si="9"/>
        <v>1440</v>
      </c>
    </row>
    <row r="55" spans="1:23" x14ac:dyDescent="0.25">
      <c r="A55" s="92">
        <v>557</v>
      </c>
      <c r="B55" s="93" t="s">
        <v>102</v>
      </c>
      <c r="C55" s="94">
        <v>0.4</v>
      </c>
      <c r="D55" s="95">
        <v>801</v>
      </c>
      <c r="E55" s="95">
        <v>210</v>
      </c>
      <c r="F55" s="95">
        <v>213.44444444444446</v>
      </c>
      <c r="G55" s="95">
        <v>0</v>
      </c>
      <c r="H55" s="95">
        <v>25.5</v>
      </c>
      <c r="I55" s="95">
        <f t="shared" ref="I55:I60" si="63">SUM(D55:H55)</f>
        <v>1249.9444444444443</v>
      </c>
      <c r="J55" s="20">
        <f t="shared" si="62"/>
        <v>1890</v>
      </c>
      <c r="K55" s="21">
        <f t="shared" si="11"/>
        <v>1970</v>
      </c>
      <c r="L55" s="26"/>
      <c r="M55" s="12">
        <f t="shared" si="61"/>
        <v>557</v>
      </c>
      <c r="O55" s="20">
        <f t="shared" si="13"/>
        <v>640.05555555555566</v>
      </c>
      <c r="P55" s="29">
        <f t="shared" si="14"/>
        <v>0.33865373309817759</v>
      </c>
      <c r="Q55" s="32">
        <f t="shared" si="15"/>
        <v>1674.5</v>
      </c>
      <c r="R55" s="33">
        <f t="shared" si="16"/>
        <v>215.5</v>
      </c>
      <c r="S55" s="35">
        <f t="shared" si="10"/>
        <v>424.55555555555566</v>
      </c>
      <c r="T55" s="29">
        <f t="shared" si="2"/>
        <v>0.21551043429216024</v>
      </c>
      <c r="V55" s="19">
        <f t="shared" si="8"/>
        <v>2100</v>
      </c>
      <c r="W55" s="14">
        <f t="shared" si="9"/>
        <v>1680</v>
      </c>
    </row>
    <row r="56" spans="1:23" x14ac:dyDescent="0.25">
      <c r="A56" s="92">
        <v>558</v>
      </c>
      <c r="B56" s="93" t="s">
        <v>103</v>
      </c>
      <c r="C56" s="94">
        <v>0.4</v>
      </c>
      <c r="D56" s="95">
        <v>801</v>
      </c>
      <c r="E56" s="95">
        <v>210</v>
      </c>
      <c r="F56" s="95">
        <v>213.44444444444446</v>
      </c>
      <c r="G56" s="95">
        <v>0</v>
      </c>
      <c r="H56" s="95">
        <v>25.5</v>
      </c>
      <c r="I56" s="95">
        <f t="shared" si="63"/>
        <v>1249.9444444444443</v>
      </c>
      <c r="J56" s="20">
        <f t="shared" si="62"/>
        <v>1890</v>
      </c>
      <c r="K56" s="21">
        <f t="shared" si="11"/>
        <v>1970</v>
      </c>
      <c r="L56" s="26"/>
      <c r="M56" s="12">
        <f t="shared" si="61"/>
        <v>558</v>
      </c>
      <c r="O56" s="20">
        <f t="shared" si="13"/>
        <v>640.05555555555566</v>
      </c>
      <c r="P56" s="29">
        <f t="shared" si="14"/>
        <v>0.33865373309817759</v>
      </c>
      <c r="Q56" s="32">
        <f t="shared" si="15"/>
        <v>1674.5</v>
      </c>
      <c r="R56" s="33">
        <f t="shared" si="16"/>
        <v>215.5</v>
      </c>
      <c r="S56" s="35">
        <f t="shared" si="10"/>
        <v>424.55555555555566</v>
      </c>
      <c r="T56" s="29">
        <f t="shared" si="2"/>
        <v>0.21551043429216024</v>
      </c>
      <c r="V56" s="19">
        <f t="shared" si="8"/>
        <v>2100</v>
      </c>
      <c r="W56" s="14">
        <f t="shared" si="9"/>
        <v>1680</v>
      </c>
    </row>
    <row r="57" spans="1:23" x14ac:dyDescent="0.25">
      <c r="A57" s="92">
        <v>561</v>
      </c>
      <c r="B57" s="93" t="s">
        <v>103</v>
      </c>
      <c r="C57" s="94">
        <v>0.4</v>
      </c>
      <c r="D57" s="95">
        <v>801</v>
      </c>
      <c r="E57" s="95">
        <v>210</v>
      </c>
      <c r="F57" s="95">
        <v>213.44444444444446</v>
      </c>
      <c r="G57" s="95">
        <v>0</v>
      </c>
      <c r="H57" s="95">
        <v>25.5</v>
      </c>
      <c r="I57" s="95">
        <f t="shared" si="63"/>
        <v>1249.9444444444443</v>
      </c>
      <c r="J57" s="20">
        <f t="shared" si="62"/>
        <v>1890</v>
      </c>
      <c r="K57" s="21">
        <f t="shared" si="11"/>
        <v>1970</v>
      </c>
      <c r="L57" s="26"/>
      <c r="M57" s="12">
        <f t="shared" si="61"/>
        <v>561</v>
      </c>
      <c r="O57" s="20">
        <f t="shared" si="13"/>
        <v>640.05555555555566</v>
      </c>
      <c r="P57" s="29">
        <f t="shared" si="14"/>
        <v>0.33865373309817759</v>
      </c>
      <c r="Q57" s="32">
        <f t="shared" si="15"/>
        <v>1674.5</v>
      </c>
      <c r="R57" s="33">
        <f t="shared" si="16"/>
        <v>215.5</v>
      </c>
      <c r="S57" s="35">
        <f t="shared" si="10"/>
        <v>424.55555555555566</v>
      </c>
      <c r="T57" s="29">
        <f t="shared" si="2"/>
        <v>0.21551043429216024</v>
      </c>
      <c r="V57" s="19">
        <f t="shared" si="8"/>
        <v>2100</v>
      </c>
      <c r="W57" s="14">
        <f t="shared" si="9"/>
        <v>1680</v>
      </c>
    </row>
    <row r="58" spans="1:23" x14ac:dyDescent="0.25">
      <c r="A58" s="92">
        <v>562</v>
      </c>
      <c r="B58" s="93" t="s">
        <v>103</v>
      </c>
      <c r="C58" s="94">
        <v>0.4</v>
      </c>
      <c r="D58" s="95">
        <v>801</v>
      </c>
      <c r="E58" s="95">
        <v>210</v>
      </c>
      <c r="F58" s="95">
        <v>213.44444444444446</v>
      </c>
      <c r="G58" s="95">
        <v>0</v>
      </c>
      <c r="H58" s="95">
        <v>25.5</v>
      </c>
      <c r="I58" s="95">
        <f t="shared" si="63"/>
        <v>1249.9444444444443</v>
      </c>
      <c r="J58" s="20">
        <f t="shared" si="62"/>
        <v>1890</v>
      </c>
      <c r="K58" s="21">
        <f t="shared" si="11"/>
        <v>1970</v>
      </c>
      <c r="L58" s="26"/>
      <c r="M58" s="12">
        <f t="shared" si="61"/>
        <v>562</v>
      </c>
      <c r="O58" s="20">
        <f t="shared" si="13"/>
        <v>640.05555555555566</v>
      </c>
      <c r="P58" s="29">
        <f t="shared" si="14"/>
        <v>0.33865373309817759</v>
      </c>
      <c r="Q58" s="32">
        <f t="shared" si="15"/>
        <v>1674.5</v>
      </c>
      <c r="R58" s="33">
        <f t="shared" si="16"/>
        <v>215.5</v>
      </c>
      <c r="S58" s="35">
        <f t="shared" si="10"/>
        <v>424.55555555555566</v>
      </c>
      <c r="T58" s="29">
        <f t="shared" si="2"/>
        <v>0.21551043429216024</v>
      </c>
      <c r="V58" s="19">
        <f t="shared" si="8"/>
        <v>2100</v>
      </c>
      <c r="W58" s="14">
        <f t="shared" si="9"/>
        <v>1680</v>
      </c>
    </row>
    <row r="59" spans="1:23" x14ac:dyDescent="0.25">
      <c r="A59" s="92">
        <v>563</v>
      </c>
      <c r="B59" s="93" t="s">
        <v>103</v>
      </c>
      <c r="C59" s="94">
        <v>0.4</v>
      </c>
      <c r="D59" s="95">
        <v>801</v>
      </c>
      <c r="E59" s="95">
        <v>210</v>
      </c>
      <c r="F59" s="95">
        <v>213.44444444444446</v>
      </c>
      <c r="G59" s="95">
        <v>0</v>
      </c>
      <c r="H59" s="95">
        <v>25.5</v>
      </c>
      <c r="I59" s="95">
        <f t="shared" si="63"/>
        <v>1249.9444444444443</v>
      </c>
      <c r="J59" s="20">
        <f t="shared" si="62"/>
        <v>1890</v>
      </c>
      <c r="K59" s="21">
        <f t="shared" si="11"/>
        <v>1970</v>
      </c>
      <c r="L59" s="26"/>
      <c r="M59" s="12">
        <f t="shared" si="61"/>
        <v>563</v>
      </c>
      <c r="O59" s="20">
        <f t="shared" si="13"/>
        <v>640.05555555555566</v>
      </c>
      <c r="P59" s="29">
        <f t="shared" si="14"/>
        <v>0.33865373309817759</v>
      </c>
      <c r="Q59" s="32">
        <f t="shared" si="15"/>
        <v>1674.5</v>
      </c>
      <c r="R59" s="33">
        <f t="shared" si="16"/>
        <v>215.5</v>
      </c>
      <c r="S59" s="35">
        <f t="shared" si="10"/>
        <v>424.55555555555566</v>
      </c>
      <c r="T59" s="29">
        <f t="shared" si="2"/>
        <v>0.21551043429216024</v>
      </c>
      <c r="V59" s="19">
        <f t="shared" si="8"/>
        <v>2100</v>
      </c>
      <c r="W59" s="14">
        <f t="shared" si="9"/>
        <v>1680</v>
      </c>
    </row>
    <row r="60" spans="1:23" x14ac:dyDescent="0.25">
      <c r="A60" s="92">
        <v>564</v>
      </c>
      <c r="B60" s="93" t="s">
        <v>103</v>
      </c>
      <c r="C60" s="94">
        <v>0.4</v>
      </c>
      <c r="D60" s="95">
        <v>801</v>
      </c>
      <c r="E60" s="95">
        <v>210</v>
      </c>
      <c r="F60" s="95">
        <v>213.44444444444446</v>
      </c>
      <c r="G60" s="95">
        <v>0</v>
      </c>
      <c r="H60" s="95">
        <v>25.5</v>
      </c>
      <c r="I60" s="95">
        <f t="shared" si="63"/>
        <v>1249.9444444444443</v>
      </c>
      <c r="J60" s="20">
        <f t="shared" si="62"/>
        <v>1890</v>
      </c>
      <c r="K60" s="21">
        <f t="shared" si="11"/>
        <v>1970</v>
      </c>
      <c r="L60" s="26"/>
      <c r="M60" s="12">
        <f t="shared" si="61"/>
        <v>564</v>
      </c>
      <c r="O60" s="20">
        <f t="shared" si="13"/>
        <v>640.05555555555566</v>
      </c>
      <c r="P60" s="29">
        <f t="shared" si="14"/>
        <v>0.33865373309817759</v>
      </c>
      <c r="Q60" s="32">
        <f t="shared" si="15"/>
        <v>1674.5</v>
      </c>
      <c r="R60" s="33">
        <f t="shared" si="16"/>
        <v>215.5</v>
      </c>
      <c r="S60" s="35">
        <f t="shared" si="10"/>
        <v>424.55555555555566</v>
      </c>
      <c r="T60" s="29">
        <f t="shared" si="2"/>
        <v>0.21551043429216024</v>
      </c>
      <c r="V60" s="19">
        <f t="shared" si="8"/>
        <v>2100</v>
      </c>
      <c r="W60" s="14">
        <f t="shared" si="9"/>
        <v>1680</v>
      </c>
    </row>
    <row r="61" spans="1:23" x14ac:dyDescent="0.25">
      <c r="A61" s="73">
        <v>565</v>
      </c>
      <c r="B61" s="98" t="s">
        <v>179</v>
      </c>
      <c r="C61" s="75">
        <v>0.3</v>
      </c>
      <c r="D61" s="59">
        <v>240</v>
      </c>
      <c r="E61" s="59">
        <v>200</v>
      </c>
      <c r="F61" s="59">
        <v>200</v>
      </c>
      <c r="G61" s="59">
        <v>0</v>
      </c>
      <c r="H61" s="59">
        <v>20</v>
      </c>
      <c r="I61" s="59">
        <f>SUM(D61:H61)*$O$1</f>
        <v>686.4</v>
      </c>
      <c r="J61" s="20">
        <f t="shared" si="62"/>
        <v>1040</v>
      </c>
      <c r="K61" s="21">
        <f t="shared" si="11"/>
        <v>1080</v>
      </c>
      <c r="L61" s="26"/>
      <c r="M61" s="12">
        <f t="shared" si="61"/>
        <v>565</v>
      </c>
      <c r="O61" s="20">
        <f t="shared" si="13"/>
        <v>353.6</v>
      </c>
      <c r="P61" s="29">
        <f t="shared" si="14"/>
        <v>0.34</v>
      </c>
      <c r="Q61" s="32">
        <f t="shared" si="15"/>
        <v>918</v>
      </c>
      <c r="R61" s="33">
        <f t="shared" si="16"/>
        <v>122</v>
      </c>
      <c r="S61" s="35">
        <f t="shared" si="10"/>
        <v>231.60000000000002</v>
      </c>
      <c r="T61" s="29">
        <f t="shared" si="2"/>
        <v>0.21444444444444447</v>
      </c>
      <c r="V61" s="19">
        <f t="shared" si="8"/>
        <v>1150</v>
      </c>
      <c r="W61" s="14">
        <f t="shared" si="9"/>
        <v>920</v>
      </c>
    </row>
    <row r="62" spans="1:23" x14ac:dyDescent="0.25">
      <c r="A62" s="92">
        <v>571</v>
      </c>
      <c r="B62" s="93" t="s">
        <v>103</v>
      </c>
      <c r="C62" s="94">
        <v>0.4</v>
      </c>
      <c r="D62" s="95">
        <v>801</v>
      </c>
      <c r="E62" s="95">
        <v>210</v>
      </c>
      <c r="F62" s="95">
        <v>213.44444444444446</v>
      </c>
      <c r="G62" s="95">
        <v>0</v>
      </c>
      <c r="H62" s="95">
        <v>25.5</v>
      </c>
      <c r="I62" s="95">
        <f>SUM(D62:H62)</f>
        <v>1249.9444444444443</v>
      </c>
      <c r="J62" s="20">
        <f t="shared" si="62"/>
        <v>1890</v>
      </c>
      <c r="K62" s="21">
        <f t="shared" si="11"/>
        <v>1970</v>
      </c>
      <c r="L62" s="26"/>
      <c r="M62" s="12">
        <f t="shared" si="61"/>
        <v>571</v>
      </c>
      <c r="O62" s="20">
        <f t="shared" si="13"/>
        <v>640.05555555555566</v>
      </c>
      <c r="P62" s="29">
        <f t="shared" si="14"/>
        <v>0.33865373309817759</v>
      </c>
      <c r="Q62" s="32">
        <f t="shared" si="15"/>
        <v>1674.5</v>
      </c>
      <c r="R62" s="33">
        <f t="shared" si="16"/>
        <v>215.5</v>
      </c>
      <c r="S62" s="35">
        <f t="shared" si="10"/>
        <v>424.55555555555566</v>
      </c>
      <c r="T62" s="29">
        <f t="shared" si="2"/>
        <v>0.21551043429216024</v>
      </c>
      <c r="V62" s="19">
        <f t="shared" si="8"/>
        <v>2100</v>
      </c>
      <c r="W62" s="14">
        <f t="shared" si="9"/>
        <v>1680</v>
      </c>
    </row>
    <row r="63" spans="1:23" x14ac:dyDescent="0.25">
      <c r="A63" s="73">
        <v>572</v>
      </c>
      <c r="B63" s="74" t="s">
        <v>214</v>
      </c>
      <c r="C63" s="75">
        <v>0.4</v>
      </c>
      <c r="D63" s="59">
        <v>500</v>
      </c>
      <c r="E63" s="59">
        <v>200</v>
      </c>
      <c r="F63" s="59">
        <v>200</v>
      </c>
      <c r="G63" s="59">
        <v>0</v>
      </c>
      <c r="H63" s="59">
        <v>30</v>
      </c>
      <c r="I63" s="59">
        <f>SUM(D63:H63)*1.06*$O$1</f>
        <v>1025.2320000000002</v>
      </c>
      <c r="J63" s="20">
        <f t="shared" si="62"/>
        <v>1550</v>
      </c>
      <c r="K63" s="21">
        <f t="shared" si="11"/>
        <v>1610</v>
      </c>
      <c r="L63" s="26"/>
      <c r="M63" s="12">
        <f t="shared" si="61"/>
        <v>572</v>
      </c>
      <c r="O63" s="20">
        <f t="shared" si="13"/>
        <v>524.7679999999998</v>
      </c>
      <c r="P63" s="29">
        <f t="shared" si="14"/>
        <v>0.33855999999999986</v>
      </c>
      <c r="Q63" s="32">
        <f t="shared" si="15"/>
        <v>1368.5</v>
      </c>
      <c r="R63" s="33">
        <f t="shared" si="16"/>
        <v>181.5</v>
      </c>
      <c r="S63" s="35">
        <f t="shared" si="10"/>
        <v>343.2679999999998</v>
      </c>
      <c r="T63" s="29">
        <f t="shared" si="2"/>
        <v>0.21320993788819864</v>
      </c>
      <c r="V63" s="19">
        <f t="shared" si="8"/>
        <v>1720</v>
      </c>
      <c r="W63" s="14">
        <f t="shared" si="9"/>
        <v>1376</v>
      </c>
    </row>
    <row r="64" spans="1:23" x14ac:dyDescent="0.25">
      <c r="A64" s="8">
        <v>587</v>
      </c>
      <c r="B64" s="1" t="s">
        <v>104</v>
      </c>
      <c r="C64" s="6">
        <v>0.65</v>
      </c>
      <c r="D64" s="19">
        <v>835</v>
      </c>
      <c r="E64" s="19"/>
      <c r="F64" s="19"/>
      <c r="G64" s="19"/>
      <c r="H64" s="19"/>
      <c r="I64" s="19">
        <f>SUM(D64:H64)*$I$3</f>
        <v>1573.243251659133</v>
      </c>
      <c r="J64" s="20">
        <f t="shared" si="62"/>
        <v>2380</v>
      </c>
      <c r="K64" s="21">
        <f t="shared" si="11"/>
        <v>2480</v>
      </c>
      <c r="L64" s="26" t="s">
        <v>108</v>
      </c>
      <c r="M64" s="12">
        <f t="shared" si="61"/>
        <v>587</v>
      </c>
      <c r="O64" s="20">
        <f t="shared" si="13"/>
        <v>806.75674834086703</v>
      </c>
      <c r="P64" s="29">
        <f t="shared" si="14"/>
        <v>0.33897342367263322</v>
      </c>
      <c r="Q64" s="32">
        <f t="shared" si="15"/>
        <v>2108</v>
      </c>
      <c r="R64" s="33">
        <f t="shared" si="16"/>
        <v>272</v>
      </c>
      <c r="S64" s="35">
        <f t="shared" si="10"/>
        <v>534.75674834086703</v>
      </c>
      <c r="T64" s="29">
        <f t="shared" si="2"/>
        <v>0.21562772110518832</v>
      </c>
      <c r="V64" s="19">
        <f t="shared" si="8"/>
        <v>2640</v>
      </c>
      <c r="W64" s="14">
        <f t="shared" si="9"/>
        <v>2112</v>
      </c>
    </row>
    <row r="65" spans="1:25" x14ac:dyDescent="0.25">
      <c r="A65" s="8">
        <v>594</v>
      </c>
      <c r="B65" s="1" t="s">
        <v>24</v>
      </c>
      <c r="C65" s="6">
        <v>0.68</v>
      </c>
      <c r="D65" s="19">
        <v>900</v>
      </c>
      <c r="E65" s="19"/>
      <c r="F65" s="19"/>
      <c r="G65" s="19"/>
      <c r="H65" s="19"/>
      <c r="I65" s="19">
        <f>SUM(D65:H65)*$I$3</f>
        <v>1695.7112892134367</v>
      </c>
      <c r="J65" s="20">
        <f t="shared" si="17"/>
        <v>2560</v>
      </c>
      <c r="K65" s="21">
        <f t="shared" si="11"/>
        <v>2660</v>
      </c>
      <c r="L65" s="26" t="s">
        <v>108</v>
      </c>
      <c r="M65" s="12">
        <f t="shared" si="61"/>
        <v>594</v>
      </c>
      <c r="O65" s="20">
        <f t="shared" si="13"/>
        <v>864.28871078656334</v>
      </c>
      <c r="P65" s="29">
        <f t="shared" si="14"/>
        <v>0.33761277765100128</v>
      </c>
      <c r="Q65" s="32">
        <f t="shared" si="15"/>
        <v>2261</v>
      </c>
      <c r="R65" s="33">
        <f t="shared" si="16"/>
        <v>299</v>
      </c>
      <c r="S65" s="35">
        <f t="shared" si="10"/>
        <v>565.28871078656334</v>
      </c>
      <c r="T65" s="29">
        <f t="shared" si="2"/>
        <v>0.21251455292727944</v>
      </c>
      <c r="V65" s="19">
        <f t="shared" si="8"/>
        <v>2850</v>
      </c>
      <c r="W65" s="14">
        <f t="shared" si="9"/>
        <v>2280</v>
      </c>
    </row>
    <row r="66" spans="1:25" x14ac:dyDescent="0.25">
      <c r="A66" s="8">
        <v>598</v>
      </c>
      <c r="B66" s="1" t="s">
        <v>25</v>
      </c>
      <c r="C66" s="6">
        <v>0.6</v>
      </c>
      <c r="D66" s="19">
        <v>450</v>
      </c>
      <c r="E66" s="19">
        <v>150</v>
      </c>
      <c r="F66" s="19">
        <v>100</v>
      </c>
      <c r="G66" s="19">
        <v>30</v>
      </c>
      <c r="H66" s="19">
        <v>40</v>
      </c>
      <c r="I66" s="19">
        <f>SUM(D66:H66)*$I$3</f>
        <v>1450.775214104829</v>
      </c>
      <c r="J66" s="20">
        <f t="shared" si="17"/>
        <v>2190</v>
      </c>
      <c r="K66" s="21">
        <f t="shared" si="11"/>
        <v>2280</v>
      </c>
      <c r="L66" s="26" t="s">
        <v>108</v>
      </c>
      <c r="M66" s="12">
        <f t="shared" si="61"/>
        <v>598</v>
      </c>
      <c r="O66" s="20">
        <f t="shared" si="13"/>
        <v>739.22478589517095</v>
      </c>
      <c r="P66" s="29">
        <f t="shared" si="14"/>
        <v>0.33754556433569449</v>
      </c>
      <c r="Q66" s="32">
        <f t="shared" si="15"/>
        <v>1938</v>
      </c>
      <c r="R66" s="33">
        <f t="shared" si="16"/>
        <v>252</v>
      </c>
      <c r="S66" s="35">
        <f t="shared" si="10"/>
        <v>487.22478589517095</v>
      </c>
      <c r="T66" s="29">
        <f t="shared" si="2"/>
        <v>0.21369508153296971</v>
      </c>
      <c r="V66" s="19">
        <f t="shared" si="8"/>
        <v>2440</v>
      </c>
      <c r="W66" s="14">
        <f t="shared" si="9"/>
        <v>1952</v>
      </c>
    </row>
    <row r="67" spans="1:25" x14ac:dyDescent="0.25">
      <c r="A67" s="133">
        <v>599</v>
      </c>
      <c r="B67" s="134" t="s">
        <v>26</v>
      </c>
      <c r="C67" s="135">
        <v>0.45</v>
      </c>
      <c r="D67" s="136">
        <v>801</v>
      </c>
      <c r="E67" s="136">
        <v>180</v>
      </c>
      <c r="F67" s="136">
        <v>213.44444444444446</v>
      </c>
      <c r="G67" s="136">
        <v>0</v>
      </c>
      <c r="H67" s="136">
        <v>25.5</v>
      </c>
      <c r="I67" s="136">
        <f>SUM(D67:H67)</f>
        <v>1219.9444444444443</v>
      </c>
      <c r="J67" s="20">
        <f>MROUND(I67*$J$3,10)</f>
        <v>1840</v>
      </c>
      <c r="K67" s="21">
        <f t="shared" si="11"/>
        <v>1910</v>
      </c>
      <c r="L67" s="26"/>
      <c r="M67" s="12">
        <f t="shared" si="61"/>
        <v>599</v>
      </c>
      <c r="O67" s="20">
        <f t="shared" si="13"/>
        <v>620.05555555555566</v>
      </c>
      <c r="P67" s="29">
        <f t="shared" si="14"/>
        <v>0.33698671497584548</v>
      </c>
      <c r="Q67" s="32">
        <f t="shared" si="15"/>
        <v>1623.5</v>
      </c>
      <c r="R67" s="33">
        <f t="shared" si="16"/>
        <v>216.5</v>
      </c>
      <c r="S67" s="35">
        <f t="shared" si="10"/>
        <v>403.55555555555566</v>
      </c>
      <c r="T67" s="29">
        <f t="shared" si="2"/>
        <v>0.2112856311809192</v>
      </c>
      <c r="U67" s="23"/>
      <c r="V67" s="19">
        <f t="shared" si="8"/>
        <v>2050</v>
      </c>
      <c r="W67" s="14">
        <f t="shared" si="9"/>
        <v>1640</v>
      </c>
    </row>
    <row r="68" spans="1:25" x14ac:dyDescent="0.25">
      <c r="A68" s="8">
        <v>700</v>
      </c>
      <c r="B68" s="98" t="s">
        <v>181</v>
      </c>
      <c r="C68" s="6"/>
      <c r="D68" s="19">
        <v>400</v>
      </c>
      <c r="E68" s="19"/>
      <c r="F68" s="19"/>
      <c r="G68" s="19"/>
      <c r="H68" s="19"/>
      <c r="I68" s="19">
        <f>SUM(D68:H68)*$I$3</f>
        <v>753.64946187263854</v>
      </c>
      <c r="J68" s="20">
        <v>500</v>
      </c>
      <c r="K68" s="21">
        <f t="shared" si="11"/>
        <v>520</v>
      </c>
      <c r="L68" s="26"/>
      <c r="M68" s="12">
        <f t="shared" si="61"/>
        <v>700</v>
      </c>
      <c r="O68" s="20">
        <f t="shared" si="13"/>
        <v>-253.64946187263854</v>
      </c>
      <c r="P68" s="29">
        <f t="shared" si="14"/>
        <v>-0.50729892374527707</v>
      </c>
      <c r="Q68" s="32">
        <f t="shared" si="15"/>
        <v>442</v>
      </c>
      <c r="R68" s="33">
        <f t="shared" si="16"/>
        <v>58</v>
      </c>
      <c r="S68" s="35">
        <f t="shared" si="10"/>
        <v>-311.64946187263854</v>
      </c>
      <c r="T68" s="29">
        <f t="shared" si="2"/>
        <v>-0.59932588821661259</v>
      </c>
      <c r="U68" s="23"/>
      <c r="V68" s="19">
        <f t="shared" si="8"/>
        <v>1270</v>
      </c>
      <c r="W68" s="14">
        <f t="shared" si="9"/>
        <v>1016</v>
      </c>
    </row>
    <row r="69" spans="1:25" x14ac:dyDescent="0.25">
      <c r="A69" s="8">
        <v>701</v>
      </c>
      <c r="B69" s="98" t="s">
        <v>182</v>
      </c>
      <c r="C69" s="6">
        <v>0.45</v>
      </c>
      <c r="D69" s="19">
        <v>350</v>
      </c>
      <c r="E69" s="19">
        <v>150</v>
      </c>
      <c r="F69" s="19">
        <v>150</v>
      </c>
      <c r="G69" s="19">
        <v>50</v>
      </c>
      <c r="H69" s="19">
        <v>40</v>
      </c>
      <c r="I69" s="19">
        <f>SUM(D69:H69)*$I$3</f>
        <v>1394.2515044643812</v>
      </c>
      <c r="J69" s="20">
        <v>1190</v>
      </c>
      <c r="K69" s="21">
        <f t="shared" si="11"/>
        <v>1240</v>
      </c>
      <c r="L69" s="26"/>
      <c r="M69" s="12">
        <f t="shared" si="61"/>
        <v>701</v>
      </c>
      <c r="O69" s="20">
        <f t="shared" si="13"/>
        <v>-204.25150446438124</v>
      </c>
      <c r="P69" s="29">
        <f t="shared" si="14"/>
        <v>-0.17163991971796744</v>
      </c>
      <c r="Q69" s="32">
        <f t="shared" si="15"/>
        <v>1054</v>
      </c>
      <c r="R69" s="33">
        <f t="shared" si="16"/>
        <v>136</v>
      </c>
      <c r="S69" s="35">
        <f t="shared" si="10"/>
        <v>-340.25150446438124</v>
      </c>
      <c r="T69" s="29">
        <f t="shared" si="2"/>
        <v>-0.27439637456804938</v>
      </c>
      <c r="V69" s="19">
        <f t="shared" si="8"/>
        <v>2340</v>
      </c>
      <c r="W69" s="14">
        <f t="shared" si="9"/>
        <v>1872</v>
      </c>
    </row>
    <row r="70" spans="1:25" x14ac:dyDescent="0.25">
      <c r="A70" s="8">
        <v>703</v>
      </c>
      <c r="B70" s="1" t="s">
        <v>28</v>
      </c>
      <c r="C70" s="6">
        <v>0.35</v>
      </c>
      <c r="D70" s="19">
        <v>280</v>
      </c>
      <c r="E70" s="19">
        <v>150</v>
      </c>
      <c r="F70" s="19">
        <v>150</v>
      </c>
      <c r="G70" s="19">
        <v>50</v>
      </c>
      <c r="H70" s="19">
        <v>40</v>
      </c>
      <c r="I70" s="19">
        <f>SUM(D70:H70)*$I$3</f>
        <v>1262.3628486366695</v>
      </c>
      <c r="J70" s="20">
        <f t="shared" si="17"/>
        <v>1910</v>
      </c>
      <c r="K70" s="21">
        <f t="shared" si="11"/>
        <v>1990</v>
      </c>
      <c r="L70" s="26"/>
      <c r="M70" s="12">
        <f t="shared" si="61"/>
        <v>703</v>
      </c>
      <c r="O70" s="20">
        <f t="shared" si="13"/>
        <v>647.63715136333053</v>
      </c>
      <c r="P70" s="29">
        <f t="shared" si="14"/>
        <v>0.33907704259860239</v>
      </c>
      <c r="Q70" s="32">
        <f t="shared" si="15"/>
        <v>1691.5</v>
      </c>
      <c r="R70" s="33">
        <f t="shared" si="16"/>
        <v>218.5</v>
      </c>
      <c r="S70" s="35">
        <f t="shared" si="10"/>
        <v>429.13715136333053</v>
      </c>
      <c r="T70" s="29">
        <f t="shared" si="2"/>
        <v>0.21564680973031686</v>
      </c>
      <c r="V70" s="19">
        <f t="shared" ref="V70:V126" si="64">MROUND(I70*1.4*1.2,10)</f>
        <v>2120</v>
      </c>
      <c r="W70" s="14">
        <f t="shared" ref="W70:W126" si="65">+(V70-V70*0.2)</f>
        <v>1696</v>
      </c>
    </row>
    <row r="71" spans="1:25" x14ac:dyDescent="0.25">
      <c r="A71" s="8">
        <v>705</v>
      </c>
      <c r="B71" s="98" t="s">
        <v>183</v>
      </c>
      <c r="C71" s="6">
        <v>0.3</v>
      </c>
      <c r="D71" s="19">
        <v>450</v>
      </c>
      <c r="E71" s="19"/>
      <c r="F71" s="19"/>
      <c r="G71" s="19"/>
      <c r="H71" s="19"/>
      <c r="I71" s="19">
        <f>SUM(D71:H71)*$I$3</f>
        <v>847.85564460671833</v>
      </c>
      <c r="J71" s="20">
        <f t="shared" si="17"/>
        <v>1280</v>
      </c>
      <c r="K71" s="21">
        <f t="shared" si="11"/>
        <v>1330</v>
      </c>
      <c r="L71" s="26"/>
      <c r="M71" s="12">
        <f t="shared" si="61"/>
        <v>705</v>
      </c>
      <c r="O71" s="20">
        <f t="shared" si="13"/>
        <v>432.14435539328167</v>
      </c>
      <c r="P71" s="29">
        <f t="shared" si="14"/>
        <v>0.33761277765100128</v>
      </c>
      <c r="Q71" s="32">
        <f t="shared" si="15"/>
        <v>1130.5</v>
      </c>
      <c r="R71" s="33">
        <f t="shared" si="16"/>
        <v>149.5</v>
      </c>
      <c r="S71" s="35">
        <f t="shared" si="10"/>
        <v>282.64435539328167</v>
      </c>
      <c r="T71" s="29">
        <f t="shared" si="2"/>
        <v>0.21251455292727944</v>
      </c>
      <c r="V71" s="19">
        <f t="shared" si="64"/>
        <v>1420</v>
      </c>
      <c r="W71" s="14">
        <f t="shared" si="65"/>
        <v>1136</v>
      </c>
    </row>
    <row r="72" spans="1:25" x14ac:dyDescent="0.25">
      <c r="A72" s="91">
        <v>707</v>
      </c>
      <c r="B72" s="98" t="s">
        <v>180</v>
      </c>
      <c r="C72" s="6"/>
      <c r="D72" s="19"/>
      <c r="E72" s="19"/>
      <c r="F72" s="19"/>
      <c r="G72" s="19"/>
      <c r="H72" s="19"/>
      <c r="I72" s="19"/>
      <c r="J72" s="20">
        <v>500</v>
      </c>
      <c r="K72" s="21">
        <f t="shared" si="11"/>
        <v>520</v>
      </c>
      <c r="L72" s="26"/>
      <c r="M72" s="12">
        <f t="shared" si="61"/>
        <v>707</v>
      </c>
      <c r="O72" s="20">
        <f t="shared" ref="O72" si="66">J72-I72</f>
        <v>500</v>
      </c>
      <c r="P72" s="29">
        <f t="shared" ref="P72" si="67">O72/J72</f>
        <v>1</v>
      </c>
      <c r="Q72" s="32">
        <f t="shared" ref="Q72" si="68">K72*0.85</f>
        <v>442</v>
      </c>
      <c r="R72" s="33">
        <f t="shared" ref="R72" si="69">J72-Q72</f>
        <v>58</v>
      </c>
      <c r="S72" s="35">
        <f t="shared" ref="S72" si="70">Q72-I72</f>
        <v>442</v>
      </c>
      <c r="T72" s="29">
        <f t="shared" ref="T72" si="71">S72/K72</f>
        <v>0.85</v>
      </c>
      <c r="V72" s="19">
        <f t="shared" si="64"/>
        <v>0</v>
      </c>
      <c r="W72" s="14">
        <f t="shared" si="65"/>
        <v>0</v>
      </c>
    </row>
    <row r="73" spans="1:25" x14ac:dyDescent="0.25">
      <c r="A73" s="8">
        <v>708</v>
      </c>
      <c r="B73" s="98" t="s">
        <v>184</v>
      </c>
      <c r="C73" s="6">
        <v>0.4</v>
      </c>
      <c r="D73" s="19">
        <v>400</v>
      </c>
      <c r="E73" s="19"/>
      <c r="F73" s="19"/>
      <c r="G73" s="19"/>
      <c r="H73" s="19"/>
      <c r="I73" s="19">
        <f>SUM(D73:H73)*$I$3</f>
        <v>753.64946187263854</v>
      </c>
      <c r="J73" s="20">
        <f t="shared" si="17"/>
        <v>1140</v>
      </c>
      <c r="K73" s="21">
        <f t="shared" si="11"/>
        <v>1190</v>
      </c>
      <c r="L73" s="26" t="s">
        <v>108</v>
      </c>
      <c r="M73" s="12">
        <f t="shared" si="61"/>
        <v>708</v>
      </c>
      <c r="O73" s="20">
        <f t="shared" si="13"/>
        <v>386.35053812736146</v>
      </c>
      <c r="P73" s="29">
        <f t="shared" si="14"/>
        <v>0.33890398081347495</v>
      </c>
      <c r="Q73" s="32">
        <f t="shared" si="15"/>
        <v>1011.5</v>
      </c>
      <c r="R73" s="33">
        <f t="shared" si="16"/>
        <v>128.5</v>
      </c>
      <c r="S73" s="35">
        <f t="shared" ref="S73:S129" si="72">Q73-I73</f>
        <v>257.85053812736146</v>
      </c>
      <c r="T73" s="29">
        <f t="shared" ref="T73:T129" si="73">S73/K73</f>
        <v>0.21668112447677434</v>
      </c>
      <c r="V73" s="19">
        <f t="shared" si="64"/>
        <v>1270</v>
      </c>
      <c r="W73" s="14">
        <f t="shared" si="65"/>
        <v>1016</v>
      </c>
    </row>
    <row r="74" spans="1:25" x14ac:dyDescent="0.25">
      <c r="A74" s="8" t="s">
        <v>31</v>
      </c>
      <c r="B74" s="98" t="s">
        <v>32</v>
      </c>
      <c r="C74" s="6">
        <v>0.5</v>
      </c>
      <c r="D74" s="19">
        <v>390</v>
      </c>
      <c r="E74" s="19">
        <v>150</v>
      </c>
      <c r="F74" s="19">
        <v>100</v>
      </c>
      <c r="G74" s="19">
        <v>70</v>
      </c>
      <c r="H74" s="19">
        <v>20</v>
      </c>
      <c r="I74" s="19">
        <f>SUM(D74:H74)*$I$3</f>
        <v>1375.4102679175653</v>
      </c>
      <c r="J74" s="20">
        <f t="shared" si="17"/>
        <v>2080</v>
      </c>
      <c r="K74" s="21">
        <f t="shared" si="11"/>
        <v>2160</v>
      </c>
      <c r="L74" s="26"/>
      <c r="M74" s="12" t="str">
        <f t="shared" si="61"/>
        <v>711/729</v>
      </c>
      <c r="O74" s="20">
        <f t="shared" si="13"/>
        <v>704.58973208243469</v>
      </c>
      <c r="P74" s="29">
        <f t="shared" si="14"/>
        <v>0.33874506350117051</v>
      </c>
      <c r="Q74" s="32">
        <f t="shared" si="15"/>
        <v>1836</v>
      </c>
      <c r="R74" s="33">
        <f t="shared" si="16"/>
        <v>244</v>
      </c>
      <c r="S74" s="35">
        <f t="shared" si="72"/>
        <v>460.58973208243469</v>
      </c>
      <c r="T74" s="29">
        <f t="shared" si="73"/>
        <v>0.21323598707520125</v>
      </c>
      <c r="V74" s="19">
        <f t="shared" si="64"/>
        <v>2310</v>
      </c>
      <c r="W74" s="14">
        <f t="shared" si="65"/>
        <v>1848</v>
      </c>
    </row>
    <row r="75" spans="1:25" x14ac:dyDescent="0.25">
      <c r="A75" s="8">
        <v>713</v>
      </c>
      <c r="B75" s="1" t="s">
        <v>105</v>
      </c>
      <c r="C75" s="6">
        <v>0.25</v>
      </c>
      <c r="D75" s="19">
        <v>400</v>
      </c>
      <c r="E75" s="19">
        <v>45</v>
      </c>
      <c r="F75" s="19"/>
      <c r="G75" s="19"/>
      <c r="H75" s="19"/>
      <c r="I75" s="19">
        <f>SUM(D75:H75)*$I$3</f>
        <v>838.43502633331036</v>
      </c>
      <c r="J75" s="20">
        <f t="shared" si="17"/>
        <v>1270</v>
      </c>
      <c r="K75" s="21">
        <f t="shared" si="11"/>
        <v>1320</v>
      </c>
      <c r="L75" s="26"/>
      <c r="M75" s="12">
        <f t="shared" ref="M75:M106" si="74">A75</f>
        <v>713</v>
      </c>
      <c r="O75" s="20">
        <f t="shared" si="13"/>
        <v>431.56497366668964</v>
      </c>
      <c r="P75" s="29">
        <f t="shared" si="14"/>
        <v>0.3398149398950312</v>
      </c>
      <c r="Q75" s="32">
        <f t="shared" si="15"/>
        <v>1122</v>
      </c>
      <c r="R75" s="33">
        <f t="shared" si="16"/>
        <v>148</v>
      </c>
      <c r="S75" s="35">
        <f t="shared" si="72"/>
        <v>283.56497366668964</v>
      </c>
      <c r="T75" s="29">
        <f t="shared" si="73"/>
        <v>0.21482194974749216</v>
      </c>
      <c r="V75" s="19">
        <f t="shared" si="64"/>
        <v>1410</v>
      </c>
      <c r="W75" s="14">
        <f t="shared" si="65"/>
        <v>1128</v>
      </c>
    </row>
    <row r="76" spans="1:25" x14ac:dyDescent="0.25">
      <c r="A76" s="8">
        <v>714</v>
      </c>
      <c r="B76" s="1" t="s">
        <v>107</v>
      </c>
      <c r="C76" s="6">
        <v>0.22</v>
      </c>
      <c r="D76" s="19">
        <v>140</v>
      </c>
      <c r="E76" s="19">
        <v>100</v>
      </c>
      <c r="F76" s="19">
        <v>150</v>
      </c>
      <c r="G76" s="19">
        <v>0</v>
      </c>
      <c r="H76" s="19">
        <v>30</v>
      </c>
      <c r="I76" s="19">
        <f>SUM(D76:H76)*$I$3</f>
        <v>791.33193496627041</v>
      </c>
      <c r="J76" s="20">
        <f t="shared" si="17"/>
        <v>1190</v>
      </c>
      <c r="K76" s="21">
        <f t="shared" si="11"/>
        <v>1240</v>
      </c>
      <c r="L76" s="26"/>
      <c r="M76" s="12">
        <f t="shared" si="74"/>
        <v>714</v>
      </c>
      <c r="O76" s="20">
        <f t="shared" si="13"/>
        <v>398.66806503372959</v>
      </c>
      <c r="P76" s="29">
        <f t="shared" si="14"/>
        <v>0.33501518070061309</v>
      </c>
      <c r="Q76" s="32">
        <f t="shared" si="15"/>
        <v>1054</v>
      </c>
      <c r="R76" s="33">
        <f t="shared" si="16"/>
        <v>136</v>
      </c>
      <c r="S76" s="35">
        <f t="shared" si="72"/>
        <v>262.66806503372959</v>
      </c>
      <c r="T76" s="29">
        <f t="shared" si="73"/>
        <v>0.21182908470462064</v>
      </c>
      <c r="V76" s="19">
        <f t="shared" si="64"/>
        <v>1330</v>
      </c>
      <c r="W76" s="14">
        <f t="shared" si="65"/>
        <v>1064</v>
      </c>
    </row>
    <row r="77" spans="1:25" x14ac:dyDescent="0.25">
      <c r="A77" s="133">
        <v>715</v>
      </c>
      <c r="B77" s="134" t="s">
        <v>33</v>
      </c>
      <c r="C77" s="135">
        <v>0.31</v>
      </c>
      <c r="D77" s="136">
        <v>515.56099999999992</v>
      </c>
      <c r="E77" s="136">
        <v>210</v>
      </c>
      <c r="F77" s="136">
        <v>213.44444444444446</v>
      </c>
      <c r="G77" s="136">
        <v>0</v>
      </c>
      <c r="H77" s="136">
        <v>25.5</v>
      </c>
      <c r="I77" s="136">
        <f>SUM(D77:H77)</f>
        <v>964.50544444444438</v>
      </c>
      <c r="J77" s="20">
        <f>MROUND(I77*$J$3,10)</f>
        <v>1460</v>
      </c>
      <c r="K77" s="21">
        <f t="shared" si="11"/>
        <v>1520</v>
      </c>
      <c r="L77" s="26"/>
      <c r="M77" s="12">
        <f t="shared" si="74"/>
        <v>715</v>
      </c>
      <c r="O77" s="20">
        <f t="shared" si="13"/>
        <v>495.49455555555562</v>
      </c>
      <c r="P77" s="29">
        <f t="shared" si="14"/>
        <v>0.33937983257229837</v>
      </c>
      <c r="Q77" s="32">
        <f t="shared" si="15"/>
        <v>1292</v>
      </c>
      <c r="R77" s="33">
        <f t="shared" si="16"/>
        <v>168</v>
      </c>
      <c r="S77" s="35">
        <f t="shared" si="72"/>
        <v>327.49455555555562</v>
      </c>
      <c r="T77" s="29">
        <f t="shared" si="73"/>
        <v>0.21545694444444449</v>
      </c>
      <c r="V77" s="19">
        <f t="shared" si="64"/>
        <v>1620</v>
      </c>
      <c r="W77" s="14">
        <f t="shared" si="65"/>
        <v>1296</v>
      </c>
      <c r="X77" s="27"/>
      <c r="Y77" s="23"/>
    </row>
    <row r="78" spans="1:25" x14ac:dyDescent="0.25">
      <c r="A78" s="133">
        <v>718</v>
      </c>
      <c r="B78" s="134" t="s">
        <v>34</v>
      </c>
      <c r="C78" s="135">
        <v>0.31</v>
      </c>
      <c r="D78" s="136">
        <v>515.56099999999992</v>
      </c>
      <c r="E78" s="136">
        <v>210</v>
      </c>
      <c r="F78" s="136">
        <v>213.44444444444446</v>
      </c>
      <c r="G78" s="136">
        <v>0</v>
      </c>
      <c r="H78" s="136">
        <v>25.5</v>
      </c>
      <c r="I78" s="136">
        <f>SUM(D78:H78)</f>
        <v>964.50544444444438</v>
      </c>
      <c r="J78" s="20">
        <f>MROUND(I78*$J$3,10)</f>
        <v>1460</v>
      </c>
      <c r="K78" s="21">
        <f t="shared" si="11"/>
        <v>1520</v>
      </c>
      <c r="L78" s="26"/>
      <c r="M78" s="12">
        <f t="shared" si="74"/>
        <v>718</v>
      </c>
      <c r="O78" s="20">
        <f t="shared" si="13"/>
        <v>495.49455555555562</v>
      </c>
      <c r="P78" s="29">
        <f t="shared" si="14"/>
        <v>0.33937983257229837</v>
      </c>
      <c r="Q78" s="32">
        <f t="shared" si="15"/>
        <v>1292</v>
      </c>
      <c r="R78" s="33">
        <f t="shared" si="16"/>
        <v>168</v>
      </c>
      <c r="S78" s="35">
        <f t="shared" si="72"/>
        <v>327.49455555555562</v>
      </c>
      <c r="T78" s="29">
        <f t="shared" si="73"/>
        <v>0.21545694444444449</v>
      </c>
      <c r="V78" s="19">
        <f t="shared" si="64"/>
        <v>1620</v>
      </c>
      <c r="W78" s="14">
        <f t="shared" si="65"/>
        <v>1296</v>
      </c>
    </row>
    <row r="79" spans="1:25" x14ac:dyDescent="0.25">
      <c r="A79" s="133">
        <v>719</v>
      </c>
      <c r="B79" s="134" t="s">
        <v>185</v>
      </c>
      <c r="C79" s="135">
        <v>0.38</v>
      </c>
      <c r="D79" s="136">
        <v>631.97799999999995</v>
      </c>
      <c r="E79" s="136">
        <v>220</v>
      </c>
      <c r="F79" s="136">
        <v>213.44444444444446</v>
      </c>
      <c r="G79" s="136">
        <v>0</v>
      </c>
      <c r="H79" s="136">
        <v>25.5</v>
      </c>
      <c r="I79" s="136">
        <f>SUM(D79:H79)</f>
        <v>1090.9224444444444</v>
      </c>
      <c r="J79" s="20">
        <f t="shared" si="17"/>
        <v>1650</v>
      </c>
      <c r="K79" s="21">
        <f t="shared" si="11"/>
        <v>1720</v>
      </c>
      <c r="L79" s="26"/>
      <c r="M79" s="12">
        <f t="shared" si="74"/>
        <v>719</v>
      </c>
      <c r="O79" s="20">
        <f t="shared" si="13"/>
        <v>559.07755555555559</v>
      </c>
      <c r="P79" s="29">
        <f t="shared" si="14"/>
        <v>0.33883488215488217</v>
      </c>
      <c r="Q79" s="32">
        <f t="shared" si="15"/>
        <v>1462</v>
      </c>
      <c r="R79" s="33">
        <f t="shared" si="16"/>
        <v>188</v>
      </c>
      <c r="S79" s="35">
        <f t="shared" si="72"/>
        <v>371.07755555555559</v>
      </c>
      <c r="T79" s="29">
        <f t="shared" si="73"/>
        <v>0.21574276485788116</v>
      </c>
      <c r="V79" s="19">
        <f t="shared" si="64"/>
        <v>1830</v>
      </c>
      <c r="W79" s="14">
        <f t="shared" si="65"/>
        <v>1464</v>
      </c>
    </row>
    <row r="80" spans="1:25" x14ac:dyDescent="0.25">
      <c r="A80" s="8">
        <v>720</v>
      </c>
      <c r="B80" s="1" t="s">
        <v>35</v>
      </c>
      <c r="C80" s="6"/>
      <c r="D80" s="19">
        <v>620</v>
      </c>
      <c r="E80" s="19"/>
      <c r="F80" s="19"/>
      <c r="G80" s="19"/>
      <c r="H80" s="19"/>
      <c r="I80" s="19">
        <f>SUM(D80:H80)*$I$3</f>
        <v>1168.1566659025898</v>
      </c>
      <c r="J80" s="20">
        <f t="shared" si="17"/>
        <v>1760</v>
      </c>
      <c r="K80" s="21">
        <f t="shared" si="11"/>
        <v>1830</v>
      </c>
      <c r="L80" s="26"/>
      <c r="M80" s="12">
        <f t="shared" si="74"/>
        <v>720</v>
      </c>
      <c r="O80" s="20">
        <f t="shared" si="13"/>
        <v>591.84333409741021</v>
      </c>
      <c r="P80" s="29">
        <f t="shared" si="14"/>
        <v>0.33627462164625582</v>
      </c>
      <c r="Q80" s="32">
        <f t="shared" si="15"/>
        <v>1555.5</v>
      </c>
      <c r="R80" s="33">
        <f t="shared" si="16"/>
        <v>204.5</v>
      </c>
      <c r="S80" s="35">
        <f t="shared" si="72"/>
        <v>387.34333409741021</v>
      </c>
      <c r="T80" s="29">
        <f t="shared" si="73"/>
        <v>0.21166302409694546</v>
      </c>
      <c r="V80" s="19">
        <f t="shared" si="64"/>
        <v>1960</v>
      </c>
      <c r="W80" s="14">
        <f t="shared" si="65"/>
        <v>1568</v>
      </c>
    </row>
    <row r="81" spans="1:23" x14ac:dyDescent="0.25">
      <c r="A81" s="80">
        <v>722</v>
      </c>
      <c r="B81" s="98" t="s">
        <v>186</v>
      </c>
      <c r="C81" s="6">
        <v>0.25</v>
      </c>
      <c r="D81" s="19">
        <v>500</v>
      </c>
      <c r="E81" s="19"/>
      <c r="F81" s="19"/>
      <c r="G81" s="19"/>
      <c r="H81" s="19"/>
      <c r="I81" s="19">
        <f>SUM(D81:H81)*$I$3</f>
        <v>942.06182734079812</v>
      </c>
      <c r="J81" s="20">
        <v>700</v>
      </c>
      <c r="K81" s="21">
        <f t="shared" si="11"/>
        <v>730</v>
      </c>
      <c r="L81" s="26" t="s">
        <v>108</v>
      </c>
      <c r="M81" s="12">
        <f t="shared" si="74"/>
        <v>722</v>
      </c>
      <c r="O81" s="20">
        <f t="shared" si="13"/>
        <v>-242.06182734079812</v>
      </c>
      <c r="P81" s="29">
        <f t="shared" si="14"/>
        <v>-0.34580261048685446</v>
      </c>
      <c r="Q81" s="32">
        <f t="shared" si="15"/>
        <v>620.5</v>
      </c>
      <c r="R81" s="33">
        <f t="shared" si="16"/>
        <v>79.5</v>
      </c>
      <c r="S81" s="35">
        <f t="shared" si="72"/>
        <v>-321.56182734079812</v>
      </c>
      <c r="T81" s="29">
        <f t="shared" si="73"/>
        <v>-0.44049565389150425</v>
      </c>
      <c r="V81" s="19">
        <f t="shared" si="64"/>
        <v>1580</v>
      </c>
      <c r="W81" s="14">
        <f t="shared" si="65"/>
        <v>1264</v>
      </c>
    </row>
    <row r="82" spans="1:23" x14ac:dyDescent="0.25">
      <c r="A82" s="133">
        <v>723</v>
      </c>
      <c r="B82" s="134" t="s">
        <v>36</v>
      </c>
      <c r="C82" s="135">
        <v>0.33</v>
      </c>
      <c r="D82" s="136">
        <v>534.6</v>
      </c>
      <c r="E82" s="136">
        <v>230</v>
      </c>
      <c r="F82" s="136">
        <v>213.44444444444446</v>
      </c>
      <c r="G82" s="136">
        <v>0</v>
      </c>
      <c r="H82" s="136">
        <v>25.5</v>
      </c>
      <c r="I82" s="136">
        <f>SUM(D82:H82)</f>
        <v>1003.5444444444445</v>
      </c>
      <c r="J82" s="20">
        <f t="shared" si="17"/>
        <v>1520</v>
      </c>
      <c r="K82" s="21">
        <f t="shared" si="11"/>
        <v>1580</v>
      </c>
      <c r="L82" s="26"/>
      <c r="M82" s="12">
        <f t="shared" si="74"/>
        <v>723</v>
      </c>
      <c r="O82" s="20">
        <f t="shared" si="13"/>
        <v>516.45555555555552</v>
      </c>
      <c r="P82" s="29">
        <f t="shared" si="14"/>
        <v>0.33977339181286548</v>
      </c>
      <c r="Q82" s="32">
        <f t="shared" si="15"/>
        <v>1343</v>
      </c>
      <c r="R82" s="33">
        <f t="shared" si="16"/>
        <v>177</v>
      </c>
      <c r="S82" s="35">
        <f t="shared" si="72"/>
        <v>339.45555555555552</v>
      </c>
      <c r="T82" s="29">
        <f t="shared" si="73"/>
        <v>0.21484528832630095</v>
      </c>
      <c r="V82" s="19">
        <f t="shared" si="64"/>
        <v>1690</v>
      </c>
      <c r="W82" s="14">
        <f t="shared" si="65"/>
        <v>1352</v>
      </c>
    </row>
    <row r="83" spans="1:23" x14ac:dyDescent="0.25">
      <c r="A83" s="133">
        <v>725</v>
      </c>
      <c r="B83" s="134" t="s">
        <v>38</v>
      </c>
      <c r="C83" s="135">
        <v>0.45</v>
      </c>
      <c r="D83" s="136">
        <v>648.60900000000004</v>
      </c>
      <c r="E83" s="136">
        <v>200</v>
      </c>
      <c r="F83" s="136">
        <v>213.44444444444446</v>
      </c>
      <c r="G83" s="136">
        <v>148.85</v>
      </c>
      <c r="H83" s="136">
        <v>25.5</v>
      </c>
      <c r="I83" s="136">
        <f>SUM(D83:H83)</f>
        <v>1236.4034444444444</v>
      </c>
      <c r="J83" s="20">
        <f>MROUND(I83*$J$3,10)</f>
        <v>1870</v>
      </c>
      <c r="K83" s="21">
        <f t="shared" si="11"/>
        <v>1940</v>
      </c>
      <c r="L83" s="26"/>
      <c r="M83" s="12">
        <f t="shared" si="74"/>
        <v>725</v>
      </c>
      <c r="O83" s="20">
        <f t="shared" si="13"/>
        <v>633.5965555555556</v>
      </c>
      <c r="P83" s="29">
        <f t="shared" si="14"/>
        <v>0.33882168746286395</v>
      </c>
      <c r="Q83" s="32">
        <f t="shared" si="15"/>
        <v>1649</v>
      </c>
      <c r="R83" s="33">
        <f t="shared" si="16"/>
        <v>221</v>
      </c>
      <c r="S83" s="35">
        <f t="shared" si="72"/>
        <v>412.5965555555556</v>
      </c>
      <c r="T83" s="29">
        <f t="shared" si="73"/>
        <v>0.21267863688430702</v>
      </c>
      <c r="V83" s="19">
        <f t="shared" si="64"/>
        <v>2080</v>
      </c>
      <c r="W83" s="14">
        <f t="shared" si="65"/>
        <v>1664</v>
      </c>
    </row>
    <row r="84" spans="1:23" x14ac:dyDescent="0.25">
      <c r="A84" s="8">
        <v>726</v>
      </c>
      <c r="B84" s="1" t="s">
        <v>70</v>
      </c>
      <c r="C84" s="6">
        <v>0.45</v>
      </c>
      <c r="D84" s="19">
        <v>261</v>
      </c>
      <c r="E84" s="19">
        <v>150</v>
      </c>
      <c r="F84" s="19">
        <v>150</v>
      </c>
      <c r="G84" s="19">
        <v>50</v>
      </c>
      <c r="H84" s="19">
        <v>35</v>
      </c>
      <c r="I84" s="19">
        <f t="shared" ref="I84:I93" si="75">SUM(D84:H84)*$I$3</f>
        <v>1217.1438809243111</v>
      </c>
      <c r="J84" s="20">
        <f t="shared" si="17"/>
        <v>1840</v>
      </c>
      <c r="K84" s="21">
        <f t="shared" si="11"/>
        <v>1910</v>
      </c>
      <c r="L84" s="26"/>
      <c r="M84" s="12">
        <f t="shared" si="74"/>
        <v>726</v>
      </c>
      <c r="O84" s="20">
        <f t="shared" si="13"/>
        <v>622.85611907568887</v>
      </c>
      <c r="P84" s="29">
        <f t="shared" si="14"/>
        <v>0.33850876036722222</v>
      </c>
      <c r="Q84" s="32">
        <f t="shared" si="15"/>
        <v>1623.5</v>
      </c>
      <c r="R84" s="33">
        <f t="shared" si="16"/>
        <v>216.5</v>
      </c>
      <c r="S84" s="35">
        <f t="shared" si="72"/>
        <v>406.35611907568887</v>
      </c>
      <c r="T84" s="29">
        <f t="shared" si="73"/>
        <v>0.21275189480402559</v>
      </c>
      <c r="V84" s="19">
        <f t="shared" si="64"/>
        <v>2040</v>
      </c>
      <c r="W84" s="14">
        <f t="shared" si="65"/>
        <v>1632</v>
      </c>
    </row>
    <row r="85" spans="1:23" x14ac:dyDescent="0.25">
      <c r="A85" s="8">
        <v>727</v>
      </c>
      <c r="B85" s="1"/>
      <c r="C85" s="6"/>
      <c r="D85" s="19">
        <v>470</v>
      </c>
      <c r="E85" s="19"/>
      <c r="F85" s="19"/>
      <c r="G85" s="19"/>
      <c r="H85" s="19"/>
      <c r="I85" s="19">
        <f t="shared" si="75"/>
        <v>885.5381177003502</v>
      </c>
      <c r="J85" s="20">
        <f t="shared" si="17"/>
        <v>1340</v>
      </c>
      <c r="K85" s="21">
        <f t="shared" si="11"/>
        <v>1390</v>
      </c>
      <c r="L85" s="26"/>
      <c r="M85" s="12">
        <f t="shared" si="74"/>
        <v>727</v>
      </c>
      <c r="O85" s="20">
        <f t="shared" ref="O85" si="76">J85-I85</f>
        <v>454.4618822996498</v>
      </c>
      <c r="P85" s="29">
        <f t="shared" ref="P85" si="77">O85/J85</f>
        <v>0.33915065843257447</v>
      </c>
      <c r="Q85" s="32">
        <f t="shared" ref="Q85" si="78">K85*0.85</f>
        <v>1181.5</v>
      </c>
      <c r="R85" s="33">
        <f t="shared" ref="R85" si="79">J85-Q85</f>
        <v>158.5</v>
      </c>
      <c r="S85" s="35">
        <f t="shared" si="72"/>
        <v>295.9618822996498</v>
      </c>
      <c r="T85" s="29">
        <f t="shared" si="73"/>
        <v>0.21292221748176246</v>
      </c>
      <c r="V85" s="19">
        <f t="shared" si="64"/>
        <v>1490</v>
      </c>
      <c r="W85" s="14">
        <f t="shared" si="65"/>
        <v>1192</v>
      </c>
    </row>
    <row r="86" spans="1:23" x14ac:dyDescent="0.25">
      <c r="A86" s="8">
        <v>731</v>
      </c>
      <c r="B86" s="98" t="s">
        <v>39</v>
      </c>
      <c r="C86" s="6">
        <v>0.25</v>
      </c>
      <c r="D86" s="19">
        <v>175</v>
      </c>
      <c r="E86" s="19">
        <v>150</v>
      </c>
      <c r="F86" s="19">
        <v>100</v>
      </c>
      <c r="G86" s="19">
        <v>70</v>
      </c>
      <c r="H86" s="19">
        <v>35</v>
      </c>
      <c r="I86" s="19">
        <f t="shared" si="75"/>
        <v>998.58553698124604</v>
      </c>
      <c r="J86" s="20">
        <f>MROUND(I86*$J$3,10)-50</f>
        <v>1460</v>
      </c>
      <c r="K86" s="21">
        <f t="shared" si="11"/>
        <v>1520</v>
      </c>
      <c r="L86" s="26"/>
      <c r="M86" s="12">
        <f t="shared" si="74"/>
        <v>731</v>
      </c>
      <c r="O86" s="20">
        <f t="shared" si="13"/>
        <v>461.41446301875396</v>
      </c>
      <c r="P86" s="29">
        <f t="shared" si="14"/>
        <v>0.31603730343750269</v>
      </c>
      <c r="Q86" s="32">
        <f t="shared" si="15"/>
        <v>1292</v>
      </c>
      <c r="R86" s="33">
        <f t="shared" si="16"/>
        <v>168</v>
      </c>
      <c r="S86" s="35">
        <f t="shared" si="72"/>
        <v>293.41446301875396</v>
      </c>
      <c r="T86" s="29">
        <f t="shared" si="73"/>
        <v>0.19303583093339077</v>
      </c>
      <c r="V86" s="19">
        <f t="shared" si="64"/>
        <v>1680</v>
      </c>
      <c r="W86" s="14">
        <f t="shared" si="65"/>
        <v>1344</v>
      </c>
    </row>
    <row r="87" spans="1:23" x14ac:dyDescent="0.25">
      <c r="A87" s="8">
        <v>733</v>
      </c>
      <c r="B87" s="1" t="s">
        <v>40</v>
      </c>
      <c r="C87" s="6">
        <v>0.21</v>
      </c>
      <c r="D87" s="19">
        <v>150</v>
      </c>
      <c r="E87" s="19">
        <v>120</v>
      </c>
      <c r="F87" s="19">
        <v>100</v>
      </c>
      <c r="G87" s="19">
        <v>0</v>
      </c>
      <c r="H87" s="19">
        <v>35</v>
      </c>
      <c r="I87" s="19">
        <f t="shared" si="75"/>
        <v>763.07008014604651</v>
      </c>
      <c r="J87" s="20">
        <f t="shared" si="17"/>
        <v>1150</v>
      </c>
      <c r="K87" s="21">
        <f t="shared" si="11"/>
        <v>1200</v>
      </c>
      <c r="L87" s="26"/>
      <c r="M87" s="12">
        <f t="shared" si="74"/>
        <v>733</v>
      </c>
      <c r="O87" s="20">
        <f t="shared" si="13"/>
        <v>386.92991985395349</v>
      </c>
      <c r="P87" s="29">
        <f t="shared" si="14"/>
        <v>0.33646079987300304</v>
      </c>
      <c r="Q87" s="32">
        <f t="shared" si="15"/>
        <v>1020</v>
      </c>
      <c r="R87" s="33">
        <f t="shared" si="16"/>
        <v>130</v>
      </c>
      <c r="S87" s="35">
        <f t="shared" si="72"/>
        <v>256.92991985395349</v>
      </c>
      <c r="T87" s="29">
        <f t="shared" si="73"/>
        <v>0.21410826654496123</v>
      </c>
      <c r="V87" s="19">
        <f t="shared" si="64"/>
        <v>1280</v>
      </c>
      <c r="W87" s="14">
        <f t="shared" si="65"/>
        <v>1024</v>
      </c>
    </row>
    <row r="88" spans="1:23" x14ac:dyDescent="0.25">
      <c r="A88" s="8">
        <v>734</v>
      </c>
      <c r="B88" s="98" t="s">
        <v>41</v>
      </c>
      <c r="C88" s="6">
        <v>0.5</v>
      </c>
      <c r="D88" s="19">
        <v>350</v>
      </c>
      <c r="E88" s="19">
        <v>120</v>
      </c>
      <c r="F88" s="19">
        <v>100</v>
      </c>
      <c r="G88" s="19">
        <v>0</v>
      </c>
      <c r="H88" s="19">
        <v>35</v>
      </c>
      <c r="I88" s="19">
        <f t="shared" si="75"/>
        <v>1139.8948110823658</v>
      </c>
      <c r="J88" s="20">
        <f>MROUND(I88*$J$3,10)</f>
        <v>1720</v>
      </c>
      <c r="K88" s="21">
        <f t="shared" ref="K88:K129" si="80">MROUND(J88*$K$3,10)</f>
        <v>1790</v>
      </c>
      <c r="L88" s="26"/>
      <c r="M88" s="12">
        <f t="shared" si="74"/>
        <v>734</v>
      </c>
      <c r="O88" s="20">
        <f t="shared" ref="O88:O129" si="81">J88-I88</f>
        <v>580.10518891763422</v>
      </c>
      <c r="P88" s="29">
        <f t="shared" ref="P88:P129" si="82">O88/J88</f>
        <v>0.33727045867304317</v>
      </c>
      <c r="Q88" s="32">
        <f t="shared" ref="Q88:Q129" si="83">K88*0.85</f>
        <v>1521.5</v>
      </c>
      <c r="R88" s="33">
        <f t="shared" ref="R88:R129" si="84">J88-Q88</f>
        <v>198.5</v>
      </c>
      <c r="S88" s="35">
        <f t="shared" si="72"/>
        <v>381.60518891763422</v>
      </c>
      <c r="T88" s="29">
        <f t="shared" si="73"/>
        <v>0.21318725637856661</v>
      </c>
      <c r="V88" s="19">
        <f t="shared" si="64"/>
        <v>1920</v>
      </c>
      <c r="W88" s="14">
        <f t="shared" si="65"/>
        <v>1536</v>
      </c>
    </row>
    <row r="89" spans="1:23" x14ac:dyDescent="0.25">
      <c r="A89" s="8">
        <v>735</v>
      </c>
      <c r="B89" s="98" t="s">
        <v>187</v>
      </c>
      <c r="C89" s="6">
        <v>0.21</v>
      </c>
      <c r="D89" s="19">
        <v>400</v>
      </c>
      <c r="E89" s="19">
        <v>25</v>
      </c>
      <c r="F89" s="19"/>
      <c r="G89" s="19"/>
      <c r="H89" s="19"/>
      <c r="I89" s="19">
        <f t="shared" si="75"/>
        <v>800.75255323967838</v>
      </c>
      <c r="J89" s="20">
        <f t="shared" si="17"/>
        <v>1210</v>
      </c>
      <c r="K89" s="21">
        <f t="shared" si="80"/>
        <v>1260</v>
      </c>
      <c r="L89" s="26"/>
      <c r="M89" s="12">
        <f t="shared" si="74"/>
        <v>735</v>
      </c>
      <c r="O89" s="20">
        <f t="shared" si="81"/>
        <v>409.24744676032162</v>
      </c>
      <c r="P89" s="29">
        <f t="shared" si="82"/>
        <v>0.33822103038043111</v>
      </c>
      <c r="Q89" s="32">
        <f t="shared" si="83"/>
        <v>1071</v>
      </c>
      <c r="R89" s="33">
        <f t="shared" si="84"/>
        <v>139</v>
      </c>
      <c r="S89" s="35">
        <f t="shared" si="72"/>
        <v>270.24744676032162</v>
      </c>
      <c r="T89" s="29">
        <f t="shared" si="73"/>
        <v>0.21448210060342987</v>
      </c>
      <c r="V89" s="19">
        <f t="shared" si="64"/>
        <v>1350</v>
      </c>
      <c r="W89" s="14">
        <f t="shared" si="65"/>
        <v>1080</v>
      </c>
    </row>
    <row r="90" spans="1:23" x14ac:dyDescent="0.25">
      <c r="A90" s="8">
        <v>736</v>
      </c>
      <c r="B90" s="98" t="s">
        <v>188</v>
      </c>
      <c r="C90" s="6">
        <v>0.3</v>
      </c>
      <c r="D90" s="19">
        <v>440</v>
      </c>
      <c r="E90" s="19">
        <v>5</v>
      </c>
      <c r="F90" s="19"/>
      <c r="G90" s="19"/>
      <c r="H90" s="19"/>
      <c r="I90" s="19">
        <f t="shared" si="75"/>
        <v>838.43502633331036</v>
      </c>
      <c r="J90" s="20">
        <f t="shared" si="17"/>
        <v>1270</v>
      </c>
      <c r="K90" s="21">
        <f t="shared" si="80"/>
        <v>1320</v>
      </c>
      <c r="L90" s="26"/>
      <c r="M90" s="12">
        <f t="shared" si="74"/>
        <v>736</v>
      </c>
      <c r="O90" s="20">
        <f t="shared" si="81"/>
        <v>431.56497366668964</v>
      </c>
      <c r="P90" s="29">
        <f t="shared" si="82"/>
        <v>0.3398149398950312</v>
      </c>
      <c r="Q90" s="32">
        <f t="shared" si="83"/>
        <v>1122</v>
      </c>
      <c r="R90" s="33">
        <f t="shared" si="84"/>
        <v>148</v>
      </c>
      <c r="S90" s="35">
        <f t="shared" si="72"/>
        <v>283.56497366668964</v>
      </c>
      <c r="T90" s="29">
        <f t="shared" si="73"/>
        <v>0.21482194974749216</v>
      </c>
      <c r="V90" s="19">
        <f t="shared" si="64"/>
        <v>1410</v>
      </c>
      <c r="W90" s="14">
        <f t="shared" si="65"/>
        <v>1128</v>
      </c>
    </row>
    <row r="91" spans="1:23" x14ac:dyDescent="0.25">
      <c r="A91" s="8">
        <v>737</v>
      </c>
      <c r="B91" s="1" t="s">
        <v>43</v>
      </c>
      <c r="C91" s="6">
        <v>0.42</v>
      </c>
      <c r="D91" s="19">
        <v>300</v>
      </c>
      <c r="E91" s="19">
        <v>150</v>
      </c>
      <c r="F91" s="19">
        <v>100</v>
      </c>
      <c r="G91" s="19">
        <v>50</v>
      </c>
      <c r="H91" s="19">
        <v>35</v>
      </c>
      <c r="I91" s="19">
        <f t="shared" si="75"/>
        <v>1196.4185207228136</v>
      </c>
      <c r="J91" s="20">
        <f t="shared" si="17"/>
        <v>1810</v>
      </c>
      <c r="K91" s="21">
        <f t="shared" si="80"/>
        <v>1880</v>
      </c>
      <c r="L91" s="26"/>
      <c r="M91" s="12">
        <f t="shared" si="74"/>
        <v>737</v>
      </c>
      <c r="O91" s="20">
        <f t="shared" si="81"/>
        <v>613.58147927718642</v>
      </c>
      <c r="P91" s="29">
        <f t="shared" si="82"/>
        <v>0.33899529241833504</v>
      </c>
      <c r="Q91" s="32">
        <f t="shared" si="83"/>
        <v>1598</v>
      </c>
      <c r="R91" s="33">
        <f t="shared" si="84"/>
        <v>212</v>
      </c>
      <c r="S91" s="35">
        <f t="shared" si="72"/>
        <v>401.58147927718642</v>
      </c>
      <c r="T91" s="29">
        <f t="shared" si="73"/>
        <v>0.21360716982829064</v>
      </c>
      <c r="V91" s="19">
        <f t="shared" si="64"/>
        <v>2010</v>
      </c>
      <c r="W91" s="14">
        <f t="shared" si="65"/>
        <v>1608</v>
      </c>
    </row>
    <row r="92" spans="1:23" x14ac:dyDescent="0.25">
      <c r="A92" s="8" t="s">
        <v>45</v>
      </c>
      <c r="B92" s="1" t="s">
        <v>44</v>
      </c>
      <c r="C92" s="6"/>
      <c r="D92" s="19">
        <v>500</v>
      </c>
      <c r="E92" s="19"/>
      <c r="F92" s="19"/>
      <c r="G92" s="19"/>
      <c r="H92" s="19"/>
      <c r="I92" s="19">
        <f t="shared" si="75"/>
        <v>942.06182734079812</v>
      </c>
      <c r="J92" s="20">
        <f t="shared" si="17"/>
        <v>1420</v>
      </c>
      <c r="K92" s="21">
        <f t="shared" si="80"/>
        <v>1480</v>
      </c>
      <c r="L92" s="26"/>
      <c r="M92" s="12" t="str">
        <f t="shared" si="74"/>
        <v>740/749</v>
      </c>
      <c r="O92" s="20">
        <f t="shared" si="81"/>
        <v>477.93817265920188</v>
      </c>
      <c r="P92" s="29">
        <f t="shared" si="82"/>
        <v>0.3365761779290154</v>
      </c>
      <c r="Q92" s="32">
        <f t="shared" si="83"/>
        <v>1258</v>
      </c>
      <c r="R92" s="33">
        <f t="shared" si="84"/>
        <v>162</v>
      </c>
      <c r="S92" s="35">
        <f t="shared" si="72"/>
        <v>315.93817265920188</v>
      </c>
      <c r="T92" s="29">
        <f t="shared" si="73"/>
        <v>0.21347173828324451</v>
      </c>
      <c r="V92" s="19">
        <f t="shared" si="64"/>
        <v>1580</v>
      </c>
      <c r="W92" s="14">
        <f t="shared" si="65"/>
        <v>1264</v>
      </c>
    </row>
    <row r="93" spans="1:23" x14ac:dyDescent="0.25">
      <c r="A93" s="8">
        <v>741</v>
      </c>
      <c r="B93" s="1" t="s">
        <v>46</v>
      </c>
      <c r="C93" s="6"/>
      <c r="D93" s="19">
        <v>500</v>
      </c>
      <c r="E93" s="19"/>
      <c r="F93" s="19"/>
      <c r="G93" s="19"/>
      <c r="H93" s="19"/>
      <c r="I93" s="19">
        <f t="shared" si="75"/>
        <v>942.06182734079812</v>
      </c>
      <c r="J93" s="20">
        <f t="shared" si="17"/>
        <v>1420</v>
      </c>
      <c r="K93" s="21">
        <f t="shared" si="80"/>
        <v>1480</v>
      </c>
      <c r="L93" s="26"/>
      <c r="M93" s="12">
        <f t="shared" si="74"/>
        <v>741</v>
      </c>
      <c r="O93" s="20">
        <f t="shared" si="81"/>
        <v>477.93817265920188</v>
      </c>
      <c r="P93" s="29">
        <f t="shared" si="82"/>
        <v>0.3365761779290154</v>
      </c>
      <c r="Q93" s="32">
        <f t="shared" si="83"/>
        <v>1258</v>
      </c>
      <c r="R93" s="33">
        <f t="shared" si="84"/>
        <v>162</v>
      </c>
      <c r="S93" s="35">
        <f t="shared" si="72"/>
        <v>315.93817265920188</v>
      </c>
      <c r="T93" s="29">
        <f t="shared" si="73"/>
        <v>0.21347173828324451</v>
      </c>
      <c r="V93" s="19">
        <f t="shared" si="64"/>
        <v>1580</v>
      </c>
      <c r="W93" s="14">
        <f t="shared" si="65"/>
        <v>1264</v>
      </c>
    </row>
    <row r="94" spans="1:23" x14ac:dyDescent="0.25">
      <c r="A94" s="133">
        <v>743</v>
      </c>
      <c r="B94" s="134" t="s">
        <v>47</v>
      </c>
      <c r="C94" s="135">
        <v>0.45</v>
      </c>
      <c r="D94" s="136">
        <v>748.39499999999998</v>
      </c>
      <c r="E94" s="136">
        <v>260</v>
      </c>
      <c r="F94" s="136">
        <v>213.44444444444446</v>
      </c>
      <c r="G94" s="136">
        <v>110.5</v>
      </c>
      <c r="H94" s="136">
        <v>25.5</v>
      </c>
      <c r="I94" s="136">
        <f>SUM(D94:H94)</f>
        <v>1357.8394444444443</v>
      </c>
      <c r="J94" s="20">
        <f>MROUND(I94*$J$3,10)</f>
        <v>2050</v>
      </c>
      <c r="K94" s="21">
        <f t="shared" si="80"/>
        <v>2130</v>
      </c>
      <c r="L94" s="26"/>
      <c r="M94" s="12">
        <f t="shared" si="74"/>
        <v>743</v>
      </c>
      <c r="O94" s="20">
        <f t="shared" si="81"/>
        <v>692.16055555555567</v>
      </c>
      <c r="P94" s="29">
        <f t="shared" si="82"/>
        <v>0.33763929539295401</v>
      </c>
      <c r="Q94" s="32">
        <f t="shared" si="83"/>
        <v>1810.5</v>
      </c>
      <c r="R94" s="33">
        <f t="shared" si="84"/>
        <v>239.5</v>
      </c>
      <c r="S94" s="35">
        <f t="shared" si="72"/>
        <v>452.66055555555567</v>
      </c>
      <c r="T94" s="29">
        <f t="shared" si="73"/>
        <v>0.21251669274908716</v>
      </c>
      <c r="V94" s="19">
        <f t="shared" si="64"/>
        <v>2280</v>
      </c>
      <c r="W94" s="14">
        <f t="shared" si="65"/>
        <v>1824</v>
      </c>
    </row>
    <row r="95" spans="1:23" x14ac:dyDescent="0.25">
      <c r="A95" s="8">
        <v>745</v>
      </c>
      <c r="B95" s="1"/>
      <c r="C95" s="6"/>
      <c r="D95" s="19">
        <v>470</v>
      </c>
      <c r="E95" s="19"/>
      <c r="F95" s="19"/>
      <c r="G95" s="19"/>
      <c r="H95" s="19"/>
      <c r="I95" s="19">
        <f>SUM(D95:H95)*$I$3</f>
        <v>885.5381177003502</v>
      </c>
      <c r="J95" s="20">
        <f t="shared" ref="J95:J129" si="85">MROUND(I95*$J$3,10)</f>
        <v>1340</v>
      </c>
      <c r="K95" s="21">
        <f t="shared" si="80"/>
        <v>1390</v>
      </c>
      <c r="L95" s="26"/>
      <c r="M95" s="12">
        <f t="shared" si="74"/>
        <v>745</v>
      </c>
      <c r="O95" s="20">
        <f t="shared" si="81"/>
        <v>454.4618822996498</v>
      </c>
      <c r="P95" s="29">
        <f t="shared" si="82"/>
        <v>0.33915065843257447</v>
      </c>
      <c r="Q95" s="32">
        <f t="shared" si="83"/>
        <v>1181.5</v>
      </c>
      <c r="R95" s="33">
        <f t="shared" si="84"/>
        <v>158.5</v>
      </c>
      <c r="S95" s="35">
        <f t="shared" si="72"/>
        <v>295.9618822996498</v>
      </c>
      <c r="T95" s="29">
        <f t="shared" si="73"/>
        <v>0.21292221748176246</v>
      </c>
      <c r="V95" s="19">
        <f t="shared" si="64"/>
        <v>1490</v>
      </c>
      <c r="W95" s="14">
        <f t="shared" si="65"/>
        <v>1192</v>
      </c>
    </row>
    <row r="96" spans="1:23" x14ac:dyDescent="0.25">
      <c r="A96" s="8">
        <v>746</v>
      </c>
      <c r="B96" s="1"/>
      <c r="C96" s="6"/>
      <c r="D96" s="19">
        <v>500</v>
      </c>
      <c r="E96" s="19"/>
      <c r="F96" s="19"/>
      <c r="G96" s="19"/>
      <c r="H96" s="19"/>
      <c r="I96" s="19">
        <f>SUM(D96:H96)*$I$3</f>
        <v>942.06182734079812</v>
      </c>
      <c r="J96" s="20">
        <f t="shared" si="85"/>
        <v>1420</v>
      </c>
      <c r="K96" s="21">
        <f t="shared" si="80"/>
        <v>1480</v>
      </c>
      <c r="L96" s="26"/>
      <c r="M96" s="12">
        <f t="shared" si="74"/>
        <v>746</v>
      </c>
      <c r="O96" s="20">
        <f t="shared" si="81"/>
        <v>477.93817265920188</v>
      </c>
      <c r="P96" s="29">
        <f t="shared" si="82"/>
        <v>0.3365761779290154</v>
      </c>
      <c r="Q96" s="32">
        <f t="shared" si="83"/>
        <v>1258</v>
      </c>
      <c r="R96" s="33">
        <f t="shared" si="84"/>
        <v>162</v>
      </c>
      <c r="S96" s="35">
        <f t="shared" si="72"/>
        <v>315.93817265920188</v>
      </c>
      <c r="T96" s="29">
        <f t="shared" si="73"/>
        <v>0.21347173828324451</v>
      </c>
      <c r="V96" s="19">
        <f t="shared" si="64"/>
        <v>1580</v>
      </c>
      <c r="W96" s="14">
        <f t="shared" si="65"/>
        <v>1264</v>
      </c>
    </row>
    <row r="97" spans="1:23" x14ac:dyDescent="0.25">
      <c r="A97" s="9">
        <v>748</v>
      </c>
      <c r="B97" s="2" t="s">
        <v>48</v>
      </c>
      <c r="C97" s="6"/>
      <c r="D97" s="19">
        <v>500</v>
      </c>
      <c r="E97" s="19"/>
      <c r="F97" s="19"/>
      <c r="G97" s="19"/>
      <c r="H97" s="19"/>
      <c r="I97" s="19">
        <f>SUM(D97:H97)*$I$3</f>
        <v>942.06182734079812</v>
      </c>
      <c r="J97" s="20">
        <f t="shared" si="85"/>
        <v>1420</v>
      </c>
      <c r="K97" s="21">
        <f t="shared" si="80"/>
        <v>1480</v>
      </c>
      <c r="L97" s="26"/>
      <c r="M97" s="12">
        <f t="shared" si="74"/>
        <v>748</v>
      </c>
      <c r="O97" s="20">
        <f t="shared" si="81"/>
        <v>477.93817265920188</v>
      </c>
      <c r="P97" s="29">
        <f t="shared" si="82"/>
        <v>0.3365761779290154</v>
      </c>
      <c r="Q97" s="32">
        <f t="shared" si="83"/>
        <v>1258</v>
      </c>
      <c r="R97" s="33">
        <f t="shared" si="84"/>
        <v>162</v>
      </c>
      <c r="S97" s="35">
        <f t="shared" si="72"/>
        <v>315.93817265920188</v>
      </c>
      <c r="T97" s="29">
        <f t="shared" si="73"/>
        <v>0.21347173828324451</v>
      </c>
      <c r="V97" s="19">
        <f t="shared" si="64"/>
        <v>1580</v>
      </c>
      <c r="W97" s="14">
        <f t="shared" si="65"/>
        <v>1264</v>
      </c>
    </row>
    <row r="98" spans="1:23" x14ac:dyDescent="0.25">
      <c r="A98" s="106">
        <v>750</v>
      </c>
      <c r="B98" s="107" t="s">
        <v>72</v>
      </c>
      <c r="C98" s="108">
        <v>0.3</v>
      </c>
      <c r="D98" s="109"/>
      <c r="E98" s="109"/>
      <c r="F98" s="109"/>
      <c r="G98" s="109"/>
      <c r="H98" s="109"/>
      <c r="I98" s="109">
        <f>VLOOKUP(715,Precios,9,FALSE)+30</f>
        <v>994.50544444444438</v>
      </c>
      <c r="J98" s="20">
        <f>MROUND(I98*$J$3,10)</f>
        <v>1500</v>
      </c>
      <c r="K98" s="21">
        <f>MROUND(J98*$K$3,10)</f>
        <v>1560</v>
      </c>
      <c r="L98" s="26"/>
      <c r="M98" s="12">
        <f t="shared" si="74"/>
        <v>750</v>
      </c>
      <c r="O98" s="20">
        <f>J98-I98</f>
        <v>505.49455555555562</v>
      </c>
      <c r="P98" s="29">
        <f>O98/J98</f>
        <v>0.33699637037037039</v>
      </c>
      <c r="Q98" s="32">
        <f>K98*0.85</f>
        <v>1326</v>
      </c>
      <c r="R98" s="33">
        <f>J98-Q98</f>
        <v>174</v>
      </c>
      <c r="S98" s="35">
        <f>Q98-I98</f>
        <v>331.49455555555562</v>
      </c>
      <c r="T98" s="29">
        <f>S98/K98</f>
        <v>0.21249650997151001</v>
      </c>
      <c r="V98" s="19">
        <f t="shared" si="64"/>
        <v>1670</v>
      </c>
      <c r="W98" s="14">
        <f t="shared" si="65"/>
        <v>1336</v>
      </c>
    </row>
    <row r="99" spans="1:23" x14ac:dyDescent="0.25">
      <c r="A99" s="9">
        <v>751</v>
      </c>
      <c r="B99" s="2" t="s">
        <v>49</v>
      </c>
      <c r="C99" s="6"/>
      <c r="D99" s="19">
        <v>500</v>
      </c>
      <c r="E99" s="19"/>
      <c r="F99" s="19"/>
      <c r="G99" s="19"/>
      <c r="H99" s="19"/>
      <c r="I99" s="19">
        <f>SUM(D99:H99)*$I$3</f>
        <v>942.06182734079812</v>
      </c>
      <c r="J99" s="20">
        <f>MROUND(I99*$J$3,10)-40</f>
        <v>1380</v>
      </c>
      <c r="K99" s="21">
        <f t="shared" si="80"/>
        <v>1440</v>
      </c>
      <c r="L99" s="26"/>
      <c r="M99" s="12">
        <f t="shared" si="74"/>
        <v>751</v>
      </c>
      <c r="O99" s="20">
        <f t="shared" si="81"/>
        <v>437.93817265920188</v>
      </c>
      <c r="P99" s="29">
        <f t="shared" si="82"/>
        <v>0.3173465019269579</v>
      </c>
      <c r="Q99" s="32">
        <f t="shared" si="83"/>
        <v>1224</v>
      </c>
      <c r="R99" s="33">
        <f t="shared" si="84"/>
        <v>156</v>
      </c>
      <c r="S99" s="35">
        <f t="shared" si="72"/>
        <v>281.93817265920188</v>
      </c>
      <c r="T99" s="29">
        <f t="shared" si="73"/>
        <v>0.19579039768000131</v>
      </c>
      <c r="V99" s="19">
        <f t="shared" si="64"/>
        <v>1580</v>
      </c>
      <c r="W99" s="14">
        <f t="shared" si="65"/>
        <v>1264</v>
      </c>
    </row>
    <row r="100" spans="1:23" x14ac:dyDescent="0.25">
      <c r="A100" s="9">
        <v>753</v>
      </c>
      <c r="B100" s="98" t="s">
        <v>50</v>
      </c>
      <c r="C100" s="6">
        <v>0.45</v>
      </c>
      <c r="D100" s="19">
        <v>500</v>
      </c>
      <c r="E100" s="19"/>
      <c r="F100" s="19"/>
      <c r="G100" s="19"/>
      <c r="H100" s="19"/>
      <c r="I100" s="19">
        <f>SUM(D100:H100)*$I$3</f>
        <v>942.06182734079812</v>
      </c>
      <c r="J100" s="20">
        <f>MROUND(I100*$J$3,10)-40</f>
        <v>1380</v>
      </c>
      <c r="K100" s="21">
        <f t="shared" si="80"/>
        <v>1440</v>
      </c>
      <c r="L100" s="26"/>
      <c r="M100" s="12">
        <f t="shared" si="74"/>
        <v>753</v>
      </c>
      <c r="O100" s="20">
        <f t="shared" si="81"/>
        <v>437.93817265920188</v>
      </c>
      <c r="P100" s="29">
        <f t="shared" si="82"/>
        <v>0.3173465019269579</v>
      </c>
      <c r="Q100" s="32">
        <f t="shared" si="83"/>
        <v>1224</v>
      </c>
      <c r="R100" s="33">
        <f t="shared" si="84"/>
        <v>156</v>
      </c>
      <c r="S100" s="35">
        <f t="shared" si="72"/>
        <v>281.93817265920188</v>
      </c>
      <c r="T100" s="29">
        <f t="shared" si="73"/>
        <v>0.19579039768000131</v>
      </c>
      <c r="V100" s="19">
        <f t="shared" si="64"/>
        <v>1580</v>
      </c>
      <c r="W100" s="14">
        <f t="shared" si="65"/>
        <v>1264</v>
      </c>
    </row>
    <row r="101" spans="1:23" x14ac:dyDescent="0.25">
      <c r="A101" s="106">
        <v>754</v>
      </c>
      <c r="B101" s="107" t="s">
        <v>189</v>
      </c>
      <c r="C101" s="108"/>
      <c r="D101" s="109"/>
      <c r="E101" s="109"/>
      <c r="F101" s="109"/>
      <c r="G101" s="109"/>
      <c r="H101" s="109"/>
      <c r="I101" s="109">
        <f>VLOOKUP(715,Precios,9,FALSE)+30</f>
        <v>994.50544444444438</v>
      </c>
      <c r="J101" s="20">
        <f t="shared" si="85"/>
        <v>1500</v>
      </c>
      <c r="K101" s="21">
        <f t="shared" si="80"/>
        <v>1560</v>
      </c>
      <c r="L101" s="26"/>
      <c r="M101" s="12">
        <f t="shared" si="74"/>
        <v>754</v>
      </c>
      <c r="O101" s="20">
        <f t="shared" si="81"/>
        <v>505.49455555555562</v>
      </c>
      <c r="P101" s="29">
        <f t="shared" si="82"/>
        <v>0.33699637037037039</v>
      </c>
      <c r="Q101" s="32">
        <f t="shared" ref="Q101:Q102" si="86">K101*0.85</f>
        <v>1326</v>
      </c>
      <c r="R101" s="33">
        <f t="shared" ref="R101:R102" si="87">J101-Q101</f>
        <v>174</v>
      </c>
      <c r="S101" s="35">
        <f t="shared" si="72"/>
        <v>331.49455555555562</v>
      </c>
      <c r="T101" s="29">
        <f t="shared" si="73"/>
        <v>0.21249650997151001</v>
      </c>
      <c r="V101" s="19">
        <f t="shared" si="64"/>
        <v>1670</v>
      </c>
      <c r="W101" s="14">
        <f t="shared" si="65"/>
        <v>1336</v>
      </c>
    </row>
    <row r="102" spans="1:23" x14ac:dyDescent="0.25">
      <c r="A102" s="106">
        <v>755</v>
      </c>
      <c r="B102" s="107" t="s">
        <v>190</v>
      </c>
      <c r="C102" s="108"/>
      <c r="D102" s="109"/>
      <c r="E102" s="109"/>
      <c r="F102" s="109"/>
      <c r="G102" s="109"/>
      <c r="H102" s="109"/>
      <c r="I102" s="109">
        <f>VLOOKUP(715,Precios,9,FALSE)+30</f>
        <v>994.50544444444438</v>
      </c>
      <c r="J102" s="20">
        <f t="shared" si="85"/>
        <v>1500</v>
      </c>
      <c r="K102" s="21">
        <f t="shared" si="80"/>
        <v>1560</v>
      </c>
      <c r="L102" s="26"/>
      <c r="M102" s="12">
        <f t="shared" si="74"/>
        <v>755</v>
      </c>
      <c r="O102" s="20">
        <f t="shared" si="81"/>
        <v>505.49455555555562</v>
      </c>
      <c r="P102" s="29">
        <f t="shared" si="82"/>
        <v>0.33699637037037039</v>
      </c>
      <c r="Q102" s="32">
        <f t="shared" si="86"/>
        <v>1326</v>
      </c>
      <c r="R102" s="33">
        <f t="shared" si="87"/>
        <v>174</v>
      </c>
      <c r="S102" s="35">
        <f t="shared" si="72"/>
        <v>331.49455555555562</v>
      </c>
      <c r="T102" s="29">
        <f t="shared" si="73"/>
        <v>0.21249650997151001</v>
      </c>
      <c r="V102" s="19">
        <f t="shared" si="64"/>
        <v>1670</v>
      </c>
      <c r="W102" s="14">
        <f t="shared" si="65"/>
        <v>1336</v>
      </c>
    </row>
    <row r="103" spans="1:23" x14ac:dyDescent="0.25">
      <c r="A103" s="9">
        <v>756</v>
      </c>
      <c r="B103" s="2" t="s">
        <v>284</v>
      </c>
      <c r="C103" s="6"/>
      <c r="D103" s="19">
        <v>470</v>
      </c>
      <c r="E103" s="19"/>
      <c r="F103" s="19"/>
      <c r="G103" s="19"/>
      <c r="H103" s="19"/>
      <c r="I103" s="59">
        <v>1000</v>
      </c>
      <c r="J103" s="20">
        <f t="shared" si="85"/>
        <v>1510</v>
      </c>
      <c r="K103" s="21">
        <f t="shared" si="80"/>
        <v>1570</v>
      </c>
      <c r="L103" s="26"/>
      <c r="M103" s="12">
        <f t="shared" si="74"/>
        <v>756</v>
      </c>
      <c r="O103" s="20">
        <f t="shared" si="81"/>
        <v>510</v>
      </c>
      <c r="P103" s="29">
        <f t="shared" si="82"/>
        <v>0.33774834437086093</v>
      </c>
      <c r="Q103" s="32">
        <f t="shared" si="83"/>
        <v>1334.5</v>
      </c>
      <c r="R103" s="33">
        <f t="shared" si="84"/>
        <v>175.5</v>
      </c>
      <c r="S103" s="35">
        <f t="shared" si="72"/>
        <v>334.5</v>
      </c>
      <c r="T103" s="29">
        <f t="shared" si="73"/>
        <v>0.21305732484076434</v>
      </c>
      <c r="V103" s="59">
        <f t="shared" si="64"/>
        <v>1680</v>
      </c>
      <c r="W103" s="14">
        <f t="shared" si="65"/>
        <v>1344</v>
      </c>
    </row>
    <row r="104" spans="1:23" x14ac:dyDescent="0.25">
      <c r="A104" s="106">
        <v>757</v>
      </c>
      <c r="B104" s="107" t="s">
        <v>51</v>
      </c>
      <c r="C104" s="108">
        <v>0.4</v>
      </c>
      <c r="D104" s="109"/>
      <c r="E104" s="109"/>
      <c r="F104" s="109"/>
      <c r="G104" s="109"/>
      <c r="H104" s="109"/>
      <c r="I104" s="109">
        <f>VLOOKUP(715,Precios,9,FALSE)+30</f>
        <v>994.50544444444438</v>
      </c>
      <c r="J104" s="20">
        <f t="shared" si="85"/>
        <v>1500</v>
      </c>
      <c r="K104" s="21">
        <f t="shared" si="80"/>
        <v>1560</v>
      </c>
      <c r="L104" s="26"/>
      <c r="M104" s="12">
        <f t="shared" si="74"/>
        <v>757</v>
      </c>
      <c r="O104" s="20">
        <f t="shared" si="81"/>
        <v>505.49455555555562</v>
      </c>
      <c r="P104" s="29">
        <f t="shared" si="82"/>
        <v>0.33699637037037039</v>
      </c>
      <c r="Q104" s="32">
        <f t="shared" si="83"/>
        <v>1326</v>
      </c>
      <c r="R104" s="33">
        <f t="shared" si="84"/>
        <v>174</v>
      </c>
      <c r="S104" s="35">
        <f t="shared" si="72"/>
        <v>331.49455555555562</v>
      </c>
      <c r="T104" s="29">
        <f t="shared" si="73"/>
        <v>0.21249650997151001</v>
      </c>
      <c r="V104" s="19">
        <f t="shared" si="64"/>
        <v>1670</v>
      </c>
      <c r="W104" s="14">
        <f t="shared" si="65"/>
        <v>1336</v>
      </c>
    </row>
    <row r="105" spans="1:23" x14ac:dyDescent="0.25">
      <c r="A105" s="133">
        <v>762</v>
      </c>
      <c r="B105" s="138" t="s">
        <v>244</v>
      </c>
      <c r="C105" s="139">
        <v>0.25</v>
      </c>
      <c r="D105" s="140">
        <v>415.77499999999998</v>
      </c>
      <c r="E105" s="136">
        <v>200</v>
      </c>
      <c r="F105" s="140">
        <v>100</v>
      </c>
      <c r="G105" s="140">
        <v>0</v>
      </c>
      <c r="H105" s="136">
        <v>25.5</v>
      </c>
      <c r="I105" s="136">
        <f>SUM(D105:H105)</f>
        <v>741.27499999999998</v>
      </c>
      <c r="J105" s="20">
        <f t="shared" si="85"/>
        <v>1120</v>
      </c>
      <c r="K105" s="21">
        <f t="shared" si="80"/>
        <v>1160</v>
      </c>
      <c r="L105" s="26"/>
      <c r="M105" s="12">
        <f t="shared" si="74"/>
        <v>762</v>
      </c>
      <c r="O105" s="20">
        <f t="shared" ref="O105" si="88">J105-I105</f>
        <v>378.72500000000002</v>
      </c>
      <c r="P105" s="29">
        <f t="shared" ref="P105" si="89">O105/J105</f>
        <v>0.33814732142857146</v>
      </c>
      <c r="Q105" s="32">
        <f t="shared" ref="Q105" si="90">K105*0.85</f>
        <v>986</v>
      </c>
      <c r="R105" s="33">
        <f t="shared" ref="R105" si="91">J105-Q105</f>
        <v>134</v>
      </c>
      <c r="S105" s="35">
        <f t="shared" ref="S105" si="92">Q105-I105</f>
        <v>244.72500000000002</v>
      </c>
      <c r="T105" s="29">
        <f t="shared" ref="T105" si="93">S105/K105</f>
        <v>0.21096982758620692</v>
      </c>
      <c r="V105" s="19">
        <f t="shared" si="64"/>
        <v>1250</v>
      </c>
      <c r="W105" s="14">
        <f t="shared" si="65"/>
        <v>1000</v>
      </c>
    </row>
    <row r="106" spans="1:23" x14ac:dyDescent="0.25">
      <c r="A106" s="133">
        <v>763</v>
      </c>
      <c r="B106" s="134" t="s">
        <v>156</v>
      </c>
      <c r="C106" s="135">
        <v>0.32</v>
      </c>
      <c r="D106" s="136">
        <v>532.19200000000001</v>
      </c>
      <c r="E106" s="136">
        <v>240</v>
      </c>
      <c r="F106" s="136">
        <v>213.44444444444446</v>
      </c>
      <c r="G106" s="136">
        <v>0</v>
      </c>
      <c r="H106" s="136">
        <v>25.5</v>
      </c>
      <c r="I106" s="136">
        <f>SUM(D106:H106)</f>
        <v>1011.1364444444445</v>
      </c>
      <c r="J106" s="20">
        <f t="shared" ref="J106" si="94">MROUND(I106*$J$3,10)</f>
        <v>1530</v>
      </c>
      <c r="K106" s="21">
        <f t="shared" ref="K106" si="95">MROUND(J106*$K$3,10)</f>
        <v>1590</v>
      </c>
      <c r="L106" s="26"/>
      <c r="M106" s="12">
        <f t="shared" si="74"/>
        <v>763</v>
      </c>
      <c r="O106" s="20">
        <f t="shared" ref="O106" si="96">J106-I106</f>
        <v>518.86355555555554</v>
      </c>
      <c r="P106" s="29">
        <f t="shared" ref="P106" si="97">O106/J106</f>
        <v>0.33912650689905588</v>
      </c>
      <c r="Q106" s="32">
        <f t="shared" ref="Q106" si="98">K106*0.85</f>
        <v>1351.5</v>
      </c>
      <c r="R106" s="33">
        <f t="shared" ref="R106" si="99">J106-Q106</f>
        <v>178.5</v>
      </c>
      <c r="S106" s="35">
        <f t="shared" ref="S106" si="100">Q106-I106</f>
        <v>340.36355555555554</v>
      </c>
      <c r="T106" s="29">
        <f t="shared" ref="T106" si="101">S106/K106</f>
        <v>0.21406512928022361</v>
      </c>
      <c r="V106" s="19">
        <f t="shared" si="64"/>
        <v>1700</v>
      </c>
      <c r="W106" s="14">
        <f t="shared" si="65"/>
        <v>1360</v>
      </c>
    </row>
    <row r="107" spans="1:23" x14ac:dyDescent="0.25">
      <c r="A107" s="9">
        <v>765</v>
      </c>
      <c r="B107" s="2"/>
      <c r="C107" s="6">
        <v>0.3</v>
      </c>
      <c r="D107" s="19">
        <v>250</v>
      </c>
      <c r="E107" s="19">
        <v>150</v>
      </c>
      <c r="F107" s="19">
        <v>150</v>
      </c>
      <c r="G107" s="19">
        <v>40</v>
      </c>
      <c r="H107" s="19">
        <v>30</v>
      </c>
      <c r="I107" s="19">
        <f>SUM(D107:H107)*$I$3</f>
        <v>1168.1566659025898</v>
      </c>
      <c r="J107" s="20">
        <f t="shared" si="85"/>
        <v>1760</v>
      </c>
      <c r="K107" s="21">
        <f t="shared" si="80"/>
        <v>1830</v>
      </c>
      <c r="L107" s="26"/>
      <c r="M107" s="12">
        <f t="shared" ref="M107:M126" si="102">A107</f>
        <v>765</v>
      </c>
      <c r="O107" s="20">
        <f t="shared" si="81"/>
        <v>591.84333409741021</v>
      </c>
      <c r="P107" s="29">
        <f t="shared" si="82"/>
        <v>0.33627462164625582</v>
      </c>
      <c r="Q107" s="32">
        <f t="shared" si="83"/>
        <v>1555.5</v>
      </c>
      <c r="R107" s="33">
        <f t="shared" si="84"/>
        <v>204.5</v>
      </c>
      <c r="S107" s="35">
        <f t="shared" si="72"/>
        <v>387.34333409741021</v>
      </c>
      <c r="T107" s="29">
        <f t="shared" si="73"/>
        <v>0.21166302409694546</v>
      </c>
      <c r="V107" s="19">
        <f t="shared" si="64"/>
        <v>1960</v>
      </c>
      <c r="W107" s="14">
        <f t="shared" si="65"/>
        <v>1568</v>
      </c>
    </row>
    <row r="108" spans="1:23" x14ac:dyDescent="0.25">
      <c r="A108" s="9">
        <v>779</v>
      </c>
      <c r="B108" s="2"/>
      <c r="C108" s="6"/>
      <c r="D108" s="19">
        <v>500</v>
      </c>
      <c r="E108" s="19"/>
      <c r="F108" s="19"/>
      <c r="G108" s="19"/>
      <c r="H108" s="19"/>
      <c r="I108" s="19">
        <f>SUM(D108:H108)*$I$3</f>
        <v>942.06182734079812</v>
      </c>
      <c r="J108" s="20">
        <f t="shared" si="85"/>
        <v>1420</v>
      </c>
      <c r="K108" s="21">
        <f t="shared" si="80"/>
        <v>1480</v>
      </c>
      <c r="L108" s="26"/>
      <c r="M108" s="12">
        <f t="shared" si="102"/>
        <v>779</v>
      </c>
      <c r="O108" s="20">
        <f t="shared" si="81"/>
        <v>477.93817265920188</v>
      </c>
      <c r="P108" s="29">
        <f t="shared" si="82"/>
        <v>0.3365761779290154</v>
      </c>
      <c r="Q108" s="32">
        <f t="shared" si="83"/>
        <v>1258</v>
      </c>
      <c r="R108" s="33">
        <f t="shared" si="84"/>
        <v>162</v>
      </c>
      <c r="S108" s="35">
        <f t="shared" si="72"/>
        <v>315.93817265920188</v>
      </c>
      <c r="T108" s="29">
        <f t="shared" si="73"/>
        <v>0.21347173828324451</v>
      </c>
      <c r="V108" s="19">
        <f t="shared" si="64"/>
        <v>1580</v>
      </c>
      <c r="W108" s="14">
        <f t="shared" si="65"/>
        <v>1264</v>
      </c>
    </row>
    <row r="109" spans="1:23" x14ac:dyDescent="0.25">
      <c r="A109" s="9">
        <v>780</v>
      </c>
      <c r="B109" s="2"/>
      <c r="C109" s="6"/>
      <c r="D109" s="19">
        <v>470</v>
      </c>
      <c r="E109" s="19"/>
      <c r="F109" s="19"/>
      <c r="G109" s="19"/>
      <c r="H109" s="19"/>
      <c r="I109" s="19">
        <f>SUM(D109:H109)*$I$3</f>
        <v>885.5381177003502</v>
      </c>
      <c r="J109" s="20">
        <f t="shared" si="85"/>
        <v>1340</v>
      </c>
      <c r="K109" s="21">
        <f t="shared" si="80"/>
        <v>1390</v>
      </c>
      <c r="L109" s="26"/>
      <c r="M109" s="12">
        <f t="shared" si="102"/>
        <v>780</v>
      </c>
      <c r="O109" s="20">
        <f t="shared" si="81"/>
        <v>454.4618822996498</v>
      </c>
      <c r="P109" s="29">
        <f t="shared" si="82"/>
        <v>0.33915065843257447</v>
      </c>
      <c r="Q109" s="32">
        <f t="shared" si="83"/>
        <v>1181.5</v>
      </c>
      <c r="R109" s="33">
        <f t="shared" si="84"/>
        <v>158.5</v>
      </c>
      <c r="S109" s="35">
        <f t="shared" si="72"/>
        <v>295.9618822996498</v>
      </c>
      <c r="T109" s="29">
        <f t="shared" si="73"/>
        <v>0.21292221748176246</v>
      </c>
      <c r="V109" s="19">
        <f t="shared" si="64"/>
        <v>1490</v>
      </c>
      <c r="W109" s="14">
        <f t="shared" si="65"/>
        <v>1192</v>
      </c>
    </row>
    <row r="110" spans="1:23" x14ac:dyDescent="0.25">
      <c r="A110" s="133">
        <v>800</v>
      </c>
      <c r="B110" s="134" t="s">
        <v>52</v>
      </c>
      <c r="C110" s="135">
        <v>0.33</v>
      </c>
      <c r="D110" s="136">
        <v>439.59300000000002</v>
      </c>
      <c r="E110" s="136">
        <v>120</v>
      </c>
      <c r="F110" s="136">
        <v>193.44444444444446</v>
      </c>
      <c r="G110" s="136">
        <v>0</v>
      </c>
      <c r="H110" s="136">
        <v>25.5</v>
      </c>
      <c r="I110" s="136">
        <f>SUM(D110:H110)</f>
        <v>778.53744444444453</v>
      </c>
      <c r="J110" s="20">
        <f t="shared" si="85"/>
        <v>1180</v>
      </c>
      <c r="K110" s="21">
        <f t="shared" si="80"/>
        <v>1230</v>
      </c>
      <c r="L110" s="26"/>
      <c r="M110" s="12">
        <f t="shared" si="102"/>
        <v>800</v>
      </c>
      <c r="O110" s="20">
        <f t="shared" si="81"/>
        <v>401.46255555555547</v>
      </c>
      <c r="P110" s="29">
        <f t="shared" si="82"/>
        <v>0.34022250470809784</v>
      </c>
      <c r="Q110" s="32">
        <f t="shared" si="83"/>
        <v>1045.5</v>
      </c>
      <c r="R110" s="33">
        <f t="shared" si="84"/>
        <v>134.5</v>
      </c>
      <c r="S110" s="35">
        <f t="shared" si="72"/>
        <v>266.96255555555547</v>
      </c>
      <c r="T110" s="29">
        <f t="shared" si="73"/>
        <v>0.21704272809394753</v>
      </c>
      <c r="V110" s="19">
        <f t="shared" si="64"/>
        <v>1310</v>
      </c>
      <c r="W110" s="14">
        <f t="shared" si="65"/>
        <v>1048</v>
      </c>
    </row>
    <row r="111" spans="1:23" x14ac:dyDescent="0.25">
      <c r="A111" s="133">
        <v>801</v>
      </c>
      <c r="B111" s="134" t="s">
        <v>53</v>
      </c>
      <c r="C111" s="135">
        <v>0.4</v>
      </c>
      <c r="D111" s="136">
        <v>532.84</v>
      </c>
      <c r="E111" s="136">
        <v>200</v>
      </c>
      <c r="F111" s="136">
        <v>193.44444444444446</v>
      </c>
      <c r="G111" s="136">
        <v>0</v>
      </c>
      <c r="H111" s="136">
        <v>25.5</v>
      </c>
      <c r="I111" s="136">
        <f>SUM(D111:H111)</f>
        <v>951.78444444444449</v>
      </c>
      <c r="J111" s="20">
        <f t="shared" si="85"/>
        <v>1440</v>
      </c>
      <c r="K111" s="21">
        <f t="shared" si="80"/>
        <v>1500</v>
      </c>
      <c r="L111" s="26"/>
      <c r="M111" s="12">
        <f t="shared" si="102"/>
        <v>801</v>
      </c>
      <c r="O111" s="20">
        <f t="shared" si="81"/>
        <v>488.21555555555551</v>
      </c>
      <c r="P111" s="29">
        <f t="shared" si="82"/>
        <v>0.33903858024691352</v>
      </c>
      <c r="Q111" s="32">
        <f t="shared" si="83"/>
        <v>1275</v>
      </c>
      <c r="R111" s="33">
        <f t="shared" si="84"/>
        <v>165</v>
      </c>
      <c r="S111" s="35">
        <f t="shared" si="72"/>
        <v>323.21555555555551</v>
      </c>
      <c r="T111" s="29">
        <f t="shared" si="73"/>
        <v>0.21547703703703699</v>
      </c>
      <c r="V111" s="19">
        <f t="shared" si="64"/>
        <v>1600</v>
      </c>
      <c r="W111" s="14">
        <f t="shared" si="65"/>
        <v>1280</v>
      </c>
    </row>
    <row r="112" spans="1:23" x14ac:dyDescent="0.25">
      <c r="A112" s="133">
        <v>806</v>
      </c>
      <c r="B112" s="134" t="s">
        <v>54</v>
      </c>
      <c r="C112" s="135">
        <v>0.25</v>
      </c>
      <c r="D112" s="136">
        <v>333.02499999999998</v>
      </c>
      <c r="E112" s="136">
        <v>150</v>
      </c>
      <c r="F112" s="136">
        <v>174.44444444444446</v>
      </c>
      <c r="G112" s="136">
        <v>0</v>
      </c>
      <c r="H112" s="136">
        <v>25.5</v>
      </c>
      <c r="I112" s="136">
        <f>SUM(D112:H112)</f>
        <v>682.96944444444443</v>
      </c>
      <c r="J112" s="20">
        <f t="shared" si="85"/>
        <v>1030</v>
      </c>
      <c r="K112" s="21">
        <f t="shared" si="80"/>
        <v>1070</v>
      </c>
      <c r="L112" s="26"/>
      <c r="M112" s="12">
        <f t="shared" si="102"/>
        <v>806</v>
      </c>
      <c r="O112" s="20">
        <f t="shared" si="81"/>
        <v>347.03055555555557</v>
      </c>
      <c r="P112" s="29">
        <f t="shared" si="82"/>
        <v>0.33692286947141314</v>
      </c>
      <c r="Q112" s="32">
        <f t="shared" si="83"/>
        <v>909.5</v>
      </c>
      <c r="R112" s="33">
        <f t="shared" si="84"/>
        <v>120.5</v>
      </c>
      <c r="S112" s="35">
        <f t="shared" si="72"/>
        <v>226.53055555555557</v>
      </c>
      <c r="T112" s="29">
        <f t="shared" si="73"/>
        <v>0.21171079958463138</v>
      </c>
      <c r="V112" s="19">
        <f t="shared" si="64"/>
        <v>1150</v>
      </c>
      <c r="W112" s="14">
        <f t="shared" si="65"/>
        <v>920</v>
      </c>
    </row>
    <row r="113" spans="1:23" x14ac:dyDescent="0.25">
      <c r="A113" s="8">
        <v>844</v>
      </c>
      <c r="B113" s="1" t="s">
        <v>55</v>
      </c>
      <c r="C113" s="6"/>
      <c r="D113" s="19">
        <v>500</v>
      </c>
      <c r="E113" s="19"/>
      <c r="F113" s="19"/>
      <c r="G113" s="19"/>
      <c r="H113" s="19"/>
      <c r="I113" s="19">
        <f t="shared" ref="I113:I126" si="103">SUM(D113:H113)*$I$3</f>
        <v>942.06182734079812</v>
      </c>
      <c r="J113" s="20">
        <f t="shared" si="85"/>
        <v>1420</v>
      </c>
      <c r="K113" s="21">
        <f t="shared" si="80"/>
        <v>1480</v>
      </c>
      <c r="L113" s="26"/>
      <c r="M113" s="12">
        <f t="shared" si="102"/>
        <v>844</v>
      </c>
      <c r="O113" s="20">
        <f t="shared" si="81"/>
        <v>477.93817265920188</v>
      </c>
      <c r="P113" s="29">
        <f t="shared" si="82"/>
        <v>0.3365761779290154</v>
      </c>
      <c r="Q113" s="32">
        <f t="shared" si="83"/>
        <v>1258</v>
      </c>
      <c r="R113" s="33">
        <f t="shared" si="84"/>
        <v>162</v>
      </c>
      <c r="S113" s="35">
        <f t="shared" si="72"/>
        <v>315.93817265920188</v>
      </c>
      <c r="T113" s="29">
        <f t="shared" si="73"/>
        <v>0.21347173828324451</v>
      </c>
      <c r="V113" s="19">
        <f t="shared" si="64"/>
        <v>1580</v>
      </c>
      <c r="W113" s="14">
        <f t="shared" si="65"/>
        <v>1264</v>
      </c>
    </row>
    <row r="114" spans="1:23" x14ac:dyDescent="0.25">
      <c r="A114" s="8">
        <v>849</v>
      </c>
      <c r="B114" s="1"/>
      <c r="C114" s="6"/>
      <c r="D114" s="19">
        <v>500</v>
      </c>
      <c r="E114" s="19"/>
      <c r="F114" s="19"/>
      <c r="G114" s="19"/>
      <c r="H114" s="19"/>
      <c r="I114" s="19">
        <f t="shared" si="103"/>
        <v>942.06182734079812</v>
      </c>
      <c r="J114" s="20">
        <f t="shared" ref="J114" si="104">MROUND(I114*$J$3,10)</f>
        <v>1420</v>
      </c>
      <c r="K114" s="21">
        <f t="shared" ref="K114" si="105">MROUND(J114*$K$3,10)</f>
        <v>1480</v>
      </c>
      <c r="L114" s="26"/>
      <c r="M114" s="12">
        <f t="shared" si="102"/>
        <v>849</v>
      </c>
      <c r="O114" s="20">
        <f t="shared" ref="O114" si="106">J114-I114</f>
        <v>477.93817265920188</v>
      </c>
      <c r="P114" s="29">
        <f t="shared" ref="P114" si="107">O114/J114</f>
        <v>0.3365761779290154</v>
      </c>
      <c r="Q114" s="32">
        <f t="shared" ref="Q114" si="108">K114*0.85</f>
        <v>1258</v>
      </c>
      <c r="R114" s="33">
        <f t="shared" ref="R114" si="109">J114-Q114</f>
        <v>162</v>
      </c>
      <c r="S114" s="35">
        <f t="shared" si="72"/>
        <v>315.93817265920188</v>
      </c>
      <c r="T114" s="29">
        <f t="shared" si="73"/>
        <v>0.21347173828324451</v>
      </c>
      <c r="V114" s="19">
        <f t="shared" si="64"/>
        <v>1580</v>
      </c>
      <c r="W114" s="14">
        <f t="shared" si="65"/>
        <v>1264</v>
      </c>
    </row>
    <row r="115" spans="1:23" x14ac:dyDescent="0.25">
      <c r="A115" s="8">
        <v>851</v>
      </c>
      <c r="B115" s="1" t="s">
        <v>56</v>
      </c>
      <c r="C115" s="6">
        <v>0.3</v>
      </c>
      <c r="D115" s="19">
        <v>180</v>
      </c>
      <c r="E115" s="19">
        <v>150</v>
      </c>
      <c r="F115" s="19">
        <v>150</v>
      </c>
      <c r="G115" s="19">
        <v>50</v>
      </c>
      <c r="H115" s="19">
        <v>40</v>
      </c>
      <c r="I115" s="19">
        <f t="shared" si="103"/>
        <v>1073.9504831685099</v>
      </c>
      <c r="J115" s="20">
        <f t="shared" si="85"/>
        <v>1620</v>
      </c>
      <c r="K115" s="21">
        <f t="shared" si="80"/>
        <v>1680</v>
      </c>
      <c r="L115" s="26"/>
      <c r="M115" s="12">
        <f t="shared" si="102"/>
        <v>851</v>
      </c>
      <c r="O115" s="20">
        <f t="shared" si="81"/>
        <v>546.04951683149011</v>
      </c>
      <c r="P115" s="29">
        <f t="shared" si="82"/>
        <v>0.33706760298240129</v>
      </c>
      <c r="Q115" s="32">
        <f t="shared" si="83"/>
        <v>1428</v>
      </c>
      <c r="R115" s="33">
        <f t="shared" si="84"/>
        <v>192</v>
      </c>
      <c r="S115" s="35">
        <f t="shared" si="72"/>
        <v>354.04951683149011</v>
      </c>
      <c r="T115" s="29">
        <f t="shared" si="73"/>
        <v>0.21074376001874412</v>
      </c>
      <c r="V115" s="19">
        <f t="shared" si="64"/>
        <v>1800</v>
      </c>
      <c r="W115" s="14">
        <f t="shared" si="65"/>
        <v>1440</v>
      </c>
    </row>
    <row r="116" spans="1:23" x14ac:dyDescent="0.25">
      <c r="A116" s="8">
        <v>860</v>
      </c>
      <c r="B116" s="99" t="s">
        <v>191</v>
      </c>
      <c r="C116" s="6"/>
      <c r="D116" s="19">
        <v>395</v>
      </c>
      <c r="E116" s="19"/>
      <c r="F116" s="19"/>
      <c r="G116" s="19"/>
      <c r="H116" s="19"/>
      <c r="I116" s="19">
        <f t="shared" si="103"/>
        <v>744.22884359923057</v>
      </c>
      <c r="J116" s="20">
        <f t="shared" si="85"/>
        <v>1120</v>
      </c>
      <c r="K116" s="21">
        <f t="shared" si="80"/>
        <v>1160</v>
      </c>
      <c r="L116" s="26"/>
      <c r="M116" s="12">
        <f t="shared" si="102"/>
        <v>860</v>
      </c>
      <c r="O116" s="20">
        <f t="shared" si="81"/>
        <v>375.77115640076943</v>
      </c>
      <c r="P116" s="29">
        <f t="shared" si="82"/>
        <v>0.33550996107211556</v>
      </c>
      <c r="Q116" s="32">
        <f t="shared" si="83"/>
        <v>986</v>
      </c>
      <c r="R116" s="33">
        <f t="shared" si="84"/>
        <v>134</v>
      </c>
      <c r="S116" s="35">
        <f t="shared" si="72"/>
        <v>241.77115640076943</v>
      </c>
      <c r="T116" s="29">
        <f t="shared" si="73"/>
        <v>0.20842341069031847</v>
      </c>
      <c r="V116" s="19">
        <f t="shared" si="64"/>
        <v>1250</v>
      </c>
      <c r="W116" s="14">
        <f t="shared" si="65"/>
        <v>1000</v>
      </c>
    </row>
    <row r="117" spans="1:23" x14ac:dyDescent="0.25">
      <c r="A117" s="8">
        <v>877</v>
      </c>
      <c r="B117" s="1" t="s">
        <v>73</v>
      </c>
      <c r="C117" s="6"/>
      <c r="D117" s="19">
        <v>500</v>
      </c>
      <c r="E117" s="19"/>
      <c r="F117" s="19"/>
      <c r="G117" s="19"/>
      <c r="H117" s="19"/>
      <c r="I117" s="19">
        <f t="shared" si="103"/>
        <v>942.06182734079812</v>
      </c>
      <c r="J117" s="20">
        <f t="shared" si="85"/>
        <v>1420</v>
      </c>
      <c r="K117" s="21">
        <f t="shared" si="80"/>
        <v>1480</v>
      </c>
      <c r="L117" s="26" t="s">
        <v>108</v>
      </c>
      <c r="M117" s="12">
        <f t="shared" si="102"/>
        <v>877</v>
      </c>
      <c r="O117" s="20">
        <f t="shared" si="81"/>
        <v>477.93817265920188</v>
      </c>
      <c r="P117" s="29">
        <f t="shared" si="82"/>
        <v>0.3365761779290154</v>
      </c>
      <c r="Q117" s="32">
        <f t="shared" si="83"/>
        <v>1258</v>
      </c>
      <c r="R117" s="33">
        <f t="shared" si="84"/>
        <v>162</v>
      </c>
      <c r="S117" s="35">
        <f t="shared" si="72"/>
        <v>315.93817265920188</v>
      </c>
      <c r="T117" s="29">
        <f t="shared" si="73"/>
        <v>0.21347173828324451</v>
      </c>
      <c r="V117" s="19">
        <f t="shared" si="64"/>
        <v>1580</v>
      </c>
      <c r="W117" s="14">
        <f t="shared" si="65"/>
        <v>1264</v>
      </c>
    </row>
    <row r="118" spans="1:23" x14ac:dyDescent="0.25">
      <c r="A118" s="8">
        <v>1300</v>
      </c>
      <c r="B118" s="98" t="s">
        <v>192</v>
      </c>
      <c r="C118" s="6">
        <v>0.3</v>
      </c>
      <c r="D118" s="19">
        <v>300</v>
      </c>
      <c r="E118" s="19">
        <v>120</v>
      </c>
      <c r="F118" s="19">
        <v>120</v>
      </c>
      <c r="G118" s="19">
        <v>50</v>
      </c>
      <c r="H118" s="19">
        <v>40</v>
      </c>
      <c r="I118" s="19">
        <f t="shared" si="103"/>
        <v>1186.9979024494057</v>
      </c>
      <c r="J118" s="20">
        <v>990</v>
      </c>
      <c r="K118" s="21">
        <f t="shared" si="80"/>
        <v>1030</v>
      </c>
      <c r="L118" s="26"/>
      <c r="M118" s="12">
        <f t="shared" si="102"/>
        <v>1300</v>
      </c>
      <c r="O118" s="20">
        <f t="shared" si="81"/>
        <v>-196.99790244940573</v>
      </c>
      <c r="P118" s="29">
        <f t="shared" si="82"/>
        <v>-0.19898778025192498</v>
      </c>
      <c r="Q118" s="32">
        <f t="shared" si="83"/>
        <v>875.5</v>
      </c>
      <c r="R118" s="33">
        <f t="shared" si="84"/>
        <v>114.5</v>
      </c>
      <c r="S118" s="35">
        <f t="shared" si="72"/>
        <v>-311.49790244940573</v>
      </c>
      <c r="T118" s="29">
        <f t="shared" si="73"/>
        <v>-0.30242514800913178</v>
      </c>
      <c r="V118" s="19">
        <f t="shared" si="64"/>
        <v>1990</v>
      </c>
      <c r="W118" s="14">
        <f t="shared" si="65"/>
        <v>1592</v>
      </c>
    </row>
    <row r="119" spans="1:23" x14ac:dyDescent="0.25">
      <c r="A119" s="8">
        <v>1310</v>
      </c>
      <c r="B119" s="98" t="s">
        <v>193</v>
      </c>
      <c r="C119" s="6">
        <v>0.28000000000000003</v>
      </c>
      <c r="D119" s="19">
        <v>500</v>
      </c>
      <c r="E119" s="19"/>
      <c r="F119" s="19"/>
      <c r="G119" s="19"/>
      <c r="H119" s="19"/>
      <c r="I119" s="19">
        <f t="shared" si="103"/>
        <v>942.06182734079812</v>
      </c>
      <c r="J119" s="20">
        <f t="shared" si="85"/>
        <v>1420</v>
      </c>
      <c r="K119" s="21">
        <f t="shared" si="80"/>
        <v>1480</v>
      </c>
      <c r="L119" s="26"/>
      <c r="M119" s="12">
        <f t="shared" si="102"/>
        <v>1310</v>
      </c>
      <c r="O119" s="20">
        <f t="shared" si="81"/>
        <v>477.93817265920188</v>
      </c>
      <c r="P119" s="29">
        <f t="shared" si="82"/>
        <v>0.3365761779290154</v>
      </c>
      <c r="Q119" s="32">
        <f t="shared" si="83"/>
        <v>1258</v>
      </c>
      <c r="R119" s="33">
        <f t="shared" si="84"/>
        <v>162</v>
      </c>
      <c r="S119" s="35">
        <f t="shared" si="72"/>
        <v>315.93817265920188</v>
      </c>
      <c r="T119" s="29">
        <f t="shared" si="73"/>
        <v>0.21347173828324451</v>
      </c>
      <c r="V119" s="19">
        <f t="shared" si="64"/>
        <v>1580</v>
      </c>
      <c r="W119" s="14">
        <f t="shared" si="65"/>
        <v>1264</v>
      </c>
    </row>
    <row r="120" spans="1:23" x14ac:dyDescent="0.25">
      <c r="A120" s="8">
        <v>1340</v>
      </c>
      <c r="B120" s="98" t="s">
        <v>194</v>
      </c>
      <c r="C120" s="6">
        <v>0.3</v>
      </c>
      <c r="D120" s="19">
        <v>500</v>
      </c>
      <c r="E120" s="19"/>
      <c r="F120" s="19"/>
      <c r="G120" s="19"/>
      <c r="H120" s="19"/>
      <c r="I120" s="19">
        <f t="shared" si="103"/>
        <v>942.06182734079812</v>
      </c>
      <c r="J120" s="20">
        <f t="shared" si="85"/>
        <v>1420</v>
      </c>
      <c r="K120" s="21">
        <f t="shared" si="80"/>
        <v>1480</v>
      </c>
      <c r="L120" s="26"/>
      <c r="M120" s="12">
        <f t="shared" si="102"/>
        <v>1340</v>
      </c>
      <c r="O120" s="20">
        <f t="shared" si="81"/>
        <v>477.93817265920188</v>
      </c>
      <c r="P120" s="29">
        <f t="shared" si="82"/>
        <v>0.3365761779290154</v>
      </c>
      <c r="Q120" s="32">
        <f t="shared" si="83"/>
        <v>1258</v>
      </c>
      <c r="R120" s="33">
        <f t="shared" si="84"/>
        <v>162</v>
      </c>
      <c r="S120" s="35">
        <f t="shared" si="72"/>
        <v>315.93817265920188</v>
      </c>
      <c r="T120" s="29">
        <f t="shared" si="73"/>
        <v>0.21347173828324451</v>
      </c>
      <c r="V120" s="19">
        <f t="shared" si="64"/>
        <v>1580</v>
      </c>
      <c r="W120" s="14">
        <f t="shared" si="65"/>
        <v>1264</v>
      </c>
    </row>
    <row r="121" spans="1:23" x14ac:dyDescent="0.25">
      <c r="A121" s="8">
        <v>1350</v>
      </c>
      <c r="B121" s="98" t="s">
        <v>181</v>
      </c>
      <c r="C121" s="6">
        <v>0.35</v>
      </c>
      <c r="D121" s="19">
        <v>650</v>
      </c>
      <c r="E121" s="19"/>
      <c r="F121" s="19"/>
      <c r="G121" s="19"/>
      <c r="H121" s="19"/>
      <c r="I121" s="19">
        <f t="shared" si="103"/>
        <v>1224.6803755430376</v>
      </c>
      <c r="J121" s="20">
        <v>1000</v>
      </c>
      <c r="K121" s="21">
        <f t="shared" si="80"/>
        <v>1040</v>
      </c>
      <c r="L121" s="26"/>
      <c r="M121" s="12">
        <f t="shared" si="102"/>
        <v>1350</v>
      </c>
      <c r="O121" s="20">
        <f t="shared" si="81"/>
        <v>-224.6803755430376</v>
      </c>
      <c r="P121" s="29">
        <f t="shared" si="82"/>
        <v>-0.2246803755430376</v>
      </c>
      <c r="Q121" s="32">
        <f t="shared" si="83"/>
        <v>884</v>
      </c>
      <c r="R121" s="33">
        <f t="shared" si="84"/>
        <v>116</v>
      </c>
      <c r="S121" s="35">
        <f t="shared" si="72"/>
        <v>-340.6803755430376</v>
      </c>
      <c r="T121" s="29">
        <f t="shared" si="73"/>
        <v>-0.32757728417599769</v>
      </c>
      <c r="V121" s="19">
        <f t="shared" si="64"/>
        <v>2060</v>
      </c>
      <c r="W121" s="14">
        <f t="shared" si="65"/>
        <v>1648</v>
      </c>
    </row>
    <row r="122" spans="1:23" x14ac:dyDescent="0.25">
      <c r="A122" s="8">
        <v>1360</v>
      </c>
      <c r="B122" s="98" t="s">
        <v>195</v>
      </c>
      <c r="C122" s="6">
        <v>0.3</v>
      </c>
      <c r="D122" s="19">
        <v>650</v>
      </c>
      <c r="E122" s="19"/>
      <c r="F122" s="19"/>
      <c r="G122" s="19"/>
      <c r="H122" s="19"/>
      <c r="I122" s="19">
        <f t="shared" si="103"/>
        <v>1224.6803755430376</v>
      </c>
      <c r="J122" s="20">
        <v>1000</v>
      </c>
      <c r="K122" s="21">
        <f t="shared" si="80"/>
        <v>1040</v>
      </c>
      <c r="L122" s="26"/>
      <c r="M122" s="12">
        <f t="shared" si="102"/>
        <v>1360</v>
      </c>
      <c r="O122" s="20">
        <f t="shared" si="81"/>
        <v>-224.6803755430376</v>
      </c>
      <c r="P122" s="29">
        <f t="shared" si="82"/>
        <v>-0.2246803755430376</v>
      </c>
      <c r="Q122" s="32">
        <f t="shared" si="83"/>
        <v>884</v>
      </c>
      <c r="R122" s="33">
        <f t="shared" si="84"/>
        <v>116</v>
      </c>
      <c r="S122" s="35">
        <f t="shared" si="72"/>
        <v>-340.6803755430376</v>
      </c>
      <c r="T122" s="29">
        <f t="shared" si="73"/>
        <v>-0.32757728417599769</v>
      </c>
      <c r="V122" s="19">
        <f t="shared" si="64"/>
        <v>2060</v>
      </c>
      <c r="W122" s="14">
        <f t="shared" si="65"/>
        <v>1648</v>
      </c>
    </row>
    <row r="123" spans="1:23" x14ac:dyDescent="0.25">
      <c r="A123" s="8">
        <v>1370</v>
      </c>
      <c r="B123" s="98" t="s">
        <v>196</v>
      </c>
      <c r="C123" s="6">
        <v>0.35</v>
      </c>
      <c r="D123" s="19">
        <v>650</v>
      </c>
      <c r="E123" s="19"/>
      <c r="F123" s="19"/>
      <c r="G123" s="19"/>
      <c r="H123" s="19"/>
      <c r="I123" s="19">
        <f t="shared" si="103"/>
        <v>1224.6803755430376</v>
      </c>
      <c r="J123" s="20">
        <v>1000</v>
      </c>
      <c r="K123" s="21">
        <f t="shared" si="80"/>
        <v>1040</v>
      </c>
      <c r="L123" s="26"/>
      <c r="M123" s="12">
        <f t="shared" si="102"/>
        <v>1370</v>
      </c>
      <c r="O123" s="20">
        <f t="shared" si="81"/>
        <v>-224.6803755430376</v>
      </c>
      <c r="P123" s="29">
        <f t="shared" si="82"/>
        <v>-0.2246803755430376</v>
      </c>
      <c r="Q123" s="32">
        <f t="shared" si="83"/>
        <v>884</v>
      </c>
      <c r="R123" s="33">
        <f t="shared" si="84"/>
        <v>116</v>
      </c>
      <c r="S123" s="35">
        <f t="shared" si="72"/>
        <v>-340.6803755430376</v>
      </c>
      <c r="T123" s="29">
        <f t="shared" si="73"/>
        <v>-0.32757728417599769</v>
      </c>
      <c r="V123" s="19">
        <f t="shared" si="64"/>
        <v>2060</v>
      </c>
      <c r="W123" s="14">
        <f t="shared" si="65"/>
        <v>1648</v>
      </c>
    </row>
    <row r="124" spans="1:23" x14ac:dyDescent="0.25">
      <c r="A124" s="8">
        <v>1380</v>
      </c>
      <c r="B124" s="98" t="s">
        <v>197</v>
      </c>
      <c r="C124" s="6">
        <v>0.3</v>
      </c>
      <c r="D124" s="19">
        <v>500</v>
      </c>
      <c r="E124" s="19"/>
      <c r="F124" s="19"/>
      <c r="G124" s="19"/>
      <c r="H124" s="19"/>
      <c r="I124" s="19">
        <f t="shared" si="103"/>
        <v>942.06182734079812</v>
      </c>
      <c r="J124" s="20">
        <f t="shared" si="85"/>
        <v>1420</v>
      </c>
      <c r="K124" s="21">
        <f t="shared" si="80"/>
        <v>1480</v>
      </c>
      <c r="L124" s="26"/>
      <c r="M124" s="12">
        <f t="shared" si="102"/>
        <v>1380</v>
      </c>
      <c r="O124" s="20">
        <f t="shared" si="81"/>
        <v>477.93817265920188</v>
      </c>
      <c r="P124" s="29">
        <f t="shared" si="82"/>
        <v>0.3365761779290154</v>
      </c>
      <c r="Q124" s="32">
        <f t="shared" si="83"/>
        <v>1258</v>
      </c>
      <c r="R124" s="33">
        <f t="shared" si="84"/>
        <v>162</v>
      </c>
      <c r="S124" s="35">
        <f t="shared" si="72"/>
        <v>315.93817265920188</v>
      </c>
      <c r="T124" s="29">
        <f t="shared" si="73"/>
        <v>0.21347173828324451</v>
      </c>
      <c r="V124" s="19">
        <f t="shared" si="64"/>
        <v>1580</v>
      </c>
      <c r="W124" s="14">
        <f t="shared" si="65"/>
        <v>1264</v>
      </c>
    </row>
    <row r="125" spans="1:23" x14ac:dyDescent="0.25">
      <c r="A125" s="8">
        <v>1390</v>
      </c>
      <c r="B125" s="98" t="s">
        <v>198</v>
      </c>
      <c r="C125" s="6">
        <v>0.3</v>
      </c>
      <c r="D125" s="19">
        <v>500</v>
      </c>
      <c r="E125" s="19"/>
      <c r="F125" s="19"/>
      <c r="G125" s="19"/>
      <c r="H125" s="19"/>
      <c r="I125" s="19">
        <f t="shared" si="103"/>
        <v>942.06182734079812</v>
      </c>
      <c r="J125" s="20">
        <f t="shared" si="85"/>
        <v>1420</v>
      </c>
      <c r="K125" s="21">
        <f t="shared" si="80"/>
        <v>1480</v>
      </c>
      <c r="L125" s="26"/>
      <c r="M125" s="12">
        <f t="shared" si="102"/>
        <v>1390</v>
      </c>
      <c r="O125" s="20">
        <f t="shared" si="81"/>
        <v>477.93817265920188</v>
      </c>
      <c r="P125" s="29">
        <f t="shared" si="82"/>
        <v>0.3365761779290154</v>
      </c>
      <c r="Q125" s="32">
        <f t="shared" si="83"/>
        <v>1258</v>
      </c>
      <c r="R125" s="33">
        <f t="shared" si="84"/>
        <v>162</v>
      </c>
      <c r="S125" s="35">
        <f t="shared" si="72"/>
        <v>315.93817265920188</v>
      </c>
      <c r="T125" s="29">
        <f t="shared" si="73"/>
        <v>0.21347173828324451</v>
      </c>
      <c r="V125" s="19">
        <f t="shared" si="64"/>
        <v>1580</v>
      </c>
      <c r="W125" s="14">
        <f t="shared" si="65"/>
        <v>1264</v>
      </c>
    </row>
    <row r="126" spans="1:23" x14ac:dyDescent="0.25">
      <c r="A126" s="8">
        <v>1395</v>
      </c>
      <c r="B126" s="98" t="s">
        <v>199</v>
      </c>
      <c r="C126" s="6">
        <v>0.3</v>
      </c>
      <c r="D126" s="19">
        <v>650</v>
      </c>
      <c r="E126" s="19"/>
      <c r="F126" s="19"/>
      <c r="G126" s="19"/>
      <c r="H126" s="19"/>
      <c r="I126" s="19">
        <f t="shared" si="103"/>
        <v>1224.6803755430376</v>
      </c>
      <c r="J126" s="20">
        <f t="shared" si="85"/>
        <v>1850</v>
      </c>
      <c r="K126" s="21">
        <f t="shared" si="80"/>
        <v>1920</v>
      </c>
      <c r="L126" s="26"/>
      <c r="M126" s="12">
        <f t="shared" si="102"/>
        <v>1395</v>
      </c>
      <c r="O126" s="20">
        <f t="shared" si="81"/>
        <v>625.3196244569624</v>
      </c>
      <c r="P126" s="29">
        <f t="shared" si="82"/>
        <v>0.33801060781457426</v>
      </c>
      <c r="Q126" s="32">
        <f t="shared" si="83"/>
        <v>1632</v>
      </c>
      <c r="R126" s="33">
        <f t="shared" si="84"/>
        <v>218</v>
      </c>
      <c r="S126" s="35">
        <f t="shared" si="72"/>
        <v>407.3196244569624</v>
      </c>
      <c r="T126" s="29">
        <f t="shared" si="73"/>
        <v>0.21214563773800124</v>
      </c>
      <c r="V126" s="19">
        <f t="shared" si="64"/>
        <v>2060</v>
      </c>
      <c r="W126" s="14">
        <f t="shared" si="65"/>
        <v>1648</v>
      </c>
    </row>
    <row r="127" spans="1:23" x14ac:dyDescent="0.25">
      <c r="A127" s="167" t="s">
        <v>65</v>
      </c>
      <c r="B127" s="167"/>
      <c r="C127" s="7"/>
      <c r="D127" s="60"/>
      <c r="E127" s="60"/>
      <c r="F127" s="60"/>
      <c r="G127" s="60"/>
      <c r="H127" s="60"/>
      <c r="I127" s="60"/>
      <c r="J127" s="14"/>
      <c r="K127" s="14"/>
      <c r="O127" s="10"/>
      <c r="P127" s="10"/>
      <c r="Q127" s="10"/>
      <c r="R127" s="10"/>
      <c r="S127" s="10"/>
      <c r="T127" s="10"/>
      <c r="V127" s="19"/>
    </row>
    <row r="128" spans="1:23" x14ac:dyDescent="0.25">
      <c r="A128" s="8">
        <v>140</v>
      </c>
      <c r="B128" s="1" t="s">
        <v>53</v>
      </c>
      <c r="C128" s="6">
        <v>0.33</v>
      </c>
      <c r="D128" s="19">
        <v>190</v>
      </c>
      <c r="E128" s="19">
        <v>120</v>
      </c>
      <c r="F128" s="19">
        <v>100</v>
      </c>
      <c r="G128" s="19">
        <v>0</v>
      </c>
      <c r="H128" s="19">
        <v>40</v>
      </c>
      <c r="I128" s="19">
        <f>SUM(D128:H128)*$I$3</f>
        <v>847.85564460671833</v>
      </c>
      <c r="J128" s="20">
        <f t="shared" si="85"/>
        <v>1280</v>
      </c>
      <c r="K128" s="21">
        <f t="shared" si="80"/>
        <v>1330</v>
      </c>
      <c r="L128" s="26"/>
      <c r="M128" s="12">
        <f t="shared" ref="M128:M129" si="110">A128</f>
        <v>140</v>
      </c>
      <c r="O128" s="20">
        <f t="shared" si="81"/>
        <v>432.14435539328167</v>
      </c>
      <c r="P128" s="29">
        <f t="shared" si="82"/>
        <v>0.33761277765100128</v>
      </c>
      <c r="Q128" s="32">
        <f t="shared" si="83"/>
        <v>1130.5</v>
      </c>
      <c r="R128" s="33">
        <f t="shared" si="84"/>
        <v>149.5</v>
      </c>
      <c r="S128" s="35">
        <f t="shared" si="72"/>
        <v>282.64435539328167</v>
      </c>
      <c r="T128" s="29">
        <f t="shared" si="73"/>
        <v>0.21251455292727944</v>
      </c>
      <c r="V128" s="19">
        <f t="shared" ref="V128:V129" si="111">+I128*1.4*1.2</f>
        <v>1424.3974829392866</v>
      </c>
    </row>
    <row r="129" spans="1:22" x14ac:dyDescent="0.25">
      <c r="A129" s="8">
        <v>150</v>
      </c>
      <c r="B129" s="1" t="s">
        <v>66</v>
      </c>
      <c r="C129" s="6"/>
      <c r="D129" s="19">
        <v>420</v>
      </c>
      <c r="E129" s="19"/>
      <c r="F129" s="19"/>
      <c r="G129" s="19"/>
      <c r="H129" s="19"/>
      <c r="I129" s="19">
        <f>SUM(D129:H129)*$I$3</f>
        <v>791.33193496627041</v>
      </c>
      <c r="J129" s="20">
        <f t="shared" si="85"/>
        <v>1190</v>
      </c>
      <c r="K129" s="21">
        <f t="shared" si="80"/>
        <v>1240</v>
      </c>
      <c r="L129" s="26"/>
      <c r="M129" s="12">
        <f t="shared" si="110"/>
        <v>150</v>
      </c>
      <c r="O129" s="20">
        <f t="shared" si="81"/>
        <v>398.66806503372959</v>
      </c>
      <c r="P129" s="29">
        <f t="shared" si="82"/>
        <v>0.33501518070061309</v>
      </c>
      <c r="Q129" s="32">
        <f t="shared" si="83"/>
        <v>1054</v>
      </c>
      <c r="R129" s="33">
        <f t="shared" si="84"/>
        <v>136</v>
      </c>
      <c r="S129" s="35">
        <f t="shared" si="72"/>
        <v>262.66806503372959</v>
      </c>
      <c r="T129" s="29">
        <f t="shared" si="73"/>
        <v>0.21182908470462064</v>
      </c>
      <c r="V129" s="19">
        <f t="shared" si="111"/>
        <v>1329.4376507433342</v>
      </c>
    </row>
    <row r="134" spans="1:22" x14ac:dyDescent="0.25">
      <c r="A134"/>
      <c r="B134" t="s">
        <v>75</v>
      </c>
      <c r="C134" s="165">
        <v>745</v>
      </c>
      <c r="D134" s="165"/>
      <c r="E134" t="s">
        <v>76</v>
      </c>
    </row>
    <row r="135" spans="1:22" x14ac:dyDescent="0.25">
      <c r="A135"/>
      <c r="B135" t="s">
        <v>77</v>
      </c>
      <c r="C135" s="165">
        <v>570</v>
      </c>
      <c r="D135" s="165"/>
      <c r="E135" t="s">
        <v>76</v>
      </c>
    </row>
    <row r="136" spans="1:22" x14ac:dyDescent="0.25">
      <c r="A136"/>
      <c r="B136" t="s">
        <v>78</v>
      </c>
      <c r="C136" s="165">
        <v>740</v>
      </c>
      <c r="D136" s="165"/>
      <c r="E136" t="s">
        <v>76</v>
      </c>
    </row>
    <row r="137" spans="1:22" x14ac:dyDescent="0.25">
      <c r="A137"/>
      <c r="B137" t="s">
        <v>79</v>
      </c>
      <c r="C137" s="165">
        <v>872</v>
      </c>
      <c r="D137" s="165"/>
      <c r="E137" t="s">
        <v>76</v>
      </c>
    </row>
    <row r="138" spans="1:22" x14ac:dyDescent="0.25">
      <c r="A138"/>
      <c r="B138" t="s">
        <v>80</v>
      </c>
      <c r="C138" s="165">
        <v>2000</v>
      </c>
      <c r="D138" s="165"/>
    </row>
    <row r="139" spans="1:22" x14ac:dyDescent="0.25">
      <c r="A139"/>
      <c r="B139" t="s">
        <v>81</v>
      </c>
      <c r="C139" s="165">
        <v>1134</v>
      </c>
      <c r="D139" s="165"/>
    </row>
    <row r="140" spans="1:22" x14ac:dyDescent="0.25">
      <c r="A140"/>
      <c r="B140" t="s">
        <v>82</v>
      </c>
      <c r="C140" s="165">
        <v>532</v>
      </c>
      <c r="D140" s="165"/>
    </row>
    <row r="141" spans="1:22" x14ac:dyDescent="0.25">
      <c r="A141"/>
      <c r="B141" t="s">
        <v>83</v>
      </c>
      <c r="C141" s="165">
        <v>532</v>
      </c>
      <c r="D141" s="165"/>
    </row>
    <row r="143" spans="1:22" x14ac:dyDescent="0.25">
      <c r="C143" t="s">
        <v>125</v>
      </c>
      <c r="D143" s="14">
        <v>14</v>
      </c>
      <c r="E143" s="14">
        <v>63</v>
      </c>
      <c r="F143" s="14">
        <f>E143*D143</f>
        <v>882</v>
      </c>
      <c r="I143" s="14" t="e">
        <f>F143*#REF!</f>
        <v>#REF!</v>
      </c>
    </row>
  </sheetData>
  <mergeCells count="12">
    <mergeCell ref="A3:B3"/>
    <mergeCell ref="A127:B127"/>
    <mergeCell ref="E1:H1"/>
    <mergeCell ref="C134:D134"/>
    <mergeCell ref="C135:D135"/>
    <mergeCell ref="H2:I2"/>
    <mergeCell ref="C141:D141"/>
    <mergeCell ref="C136:D136"/>
    <mergeCell ref="C137:D137"/>
    <mergeCell ref="C138:D138"/>
    <mergeCell ref="C139:D139"/>
    <mergeCell ref="C140:D140"/>
  </mergeCells>
  <pageMargins left="0.25" right="0.25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view="pageLayout" topLeftCell="B1" zoomScaleNormal="100" workbookViewId="0">
      <selection activeCell="G3" sqref="G3"/>
    </sheetView>
  </sheetViews>
  <sheetFormatPr baseColWidth="10" defaultRowHeight="15" x14ac:dyDescent="0.25"/>
  <cols>
    <col min="1" max="1" width="4.140625" customWidth="1"/>
    <col min="2" max="2" width="48.7109375" bestFit="1" customWidth="1"/>
    <col min="3" max="3" width="14.5703125" style="14" customWidth="1"/>
    <col min="4" max="4" width="15.7109375" bestFit="1" customWidth="1"/>
    <col min="5" max="5" width="48.7109375" bestFit="1" customWidth="1"/>
  </cols>
  <sheetData>
    <row r="1" spans="2:8" ht="26.25" x14ac:dyDescent="0.4">
      <c r="B1" s="180" t="s">
        <v>207</v>
      </c>
      <c r="C1" s="180"/>
      <c r="D1" s="180"/>
      <c r="E1" s="180" t="s">
        <v>207</v>
      </c>
      <c r="F1" s="180"/>
      <c r="G1" s="180"/>
    </row>
    <row r="2" spans="2:8" ht="26.25" x14ac:dyDescent="0.4">
      <c r="B2" s="102"/>
      <c r="C2" s="103"/>
      <c r="D2" s="102"/>
      <c r="F2" s="43">
        <v>44075</v>
      </c>
      <c r="G2" s="43">
        <v>44256</v>
      </c>
    </row>
    <row r="3" spans="2:8" ht="26.25" x14ac:dyDescent="0.4">
      <c r="B3" s="102"/>
      <c r="C3" s="103"/>
      <c r="D3" s="103"/>
      <c r="E3" s="102" t="s">
        <v>208</v>
      </c>
      <c r="F3">
        <v>40</v>
      </c>
      <c r="G3">
        <v>50</v>
      </c>
      <c r="H3">
        <f>+G3/F3</f>
        <v>1.25</v>
      </c>
    </row>
    <row r="4" spans="2:8" ht="26.25" x14ac:dyDescent="0.4">
      <c r="B4" s="102" t="s">
        <v>208</v>
      </c>
      <c r="C4" s="103"/>
      <c r="D4" s="103">
        <v>50</v>
      </c>
      <c r="E4" s="102" t="s">
        <v>209</v>
      </c>
      <c r="F4">
        <v>40</v>
      </c>
      <c r="G4">
        <v>50</v>
      </c>
      <c r="H4">
        <f t="shared" ref="H4:H10" si="0">+G4/F4</f>
        <v>1.25</v>
      </c>
    </row>
    <row r="5" spans="2:8" ht="26.25" x14ac:dyDescent="0.4">
      <c r="B5" s="102" t="s">
        <v>209</v>
      </c>
      <c r="C5" s="103"/>
      <c r="D5" s="103">
        <v>50</v>
      </c>
      <c r="E5" s="102"/>
    </row>
    <row r="6" spans="2:8" ht="26.25" x14ac:dyDescent="0.4">
      <c r="B6" s="102"/>
      <c r="C6" s="103"/>
      <c r="D6" s="102"/>
      <c r="E6" s="102" t="s">
        <v>210</v>
      </c>
      <c r="F6">
        <v>18</v>
      </c>
      <c r="G6">
        <v>24</v>
      </c>
      <c r="H6">
        <f t="shared" si="0"/>
        <v>1.3333333333333333</v>
      </c>
    </row>
    <row r="7" spans="2:8" ht="26.25" x14ac:dyDescent="0.4">
      <c r="B7" s="102" t="s">
        <v>210</v>
      </c>
      <c r="C7" s="103"/>
      <c r="D7" s="103">
        <v>24</v>
      </c>
      <c r="E7" s="102" t="s">
        <v>211</v>
      </c>
      <c r="F7">
        <v>18</v>
      </c>
      <c r="G7">
        <v>24</v>
      </c>
      <c r="H7">
        <f t="shared" si="0"/>
        <v>1.3333333333333333</v>
      </c>
    </row>
    <row r="8" spans="2:8" ht="26.25" x14ac:dyDescent="0.4">
      <c r="B8" s="102" t="s">
        <v>211</v>
      </c>
      <c r="C8" s="103"/>
      <c r="D8" s="103">
        <v>24</v>
      </c>
      <c r="E8" s="102"/>
    </row>
    <row r="9" spans="2:8" ht="26.25" x14ac:dyDescent="0.4">
      <c r="B9" s="102"/>
      <c r="C9" s="103"/>
      <c r="D9" s="102"/>
      <c r="E9" s="102" t="s">
        <v>212</v>
      </c>
      <c r="F9">
        <v>12</v>
      </c>
      <c r="G9">
        <v>16</v>
      </c>
      <c r="H9">
        <f t="shared" si="0"/>
        <v>1.3333333333333333</v>
      </c>
    </row>
    <row r="10" spans="2:8" ht="26.25" x14ac:dyDescent="0.4">
      <c r="B10" s="102" t="s">
        <v>212</v>
      </c>
      <c r="C10" s="103"/>
      <c r="D10" s="103">
        <v>16</v>
      </c>
      <c r="E10" s="102" t="s">
        <v>213</v>
      </c>
      <c r="F10">
        <v>12</v>
      </c>
      <c r="G10">
        <v>16</v>
      </c>
      <c r="H10">
        <f t="shared" si="0"/>
        <v>1.3333333333333333</v>
      </c>
    </row>
    <row r="11" spans="2:8" ht="26.25" x14ac:dyDescent="0.4">
      <c r="B11" s="102" t="s">
        <v>213</v>
      </c>
      <c r="C11" s="103"/>
      <c r="D11" s="103">
        <v>16</v>
      </c>
    </row>
    <row r="12" spans="2:8" ht="26.25" x14ac:dyDescent="0.4">
      <c r="B12" s="102"/>
      <c r="C12" s="103"/>
      <c r="D12" s="102"/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headerFooter>
    <oddHeader>&amp;L1/3/2021
&amp;R&amp;"-,Cursiva"&amp;14Tejidos Lucania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D27" sqref="D27"/>
    </sheetView>
  </sheetViews>
  <sheetFormatPr baseColWidth="10" defaultRowHeight="15" x14ac:dyDescent="0.25"/>
  <cols>
    <col min="4" max="4" width="11.85546875" bestFit="1" customWidth="1"/>
    <col min="10" max="10" width="34.28515625" bestFit="1" customWidth="1"/>
  </cols>
  <sheetData>
    <row r="2" spans="1:13" x14ac:dyDescent="0.25">
      <c r="A2" t="s">
        <v>126</v>
      </c>
      <c r="D2" t="s">
        <v>128</v>
      </c>
      <c r="H2" t="s">
        <v>136</v>
      </c>
    </row>
    <row r="3" spans="1:13" x14ac:dyDescent="0.25">
      <c r="A3" t="s">
        <v>86</v>
      </c>
      <c r="D3" s="43">
        <v>43902</v>
      </c>
      <c r="E3" s="43">
        <v>43933</v>
      </c>
      <c r="J3" t="s">
        <v>137</v>
      </c>
      <c r="K3" s="14">
        <v>10.8</v>
      </c>
      <c r="L3" s="43">
        <v>44001</v>
      </c>
    </row>
    <row r="4" spans="1:13" x14ac:dyDescent="0.25">
      <c r="B4" t="s">
        <v>127</v>
      </c>
      <c r="C4" t="s">
        <v>78</v>
      </c>
      <c r="D4" s="14">
        <v>790</v>
      </c>
    </row>
    <row r="9" spans="1:13" x14ac:dyDescent="0.25">
      <c r="B9" s="43">
        <v>44074</v>
      </c>
      <c r="I9" t="s">
        <v>152</v>
      </c>
      <c r="J9" s="89">
        <v>230</v>
      </c>
    </row>
    <row r="10" spans="1:13" x14ac:dyDescent="0.25">
      <c r="A10" t="s">
        <v>145</v>
      </c>
      <c r="B10" s="88">
        <v>705</v>
      </c>
      <c r="I10" t="s">
        <v>153</v>
      </c>
      <c r="J10" s="89">
        <f>SUM(M10:M13)+10</f>
        <v>150</v>
      </c>
      <c r="L10" t="s">
        <v>154</v>
      </c>
      <c r="M10">
        <v>60</v>
      </c>
    </row>
    <row r="11" spans="1:13" x14ac:dyDescent="0.25">
      <c r="A11" t="s">
        <v>146</v>
      </c>
      <c r="B11" s="88">
        <v>1006.72</v>
      </c>
      <c r="C11" t="s">
        <v>147</v>
      </c>
      <c r="L11" t="s">
        <v>152</v>
      </c>
      <c r="M11">
        <v>15</v>
      </c>
    </row>
    <row r="12" spans="1:13" x14ac:dyDescent="0.25">
      <c r="B12" s="14">
        <v>553</v>
      </c>
      <c r="C12" t="s">
        <v>148</v>
      </c>
      <c r="D12" t="s">
        <v>149</v>
      </c>
      <c r="E12" s="14">
        <v>250</v>
      </c>
      <c r="F12" t="s">
        <v>150</v>
      </c>
      <c r="G12" s="88">
        <f>E12+B12</f>
        <v>803</v>
      </c>
      <c r="L12" t="s">
        <v>4</v>
      </c>
      <c r="M12">
        <v>50</v>
      </c>
    </row>
    <row r="13" spans="1:13" x14ac:dyDescent="0.25">
      <c r="A13" t="s">
        <v>78</v>
      </c>
      <c r="B13" s="88">
        <v>1100</v>
      </c>
      <c r="L13" t="s">
        <v>155</v>
      </c>
      <c r="M13">
        <v>15</v>
      </c>
    </row>
    <row r="14" spans="1:13" x14ac:dyDescent="0.25">
      <c r="A14" t="s">
        <v>151</v>
      </c>
      <c r="B14" s="87">
        <v>14</v>
      </c>
      <c r="C14" s="14">
        <v>80</v>
      </c>
      <c r="D14" s="88">
        <f>C14*B14</f>
        <v>1120</v>
      </c>
    </row>
    <row r="19" spans="10:12" x14ac:dyDescent="0.25">
      <c r="J19">
        <f>10*22</f>
        <v>220</v>
      </c>
    </row>
    <row r="20" spans="10:12" x14ac:dyDescent="0.25">
      <c r="J20">
        <f>J19*200</f>
        <v>44000</v>
      </c>
    </row>
    <row r="21" spans="10:12" x14ac:dyDescent="0.25">
      <c r="J21">
        <v>28000</v>
      </c>
      <c r="L21">
        <f>J21/J19</f>
        <v>127.27272727272727</v>
      </c>
    </row>
    <row r="22" spans="10:12" x14ac:dyDescent="0.25">
      <c r="J22">
        <f>J20-J21</f>
        <v>16000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view="pageBreakPreview" zoomScale="60" zoomScaleNormal="85" zoomScalePageLayoutView="85" workbookViewId="0">
      <selection activeCell="K40" sqref="K40"/>
    </sheetView>
  </sheetViews>
  <sheetFormatPr baseColWidth="10" defaultRowHeight="15" x14ac:dyDescent="0.25"/>
  <cols>
    <col min="1" max="1" width="6" customWidth="1"/>
    <col min="2" max="2" width="25.5703125" bestFit="1" customWidth="1"/>
    <col min="3" max="3" width="16" style="14" customWidth="1"/>
    <col min="4" max="4" width="13.140625" bestFit="1" customWidth="1"/>
    <col min="5" max="5" width="1.42578125" customWidth="1"/>
    <col min="6" max="6" width="8" bestFit="1" customWidth="1"/>
    <col min="7" max="7" width="30.85546875" bestFit="1" customWidth="1"/>
    <col min="8" max="8" width="13.140625" customWidth="1"/>
    <col min="9" max="9" width="13.5703125" bestFit="1" customWidth="1"/>
    <col min="10" max="10" width="4.140625" style="36" customWidth="1"/>
    <col min="11" max="11" width="9.85546875" customWidth="1"/>
    <col min="12" max="12" width="29.5703125" bestFit="1" customWidth="1"/>
    <col min="13" max="14" width="14.5703125" bestFit="1" customWidth="1"/>
    <col min="15" max="15" width="2.85546875" customWidth="1"/>
    <col min="16" max="16" width="6.85546875" bestFit="1" customWidth="1"/>
    <col min="17" max="17" width="31.5703125" bestFit="1" customWidth="1"/>
    <col min="18" max="18" width="12.85546875" customWidth="1"/>
    <col min="19" max="19" width="12.85546875" bestFit="1" customWidth="1"/>
    <col min="20" max="20" width="3" customWidth="1"/>
    <col min="21" max="22" width="13.5703125" bestFit="1" customWidth="1"/>
  </cols>
  <sheetData>
    <row r="1" spans="1:22" s="52" customFormat="1" ht="21" x14ac:dyDescent="0.35">
      <c r="A1" s="171" t="s">
        <v>0</v>
      </c>
      <c r="B1" s="171"/>
      <c r="C1" s="50" t="s">
        <v>111</v>
      </c>
      <c r="D1" s="50"/>
      <c r="E1" s="50"/>
      <c r="F1" s="50"/>
      <c r="G1" s="58" t="s">
        <v>123</v>
      </c>
      <c r="H1" s="170" t="s">
        <v>286</v>
      </c>
      <c r="I1" s="170"/>
      <c r="J1" s="57"/>
      <c r="K1" s="49"/>
      <c r="L1" s="49" t="s">
        <v>0</v>
      </c>
      <c r="M1" s="172" t="s">
        <v>111</v>
      </c>
      <c r="N1" s="172"/>
      <c r="O1" s="50"/>
      <c r="P1" s="49"/>
      <c r="Q1" s="58" t="s">
        <v>123</v>
      </c>
      <c r="R1" s="170" t="s">
        <v>286</v>
      </c>
      <c r="S1" s="170"/>
      <c r="T1" s="50"/>
      <c r="U1" s="50"/>
      <c r="V1" s="51"/>
    </row>
    <row r="2" spans="1:22" s="22" customFormat="1" ht="15.75" x14ac:dyDescent="0.25">
      <c r="A2" s="11" t="s">
        <v>122</v>
      </c>
      <c r="B2" s="24" t="s">
        <v>3</v>
      </c>
      <c r="C2" s="53" t="s">
        <v>4</v>
      </c>
      <c r="D2" s="26" t="s">
        <v>5</v>
      </c>
      <c r="E2" s="56"/>
      <c r="F2" s="26" t="s">
        <v>122</v>
      </c>
      <c r="G2" s="3" t="s">
        <v>3</v>
      </c>
      <c r="H2" s="53" t="s">
        <v>4</v>
      </c>
      <c r="I2" s="26" t="s">
        <v>5</v>
      </c>
      <c r="J2" s="56"/>
      <c r="K2" s="11" t="s">
        <v>122</v>
      </c>
      <c r="L2" s="3" t="s">
        <v>3</v>
      </c>
      <c r="M2" s="53" t="s">
        <v>4</v>
      </c>
      <c r="N2" s="26" t="s">
        <v>5</v>
      </c>
      <c r="O2" s="54"/>
      <c r="P2" s="11" t="s">
        <v>122</v>
      </c>
      <c r="Q2" s="3" t="s">
        <v>3</v>
      </c>
      <c r="R2" s="53" t="s">
        <v>4</v>
      </c>
      <c r="S2" s="26" t="s">
        <v>5</v>
      </c>
      <c r="T2" s="55"/>
      <c r="U2" s="56"/>
    </row>
    <row r="3" spans="1:22" x14ac:dyDescent="0.25">
      <c r="A3" s="97">
        <v>115</v>
      </c>
      <c r="B3" s="1"/>
      <c r="C3" s="19">
        <f t="shared" ref="C3:C32" si="0">VLOOKUP(A3,Precios,10,FALSE)</f>
        <v>1140</v>
      </c>
      <c r="D3" s="25">
        <f t="shared" ref="D3:D32" si="1">VLOOKUP(A3,Precios,11,FALSE)</f>
        <v>1190</v>
      </c>
      <c r="E3" s="46"/>
      <c r="F3" s="97">
        <v>517</v>
      </c>
      <c r="G3" s="2" t="str">
        <f t="shared" ref="G3:G9" si="2">VLOOKUP(F3,Precios,2,FALSE)</f>
        <v>Campera Patagonia PULL</v>
      </c>
      <c r="H3" s="19">
        <f t="shared" ref="H3:H33" si="3">VLOOKUP(F3,Precios,10,FALSE)</f>
        <v>2750</v>
      </c>
      <c r="I3" s="25">
        <f t="shared" ref="I3:I33" si="4">VLOOKUP(F3,Precios,11,FALSE)</f>
        <v>2860</v>
      </c>
      <c r="J3" s="46"/>
      <c r="K3" s="97">
        <v>599</v>
      </c>
      <c r="L3" s="2" t="str">
        <f t="shared" ref="L3:L20" si="5">VLOOKUP(K3,Precios,2,FALSE)</f>
        <v>Bosa liso pull</v>
      </c>
      <c r="M3" s="19">
        <f t="shared" ref="M3:M33" si="6">VLOOKUP(K3,Precios,10,FALSE)</f>
        <v>1840</v>
      </c>
      <c r="N3" s="25">
        <f t="shared" ref="N3:N33" si="7">VLOOKUP(K3,Precios,11,FALSE)</f>
        <v>1910</v>
      </c>
      <c r="O3" s="37"/>
      <c r="P3" s="105">
        <v>751</v>
      </c>
      <c r="Q3" s="2" t="str">
        <f>VLOOKUP(P3,Precios,2,FALSE)</f>
        <v>E.V. c/8 vivo cuello</v>
      </c>
      <c r="R3" s="47">
        <f t="shared" ref="R3:R30" si="8">VLOOKUP(P3,Precios,10,FALSE)</f>
        <v>1380</v>
      </c>
      <c r="S3" s="48">
        <f t="shared" ref="S3:S30" si="9">VLOOKUP(P3,Precios,11,FALSE)</f>
        <v>1440</v>
      </c>
      <c r="T3" s="42"/>
      <c r="U3" s="46"/>
    </row>
    <row r="4" spans="1:22" x14ac:dyDescent="0.25">
      <c r="A4" s="97">
        <v>122</v>
      </c>
      <c r="B4" s="1"/>
      <c r="C4" s="19">
        <f t="shared" si="0"/>
        <v>850</v>
      </c>
      <c r="D4" s="25">
        <f t="shared" si="1"/>
        <v>880</v>
      </c>
      <c r="E4" s="46"/>
      <c r="F4" s="97">
        <v>518</v>
      </c>
      <c r="G4" s="2" t="str">
        <f t="shared" si="2"/>
        <v>Bosa rayado pull</v>
      </c>
      <c r="H4" s="19">
        <f t="shared" si="3"/>
        <v>1890</v>
      </c>
      <c r="I4" s="25">
        <f t="shared" si="4"/>
        <v>1970</v>
      </c>
      <c r="J4" s="46"/>
      <c r="K4" s="97">
        <v>700</v>
      </c>
      <c r="L4" s="2" t="str">
        <f t="shared" si="5"/>
        <v>*</v>
      </c>
      <c r="M4" s="19">
        <f t="shared" si="6"/>
        <v>500</v>
      </c>
      <c r="N4" s="25">
        <f t="shared" si="7"/>
        <v>520</v>
      </c>
      <c r="O4" s="37"/>
      <c r="P4" s="105">
        <v>753</v>
      </c>
      <c r="Q4" s="2" t="str">
        <f>VLOOKUP(P4,Precios,2,FALSE)</f>
        <v>E.V. serido rayado sisa</v>
      </c>
      <c r="R4" s="47">
        <f t="shared" si="8"/>
        <v>1380</v>
      </c>
      <c r="S4" s="48">
        <f t="shared" si="9"/>
        <v>1440</v>
      </c>
      <c r="T4" s="42"/>
      <c r="U4" s="46"/>
    </row>
    <row r="5" spans="1:22" x14ac:dyDescent="0.25">
      <c r="A5" s="97">
        <v>128</v>
      </c>
      <c r="B5" s="1"/>
      <c r="C5" s="19">
        <f t="shared" si="0"/>
        <v>850</v>
      </c>
      <c r="D5" s="25">
        <f t="shared" si="1"/>
        <v>880</v>
      </c>
      <c r="E5" s="46"/>
      <c r="F5" s="97">
        <v>521</v>
      </c>
      <c r="G5" s="2" t="str">
        <f t="shared" si="2"/>
        <v>Escote V liso PULL</v>
      </c>
      <c r="H5" s="19">
        <f t="shared" si="3"/>
        <v>1840</v>
      </c>
      <c r="I5" s="25">
        <f t="shared" si="4"/>
        <v>1910</v>
      </c>
      <c r="J5" s="46"/>
      <c r="K5" s="97">
        <v>701</v>
      </c>
      <c r="L5" s="2" t="str">
        <f t="shared" si="5"/>
        <v>Cardigan Deal c/botones*</v>
      </c>
      <c r="M5" s="19">
        <f t="shared" si="6"/>
        <v>1190</v>
      </c>
      <c r="N5" s="25">
        <f t="shared" si="7"/>
        <v>1240</v>
      </c>
      <c r="O5" s="37"/>
      <c r="P5" s="105">
        <v>754</v>
      </c>
      <c r="Q5" s="2" t="str">
        <f>VLOOKUP(P5,Precios,2,FALSE)</f>
        <v>Bosa cigarrillo</v>
      </c>
      <c r="R5" s="47">
        <f t="shared" si="8"/>
        <v>1500</v>
      </c>
      <c r="S5" s="48">
        <f t="shared" si="9"/>
        <v>1560</v>
      </c>
      <c r="T5" s="42"/>
      <c r="U5" s="46"/>
    </row>
    <row r="6" spans="1:22" x14ac:dyDescent="0.25">
      <c r="A6" s="97">
        <v>130</v>
      </c>
      <c r="B6" s="1"/>
      <c r="C6" s="19">
        <f t="shared" si="0"/>
        <v>850</v>
      </c>
      <c r="D6" s="25">
        <f t="shared" si="1"/>
        <v>880</v>
      </c>
      <c r="E6" s="46"/>
      <c r="F6" s="97">
        <v>524</v>
      </c>
      <c r="G6" s="2" t="str">
        <f t="shared" si="2"/>
        <v>Saco c/ botones Paris PULL</v>
      </c>
      <c r="H6" s="19">
        <f t="shared" si="3"/>
        <v>2480</v>
      </c>
      <c r="I6" s="25">
        <f t="shared" si="4"/>
        <v>2580</v>
      </c>
      <c r="J6" s="46"/>
      <c r="K6" s="97">
        <v>703</v>
      </c>
      <c r="L6" s="2" t="str">
        <f t="shared" si="5"/>
        <v>Cardigan nacho serido</v>
      </c>
      <c r="M6" s="19">
        <f t="shared" si="6"/>
        <v>1910</v>
      </c>
      <c r="N6" s="25">
        <f t="shared" si="7"/>
        <v>1990</v>
      </c>
      <c r="O6" s="37"/>
      <c r="P6" s="105">
        <v>755</v>
      </c>
      <c r="Q6" s="2" t="str">
        <f>VLOOKUP(P6,Precios,2,FALSE)</f>
        <v>Bosa CATE (3rayas)</v>
      </c>
      <c r="R6" s="47">
        <f t="shared" si="8"/>
        <v>1500</v>
      </c>
      <c r="S6" s="48">
        <f t="shared" si="9"/>
        <v>1560</v>
      </c>
      <c r="T6" s="42"/>
      <c r="U6" s="46"/>
    </row>
    <row r="7" spans="1:22" x14ac:dyDescent="0.25">
      <c r="A7" s="97">
        <v>131</v>
      </c>
      <c r="B7" s="1"/>
      <c r="C7" s="19">
        <f t="shared" si="0"/>
        <v>850</v>
      </c>
      <c r="D7" s="25">
        <f t="shared" si="1"/>
        <v>880</v>
      </c>
      <c r="E7" s="46"/>
      <c r="F7" s="97">
        <v>525</v>
      </c>
      <c r="G7" s="2" t="str">
        <f t="shared" si="2"/>
        <v>Bosa perla c/ cola MAX*</v>
      </c>
      <c r="H7" s="19">
        <f t="shared" si="3"/>
        <v>860</v>
      </c>
      <c r="I7" s="25">
        <f t="shared" si="4"/>
        <v>890</v>
      </c>
      <c r="J7" s="46"/>
      <c r="K7" s="97">
        <v>705</v>
      </c>
      <c r="L7" s="2" t="str">
        <f t="shared" si="5"/>
        <v>Cardigan dividido*</v>
      </c>
      <c r="M7" s="19">
        <f t="shared" si="6"/>
        <v>1280</v>
      </c>
      <c r="N7" s="25">
        <f t="shared" si="7"/>
        <v>1330</v>
      </c>
      <c r="O7" s="37"/>
      <c r="P7" s="105">
        <v>756</v>
      </c>
      <c r="Q7" s="2"/>
      <c r="R7" s="47">
        <f t="shared" si="8"/>
        <v>1510</v>
      </c>
      <c r="S7" s="48">
        <f t="shared" si="9"/>
        <v>1570</v>
      </c>
      <c r="T7" s="42"/>
      <c r="U7" s="46"/>
    </row>
    <row r="8" spans="1:22" x14ac:dyDescent="0.25">
      <c r="A8" s="97">
        <v>145</v>
      </c>
      <c r="B8" s="1"/>
      <c r="C8" s="19">
        <f t="shared" si="0"/>
        <v>850</v>
      </c>
      <c r="D8" s="25">
        <f t="shared" si="1"/>
        <v>880</v>
      </c>
      <c r="E8" s="46"/>
      <c r="F8" s="97">
        <v>526</v>
      </c>
      <c r="G8" s="2" t="str">
        <f t="shared" si="2"/>
        <v>Bosa Manga pipa 2 cao pull</v>
      </c>
      <c r="H8" s="19">
        <f t="shared" si="3"/>
        <v>2190</v>
      </c>
      <c r="I8" s="25">
        <f t="shared" si="4"/>
        <v>2280</v>
      </c>
      <c r="J8" s="46"/>
      <c r="K8" s="97">
        <v>707</v>
      </c>
      <c r="L8" s="2" t="str">
        <f t="shared" si="5"/>
        <v>Tubo**</v>
      </c>
      <c r="M8" s="19">
        <f t="shared" si="6"/>
        <v>500</v>
      </c>
      <c r="N8" s="25">
        <f t="shared" si="7"/>
        <v>520</v>
      </c>
      <c r="O8" s="37"/>
      <c r="P8" s="105">
        <v>757</v>
      </c>
      <c r="Q8" s="2" t="str">
        <f>VLOOKUP(P8,Precios,2,FALSE)</f>
        <v>Bosa m/pipa 2 colores</v>
      </c>
      <c r="R8" s="47">
        <f t="shared" si="8"/>
        <v>1500</v>
      </c>
      <c r="S8" s="48">
        <f t="shared" si="9"/>
        <v>1560</v>
      </c>
      <c r="T8" s="42"/>
      <c r="U8" s="46"/>
    </row>
    <row r="9" spans="1:22" x14ac:dyDescent="0.25">
      <c r="A9" s="97">
        <v>200</v>
      </c>
      <c r="B9" s="1" t="str">
        <f t="shared" ref="B9:B29" si="10">VLOOKUP(A9,Precios,2,FALSE)</f>
        <v>Bote Australia*</v>
      </c>
      <c r="C9" s="19">
        <f t="shared" si="0"/>
        <v>1420</v>
      </c>
      <c r="D9" s="25">
        <f t="shared" si="1"/>
        <v>1480</v>
      </c>
      <c r="E9" s="46"/>
      <c r="F9" s="97">
        <v>527</v>
      </c>
      <c r="G9" s="2" t="str">
        <f t="shared" si="2"/>
        <v>Sw smoking c/ 1 bot PULL</v>
      </c>
      <c r="H9" s="19">
        <f t="shared" si="3"/>
        <v>2500</v>
      </c>
      <c r="I9" s="25">
        <f t="shared" si="4"/>
        <v>2600</v>
      </c>
      <c r="J9" s="46"/>
      <c r="K9" s="97">
        <v>708</v>
      </c>
      <c r="L9" s="2" t="str">
        <f t="shared" si="5"/>
        <v>Bosa hilo rayado*</v>
      </c>
      <c r="M9" s="19">
        <f t="shared" si="6"/>
        <v>1140</v>
      </c>
      <c r="N9" s="25">
        <f t="shared" si="7"/>
        <v>1190</v>
      </c>
      <c r="O9" s="46"/>
      <c r="P9" s="97">
        <v>762</v>
      </c>
      <c r="Q9" s="2" t="str">
        <f>VLOOKUP(P9,Precios,2,FALSE)</f>
        <v>Capa Alg lisa</v>
      </c>
      <c r="R9" s="47">
        <f t="shared" si="8"/>
        <v>1120</v>
      </c>
      <c r="S9" s="48">
        <f t="shared" si="9"/>
        <v>1160</v>
      </c>
      <c r="T9" s="42"/>
      <c r="U9" s="46"/>
    </row>
    <row r="10" spans="1:22" x14ac:dyDescent="0.25">
      <c r="A10" s="97">
        <v>202</v>
      </c>
      <c r="B10" s="1" t="str">
        <f t="shared" si="10"/>
        <v>Bosa Australia rayas 2</v>
      </c>
      <c r="C10" s="19">
        <f t="shared" si="0"/>
        <v>1590</v>
      </c>
      <c r="D10" s="25">
        <f t="shared" si="1"/>
        <v>1650</v>
      </c>
      <c r="E10" s="46"/>
      <c r="F10" s="97">
        <v>528</v>
      </c>
      <c r="G10" s="2"/>
      <c r="H10" s="19">
        <f t="shared" si="3"/>
        <v>1420</v>
      </c>
      <c r="I10" s="25">
        <f t="shared" si="4"/>
        <v>1480</v>
      </c>
      <c r="J10" s="46"/>
      <c r="K10" s="97" t="s">
        <v>31</v>
      </c>
      <c r="L10" s="2" t="str">
        <f t="shared" si="5"/>
        <v>Camp 2H hilo</v>
      </c>
      <c r="M10" s="19">
        <f t="shared" si="6"/>
        <v>2080</v>
      </c>
      <c r="N10" s="25">
        <f t="shared" si="7"/>
        <v>2160</v>
      </c>
      <c r="O10" s="46"/>
      <c r="P10" s="97">
        <v>763</v>
      </c>
      <c r="Q10" s="2" t="str">
        <f>VLOOKUP(P10,Precios,2,FALSE)</f>
        <v>Bosa Pique</v>
      </c>
      <c r="R10" s="47">
        <f t="shared" si="8"/>
        <v>1530</v>
      </c>
      <c r="S10" s="48">
        <f t="shared" si="9"/>
        <v>1590</v>
      </c>
      <c r="T10" s="42"/>
      <c r="U10" s="46"/>
    </row>
    <row r="11" spans="1:22" x14ac:dyDescent="0.25">
      <c r="A11" s="97">
        <v>204</v>
      </c>
      <c r="B11" s="1" t="str">
        <f t="shared" si="10"/>
        <v>Bosa m/corto*</v>
      </c>
      <c r="C11" s="19">
        <f t="shared" si="0"/>
        <v>300</v>
      </c>
      <c r="D11" s="25">
        <f t="shared" si="1"/>
        <v>310</v>
      </c>
      <c r="E11" s="46"/>
      <c r="F11" s="97">
        <v>529</v>
      </c>
      <c r="G11" s="2" t="str">
        <f t="shared" ref="G11:G33" si="11">VLOOKUP(F11,Precios,2,FALSE)</f>
        <v>Sw del negro PULL</v>
      </c>
      <c r="H11" s="19">
        <f t="shared" si="3"/>
        <v>2250</v>
      </c>
      <c r="I11" s="25">
        <f t="shared" si="4"/>
        <v>2340</v>
      </c>
      <c r="J11" s="46"/>
      <c r="K11" s="97">
        <v>713</v>
      </c>
      <c r="L11" s="2" t="str">
        <f t="shared" si="5"/>
        <v>Bosa hilo Flama</v>
      </c>
      <c r="M11" s="19">
        <f t="shared" si="6"/>
        <v>1270</v>
      </c>
      <c r="N11" s="25">
        <f t="shared" si="7"/>
        <v>1320</v>
      </c>
      <c r="O11" s="46"/>
      <c r="P11" s="97">
        <v>765</v>
      </c>
      <c r="Q11" s="2"/>
      <c r="R11" s="47">
        <f t="shared" si="8"/>
        <v>1760</v>
      </c>
      <c r="S11" s="48">
        <f t="shared" si="9"/>
        <v>1830</v>
      </c>
      <c r="T11" s="36"/>
      <c r="U11" s="36"/>
    </row>
    <row r="12" spans="1:22" x14ac:dyDescent="0.25">
      <c r="A12" s="97">
        <v>205</v>
      </c>
      <c r="B12" s="1" t="str">
        <f t="shared" si="10"/>
        <v>Escote U S/ manga*</v>
      </c>
      <c r="C12" s="19">
        <f t="shared" si="0"/>
        <v>1310</v>
      </c>
      <c r="D12" s="25">
        <f t="shared" si="1"/>
        <v>1360</v>
      </c>
      <c r="E12" s="46"/>
      <c r="F12" s="97">
        <v>532</v>
      </c>
      <c r="G12" s="2" t="str">
        <f t="shared" si="11"/>
        <v>Poncho max</v>
      </c>
      <c r="H12" s="19">
        <f t="shared" si="3"/>
        <v>1520</v>
      </c>
      <c r="I12" s="25">
        <f t="shared" si="4"/>
        <v>1580</v>
      </c>
      <c r="J12" s="46"/>
      <c r="K12" s="97">
        <v>714</v>
      </c>
      <c r="L12" s="2" t="str">
        <f t="shared" si="5"/>
        <v>EV. s/ manga lliso</v>
      </c>
      <c r="M12" s="19">
        <f t="shared" si="6"/>
        <v>1190</v>
      </c>
      <c r="N12" s="25">
        <f t="shared" si="7"/>
        <v>1240</v>
      </c>
      <c r="O12" s="46"/>
      <c r="P12" s="97">
        <v>779</v>
      </c>
      <c r="Q12" s="2"/>
      <c r="R12" s="47">
        <f t="shared" si="8"/>
        <v>1420</v>
      </c>
      <c r="S12" s="48">
        <f t="shared" si="9"/>
        <v>1480</v>
      </c>
      <c r="T12" s="36"/>
      <c r="U12" s="36"/>
    </row>
    <row r="13" spans="1:22" x14ac:dyDescent="0.25">
      <c r="A13" s="97">
        <v>206</v>
      </c>
      <c r="B13" s="1" t="str">
        <f t="shared" si="10"/>
        <v>Bosa Varios Bremer*</v>
      </c>
      <c r="C13" s="19">
        <f t="shared" si="0"/>
        <v>1400</v>
      </c>
      <c r="D13" s="25">
        <f t="shared" si="1"/>
        <v>1460</v>
      </c>
      <c r="E13" s="46"/>
      <c r="F13" s="97">
        <v>534</v>
      </c>
      <c r="G13" s="2" t="str">
        <f t="shared" si="11"/>
        <v>Bosa c/ trensa largo PULL*</v>
      </c>
      <c r="H13" s="19">
        <f t="shared" si="3"/>
        <v>1590</v>
      </c>
      <c r="I13" s="25">
        <f t="shared" si="4"/>
        <v>1650</v>
      </c>
      <c r="J13" s="46"/>
      <c r="K13" s="97">
        <v>715</v>
      </c>
      <c r="L13" s="2" t="str">
        <f t="shared" si="5"/>
        <v>Bosa hilo Algodón</v>
      </c>
      <c r="M13" s="19">
        <f t="shared" si="6"/>
        <v>1460</v>
      </c>
      <c r="N13" s="25">
        <f t="shared" si="7"/>
        <v>1520</v>
      </c>
      <c r="O13" s="46"/>
      <c r="P13" s="97">
        <v>780</v>
      </c>
      <c r="Q13" s="2"/>
      <c r="R13" s="47">
        <f t="shared" si="8"/>
        <v>1340</v>
      </c>
      <c r="S13" s="48">
        <f t="shared" si="9"/>
        <v>1390</v>
      </c>
    </row>
    <row r="14" spans="1:22" x14ac:dyDescent="0.25">
      <c r="A14" s="97">
        <v>210</v>
      </c>
      <c r="B14" s="1" t="str">
        <f t="shared" si="10"/>
        <v>Bosa Mono*</v>
      </c>
      <c r="C14" s="19">
        <f t="shared" si="0"/>
        <v>790</v>
      </c>
      <c r="D14" s="25">
        <f t="shared" si="1"/>
        <v>820</v>
      </c>
      <c r="E14" s="46"/>
      <c r="F14" s="97">
        <v>539</v>
      </c>
      <c r="G14" s="2" t="str">
        <f t="shared" si="11"/>
        <v>Campera algodón pull ajedrez</v>
      </c>
      <c r="H14" s="19">
        <f t="shared" si="3"/>
        <v>2100</v>
      </c>
      <c r="I14" s="25">
        <f t="shared" si="4"/>
        <v>2180</v>
      </c>
      <c r="J14" s="46"/>
      <c r="K14" s="97">
        <v>718</v>
      </c>
      <c r="L14" s="2" t="str">
        <f t="shared" si="5"/>
        <v xml:space="preserve">E.V. liso algodón </v>
      </c>
      <c r="M14" s="19">
        <f t="shared" si="6"/>
        <v>1460</v>
      </c>
      <c r="N14" s="25">
        <f t="shared" si="7"/>
        <v>1520</v>
      </c>
      <c r="O14" s="46"/>
      <c r="P14" s="97">
        <v>800</v>
      </c>
      <c r="Q14" s="2" t="str">
        <f>VLOOKUP(P14,Precios,2,FALSE)</f>
        <v>E.V. S/manga</v>
      </c>
      <c r="R14" s="47">
        <f t="shared" si="8"/>
        <v>1180</v>
      </c>
      <c r="S14" s="48">
        <f t="shared" si="9"/>
        <v>1230</v>
      </c>
    </row>
    <row r="15" spans="1:22" x14ac:dyDescent="0.25">
      <c r="A15" s="97">
        <v>211</v>
      </c>
      <c r="B15" s="1" t="str">
        <f t="shared" si="10"/>
        <v>Cardigan mono*</v>
      </c>
      <c r="C15" s="19">
        <f t="shared" si="0"/>
        <v>1190</v>
      </c>
      <c r="D15" s="25">
        <f t="shared" si="1"/>
        <v>1240</v>
      </c>
      <c r="E15" s="46"/>
      <c r="F15" s="97">
        <v>541</v>
      </c>
      <c r="G15" s="2" t="str">
        <f t="shared" si="11"/>
        <v>Camp pull 1Cabo</v>
      </c>
      <c r="H15" s="19">
        <f t="shared" si="3"/>
        <v>2290</v>
      </c>
      <c r="I15" s="25">
        <f t="shared" si="4"/>
        <v>2380</v>
      </c>
      <c r="J15" s="46"/>
      <c r="K15" s="97">
        <v>719</v>
      </c>
      <c r="L15" s="2" t="str">
        <f t="shared" si="5"/>
        <v>E.V. Gigante Moll</v>
      </c>
      <c r="M15" s="19">
        <f t="shared" si="6"/>
        <v>1650</v>
      </c>
      <c r="N15" s="25">
        <f t="shared" si="7"/>
        <v>1720</v>
      </c>
      <c r="O15" s="46"/>
      <c r="P15" s="97">
        <v>801</v>
      </c>
      <c r="Q15" s="2" t="str">
        <f>VLOOKUP(P15,Precios,2,FALSE)</f>
        <v>E.V. uniforme</v>
      </c>
      <c r="R15" s="47">
        <f t="shared" si="8"/>
        <v>1440</v>
      </c>
      <c r="S15" s="48">
        <f t="shared" si="9"/>
        <v>1500</v>
      </c>
    </row>
    <row r="16" spans="1:22" x14ac:dyDescent="0.25">
      <c r="A16" s="97">
        <v>606</v>
      </c>
      <c r="B16" s="1" t="str">
        <f t="shared" si="10"/>
        <v>Pollera**</v>
      </c>
      <c r="C16" s="19">
        <f t="shared" si="0"/>
        <v>1140</v>
      </c>
      <c r="D16" s="25">
        <f t="shared" si="1"/>
        <v>1190</v>
      </c>
      <c r="E16" s="46"/>
      <c r="F16" s="97">
        <v>544</v>
      </c>
      <c r="G16" s="2" t="str">
        <f t="shared" si="11"/>
        <v>Bosa max abeja</v>
      </c>
      <c r="H16" s="19">
        <f t="shared" si="3"/>
        <v>1490</v>
      </c>
      <c r="I16" s="25">
        <f t="shared" si="4"/>
        <v>1550</v>
      </c>
      <c r="J16" s="46"/>
      <c r="K16" s="97">
        <v>720</v>
      </c>
      <c r="L16" s="2" t="str">
        <f t="shared" si="5"/>
        <v>Bosa hilo grueso</v>
      </c>
      <c r="M16" s="19">
        <f t="shared" si="6"/>
        <v>1760</v>
      </c>
      <c r="N16" s="25">
        <f t="shared" si="7"/>
        <v>1830</v>
      </c>
      <c r="O16" s="46"/>
      <c r="P16" s="97">
        <v>806</v>
      </c>
      <c r="Q16" s="2" t="str">
        <f>VLOOKUP(P16,Precios,2,FALSE)</f>
        <v>Polerita morley</v>
      </c>
      <c r="R16" s="47">
        <f t="shared" si="8"/>
        <v>1030</v>
      </c>
      <c r="S16" s="48">
        <f t="shared" si="9"/>
        <v>1070</v>
      </c>
    </row>
    <row r="17" spans="1:19" x14ac:dyDescent="0.25">
      <c r="A17" s="97">
        <v>224</v>
      </c>
      <c r="B17" s="1" t="str">
        <f t="shared" si="10"/>
        <v>Cardigan hombre*</v>
      </c>
      <c r="C17" s="19">
        <f t="shared" si="0"/>
        <v>1140</v>
      </c>
      <c r="D17" s="25">
        <f t="shared" si="1"/>
        <v>1190</v>
      </c>
      <c r="E17" s="46"/>
      <c r="F17" s="97">
        <v>545</v>
      </c>
      <c r="G17" s="2" t="str">
        <f t="shared" si="11"/>
        <v>Polo c/ 1/2 Cierre pull</v>
      </c>
      <c r="H17" s="19">
        <f t="shared" si="3"/>
        <v>2460</v>
      </c>
      <c r="I17" s="25">
        <f t="shared" si="4"/>
        <v>2560</v>
      </c>
      <c r="J17" s="46"/>
      <c r="K17" s="97">
        <v>722</v>
      </c>
      <c r="L17" s="2" t="str">
        <f t="shared" si="5"/>
        <v>Saco cardigan liviano*</v>
      </c>
      <c r="M17" s="19">
        <f t="shared" si="6"/>
        <v>700</v>
      </c>
      <c r="N17" s="25">
        <f t="shared" si="7"/>
        <v>730</v>
      </c>
      <c r="O17" s="46"/>
      <c r="P17" s="97">
        <v>844</v>
      </c>
      <c r="Q17" s="2" t="str">
        <f>VLOOKUP(P17,Precios,2,FALSE)</f>
        <v>Campera gruesa c/8 3/16</v>
      </c>
      <c r="R17" s="47">
        <f t="shared" si="8"/>
        <v>1420</v>
      </c>
      <c r="S17" s="48">
        <f t="shared" si="9"/>
        <v>1480</v>
      </c>
    </row>
    <row r="18" spans="1:19" x14ac:dyDescent="0.25">
      <c r="A18" s="97">
        <v>228</v>
      </c>
      <c r="B18" s="1" t="str">
        <f t="shared" si="10"/>
        <v>Chaleco c/bot*</v>
      </c>
      <c r="C18" s="19">
        <f t="shared" si="0"/>
        <v>450</v>
      </c>
      <c r="D18" s="25">
        <f t="shared" si="1"/>
        <v>470</v>
      </c>
      <c r="E18" s="46"/>
      <c r="F18" s="97">
        <v>546</v>
      </c>
      <c r="G18" s="2" t="str">
        <f t="shared" si="11"/>
        <v>Polo grueso salgui</v>
      </c>
      <c r="H18" s="19">
        <f t="shared" si="3"/>
        <v>2080</v>
      </c>
      <c r="I18" s="25">
        <f t="shared" si="4"/>
        <v>2160</v>
      </c>
      <c r="J18" s="46"/>
      <c r="K18" s="97">
        <v>723</v>
      </c>
      <c r="L18" s="2" t="str">
        <f t="shared" si="5"/>
        <v>Polera hilo serido</v>
      </c>
      <c r="M18" s="19">
        <f t="shared" si="6"/>
        <v>1520</v>
      </c>
      <c r="N18" s="25">
        <f t="shared" si="7"/>
        <v>1580</v>
      </c>
      <c r="O18" s="46"/>
      <c r="P18" s="97">
        <v>849</v>
      </c>
      <c r="Q18" s="2"/>
      <c r="R18" s="47">
        <f t="shared" si="8"/>
        <v>1420</v>
      </c>
      <c r="S18" s="48">
        <f t="shared" si="9"/>
        <v>1480</v>
      </c>
    </row>
    <row r="19" spans="1:19" x14ac:dyDescent="0.25">
      <c r="A19" s="97">
        <v>230</v>
      </c>
      <c r="B19" s="1" t="str">
        <f t="shared" si="10"/>
        <v>Americano*</v>
      </c>
      <c r="C19" s="19">
        <f t="shared" si="0"/>
        <v>1140</v>
      </c>
      <c r="D19" s="25">
        <f t="shared" si="1"/>
        <v>1190</v>
      </c>
      <c r="E19" s="46"/>
      <c r="F19" s="97">
        <v>551</v>
      </c>
      <c r="G19" s="2" t="str">
        <f t="shared" si="11"/>
        <v>Bosa Rallado Pull</v>
      </c>
      <c r="H19" s="19">
        <f t="shared" si="3"/>
        <v>1890</v>
      </c>
      <c r="I19" s="25">
        <f t="shared" si="4"/>
        <v>1970</v>
      </c>
      <c r="K19" s="97">
        <v>725</v>
      </c>
      <c r="L19" s="2" t="str">
        <f t="shared" si="5"/>
        <v>Americano Abeto 24/2</v>
      </c>
      <c r="M19" s="19">
        <f t="shared" si="6"/>
        <v>1870</v>
      </c>
      <c r="N19" s="25">
        <f t="shared" si="7"/>
        <v>1940</v>
      </c>
      <c r="O19" s="46"/>
      <c r="P19" s="97">
        <v>851</v>
      </c>
      <c r="Q19" s="2" t="str">
        <f t="shared" ref="Q19:Q30" si="12">VLOOKUP(P19,Precios,2,FALSE)</f>
        <v>Chaleco c/bot dralon</v>
      </c>
      <c r="R19" s="47">
        <f t="shared" si="8"/>
        <v>1620</v>
      </c>
      <c r="S19" s="48">
        <f t="shared" si="9"/>
        <v>1680</v>
      </c>
    </row>
    <row r="20" spans="1:19" x14ac:dyDescent="0.25">
      <c r="A20" s="97">
        <v>241</v>
      </c>
      <c r="B20" s="1" t="str">
        <f t="shared" si="10"/>
        <v>Cardigan Monkey*</v>
      </c>
      <c r="C20" s="19">
        <f t="shared" si="0"/>
        <v>450</v>
      </c>
      <c r="D20" s="25">
        <f t="shared" si="1"/>
        <v>470</v>
      </c>
      <c r="E20" s="46"/>
      <c r="F20" s="97">
        <v>553</v>
      </c>
      <c r="G20" s="2" t="str">
        <f t="shared" si="11"/>
        <v>Bosa c/ raya ancha PULL</v>
      </c>
      <c r="H20" s="19">
        <f t="shared" si="3"/>
        <v>1890</v>
      </c>
      <c r="I20" s="25">
        <f t="shared" si="4"/>
        <v>1970</v>
      </c>
      <c r="K20" s="97">
        <v>726</v>
      </c>
      <c r="L20" s="2" t="str">
        <f t="shared" si="5"/>
        <v>Cardigan c/bols ancho</v>
      </c>
      <c r="M20" s="19">
        <f t="shared" si="6"/>
        <v>1840</v>
      </c>
      <c r="N20" s="25">
        <f t="shared" si="7"/>
        <v>1910</v>
      </c>
      <c r="O20" s="46"/>
      <c r="P20" s="97">
        <v>860</v>
      </c>
      <c r="Q20" s="2" t="str">
        <f t="shared" si="12"/>
        <v>Campera yamm*</v>
      </c>
      <c r="R20" s="47">
        <f t="shared" si="8"/>
        <v>1120</v>
      </c>
      <c r="S20" s="48">
        <f t="shared" si="9"/>
        <v>1160</v>
      </c>
    </row>
    <row r="21" spans="1:19" x14ac:dyDescent="0.25">
      <c r="A21" s="97">
        <v>245</v>
      </c>
      <c r="B21" s="1" t="str">
        <f t="shared" si="10"/>
        <v>Bosa Milan</v>
      </c>
      <c r="C21" s="19">
        <f t="shared" si="0"/>
        <v>1210</v>
      </c>
      <c r="D21" s="25">
        <f t="shared" si="1"/>
        <v>1260</v>
      </c>
      <c r="E21" s="46"/>
      <c r="F21" s="97">
        <v>554</v>
      </c>
      <c r="G21" s="2" t="str">
        <f t="shared" si="11"/>
        <v>Bosa con rayitas PULL</v>
      </c>
      <c r="H21" s="19">
        <f t="shared" si="3"/>
        <v>1890</v>
      </c>
      <c r="I21" s="25">
        <f t="shared" si="4"/>
        <v>1970</v>
      </c>
      <c r="K21" s="97">
        <v>727</v>
      </c>
      <c r="L21" s="2"/>
      <c r="M21" s="19">
        <f t="shared" si="6"/>
        <v>1340</v>
      </c>
      <c r="N21" s="25">
        <f t="shared" si="7"/>
        <v>1390</v>
      </c>
      <c r="O21" s="46"/>
      <c r="P21" s="97">
        <v>877</v>
      </c>
      <c r="Q21" s="2" t="str">
        <f t="shared" si="12"/>
        <v>Sw c/</v>
      </c>
      <c r="R21" s="47">
        <f t="shared" si="8"/>
        <v>1420</v>
      </c>
      <c r="S21" s="48">
        <f t="shared" si="9"/>
        <v>1480</v>
      </c>
    </row>
    <row r="22" spans="1:19" x14ac:dyDescent="0.25">
      <c r="A22" s="97">
        <v>246</v>
      </c>
      <c r="B22" s="1" t="str">
        <f t="shared" si="10"/>
        <v>Ev. Milan</v>
      </c>
      <c r="C22" s="19">
        <f t="shared" si="0"/>
        <v>860</v>
      </c>
      <c r="D22" s="25">
        <f t="shared" si="1"/>
        <v>890</v>
      </c>
      <c r="E22" s="46"/>
      <c r="F22" s="97">
        <v>555</v>
      </c>
      <c r="G22" s="2" t="str">
        <f t="shared" si="11"/>
        <v>Bosa  degrade PULL</v>
      </c>
      <c r="H22" s="19">
        <f t="shared" si="3"/>
        <v>1620</v>
      </c>
      <c r="I22" s="25">
        <f t="shared" si="4"/>
        <v>1680</v>
      </c>
      <c r="K22" s="97">
        <v>731</v>
      </c>
      <c r="L22" s="2" t="str">
        <f t="shared" ref="L22:L30" si="13">VLOOKUP(K22,Precios,2,FALSE)</f>
        <v>Campera dama c/cierre</v>
      </c>
      <c r="M22" s="19">
        <f t="shared" si="6"/>
        <v>1460</v>
      </c>
      <c r="N22" s="25">
        <f t="shared" si="7"/>
        <v>1520</v>
      </c>
      <c r="O22" s="46"/>
      <c r="P22" s="97">
        <v>1300</v>
      </c>
      <c r="Q22" s="2" t="str">
        <f t="shared" si="12"/>
        <v>Cardigan grto elos*</v>
      </c>
      <c r="R22" s="47">
        <f t="shared" si="8"/>
        <v>990</v>
      </c>
      <c r="S22" s="48">
        <f t="shared" si="9"/>
        <v>1030</v>
      </c>
    </row>
    <row r="23" spans="1:19" x14ac:dyDescent="0.25">
      <c r="A23" s="97">
        <v>247</v>
      </c>
      <c r="B23" s="1" t="str">
        <f t="shared" si="10"/>
        <v>Polera Milan</v>
      </c>
      <c r="C23" s="19">
        <f t="shared" si="0"/>
        <v>1210</v>
      </c>
      <c r="D23" s="25">
        <f t="shared" si="1"/>
        <v>1260</v>
      </c>
      <c r="E23" s="46"/>
      <c r="F23" s="97">
        <v>557</v>
      </c>
      <c r="G23" s="2" t="str">
        <f t="shared" si="11"/>
        <v>Bosa Rayado Pull</v>
      </c>
      <c r="H23" s="19">
        <f t="shared" si="3"/>
        <v>1890</v>
      </c>
      <c r="I23" s="25">
        <f t="shared" si="4"/>
        <v>1970</v>
      </c>
      <c r="K23" s="97">
        <v>733</v>
      </c>
      <c r="L23" s="2" t="str">
        <f t="shared" si="13"/>
        <v>Bosa flamita</v>
      </c>
      <c r="M23" s="19">
        <f t="shared" si="6"/>
        <v>1150</v>
      </c>
      <c r="N23" s="25">
        <f t="shared" si="7"/>
        <v>1200</v>
      </c>
      <c r="O23" s="46"/>
      <c r="P23" s="97">
        <v>1310</v>
      </c>
      <c r="Q23" s="2" t="str">
        <f t="shared" si="12"/>
        <v>E.V. largo*</v>
      </c>
      <c r="R23" s="47">
        <f t="shared" si="8"/>
        <v>1420</v>
      </c>
      <c r="S23" s="48">
        <f t="shared" si="9"/>
        <v>1480</v>
      </c>
    </row>
    <row r="24" spans="1:19" x14ac:dyDescent="0.25">
      <c r="A24" s="97">
        <v>248</v>
      </c>
      <c r="B24" s="1" t="str">
        <f t="shared" si="10"/>
        <v>Camp c/ cierre Milan</v>
      </c>
      <c r="C24" s="19">
        <f t="shared" si="0"/>
        <v>1370</v>
      </c>
      <c r="D24" s="25">
        <f t="shared" si="1"/>
        <v>1420</v>
      </c>
      <c r="E24" s="46"/>
      <c r="F24" s="97">
        <v>558</v>
      </c>
      <c r="G24" s="2" t="str">
        <f t="shared" si="11"/>
        <v>Bosa Rallado Pull</v>
      </c>
      <c r="H24" s="19">
        <f t="shared" si="3"/>
        <v>1890</v>
      </c>
      <c r="I24" s="25">
        <f t="shared" si="4"/>
        <v>1970</v>
      </c>
      <c r="K24" s="97">
        <v>734</v>
      </c>
      <c r="L24" s="2" t="str">
        <f t="shared" si="13"/>
        <v>E.V. 3 cabos</v>
      </c>
      <c r="M24" s="19">
        <f t="shared" si="6"/>
        <v>1720</v>
      </c>
      <c r="N24" s="25">
        <f t="shared" si="7"/>
        <v>1790</v>
      </c>
      <c r="O24" s="46"/>
      <c r="P24" s="97">
        <v>1340</v>
      </c>
      <c r="Q24" s="2" t="str">
        <f t="shared" si="12"/>
        <v>Polera elastizada*</v>
      </c>
      <c r="R24" s="47">
        <f t="shared" si="8"/>
        <v>1420</v>
      </c>
      <c r="S24" s="48">
        <f t="shared" si="9"/>
        <v>1480</v>
      </c>
    </row>
    <row r="25" spans="1:19" x14ac:dyDescent="0.25">
      <c r="A25" s="97">
        <v>254</v>
      </c>
      <c r="B25" s="1" t="str">
        <f t="shared" si="10"/>
        <v>Polera lisa*</v>
      </c>
      <c r="C25" s="19">
        <f t="shared" si="0"/>
        <v>650</v>
      </c>
      <c r="D25" s="25">
        <f t="shared" si="1"/>
        <v>680</v>
      </c>
      <c r="E25" s="46"/>
      <c r="F25" s="97">
        <v>561</v>
      </c>
      <c r="G25" s="2" t="str">
        <f t="shared" si="11"/>
        <v>Bosa Rallado Pull</v>
      </c>
      <c r="H25" s="19">
        <f t="shared" si="3"/>
        <v>1890</v>
      </c>
      <c r="I25" s="25">
        <f t="shared" si="4"/>
        <v>1970</v>
      </c>
      <c r="K25" s="97">
        <v>735</v>
      </c>
      <c r="L25" s="2" t="str">
        <f t="shared" si="13"/>
        <v>Bosa batich*</v>
      </c>
      <c r="M25" s="19">
        <f t="shared" si="6"/>
        <v>1210</v>
      </c>
      <c r="N25" s="25">
        <f t="shared" si="7"/>
        <v>1260</v>
      </c>
      <c r="O25" s="46"/>
      <c r="P25" s="97">
        <v>1350</v>
      </c>
      <c r="Q25" s="2" t="str">
        <f t="shared" si="12"/>
        <v>*</v>
      </c>
      <c r="R25" s="47">
        <f t="shared" si="8"/>
        <v>1000</v>
      </c>
      <c r="S25" s="48">
        <f t="shared" si="9"/>
        <v>1040</v>
      </c>
    </row>
    <row r="26" spans="1:19" x14ac:dyDescent="0.25">
      <c r="A26" s="97">
        <v>269</v>
      </c>
      <c r="B26" s="1" t="str">
        <f t="shared" si="10"/>
        <v>Bosa fina bremer</v>
      </c>
      <c r="C26" s="19">
        <f t="shared" si="0"/>
        <v>2350</v>
      </c>
      <c r="D26" s="25">
        <f t="shared" si="1"/>
        <v>2440</v>
      </c>
      <c r="E26" s="46"/>
      <c r="F26" s="97">
        <v>562</v>
      </c>
      <c r="G26" s="2" t="str">
        <f t="shared" si="11"/>
        <v>Bosa Rallado Pull</v>
      </c>
      <c r="H26" s="19">
        <f t="shared" si="3"/>
        <v>1890</v>
      </c>
      <c r="I26" s="25">
        <f t="shared" si="4"/>
        <v>1970</v>
      </c>
      <c r="K26" s="97">
        <v>736</v>
      </c>
      <c r="L26" s="2" t="str">
        <f t="shared" si="13"/>
        <v>Bosa brillo*</v>
      </c>
      <c r="M26" s="19">
        <f t="shared" si="6"/>
        <v>1270</v>
      </c>
      <c r="N26" s="25">
        <f t="shared" si="7"/>
        <v>1320</v>
      </c>
      <c r="O26" s="46"/>
      <c r="P26" s="97">
        <v>1360</v>
      </c>
      <c r="Q26" s="2" t="str">
        <f t="shared" si="12"/>
        <v>Americano V*</v>
      </c>
      <c r="R26" s="47">
        <f t="shared" si="8"/>
        <v>1000</v>
      </c>
      <c r="S26" s="48">
        <f t="shared" si="9"/>
        <v>1040</v>
      </c>
    </row>
    <row r="27" spans="1:19" x14ac:dyDescent="0.25">
      <c r="A27" s="97">
        <v>292</v>
      </c>
      <c r="B27" s="1" t="str">
        <f t="shared" si="10"/>
        <v>Polera morley*</v>
      </c>
      <c r="C27" s="19">
        <f t="shared" si="0"/>
        <v>1140</v>
      </c>
      <c r="D27" s="25">
        <f t="shared" si="1"/>
        <v>1190</v>
      </c>
      <c r="E27" s="46"/>
      <c r="F27" s="97">
        <v>563</v>
      </c>
      <c r="G27" s="2" t="str">
        <f t="shared" si="11"/>
        <v>Bosa Rallado Pull</v>
      </c>
      <c r="H27" s="19">
        <f t="shared" si="3"/>
        <v>1890</v>
      </c>
      <c r="I27" s="25">
        <f t="shared" si="4"/>
        <v>1970</v>
      </c>
      <c r="K27" s="97">
        <v>737</v>
      </c>
      <c r="L27" s="2" t="str">
        <f t="shared" si="13"/>
        <v>Cardigan flama grueso</v>
      </c>
      <c r="M27" s="19">
        <f t="shared" si="6"/>
        <v>1810</v>
      </c>
      <c r="N27" s="25">
        <f t="shared" si="7"/>
        <v>1880</v>
      </c>
      <c r="O27" s="46"/>
      <c r="P27" s="97">
        <v>1370</v>
      </c>
      <c r="Q27" s="2" t="str">
        <f t="shared" si="12"/>
        <v>Campera c/cierre*</v>
      </c>
      <c r="R27" s="47">
        <f t="shared" si="8"/>
        <v>1000</v>
      </c>
      <c r="S27" s="48">
        <f t="shared" si="9"/>
        <v>1040</v>
      </c>
    </row>
    <row r="28" spans="1:19" x14ac:dyDescent="0.25">
      <c r="A28" s="97">
        <v>294</v>
      </c>
      <c r="B28" s="1" t="str">
        <f t="shared" si="10"/>
        <v>Escote V bremer</v>
      </c>
      <c r="C28" s="19">
        <f t="shared" si="0"/>
        <v>2400</v>
      </c>
      <c r="D28" s="25">
        <f t="shared" si="1"/>
        <v>2500</v>
      </c>
      <c r="E28" s="46"/>
      <c r="F28" s="97">
        <v>564</v>
      </c>
      <c r="G28" s="2" t="str">
        <f t="shared" si="11"/>
        <v>Bosa Rallado Pull</v>
      </c>
      <c r="H28" s="19">
        <f t="shared" si="3"/>
        <v>1890</v>
      </c>
      <c r="I28" s="25">
        <f t="shared" si="4"/>
        <v>1970</v>
      </c>
      <c r="K28" s="97" t="s">
        <v>45</v>
      </c>
      <c r="L28" s="2" t="str">
        <f t="shared" si="13"/>
        <v xml:space="preserve">Bosa perla raul tejedor </v>
      </c>
      <c r="M28" s="19">
        <f t="shared" si="6"/>
        <v>1420</v>
      </c>
      <c r="N28" s="25">
        <f t="shared" si="7"/>
        <v>1480</v>
      </c>
      <c r="O28" s="46"/>
      <c r="P28" s="97">
        <v>1380</v>
      </c>
      <c r="Q28" s="2" t="str">
        <f t="shared" si="12"/>
        <v>Bosa*</v>
      </c>
      <c r="R28" s="47">
        <f t="shared" si="8"/>
        <v>1420</v>
      </c>
      <c r="S28" s="48">
        <f t="shared" si="9"/>
        <v>1480</v>
      </c>
    </row>
    <row r="29" spans="1:19" x14ac:dyDescent="0.25">
      <c r="A29" s="97">
        <v>295</v>
      </c>
      <c r="B29" s="1" t="str">
        <f t="shared" si="10"/>
        <v>Bosa rombo Ast*</v>
      </c>
      <c r="C29" s="19">
        <f t="shared" si="0"/>
        <v>1910</v>
      </c>
      <c r="D29" s="25">
        <f t="shared" si="1"/>
        <v>1990</v>
      </c>
      <c r="E29" s="46"/>
      <c r="F29" s="97">
        <v>565</v>
      </c>
      <c r="G29" s="2" t="str">
        <f t="shared" si="11"/>
        <v>Capaz ecco*</v>
      </c>
      <c r="H29" s="19">
        <f t="shared" si="3"/>
        <v>1040</v>
      </c>
      <c r="I29" s="25">
        <f t="shared" si="4"/>
        <v>1080</v>
      </c>
      <c r="K29" s="97">
        <v>741</v>
      </c>
      <c r="L29" s="2" t="str">
        <f t="shared" si="13"/>
        <v>Bosa cuadrado</v>
      </c>
      <c r="M29" s="19">
        <f t="shared" si="6"/>
        <v>1420</v>
      </c>
      <c r="N29" s="25">
        <f t="shared" si="7"/>
        <v>1480</v>
      </c>
      <c r="O29" s="46"/>
      <c r="P29" s="97">
        <v>1390</v>
      </c>
      <c r="Q29" s="2" t="str">
        <f t="shared" si="12"/>
        <v>Bosa mall*</v>
      </c>
      <c r="R29" s="47">
        <f t="shared" si="8"/>
        <v>1420</v>
      </c>
      <c r="S29" s="48">
        <f t="shared" si="9"/>
        <v>1480</v>
      </c>
    </row>
    <row r="30" spans="1:19" x14ac:dyDescent="0.25">
      <c r="A30" s="97">
        <v>502</v>
      </c>
      <c r="B30" s="1"/>
      <c r="C30" s="19">
        <f t="shared" si="0"/>
        <v>1990</v>
      </c>
      <c r="D30" s="25">
        <f t="shared" si="1"/>
        <v>2070</v>
      </c>
      <c r="E30" s="46"/>
      <c r="F30" s="97">
        <v>571</v>
      </c>
      <c r="G30" s="2" t="str">
        <f t="shared" si="11"/>
        <v>Bosa Rallado Pull</v>
      </c>
      <c r="H30" s="19">
        <f t="shared" si="3"/>
        <v>1890</v>
      </c>
      <c r="I30" s="25">
        <f t="shared" si="4"/>
        <v>1970</v>
      </c>
      <c r="K30" s="97">
        <v>743</v>
      </c>
      <c r="L30" s="2" t="str">
        <f t="shared" si="13"/>
        <v>Polo c/vivo en el cuello</v>
      </c>
      <c r="M30" s="19">
        <f t="shared" si="6"/>
        <v>2050</v>
      </c>
      <c r="N30" s="25">
        <f t="shared" si="7"/>
        <v>2130</v>
      </c>
      <c r="O30" s="46"/>
      <c r="P30" s="97">
        <v>1395</v>
      </c>
      <c r="Q30" s="2" t="str">
        <f t="shared" si="12"/>
        <v>Cardigan mall*</v>
      </c>
      <c r="R30" s="47">
        <f t="shared" si="8"/>
        <v>1850</v>
      </c>
      <c r="S30" s="48">
        <f t="shared" si="9"/>
        <v>1920</v>
      </c>
    </row>
    <row r="31" spans="1:19" x14ac:dyDescent="0.25">
      <c r="A31" s="97">
        <v>504</v>
      </c>
      <c r="B31" s="1" t="str">
        <f>VLOOKUP(A31,Precios,2,FALSE)</f>
        <v xml:space="preserve">Escote V sin manga </v>
      </c>
      <c r="C31" s="19">
        <f t="shared" si="0"/>
        <v>1430</v>
      </c>
      <c r="D31" s="25">
        <f t="shared" si="1"/>
        <v>1490</v>
      </c>
      <c r="E31" s="46"/>
      <c r="F31" s="97">
        <v>572</v>
      </c>
      <c r="G31" s="2" t="str">
        <f t="shared" si="11"/>
        <v>Ev. Serido con codera</v>
      </c>
      <c r="H31" s="19">
        <f t="shared" si="3"/>
        <v>1550</v>
      </c>
      <c r="I31" s="25">
        <f t="shared" si="4"/>
        <v>1610</v>
      </c>
      <c r="K31" s="97">
        <v>745</v>
      </c>
      <c r="L31" s="2"/>
      <c r="M31" s="19">
        <f t="shared" si="6"/>
        <v>1340</v>
      </c>
      <c r="N31" s="25">
        <f t="shared" si="7"/>
        <v>1390</v>
      </c>
      <c r="O31" s="46"/>
      <c r="P31" s="96" t="s">
        <v>65</v>
      </c>
      <c r="Q31" s="2"/>
    </row>
    <row r="32" spans="1:19" x14ac:dyDescent="0.25">
      <c r="A32" s="97">
        <v>513</v>
      </c>
      <c r="B32" s="1" t="str">
        <f>VLOOKUP(A32,Precios,2,FALSE)</f>
        <v>Cardigan tango  MAX*</v>
      </c>
      <c r="C32" s="19">
        <f t="shared" si="0"/>
        <v>1070</v>
      </c>
      <c r="D32" s="25">
        <f t="shared" si="1"/>
        <v>1110</v>
      </c>
      <c r="E32" s="46"/>
      <c r="F32" s="105">
        <v>587</v>
      </c>
      <c r="G32" s="2" t="str">
        <f t="shared" si="11"/>
        <v>Polo c/ Bot Aron PULL</v>
      </c>
      <c r="H32" s="19">
        <f t="shared" si="3"/>
        <v>2380</v>
      </c>
      <c r="I32" s="25">
        <f t="shared" si="4"/>
        <v>2480</v>
      </c>
      <c r="K32" s="97">
        <v>746</v>
      </c>
      <c r="L32" s="2"/>
      <c r="M32" s="19">
        <f t="shared" si="6"/>
        <v>1420</v>
      </c>
      <c r="N32" s="25">
        <f t="shared" si="7"/>
        <v>1480</v>
      </c>
      <c r="O32" s="46"/>
      <c r="P32" s="97">
        <v>140</v>
      </c>
      <c r="Q32" s="2" t="str">
        <f>VLOOKUP(P32,Precios,2,FALSE)</f>
        <v>E.V. uniforme</v>
      </c>
      <c r="R32" s="47">
        <f>VLOOKUP(P32,Precios,10,FALSE)</f>
        <v>1280</v>
      </c>
      <c r="S32" s="48">
        <f>VLOOKUP(P32,Precios,11,FALSE)</f>
        <v>1330</v>
      </c>
    </row>
    <row r="33" spans="3:19" x14ac:dyDescent="0.25">
      <c r="C33"/>
      <c r="E33" s="46"/>
      <c r="F33" s="105">
        <v>594</v>
      </c>
      <c r="G33" s="2" t="str">
        <f t="shared" si="11"/>
        <v>Saco solapa hombre</v>
      </c>
      <c r="H33" s="19">
        <f t="shared" si="3"/>
        <v>2560</v>
      </c>
      <c r="I33" s="25">
        <f t="shared" si="4"/>
        <v>2660</v>
      </c>
      <c r="K33" s="9">
        <v>748</v>
      </c>
      <c r="L33" s="2" t="str">
        <f>VLOOKUP(K33,Precios,2,FALSE)</f>
        <v>Bosa perla fino raul tejedor</v>
      </c>
      <c r="M33" s="19">
        <f t="shared" si="6"/>
        <v>1420</v>
      </c>
      <c r="N33" s="25">
        <f t="shared" si="7"/>
        <v>1480</v>
      </c>
      <c r="O33" s="46"/>
      <c r="P33" s="97">
        <v>150</v>
      </c>
      <c r="Q33" s="2" t="str">
        <f>VLOOKUP(P33,Precios,2,FALSE)</f>
        <v>Bosa babero</v>
      </c>
      <c r="R33" s="47">
        <f>VLOOKUP(P33,Precios,10,FALSE)</f>
        <v>1190</v>
      </c>
      <c r="S33" s="48">
        <f>VLOOKUP(P33,Precios,11,FALSE)</f>
        <v>1240</v>
      </c>
    </row>
    <row r="34" spans="3:19" x14ac:dyDescent="0.25">
      <c r="F34" s="105">
        <v>598</v>
      </c>
      <c r="G34" s="2" t="str">
        <f t="shared" ref="G34" si="14">VLOOKUP(F34,Precios,2,FALSE)</f>
        <v>Saco flama grueso</v>
      </c>
      <c r="H34" s="19">
        <f t="shared" ref="H34" si="15">VLOOKUP(F34,Precios,10,FALSE)</f>
        <v>2190</v>
      </c>
      <c r="I34" s="25">
        <f t="shared" ref="I34" si="16">VLOOKUP(F34,Precios,11,FALSE)</f>
        <v>2280</v>
      </c>
      <c r="J34"/>
      <c r="K34" s="104">
        <v>750</v>
      </c>
      <c r="L34" s="2" t="str">
        <f>VLOOKUP(K34,Precios,2,FALSE)</f>
        <v>Bosa fino rayado</v>
      </c>
      <c r="M34" s="19">
        <f t="shared" ref="M34" si="17">VLOOKUP(K34,Precios,10,FALSE)</f>
        <v>1500</v>
      </c>
      <c r="N34" s="25">
        <f t="shared" ref="N34" si="18">VLOOKUP(K34,Precios,11,FALSE)</f>
        <v>1560</v>
      </c>
      <c r="O34" s="46"/>
    </row>
  </sheetData>
  <mergeCells count="4">
    <mergeCell ref="R1:S1"/>
    <mergeCell ref="A1:B1"/>
    <mergeCell ref="H1:I1"/>
    <mergeCell ref="M1:N1"/>
  </mergeCells>
  <pageMargins left="0.25" right="0.25" top="0.75" bottom="0.75" header="0.3" footer="0.3"/>
  <pageSetup paperSize="9" scale="97" orientation="landscape" r:id="rId1"/>
  <colBreaks count="1" manualBreakCount="1">
    <brk id="10" max="3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view="pageBreakPreview" zoomScale="60" zoomScaleNormal="70" workbookViewId="0">
      <selection activeCell="I6" sqref="I6"/>
    </sheetView>
  </sheetViews>
  <sheetFormatPr baseColWidth="10" defaultRowHeight="15" x14ac:dyDescent="0.25"/>
  <cols>
    <col min="1" max="1" width="12.28515625" bestFit="1" customWidth="1"/>
    <col min="2" max="2" width="44.5703125" customWidth="1"/>
    <col min="3" max="3" width="17.5703125" style="14" customWidth="1"/>
    <col min="4" max="4" width="14.85546875" bestFit="1" customWidth="1"/>
    <col min="5" max="5" width="12.28515625" bestFit="1" customWidth="1"/>
    <col min="6" max="6" width="44.5703125" customWidth="1"/>
    <col min="7" max="7" width="17.7109375" style="14" customWidth="1"/>
    <col min="8" max="8" width="12" bestFit="1" customWidth="1"/>
    <col min="9" max="9" width="12.28515625" bestFit="1" customWidth="1"/>
    <col min="10" max="10" width="44.28515625" customWidth="1"/>
    <col min="11" max="11" width="17.7109375" style="14" customWidth="1"/>
    <col min="12" max="12" width="12" bestFit="1" customWidth="1"/>
  </cols>
  <sheetData>
    <row r="1" spans="1:12" ht="21" x14ac:dyDescent="0.35">
      <c r="A1" s="173" t="s">
        <v>117</v>
      </c>
      <c r="B1" s="173"/>
      <c r="C1" s="173"/>
      <c r="D1" s="45"/>
      <c r="E1" s="173" t="s">
        <v>117</v>
      </c>
      <c r="F1" s="173"/>
      <c r="G1" s="173"/>
      <c r="H1" s="44"/>
      <c r="I1" s="173" t="s">
        <v>117</v>
      </c>
      <c r="J1" s="173"/>
      <c r="K1" s="173"/>
      <c r="L1" s="44"/>
    </row>
    <row r="2" spans="1:12" x14ac:dyDescent="0.25">
      <c r="D2" s="43">
        <v>44270</v>
      </c>
      <c r="H2" s="43">
        <v>44270</v>
      </c>
      <c r="L2" s="43">
        <v>44270</v>
      </c>
    </row>
    <row r="3" spans="1:12" ht="15.75" x14ac:dyDescent="0.25">
      <c r="A3" s="11" t="s">
        <v>2</v>
      </c>
      <c r="B3" s="3" t="s">
        <v>3</v>
      </c>
      <c r="C3" s="41" t="s">
        <v>120</v>
      </c>
      <c r="E3" s="11" t="s">
        <v>2</v>
      </c>
      <c r="F3" s="3" t="s">
        <v>3</v>
      </c>
      <c r="G3" s="41" t="s">
        <v>120</v>
      </c>
      <c r="I3" s="11" t="s">
        <v>2</v>
      </c>
      <c r="J3" s="3" t="s">
        <v>3</v>
      </c>
      <c r="K3" s="41" t="s">
        <v>120</v>
      </c>
    </row>
    <row r="4" spans="1:12" x14ac:dyDescent="0.25">
      <c r="A4" s="8">
        <v>115</v>
      </c>
      <c r="B4" s="1"/>
      <c r="C4" s="19">
        <f t="shared" ref="C4:C43" si="0">VLOOKUP(A4,Precios,10,FALSE)</f>
        <v>1140</v>
      </c>
      <c r="E4" s="8">
        <v>546</v>
      </c>
      <c r="F4" s="1" t="s">
        <v>23</v>
      </c>
      <c r="G4" s="19">
        <f t="shared" ref="G4:G45" si="1">VLOOKUP(E4,Precios,10,FALSE)</f>
        <v>2080</v>
      </c>
      <c r="I4" s="8">
        <v>745</v>
      </c>
      <c r="J4" s="1"/>
      <c r="K4" s="19">
        <f t="shared" ref="K4:K33" si="2">VLOOKUP(I4,Precios,10,FALSE)</f>
        <v>1340</v>
      </c>
    </row>
    <row r="5" spans="1:12" x14ac:dyDescent="0.25">
      <c r="A5" s="8">
        <v>122</v>
      </c>
      <c r="B5" s="1"/>
      <c r="C5" s="19">
        <f t="shared" si="0"/>
        <v>850</v>
      </c>
      <c r="E5" s="8">
        <v>551</v>
      </c>
      <c r="F5" s="1" t="s">
        <v>103</v>
      </c>
      <c r="G5" s="19">
        <f t="shared" si="1"/>
        <v>1890</v>
      </c>
      <c r="I5" s="8">
        <v>746</v>
      </c>
      <c r="J5" s="1"/>
      <c r="K5" s="19">
        <f t="shared" si="2"/>
        <v>1420</v>
      </c>
    </row>
    <row r="6" spans="1:12" x14ac:dyDescent="0.25">
      <c r="A6" s="8">
        <v>128</v>
      </c>
      <c r="B6" s="1"/>
      <c r="C6" s="19">
        <f t="shared" si="0"/>
        <v>850</v>
      </c>
      <c r="E6" s="8">
        <v>553</v>
      </c>
      <c r="F6" s="1" t="s">
        <v>99</v>
      </c>
      <c r="G6" s="19">
        <f t="shared" si="1"/>
        <v>1890</v>
      </c>
      <c r="I6" s="9">
        <v>748</v>
      </c>
      <c r="J6" s="2" t="s">
        <v>48</v>
      </c>
      <c r="K6" s="19">
        <f t="shared" si="2"/>
        <v>1420</v>
      </c>
    </row>
    <row r="7" spans="1:12" x14ac:dyDescent="0.25">
      <c r="A7" s="8">
        <v>130</v>
      </c>
      <c r="B7" s="1"/>
      <c r="C7" s="19">
        <f t="shared" si="0"/>
        <v>850</v>
      </c>
      <c r="E7" s="8">
        <v>554</v>
      </c>
      <c r="F7" s="1" t="s">
        <v>100</v>
      </c>
      <c r="G7" s="19">
        <f t="shared" si="1"/>
        <v>1890</v>
      </c>
      <c r="I7" s="9">
        <v>750</v>
      </c>
      <c r="J7" s="2" t="s">
        <v>72</v>
      </c>
      <c r="K7" s="19">
        <f t="shared" si="2"/>
        <v>1500</v>
      </c>
    </row>
    <row r="8" spans="1:12" x14ac:dyDescent="0.25">
      <c r="A8" s="8">
        <v>131</v>
      </c>
      <c r="B8" s="1"/>
      <c r="C8" s="19">
        <f t="shared" si="0"/>
        <v>850</v>
      </c>
      <c r="E8" s="8">
        <v>555</v>
      </c>
      <c r="F8" s="1" t="s">
        <v>101</v>
      </c>
      <c r="G8" s="19">
        <f t="shared" si="1"/>
        <v>1620</v>
      </c>
      <c r="I8" s="9">
        <v>751</v>
      </c>
      <c r="J8" s="2" t="s">
        <v>49</v>
      </c>
      <c r="K8" s="19">
        <f t="shared" si="2"/>
        <v>1380</v>
      </c>
    </row>
    <row r="9" spans="1:12" x14ac:dyDescent="0.25">
      <c r="A9" s="8">
        <v>145</v>
      </c>
      <c r="B9" s="1"/>
      <c r="C9" s="19">
        <f t="shared" si="0"/>
        <v>850</v>
      </c>
      <c r="E9" s="8">
        <v>557</v>
      </c>
      <c r="F9" s="1" t="s">
        <v>102</v>
      </c>
      <c r="G9" s="19">
        <f t="shared" si="1"/>
        <v>1890</v>
      </c>
      <c r="I9" s="9">
        <v>753</v>
      </c>
      <c r="J9" s="2" t="s">
        <v>50</v>
      </c>
      <c r="K9" s="19">
        <f t="shared" si="2"/>
        <v>1380</v>
      </c>
    </row>
    <row r="10" spans="1:12" x14ac:dyDescent="0.25">
      <c r="A10" s="8">
        <v>200</v>
      </c>
      <c r="B10" s="1" t="s">
        <v>6</v>
      </c>
      <c r="C10" s="19">
        <f t="shared" si="0"/>
        <v>1420</v>
      </c>
      <c r="E10" s="8">
        <v>558</v>
      </c>
      <c r="F10" s="1" t="s">
        <v>103</v>
      </c>
      <c r="G10" s="19">
        <f t="shared" si="1"/>
        <v>1890</v>
      </c>
      <c r="I10" s="9">
        <v>754</v>
      </c>
      <c r="J10" s="2"/>
      <c r="K10" s="19">
        <f t="shared" si="2"/>
        <v>1500</v>
      </c>
    </row>
    <row r="11" spans="1:12" x14ac:dyDescent="0.25">
      <c r="A11" s="8">
        <v>202</v>
      </c>
      <c r="B11" s="1" t="s">
        <v>7</v>
      </c>
      <c r="C11" s="19">
        <f t="shared" si="0"/>
        <v>1590</v>
      </c>
      <c r="E11" s="8">
        <v>561</v>
      </c>
      <c r="F11" s="1" t="s">
        <v>103</v>
      </c>
      <c r="G11" s="19">
        <f t="shared" si="1"/>
        <v>1890</v>
      </c>
      <c r="I11" s="9">
        <v>755</v>
      </c>
      <c r="J11" s="2"/>
      <c r="K11" s="19">
        <f t="shared" si="2"/>
        <v>1500</v>
      </c>
    </row>
    <row r="12" spans="1:12" x14ac:dyDescent="0.25">
      <c r="A12" s="8">
        <v>205</v>
      </c>
      <c r="B12" s="1" t="s">
        <v>67</v>
      </c>
      <c r="C12" s="19">
        <f t="shared" si="0"/>
        <v>1310</v>
      </c>
      <c r="E12" s="8">
        <v>562</v>
      </c>
      <c r="F12" s="1" t="s">
        <v>103</v>
      </c>
      <c r="G12" s="19">
        <f t="shared" si="1"/>
        <v>1890</v>
      </c>
      <c r="I12" s="9">
        <v>756</v>
      </c>
      <c r="J12" s="2"/>
      <c r="K12" s="19">
        <f t="shared" si="2"/>
        <v>1510</v>
      </c>
    </row>
    <row r="13" spans="1:12" x14ac:dyDescent="0.25">
      <c r="A13" s="8">
        <v>206</v>
      </c>
      <c r="B13" s="1" t="s">
        <v>90</v>
      </c>
      <c r="C13" s="19">
        <f t="shared" si="0"/>
        <v>1400</v>
      </c>
      <c r="E13" s="8">
        <v>563</v>
      </c>
      <c r="F13" s="1" t="s">
        <v>103</v>
      </c>
      <c r="G13" s="19">
        <f t="shared" si="1"/>
        <v>1890</v>
      </c>
      <c r="I13" s="9">
        <v>757</v>
      </c>
      <c r="J13" s="2" t="s">
        <v>51</v>
      </c>
      <c r="K13" s="19">
        <f t="shared" si="2"/>
        <v>1500</v>
      </c>
    </row>
    <row r="14" spans="1:12" x14ac:dyDescent="0.25">
      <c r="A14" s="8">
        <v>210</v>
      </c>
      <c r="B14" s="1" t="s">
        <v>8</v>
      </c>
      <c r="C14" s="19">
        <f t="shared" si="0"/>
        <v>790</v>
      </c>
      <c r="E14" s="8">
        <v>564</v>
      </c>
      <c r="F14" s="1" t="s">
        <v>103</v>
      </c>
      <c r="G14" s="19">
        <f t="shared" si="1"/>
        <v>1890</v>
      </c>
      <c r="I14" s="9">
        <v>765</v>
      </c>
      <c r="J14" s="2"/>
      <c r="K14" s="19">
        <f t="shared" si="2"/>
        <v>1760</v>
      </c>
    </row>
    <row r="15" spans="1:12" x14ac:dyDescent="0.25">
      <c r="A15" s="8">
        <v>211</v>
      </c>
      <c r="B15" s="1" t="s">
        <v>11</v>
      </c>
      <c r="C15" s="19">
        <f t="shared" si="0"/>
        <v>1190</v>
      </c>
      <c r="E15" s="8">
        <v>571</v>
      </c>
      <c r="F15" s="1" t="s">
        <v>103</v>
      </c>
      <c r="G15" s="19">
        <f t="shared" si="1"/>
        <v>1890</v>
      </c>
      <c r="I15" s="9">
        <v>779</v>
      </c>
      <c r="J15" s="2"/>
      <c r="K15" s="19">
        <f t="shared" si="2"/>
        <v>1420</v>
      </c>
    </row>
    <row r="16" spans="1:12" x14ac:dyDescent="0.25">
      <c r="A16" s="8">
        <v>606</v>
      </c>
      <c r="B16" s="1" t="s">
        <v>9</v>
      </c>
      <c r="C16" s="19">
        <f t="shared" si="0"/>
        <v>1140</v>
      </c>
      <c r="E16" s="8">
        <v>587</v>
      </c>
      <c r="F16" s="1" t="s">
        <v>104</v>
      </c>
      <c r="G16" s="19">
        <f t="shared" si="1"/>
        <v>2380</v>
      </c>
      <c r="I16" s="9">
        <v>780</v>
      </c>
      <c r="J16" s="2"/>
      <c r="K16" s="19">
        <f t="shared" si="2"/>
        <v>1340</v>
      </c>
    </row>
    <row r="17" spans="1:11" x14ac:dyDescent="0.25">
      <c r="A17" s="8">
        <v>224</v>
      </c>
      <c r="B17" s="1" t="s">
        <v>10</v>
      </c>
      <c r="C17" s="19">
        <f t="shared" si="0"/>
        <v>1140</v>
      </c>
      <c r="E17" s="8">
        <v>594</v>
      </c>
      <c r="F17" s="1" t="s">
        <v>24</v>
      </c>
      <c r="G17" s="19">
        <f t="shared" si="1"/>
        <v>2560</v>
      </c>
      <c r="I17" s="9">
        <v>800</v>
      </c>
      <c r="J17" s="1" t="s">
        <v>52</v>
      </c>
      <c r="K17" s="19">
        <f t="shared" si="2"/>
        <v>1180</v>
      </c>
    </row>
    <row r="18" spans="1:11" x14ac:dyDescent="0.25">
      <c r="A18" s="8">
        <v>228</v>
      </c>
      <c r="B18" s="1" t="s">
        <v>12</v>
      </c>
      <c r="C18" s="19">
        <f t="shared" si="0"/>
        <v>450</v>
      </c>
      <c r="E18" s="8">
        <v>598</v>
      </c>
      <c r="F18" s="1" t="s">
        <v>25</v>
      </c>
      <c r="G18" s="19">
        <f t="shared" si="1"/>
        <v>2190</v>
      </c>
      <c r="I18" s="9">
        <v>801</v>
      </c>
      <c r="J18" s="1" t="s">
        <v>53</v>
      </c>
      <c r="K18" s="19">
        <f t="shared" si="2"/>
        <v>1440</v>
      </c>
    </row>
    <row r="19" spans="1:11" x14ac:dyDescent="0.25">
      <c r="A19" s="8">
        <v>230</v>
      </c>
      <c r="B19" s="1" t="s">
        <v>13</v>
      </c>
      <c r="C19" s="19">
        <f t="shared" si="0"/>
        <v>1140</v>
      </c>
      <c r="E19" s="8">
        <v>599</v>
      </c>
      <c r="F19" s="1" t="s">
        <v>26</v>
      </c>
      <c r="G19" s="19">
        <f t="shared" si="1"/>
        <v>1840</v>
      </c>
      <c r="I19" s="8">
        <v>806</v>
      </c>
      <c r="J19" s="1" t="s">
        <v>54</v>
      </c>
      <c r="K19" s="19">
        <f t="shared" si="2"/>
        <v>1030</v>
      </c>
    </row>
    <row r="20" spans="1:11" x14ac:dyDescent="0.25">
      <c r="A20" s="8">
        <v>241</v>
      </c>
      <c r="B20" s="1" t="s">
        <v>14</v>
      </c>
      <c r="C20" s="19">
        <f t="shared" si="0"/>
        <v>450</v>
      </c>
      <c r="E20" s="8">
        <v>700</v>
      </c>
      <c r="F20" s="1"/>
      <c r="G20" s="19">
        <f t="shared" si="1"/>
        <v>500</v>
      </c>
      <c r="I20" s="8">
        <v>844</v>
      </c>
      <c r="J20" s="1" t="s">
        <v>55</v>
      </c>
      <c r="K20" s="19">
        <f t="shared" si="2"/>
        <v>1420</v>
      </c>
    </row>
    <row r="21" spans="1:11" x14ac:dyDescent="0.25">
      <c r="A21" s="8">
        <v>254</v>
      </c>
      <c r="B21" s="1" t="s">
        <v>15</v>
      </c>
      <c r="C21" s="19">
        <f t="shared" si="0"/>
        <v>650</v>
      </c>
      <c r="E21" s="8">
        <v>701</v>
      </c>
      <c r="F21" s="1" t="s">
        <v>27</v>
      </c>
      <c r="G21" s="19">
        <f t="shared" si="1"/>
        <v>1190</v>
      </c>
      <c r="I21" s="8">
        <v>849</v>
      </c>
      <c r="J21" s="1"/>
      <c r="K21" s="19">
        <f t="shared" si="2"/>
        <v>1420</v>
      </c>
    </row>
    <row r="22" spans="1:11" x14ac:dyDescent="0.25">
      <c r="A22" s="8">
        <v>269</v>
      </c>
      <c r="B22" s="1" t="s">
        <v>16</v>
      </c>
      <c r="C22" s="19">
        <f t="shared" si="0"/>
        <v>2350</v>
      </c>
      <c r="E22" s="8">
        <v>703</v>
      </c>
      <c r="F22" s="1" t="s">
        <v>28</v>
      </c>
      <c r="G22" s="19">
        <f t="shared" si="1"/>
        <v>1910</v>
      </c>
      <c r="I22" s="8">
        <v>851</v>
      </c>
      <c r="J22" s="1" t="s">
        <v>56</v>
      </c>
      <c r="K22" s="19">
        <f t="shared" si="2"/>
        <v>1620</v>
      </c>
    </row>
    <row r="23" spans="1:11" x14ac:dyDescent="0.25">
      <c r="A23" s="8">
        <v>292</v>
      </c>
      <c r="B23" s="1" t="s">
        <v>68</v>
      </c>
      <c r="C23" s="19">
        <f t="shared" si="0"/>
        <v>1140</v>
      </c>
      <c r="E23" s="8">
        <v>705</v>
      </c>
      <c r="F23" s="1" t="s">
        <v>29</v>
      </c>
      <c r="G23" s="19">
        <f t="shared" si="1"/>
        <v>1280</v>
      </c>
      <c r="I23" s="8">
        <v>860</v>
      </c>
      <c r="J23" s="1" t="s">
        <v>57</v>
      </c>
      <c r="K23" s="19">
        <f t="shared" si="2"/>
        <v>1120</v>
      </c>
    </row>
    <row r="24" spans="1:11" x14ac:dyDescent="0.25">
      <c r="A24" s="8">
        <v>294</v>
      </c>
      <c r="B24" s="1" t="s">
        <v>17</v>
      </c>
      <c r="C24" s="19">
        <f t="shared" si="0"/>
        <v>2400</v>
      </c>
      <c r="E24" s="8">
        <v>708</v>
      </c>
      <c r="F24" s="1" t="s">
        <v>30</v>
      </c>
      <c r="G24" s="19">
        <f t="shared" si="1"/>
        <v>1140</v>
      </c>
      <c r="I24" s="8">
        <v>877</v>
      </c>
      <c r="J24" s="1" t="s">
        <v>73</v>
      </c>
      <c r="K24" s="19">
        <f t="shared" si="2"/>
        <v>1420</v>
      </c>
    </row>
    <row r="25" spans="1:11" x14ac:dyDescent="0.25">
      <c r="A25" s="8">
        <v>295</v>
      </c>
      <c r="B25" s="1" t="s">
        <v>18</v>
      </c>
      <c r="C25" s="19">
        <f t="shared" si="0"/>
        <v>1910</v>
      </c>
      <c r="E25" s="8" t="s">
        <v>31</v>
      </c>
      <c r="F25" s="1" t="s">
        <v>32</v>
      </c>
      <c r="G25" s="19">
        <f t="shared" si="1"/>
        <v>2080</v>
      </c>
      <c r="I25" s="8">
        <v>1300</v>
      </c>
      <c r="J25" s="1" t="s">
        <v>58</v>
      </c>
      <c r="K25" s="19">
        <f t="shared" si="2"/>
        <v>990</v>
      </c>
    </row>
    <row r="26" spans="1:11" x14ac:dyDescent="0.25">
      <c r="A26" s="8">
        <v>502</v>
      </c>
      <c r="B26" s="1"/>
      <c r="C26" s="19">
        <f t="shared" si="0"/>
        <v>1990</v>
      </c>
      <c r="E26" s="8">
        <v>713</v>
      </c>
      <c r="F26" s="1" t="s">
        <v>105</v>
      </c>
      <c r="G26" s="19">
        <f t="shared" si="1"/>
        <v>1270</v>
      </c>
      <c r="I26" s="8">
        <v>1310</v>
      </c>
      <c r="J26" s="1" t="s">
        <v>74</v>
      </c>
      <c r="K26" s="19">
        <f t="shared" si="2"/>
        <v>1420</v>
      </c>
    </row>
    <row r="27" spans="1:11" x14ac:dyDescent="0.25">
      <c r="A27" s="8">
        <v>504</v>
      </c>
      <c r="B27" s="1" t="s">
        <v>19</v>
      </c>
      <c r="C27" s="19">
        <f t="shared" si="0"/>
        <v>1430</v>
      </c>
      <c r="E27" s="8">
        <v>714</v>
      </c>
      <c r="F27" s="1" t="s">
        <v>107</v>
      </c>
      <c r="G27" s="19">
        <f t="shared" si="1"/>
        <v>1190</v>
      </c>
      <c r="I27" s="8">
        <v>1340</v>
      </c>
      <c r="J27" s="1" t="s">
        <v>60</v>
      </c>
      <c r="K27" s="19">
        <f t="shared" si="2"/>
        <v>1420</v>
      </c>
    </row>
    <row r="28" spans="1:11" x14ac:dyDescent="0.25">
      <c r="A28" s="8">
        <v>513</v>
      </c>
      <c r="B28" s="1" t="s">
        <v>91</v>
      </c>
      <c r="C28" s="19">
        <f t="shared" si="0"/>
        <v>1070</v>
      </c>
      <c r="E28" s="8">
        <v>715</v>
      </c>
      <c r="F28" s="1" t="s">
        <v>33</v>
      </c>
      <c r="G28" s="19">
        <f t="shared" si="1"/>
        <v>1460</v>
      </c>
      <c r="I28" s="8">
        <v>1350</v>
      </c>
      <c r="J28" s="1"/>
      <c r="K28" s="19">
        <f t="shared" si="2"/>
        <v>1000</v>
      </c>
    </row>
    <row r="29" spans="1:11" x14ac:dyDescent="0.25">
      <c r="A29" s="8">
        <v>517</v>
      </c>
      <c r="B29" s="1" t="s">
        <v>110</v>
      </c>
      <c r="C29" s="19">
        <f t="shared" si="0"/>
        <v>2750</v>
      </c>
      <c r="E29" s="8">
        <v>718</v>
      </c>
      <c r="F29" s="1" t="s">
        <v>34</v>
      </c>
      <c r="G29" s="19">
        <f t="shared" si="1"/>
        <v>1460</v>
      </c>
      <c r="I29" s="8">
        <v>1360</v>
      </c>
      <c r="J29" s="1" t="s">
        <v>61</v>
      </c>
      <c r="K29" s="19">
        <f t="shared" si="2"/>
        <v>1000</v>
      </c>
    </row>
    <row r="30" spans="1:11" x14ac:dyDescent="0.25">
      <c r="A30" s="8">
        <v>518</v>
      </c>
      <c r="B30" s="1" t="s">
        <v>20</v>
      </c>
      <c r="C30" s="19">
        <f t="shared" si="0"/>
        <v>1890</v>
      </c>
      <c r="E30" s="8">
        <v>719</v>
      </c>
      <c r="F30" s="1" t="s">
        <v>106</v>
      </c>
      <c r="G30" s="19">
        <f t="shared" si="1"/>
        <v>1650</v>
      </c>
      <c r="I30" s="8">
        <v>1370</v>
      </c>
      <c r="J30" s="1" t="s">
        <v>62</v>
      </c>
      <c r="K30" s="19">
        <f t="shared" si="2"/>
        <v>1000</v>
      </c>
    </row>
    <row r="31" spans="1:11" x14ac:dyDescent="0.25">
      <c r="A31" s="8">
        <v>521</v>
      </c>
      <c r="B31" s="1" t="s">
        <v>93</v>
      </c>
      <c r="C31" s="19">
        <f t="shared" si="0"/>
        <v>1840</v>
      </c>
      <c r="E31" s="8">
        <v>720</v>
      </c>
      <c r="F31" s="1" t="s">
        <v>35</v>
      </c>
      <c r="G31" s="19">
        <f t="shared" si="1"/>
        <v>1760</v>
      </c>
      <c r="I31" s="8">
        <v>1380</v>
      </c>
      <c r="J31" s="1" t="s">
        <v>59</v>
      </c>
      <c r="K31" s="19">
        <f t="shared" si="2"/>
        <v>1420</v>
      </c>
    </row>
    <row r="32" spans="1:11" x14ac:dyDescent="0.25">
      <c r="A32" s="8">
        <v>524</v>
      </c>
      <c r="B32" s="1" t="s">
        <v>94</v>
      </c>
      <c r="C32" s="19">
        <f t="shared" si="0"/>
        <v>2480</v>
      </c>
      <c r="E32" s="8">
        <v>723</v>
      </c>
      <c r="F32" s="1" t="s">
        <v>36</v>
      </c>
      <c r="G32" s="19">
        <f t="shared" si="1"/>
        <v>1520</v>
      </c>
      <c r="I32" s="8">
        <v>1390</v>
      </c>
      <c r="J32" s="1" t="s">
        <v>63</v>
      </c>
      <c r="K32" s="19">
        <f t="shared" si="2"/>
        <v>1420</v>
      </c>
    </row>
    <row r="33" spans="1:11" x14ac:dyDescent="0.25">
      <c r="A33" s="8">
        <v>525</v>
      </c>
      <c r="B33" s="1" t="s">
        <v>92</v>
      </c>
      <c r="C33" s="19">
        <f t="shared" si="0"/>
        <v>860</v>
      </c>
      <c r="E33" s="8">
        <v>722</v>
      </c>
      <c r="F33" s="1" t="s">
        <v>37</v>
      </c>
      <c r="G33" s="19">
        <f t="shared" si="1"/>
        <v>700</v>
      </c>
      <c r="I33" s="8">
        <v>1395</v>
      </c>
      <c r="J33" s="1" t="s">
        <v>64</v>
      </c>
      <c r="K33" s="19">
        <f t="shared" si="2"/>
        <v>1850</v>
      </c>
    </row>
    <row r="34" spans="1:11" x14ac:dyDescent="0.25">
      <c r="A34" s="8">
        <v>526</v>
      </c>
      <c r="B34" s="1"/>
      <c r="C34" s="19">
        <f t="shared" si="0"/>
        <v>2190</v>
      </c>
      <c r="E34" s="8">
        <v>725</v>
      </c>
      <c r="F34" s="1" t="s">
        <v>38</v>
      </c>
      <c r="G34" s="19">
        <f t="shared" si="1"/>
        <v>1870</v>
      </c>
      <c r="I34" s="38"/>
      <c r="J34" s="36"/>
      <c r="K34" s="36"/>
    </row>
    <row r="35" spans="1:11" x14ac:dyDescent="0.25">
      <c r="A35" s="8">
        <v>527</v>
      </c>
      <c r="B35" s="1" t="s">
        <v>95</v>
      </c>
      <c r="C35" s="19">
        <f t="shared" si="0"/>
        <v>2500</v>
      </c>
      <c r="E35" s="8">
        <v>726</v>
      </c>
      <c r="F35" s="1" t="s">
        <v>70</v>
      </c>
      <c r="G35" s="19">
        <f t="shared" si="1"/>
        <v>1840</v>
      </c>
      <c r="I35" s="38"/>
      <c r="J35" s="36"/>
      <c r="K35" s="36"/>
    </row>
    <row r="36" spans="1:11" x14ac:dyDescent="0.25">
      <c r="A36" s="8">
        <v>528</v>
      </c>
      <c r="B36" s="1"/>
      <c r="C36" s="19">
        <f t="shared" si="0"/>
        <v>1420</v>
      </c>
      <c r="E36" s="8">
        <v>727</v>
      </c>
      <c r="F36" s="1"/>
      <c r="G36" s="19">
        <f t="shared" si="1"/>
        <v>1340</v>
      </c>
      <c r="I36" s="174" t="s">
        <v>65</v>
      </c>
      <c r="J36" s="174"/>
      <c r="K36" s="36"/>
    </row>
    <row r="37" spans="1:11" x14ac:dyDescent="0.25">
      <c r="A37" s="8">
        <v>529</v>
      </c>
      <c r="B37" s="1" t="s">
        <v>96</v>
      </c>
      <c r="C37" s="19">
        <f t="shared" si="0"/>
        <v>2250</v>
      </c>
      <c r="E37" s="8">
        <v>731</v>
      </c>
      <c r="F37" s="1" t="s">
        <v>39</v>
      </c>
      <c r="G37" s="19">
        <f t="shared" si="1"/>
        <v>1460</v>
      </c>
      <c r="I37" s="8">
        <v>140</v>
      </c>
      <c r="J37" s="1" t="s">
        <v>53</v>
      </c>
      <c r="K37" s="19">
        <f>VLOOKUP(I37,Precios,10,FALSE)</f>
        <v>1280</v>
      </c>
    </row>
    <row r="38" spans="1:11" x14ac:dyDescent="0.25">
      <c r="A38" s="8">
        <v>532</v>
      </c>
      <c r="B38" s="1" t="s">
        <v>21</v>
      </c>
      <c r="C38" s="19">
        <f t="shared" si="0"/>
        <v>1520</v>
      </c>
      <c r="E38" s="8">
        <v>733</v>
      </c>
      <c r="F38" s="1" t="s">
        <v>40</v>
      </c>
      <c r="G38" s="19">
        <f t="shared" si="1"/>
        <v>1150</v>
      </c>
      <c r="I38" s="8">
        <v>150</v>
      </c>
      <c r="J38" s="1" t="s">
        <v>66</v>
      </c>
      <c r="K38" s="19">
        <f>VLOOKUP(I38,Precios,10,FALSE)</f>
        <v>1190</v>
      </c>
    </row>
    <row r="39" spans="1:11" x14ac:dyDescent="0.25">
      <c r="A39" s="8">
        <v>534</v>
      </c>
      <c r="B39" s="1" t="s">
        <v>97</v>
      </c>
      <c r="C39" s="19">
        <f t="shared" si="0"/>
        <v>1590</v>
      </c>
      <c r="E39" s="8">
        <v>734</v>
      </c>
      <c r="F39" s="1" t="s">
        <v>41</v>
      </c>
      <c r="G39" s="19">
        <f t="shared" si="1"/>
        <v>1720</v>
      </c>
      <c r="I39" s="36"/>
      <c r="J39" s="36"/>
      <c r="K39" s="42"/>
    </row>
    <row r="40" spans="1:11" x14ac:dyDescent="0.25">
      <c r="A40" s="8">
        <v>539</v>
      </c>
      <c r="B40" s="1" t="s">
        <v>98</v>
      </c>
      <c r="C40" s="19">
        <f t="shared" si="0"/>
        <v>2100</v>
      </c>
      <c r="E40" s="8">
        <v>735</v>
      </c>
      <c r="F40" s="1" t="s">
        <v>42</v>
      </c>
      <c r="G40" s="19">
        <f t="shared" si="1"/>
        <v>1210</v>
      </c>
      <c r="I40" s="36"/>
      <c r="J40" s="36"/>
      <c r="K40" s="42"/>
    </row>
    <row r="41" spans="1:11" x14ac:dyDescent="0.25">
      <c r="A41" s="8">
        <v>541</v>
      </c>
      <c r="B41" s="1"/>
      <c r="C41" s="19">
        <f t="shared" si="0"/>
        <v>2290</v>
      </c>
      <c r="E41" s="8">
        <v>736</v>
      </c>
      <c r="F41" s="1" t="s">
        <v>71</v>
      </c>
      <c r="G41" s="19">
        <f t="shared" si="1"/>
        <v>1270</v>
      </c>
      <c r="I41" s="36"/>
      <c r="J41" s="36"/>
      <c r="K41" s="42"/>
    </row>
    <row r="42" spans="1:11" x14ac:dyDescent="0.25">
      <c r="A42" s="8">
        <v>544</v>
      </c>
      <c r="B42" s="1" t="s">
        <v>69</v>
      </c>
      <c r="C42" s="19">
        <f t="shared" si="0"/>
        <v>1490</v>
      </c>
      <c r="E42" s="8">
        <v>737</v>
      </c>
      <c r="F42" s="1" t="s">
        <v>43</v>
      </c>
      <c r="G42" s="19">
        <f t="shared" si="1"/>
        <v>1810</v>
      </c>
      <c r="I42" s="36"/>
      <c r="J42" s="36"/>
      <c r="K42" s="42"/>
    </row>
    <row r="43" spans="1:11" x14ac:dyDescent="0.25">
      <c r="A43" s="8">
        <v>545</v>
      </c>
      <c r="B43" s="1" t="s">
        <v>22</v>
      </c>
      <c r="C43" s="19">
        <f t="shared" si="0"/>
        <v>2460</v>
      </c>
      <c r="E43" s="8" t="s">
        <v>45</v>
      </c>
      <c r="F43" s="1" t="s">
        <v>44</v>
      </c>
      <c r="G43" s="19">
        <f t="shared" si="1"/>
        <v>1420</v>
      </c>
      <c r="I43" s="36"/>
      <c r="J43" s="36"/>
      <c r="K43" s="42"/>
    </row>
    <row r="44" spans="1:11" x14ac:dyDescent="0.25">
      <c r="A44" s="38"/>
      <c r="B44" s="36"/>
      <c r="C44" s="42"/>
      <c r="E44" s="8">
        <v>741</v>
      </c>
      <c r="F44" s="1" t="s">
        <v>46</v>
      </c>
      <c r="G44" s="19">
        <f t="shared" si="1"/>
        <v>1420</v>
      </c>
      <c r="I44" s="36"/>
      <c r="J44" s="36"/>
      <c r="K44" s="42"/>
    </row>
    <row r="45" spans="1:11" x14ac:dyDescent="0.25">
      <c r="A45" s="175" t="s">
        <v>121</v>
      </c>
      <c r="B45" s="175"/>
      <c r="C45" s="175"/>
      <c r="E45" s="8">
        <v>743</v>
      </c>
      <c r="F45" s="1" t="s">
        <v>47</v>
      </c>
      <c r="G45" s="19">
        <f t="shared" si="1"/>
        <v>2050</v>
      </c>
      <c r="I45" s="36"/>
      <c r="J45" s="36"/>
      <c r="K45" s="42"/>
    </row>
    <row r="46" spans="1:11" x14ac:dyDescent="0.25">
      <c r="A46" s="38"/>
      <c r="B46" s="36"/>
      <c r="C46" s="42"/>
      <c r="E46" s="175" t="s">
        <v>121</v>
      </c>
      <c r="F46" s="175"/>
      <c r="G46" s="175"/>
      <c r="I46" s="175" t="s">
        <v>121</v>
      </c>
      <c r="J46" s="175"/>
      <c r="K46" s="175"/>
    </row>
    <row r="47" spans="1:11" x14ac:dyDescent="0.25">
      <c r="A47" s="38"/>
      <c r="B47" s="36"/>
      <c r="C47" s="42"/>
      <c r="E47" s="175"/>
      <c r="F47" s="175"/>
      <c r="G47" s="175"/>
      <c r="I47" s="175"/>
      <c r="J47" s="175"/>
      <c r="K47" s="175"/>
    </row>
    <row r="48" spans="1:11" x14ac:dyDescent="0.25">
      <c r="A48" s="38"/>
      <c r="B48" s="36"/>
      <c r="E48" s="39"/>
      <c r="F48" s="40"/>
      <c r="G48" s="42"/>
      <c r="I48" s="36"/>
      <c r="J48" s="36"/>
      <c r="K48" s="42"/>
    </row>
    <row r="49" spans="1:11" x14ac:dyDescent="0.25">
      <c r="A49" s="38"/>
      <c r="B49" s="36"/>
      <c r="E49" s="39"/>
      <c r="F49" s="40"/>
      <c r="G49" s="42"/>
      <c r="I49" s="36"/>
      <c r="J49" s="36"/>
      <c r="K49" s="42"/>
    </row>
    <row r="50" spans="1:11" x14ac:dyDescent="0.25">
      <c r="A50" s="38"/>
      <c r="B50" s="36"/>
      <c r="E50" s="39"/>
      <c r="F50" s="40"/>
      <c r="G50" s="42"/>
      <c r="I50" s="36"/>
      <c r="J50" s="36"/>
      <c r="K50" s="42"/>
    </row>
    <row r="51" spans="1:11" x14ac:dyDescent="0.25">
      <c r="A51" s="38"/>
      <c r="B51" s="36"/>
      <c r="E51" s="39"/>
      <c r="F51" s="40"/>
      <c r="I51" s="36"/>
      <c r="J51" s="36"/>
      <c r="K51" s="42"/>
    </row>
    <row r="52" spans="1:11" x14ac:dyDescent="0.25">
      <c r="A52" s="38"/>
      <c r="B52" s="36"/>
      <c r="E52" s="39"/>
      <c r="F52" s="40"/>
      <c r="I52" s="36"/>
      <c r="J52" s="36"/>
      <c r="K52" s="42"/>
    </row>
    <row r="53" spans="1:11" x14ac:dyDescent="0.25">
      <c r="A53" s="38"/>
      <c r="B53" s="36"/>
      <c r="E53" s="39"/>
      <c r="F53" s="40"/>
      <c r="I53" s="36"/>
      <c r="J53" s="36"/>
      <c r="K53" s="42"/>
    </row>
    <row r="54" spans="1:11" x14ac:dyDescent="0.25">
      <c r="A54" s="38"/>
      <c r="B54" s="36"/>
      <c r="E54" s="39"/>
      <c r="F54" s="40"/>
      <c r="I54" s="36"/>
      <c r="J54" s="36"/>
      <c r="K54" s="42"/>
    </row>
    <row r="55" spans="1:11" x14ac:dyDescent="0.25">
      <c r="A55" s="38"/>
      <c r="B55" s="36"/>
      <c r="E55" s="39"/>
      <c r="F55" s="40"/>
      <c r="I55" s="36"/>
      <c r="J55" s="36"/>
      <c r="K55" s="42"/>
    </row>
    <row r="56" spans="1:11" x14ac:dyDescent="0.25">
      <c r="A56" s="38"/>
      <c r="B56" s="36"/>
      <c r="E56" s="39"/>
      <c r="F56" s="40"/>
      <c r="I56" s="36"/>
      <c r="J56" s="36"/>
      <c r="K56" s="42"/>
    </row>
    <row r="57" spans="1:11" x14ac:dyDescent="0.25">
      <c r="A57" s="38"/>
      <c r="B57" s="36"/>
      <c r="E57" s="39"/>
      <c r="F57" s="40"/>
      <c r="I57" s="36"/>
      <c r="J57" s="36"/>
      <c r="K57" s="42"/>
    </row>
    <row r="58" spans="1:11" x14ac:dyDescent="0.25">
      <c r="A58" s="38"/>
      <c r="B58" s="36"/>
      <c r="E58" s="39"/>
      <c r="F58" s="40"/>
      <c r="I58" s="36"/>
      <c r="J58" s="36"/>
      <c r="K58" s="42"/>
    </row>
    <row r="59" spans="1:11" x14ac:dyDescent="0.25">
      <c r="A59" s="38"/>
      <c r="B59" s="36"/>
      <c r="E59" s="39"/>
      <c r="F59" s="36"/>
      <c r="I59" s="36"/>
      <c r="J59" s="36"/>
      <c r="K59" s="42"/>
    </row>
    <row r="60" spans="1:11" x14ac:dyDescent="0.25">
      <c r="A60" s="38"/>
      <c r="B60" s="36"/>
      <c r="E60" s="39"/>
      <c r="F60" s="36"/>
    </row>
    <row r="61" spans="1:11" x14ac:dyDescent="0.25">
      <c r="A61" s="38"/>
      <c r="B61" s="36"/>
      <c r="E61" s="38"/>
      <c r="F61" s="36"/>
    </row>
    <row r="62" spans="1:11" x14ac:dyDescent="0.25">
      <c r="A62" s="38"/>
      <c r="B62" s="36"/>
      <c r="E62" s="38"/>
      <c r="F62" s="36"/>
    </row>
    <row r="63" spans="1:11" x14ac:dyDescent="0.25">
      <c r="A63" s="38"/>
      <c r="B63" s="36"/>
      <c r="E63" s="38"/>
      <c r="F63" s="36"/>
    </row>
    <row r="64" spans="1:11" x14ac:dyDescent="0.25">
      <c r="A64" s="38"/>
      <c r="B64" s="36"/>
      <c r="E64" s="38"/>
      <c r="F64" s="36"/>
    </row>
    <row r="65" spans="1:6" x14ac:dyDescent="0.25">
      <c r="A65" s="38"/>
      <c r="B65" s="36"/>
      <c r="E65" s="38"/>
      <c r="F65" s="36"/>
    </row>
    <row r="66" spans="1:6" x14ac:dyDescent="0.25">
      <c r="A66" s="38"/>
      <c r="B66" s="36"/>
      <c r="E66" s="38"/>
      <c r="F66" s="36"/>
    </row>
    <row r="67" spans="1:6" x14ac:dyDescent="0.25">
      <c r="A67" s="38"/>
      <c r="B67" s="36"/>
      <c r="E67" s="38"/>
      <c r="F67" s="36"/>
    </row>
    <row r="68" spans="1:6" x14ac:dyDescent="0.25">
      <c r="A68" s="38"/>
      <c r="B68" s="36"/>
      <c r="E68" s="38"/>
      <c r="F68" s="36"/>
    </row>
    <row r="69" spans="1:6" x14ac:dyDescent="0.25">
      <c r="A69" s="38"/>
      <c r="B69" s="36"/>
      <c r="E69" s="38"/>
      <c r="F69" s="36"/>
    </row>
    <row r="70" spans="1:6" x14ac:dyDescent="0.25">
      <c r="A70" s="38"/>
      <c r="B70" s="36"/>
      <c r="E70" s="38"/>
      <c r="F70" s="36"/>
    </row>
    <row r="71" spans="1:6" x14ac:dyDescent="0.25">
      <c r="A71" s="38"/>
      <c r="B71" s="36"/>
      <c r="E71" s="38"/>
      <c r="F71" s="36"/>
    </row>
    <row r="72" spans="1:6" x14ac:dyDescent="0.25">
      <c r="A72" s="38"/>
      <c r="B72" s="36"/>
      <c r="E72" s="38"/>
      <c r="F72" s="36"/>
    </row>
    <row r="73" spans="1:6" x14ac:dyDescent="0.25">
      <c r="A73" s="38"/>
      <c r="B73" s="36"/>
      <c r="E73" s="38"/>
      <c r="F73" s="36"/>
    </row>
    <row r="74" spans="1:6" x14ac:dyDescent="0.25">
      <c r="A74" s="38"/>
      <c r="B74" s="36"/>
      <c r="E74" s="38"/>
      <c r="F74" s="36"/>
    </row>
    <row r="75" spans="1:6" x14ac:dyDescent="0.25">
      <c r="A75" s="38"/>
      <c r="B75" s="36"/>
      <c r="E75" s="38"/>
      <c r="F75" s="36"/>
    </row>
    <row r="76" spans="1:6" x14ac:dyDescent="0.25">
      <c r="A76" s="38"/>
      <c r="B76" s="36"/>
      <c r="E76" s="38"/>
      <c r="F76" s="36"/>
    </row>
    <row r="77" spans="1:6" x14ac:dyDescent="0.25">
      <c r="A77" s="38"/>
      <c r="B77" s="36"/>
      <c r="E77" s="38"/>
      <c r="F77" s="36"/>
    </row>
    <row r="78" spans="1:6" x14ac:dyDescent="0.25">
      <c r="A78" s="38"/>
      <c r="B78" s="36"/>
      <c r="E78" s="38"/>
      <c r="F78" s="36"/>
    </row>
    <row r="79" spans="1:6" x14ac:dyDescent="0.25">
      <c r="A79" s="38"/>
      <c r="B79" s="36"/>
      <c r="E79" s="174"/>
      <c r="F79" s="174"/>
    </row>
    <row r="80" spans="1:6" x14ac:dyDescent="0.25">
      <c r="A80" s="38"/>
      <c r="B80" s="36"/>
      <c r="E80" s="38"/>
      <c r="F80" s="36"/>
    </row>
    <row r="81" spans="1:6" x14ac:dyDescent="0.25">
      <c r="A81" s="38"/>
      <c r="B81" s="36"/>
      <c r="E81" s="38"/>
      <c r="F81" s="36"/>
    </row>
    <row r="82" spans="1:6" x14ac:dyDescent="0.25">
      <c r="A82" s="38"/>
      <c r="B82" s="36"/>
      <c r="E82" s="36"/>
      <c r="F82" s="36"/>
    </row>
    <row r="83" spans="1:6" x14ac:dyDescent="0.25">
      <c r="A83" s="38"/>
      <c r="B83" s="36"/>
      <c r="E83" s="36"/>
      <c r="F83" s="36"/>
    </row>
    <row r="84" spans="1:6" x14ac:dyDescent="0.25">
      <c r="A84" s="38"/>
      <c r="B84" s="36"/>
      <c r="E84" s="36"/>
      <c r="F84" s="36"/>
    </row>
    <row r="85" spans="1:6" x14ac:dyDescent="0.25">
      <c r="A85" s="38"/>
      <c r="B85" s="36"/>
      <c r="E85" s="36"/>
      <c r="F85" s="36"/>
    </row>
    <row r="86" spans="1:6" x14ac:dyDescent="0.25">
      <c r="A86" s="38"/>
      <c r="B86" s="36"/>
    </row>
    <row r="87" spans="1:6" x14ac:dyDescent="0.25">
      <c r="A87" s="38"/>
      <c r="B87" s="36"/>
    </row>
    <row r="88" spans="1:6" x14ac:dyDescent="0.25">
      <c r="A88" s="38"/>
      <c r="B88" s="36"/>
    </row>
    <row r="89" spans="1:6" x14ac:dyDescent="0.25">
      <c r="A89" s="39"/>
      <c r="B89" s="40"/>
    </row>
    <row r="90" spans="1:6" x14ac:dyDescent="0.25">
      <c r="A90" s="39"/>
      <c r="B90" s="40"/>
    </row>
    <row r="91" spans="1:6" x14ac:dyDescent="0.25">
      <c r="A91" s="39"/>
      <c r="B91" s="40"/>
    </row>
    <row r="92" spans="1:6" x14ac:dyDescent="0.25">
      <c r="A92" s="39"/>
      <c r="B92" s="40"/>
    </row>
    <row r="93" spans="1:6" x14ac:dyDescent="0.25">
      <c r="A93" s="39"/>
      <c r="B93" s="40"/>
    </row>
    <row r="94" spans="1:6" x14ac:dyDescent="0.25">
      <c r="A94" s="39"/>
      <c r="B94" s="40"/>
    </row>
    <row r="95" spans="1:6" x14ac:dyDescent="0.25">
      <c r="A95" s="39"/>
      <c r="B95" s="40"/>
    </row>
    <row r="96" spans="1:6" x14ac:dyDescent="0.25">
      <c r="A96" s="39"/>
      <c r="B96" s="40"/>
    </row>
    <row r="97" spans="1:2" x14ac:dyDescent="0.25">
      <c r="A97" s="39"/>
      <c r="B97" s="40"/>
    </row>
    <row r="98" spans="1:2" x14ac:dyDescent="0.25">
      <c r="A98" s="39"/>
      <c r="B98" s="40"/>
    </row>
    <row r="99" spans="1:2" x14ac:dyDescent="0.25">
      <c r="A99" s="39"/>
      <c r="B99" s="40"/>
    </row>
    <row r="100" spans="1:2" x14ac:dyDescent="0.25">
      <c r="A100" s="39"/>
      <c r="B100" s="36"/>
    </row>
    <row r="101" spans="1:2" x14ac:dyDescent="0.25">
      <c r="A101" s="39"/>
      <c r="B101" s="36"/>
    </row>
    <row r="102" spans="1:2" x14ac:dyDescent="0.25">
      <c r="A102" s="38"/>
      <c r="B102" s="36"/>
    </row>
    <row r="103" spans="1:2" x14ac:dyDescent="0.25">
      <c r="A103" s="38"/>
      <c r="B103" s="36"/>
    </row>
    <row r="104" spans="1:2" x14ac:dyDescent="0.25">
      <c r="A104" s="38"/>
      <c r="B104" s="36"/>
    </row>
    <row r="105" spans="1:2" x14ac:dyDescent="0.25">
      <c r="A105" s="38"/>
      <c r="B105" s="36"/>
    </row>
    <row r="106" spans="1:2" x14ac:dyDescent="0.25">
      <c r="A106" s="38"/>
      <c r="B106" s="36"/>
    </row>
    <row r="107" spans="1:2" x14ac:dyDescent="0.25">
      <c r="A107" s="38"/>
      <c r="B107" s="36"/>
    </row>
    <row r="108" spans="1:2" x14ac:dyDescent="0.25">
      <c r="A108" s="38"/>
      <c r="B108" s="36"/>
    </row>
    <row r="109" spans="1:2" x14ac:dyDescent="0.25">
      <c r="A109" s="38"/>
      <c r="B109" s="36"/>
    </row>
    <row r="110" spans="1:2" x14ac:dyDescent="0.25">
      <c r="A110" s="38"/>
      <c r="B110" s="36"/>
    </row>
    <row r="111" spans="1:2" x14ac:dyDescent="0.25">
      <c r="A111" s="38"/>
      <c r="B111" s="36"/>
    </row>
    <row r="112" spans="1:2" x14ac:dyDescent="0.25">
      <c r="A112" s="38"/>
      <c r="B112" s="36"/>
    </row>
    <row r="113" spans="1:2" x14ac:dyDescent="0.25">
      <c r="A113" s="38"/>
      <c r="B113" s="36"/>
    </row>
    <row r="114" spans="1:2" x14ac:dyDescent="0.25">
      <c r="A114" s="38"/>
      <c r="B114" s="36"/>
    </row>
    <row r="115" spans="1:2" x14ac:dyDescent="0.25">
      <c r="A115" s="38"/>
      <c r="B115" s="36"/>
    </row>
    <row r="116" spans="1:2" x14ac:dyDescent="0.25">
      <c r="A116" s="38"/>
      <c r="B116" s="36"/>
    </row>
    <row r="117" spans="1:2" x14ac:dyDescent="0.25">
      <c r="A117" s="38"/>
      <c r="B117" s="36"/>
    </row>
    <row r="118" spans="1:2" x14ac:dyDescent="0.25">
      <c r="A118" s="38"/>
      <c r="B118" s="36"/>
    </row>
    <row r="119" spans="1:2" x14ac:dyDescent="0.25">
      <c r="A119" s="38"/>
      <c r="B119" s="36"/>
    </row>
    <row r="120" spans="1:2" x14ac:dyDescent="0.25">
      <c r="A120" s="174"/>
      <c r="B120" s="174"/>
    </row>
    <row r="121" spans="1:2" x14ac:dyDescent="0.25">
      <c r="A121" s="38"/>
      <c r="B121" s="36"/>
    </row>
    <row r="122" spans="1:2" x14ac:dyDescent="0.25">
      <c r="A122" s="38"/>
      <c r="B122" s="36"/>
    </row>
    <row r="123" spans="1:2" x14ac:dyDescent="0.25">
      <c r="A123" s="36"/>
      <c r="B123" s="36"/>
    </row>
    <row r="124" spans="1:2" x14ac:dyDescent="0.25">
      <c r="A124" s="36"/>
      <c r="B124" s="36"/>
    </row>
    <row r="125" spans="1:2" x14ac:dyDescent="0.25">
      <c r="A125" s="36"/>
      <c r="B125" s="36"/>
    </row>
    <row r="126" spans="1:2" x14ac:dyDescent="0.25">
      <c r="A126" s="36"/>
      <c r="B126" s="36"/>
    </row>
    <row r="127" spans="1:2" x14ac:dyDescent="0.25">
      <c r="A127" s="36"/>
      <c r="B127" s="36"/>
    </row>
    <row r="128" spans="1:2" x14ac:dyDescent="0.25">
      <c r="A128" s="36"/>
      <c r="B128" s="36"/>
    </row>
    <row r="129" spans="1:2" x14ac:dyDescent="0.25">
      <c r="A129" s="36"/>
      <c r="B129" s="36"/>
    </row>
    <row r="130" spans="1:2" x14ac:dyDescent="0.25">
      <c r="A130" s="36"/>
      <c r="B130" s="36"/>
    </row>
    <row r="131" spans="1:2" x14ac:dyDescent="0.25">
      <c r="A131" s="36"/>
      <c r="B131" s="36"/>
    </row>
    <row r="132" spans="1:2" x14ac:dyDescent="0.25">
      <c r="A132" s="36"/>
      <c r="B132" s="36"/>
    </row>
    <row r="133" spans="1:2" x14ac:dyDescent="0.25">
      <c r="A133" s="36"/>
      <c r="B133" s="36"/>
    </row>
    <row r="134" spans="1:2" x14ac:dyDescent="0.25">
      <c r="A134" s="36"/>
      <c r="B134" s="36"/>
    </row>
    <row r="135" spans="1:2" x14ac:dyDescent="0.25">
      <c r="A135" s="36"/>
      <c r="B135" s="36"/>
    </row>
  </sheetData>
  <mergeCells count="11">
    <mergeCell ref="A1:C1"/>
    <mergeCell ref="E1:G1"/>
    <mergeCell ref="I1:K1"/>
    <mergeCell ref="A120:B120"/>
    <mergeCell ref="E79:F79"/>
    <mergeCell ref="I36:J36"/>
    <mergeCell ref="A45:C45"/>
    <mergeCell ref="E47:G47"/>
    <mergeCell ref="I47:K47"/>
    <mergeCell ref="I46:K46"/>
    <mergeCell ref="E46:G46"/>
  </mergeCells>
  <pageMargins left="0.7" right="0.7" top="0.75" bottom="0.75" header="0.3" footer="0.3"/>
  <pageSetup paperSize="9" scale="98" orientation="portrait" r:id="rId1"/>
  <colBreaks count="1" manualBreakCount="1">
    <brk id="4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="60" zoomScaleNormal="85" workbookViewId="0">
      <selection activeCell="C4" sqref="C4"/>
    </sheetView>
  </sheetViews>
  <sheetFormatPr baseColWidth="10" defaultRowHeight="15" x14ac:dyDescent="0.25"/>
  <cols>
    <col min="1" max="1" width="12.28515625" bestFit="1" customWidth="1"/>
    <col min="2" max="2" width="44.42578125" customWidth="1"/>
    <col min="3" max="3" width="17.7109375" customWidth="1"/>
    <col min="4" max="4" width="15.140625" bestFit="1" customWidth="1"/>
    <col min="5" max="5" width="12.28515625" bestFit="1" customWidth="1"/>
    <col min="6" max="6" width="44.42578125" customWidth="1"/>
    <col min="7" max="7" width="17.7109375" customWidth="1"/>
    <col min="8" max="8" width="14.85546875" bestFit="1" customWidth="1"/>
    <col min="10" max="10" width="44.5703125" customWidth="1"/>
    <col min="11" max="11" width="17.7109375" customWidth="1"/>
  </cols>
  <sheetData>
    <row r="1" spans="1:12" ht="21" x14ac:dyDescent="0.35">
      <c r="A1" s="173" t="s">
        <v>117</v>
      </c>
      <c r="B1" s="173"/>
      <c r="C1" s="173"/>
      <c r="D1" s="141">
        <v>44250</v>
      </c>
      <c r="E1" s="173" t="s">
        <v>117</v>
      </c>
      <c r="F1" s="173"/>
      <c r="G1" s="173"/>
      <c r="H1" s="141">
        <v>44250</v>
      </c>
      <c r="I1" s="42"/>
      <c r="J1" s="42"/>
      <c r="K1" s="42"/>
      <c r="L1" s="44"/>
    </row>
    <row r="2" spans="1:12" x14ac:dyDescent="0.25">
      <c r="C2" s="14"/>
      <c r="G2" s="14"/>
      <c r="I2" s="42"/>
      <c r="J2" s="42"/>
      <c r="K2" s="42"/>
    </row>
    <row r="3" spans="1:12" ht="15.75" x14ac:dyDescent="0.25">
      <c r="A3" s="11" t="s">
        <v>2</v>
      </c>
      <c r="B3" s="3" t="s">
        <v>3</v>
      </c>
      <c r="C3" s="41" t="s">
        <v>120</v>
      </c>
      <c r="E3" s="11" t="s">
        <v>2</v>
      </c>
      <c r="F3" s="3" t="s">
        <v>3</v>
      </c>
      <c r="G3" s="41" t="s">
        <v>120</v>
      </c>
      <c r="I3" s="42"/>
      <c r="J3" s="42"/>
      <c r="K3" s="42"/>
    </row>
    <row r="4" spans="1:12" x14ac:dyDescent="0.25">
      <c r="A4" s="8">
        <v>504</v>
      </c>
      <c r="B4" s="1" t="s">
        <v>19</v>
      </c>
      <c r="C4" s="19">
        <f t="shared" ref="C4:C44" si="0">VLOOKUP(A4,Precios,11,FALSE)</f>
        <v>1490</v>
      </c>
      <c r="E4" s="137">
        <v>743</v>
      </c>
      <c r="F4" s="1" t="s">
        <v>47</v>
      </c>
      <c r="G4" s="19">
        <f t="shared" ref="G4:G12" si="1">VLOOKUP(E4,Precios,11,FALSE)</f>
        <v>2130</v>
      </c>
      <c r="I4" s="42"/>
      <c r="J4" s="42"/>
      <c r="K4" s="42"/>
    </row>
    <row r="5" spans="1:12" x14ac:dyDescent="0.25">
      <c r="A5" s="8">
        <v>513</v>
      </c>
      <c r="B5" s="1" t="s">
        <v>91</v>
      </c>
      <c r="C5" s="19">
        <f t="shared" si="0"/>
        <v>1110</v>
      </c>
      <c r="E5" s="137">
        <v>745</v>
      </c>
      <c r="F5" s="1"/>
      <c r="G5" s="19">
        <f t="shared" si="1"/>
        <v>1390</v>
      </c>
      <c r="I5" s="42"/>
      <c r="J5" s="42"/>
      <c r="K5" s="42"/>
    </row>
    <row r="6" spans="1:12" x14ac:dyDescent="0.25">
      <c r="A6" s="8">
        <v>517</v>
      </c>
      <c r="B6" s="1" t="s">
        <v>110</v>
      </c>
      <c r="C6" s="19">
        <f t="shared" si="0"/>
        <v>2860</v>
      </c>
      <c r="E6" s="9">
        <v>750</v>
      </c>
      <c r="F6" s="2" t="s">
        <v>72</v>
      </c>
      <c r="G6" s="19">
        <f t="shared" si="1"/>
        <v>1560</v>
      </c>
      <c r="I6" s="42"/>
      <c r="J6" s="42"/>
      <c r="K6" s="42"/>
    </row>
    <row r="7" spans="1:12" x14ac:dyDescent="0.25">
      <c r="A7" s="8">
        <v>518</v>
      </c>
      <c r="B7" s="1" t="s">
        <v>20</v>
      </c>
      <c r="C7" s="19">
        <f t="shared" si="0"/>
        <v>1970</v>
      </c>
      <c r="E7" s="9">
        <v>751</v>
      </c>
      <c r="F7" s="2" t="s">
        <v>49</v>
      </c>
      <c r="G7" s="19">
        <f t="shared" si="1"/>
        <v>1440</v>
      </c>
      <c r="I7" s="42"/>
      <c r="J7" s="42"/>
      <c r="K7" s="42"/>
    </row>
    <row r="8" spans="1:12" x14ac:dyDescent="0.25">
      <c r="A8" s="8">
        <v>521</v>
      </c>
      <c r="B8" s="1" t="s">
        <v>93</v>
      </c>
      <c r="C8" s="19">
        <f t="shared" si="0"/>
        <v>1910</v>
      </c>
      <c r="E8" s="9">
        <v>753</v>
      </c>
      <c r="F8" s="2" t="s">
        <v>50</v>
      </c>
      <c r="G8" s="19">
        <f t="shared" si="1"/>
        <v>1440</v>
      </c>
      <c r="I8" s="42"/>
      <c r="J8" s="42"/>
      <c r="K8" s="42"/>
    </row>
    <row r="9" spans="1:12" x14ac:dyDescent="0.25">
      <c r="A9" s="8">
        <v>524</v>
      </c>
      <c r="B9" s="1" t="s">
        <v>94</v>
      </c>
      <c r="C9" s="19">
        <f t="shared" si="0"/>
        <v>2580</v>
      </c>
      <c r="E9" s="9">
        <v>757</v>
      </c>
      <c r="F9" s="2" t="s">
        <v>51</v>
      </c>
      <c r="G9" s="19">
        <f t="shared" si="1"/>
        <v>1560</v>
      </c>
      <c r="I9" s="42"/>
      <c r="J9" s="42"/>
      <c r="K9" s="42"/>
    </row>
    <row r="10" spans="1:12" x14ac:dyDescent="0.25">
      <c r="A10" s="8">
        <v>525</v>
      </c>
      <c r="B10" s="1" t="s">
        <v>92</v>
      </c>
      <c r="C10" s="19">
        <f t="shared" si="0"/>
        <v>890</v>
      </c>
      <c r="E10" s="9">
        <v>800</v>
      </c>
      <c r="F10" s="1" t="s">
        <v>52</v>
      </c>
      <c r="G10" s="19">
        <f t="shared" si="1"/>
        <v>1230</v>
      </c>
      <c r="I10" s="42"/>
      <c r="J10" s="42"/>
      <c r="K10" s="42"/>
    </row>
    <row r="11" spans="1:12" x14ac:dyDescent="0.25">
      <c r="A11" s="8">
        <v>526</v>
      </c>
      <c r="B11" s="1"/>
      <c r="C11" s="19">
        <f t="shared" si="0"/>
        <v>2280</v>
      </c>
      <c r="E11" s="9">
        <v>801</v>
      </c>
      <c r="F11" s="1" t="s">
        <v>53</v>
      </c>
      <c r="G11" s="19">
        <f t="shared" si="1"/>
        <v>1500</v>
      </c>
      <c r="I11" s="42"/>
      <c r="J11" s="42"/>
      <c r="K11" s="42"/>
    </row>
    <row r="12" spans="1:12" x14ac:dyDescent="0.25">
      <c r="A12" s="8">
        <v>527</v>
      </c>
      <c r="B12" s="1" t="s">
        <v>95</v>
      </c>
      <c r="C12" s="19">
        <f t="shared" si="0"/>
        <v>2600</v>
      </c>
      <c r="E12" s="137">
        <v>806</v>
      </c>
      <c r="F12" s="1" t="s">
        <v>54</v>
      </c>
      <c r="G12" s="19">
        <f t="shared" si="1"/>
        <v>1070</v>
      </c>
      <c r="I12" s="42"/>
      <c r="J12" s="42"/>
      <c r="K12" s="42"/>
    </row>
    <row r="13" spans="1:12" x14ac:dyDescent="0.25">
      <c r="A13" s="8">
        <v>528</v>
      </c>
      <c r="B13" s="1"/>
      <c r="C13" s="19">
        <f t="shared" si="0"/>
        <v>1480</v>
      </c>
      <c r="E13" s="42"/>
      <c r="F13" s="42"/>
      <c r="G13" s="42"/>
      <c r="I13" s="42"/>
      <c r="J13" s="42"/>
      <c r="K13" s="42"/>
    </row>
    <row r="14" spans="1:12" x14ac:dyDescent="0.25">
      <c r="A14" s="8">
        <v>529</v>
      </c>
      <c r="B14" s="1" t="s">
        <v>96</v>
      </c>
      <c r="C14" s="19">
        <f t="shared" si="0"/>
        <v>2340</v>
      </c>
      <c r="E14" s="42"/>
      <c r="F14" s="42"/>
      <c r="G14" s="42"/>
      <c r="I14" s="42"/>
      <c r="J14" s="42"/>
      <c r="K14" s="42"/>
    </row>
    <row r="15" spans="1:12" x14ac:dyDescent="0.25">
      <c r="A15" s="8">
        <v>532</v>
      </c>
      <c r="B15" s="1" t="s">
        <v>21</v>
      </c>
      <c r="C15" s="19">
        <f t="shared" si="0"/>
        <v>1580</v>
      </c>
      <c r="E15" s="42"/>
      <c r="F15" s="42"/>
      <c r="G15" s="42"/>
      <c r="I15" s="42"/>
      <c r="J15" s="42"/>
      <c r="K15" s="42"/>
    </row>
    <row r="16" spans="1:12" x14ac:dyDescent="0.25">
      <c r="A16" s="8">
        <v>534</v>
      </c>
      <c r="B16" s="1" t="s">
        <v>97</v>
      </c>
      <c r="C16" s="19">
        <f t="shared" si="0"/>
        <v>1650</v>
      </c>
      <c r="E16" s="42"/>
      <c r="F16" s="42"/>
      <c r="G16" s="42"/>
      <c r="I16" s="42"/>
      <c r="J16" s="42"/>
      <c r="K16" s="42"/>
    </row>
    <row r="17" spans="1:12" x14ac:dyDescent="0.25">
      <c r="A17" s="8">
        <v>539</v>
      </c>
      <c r="B17" s="1" t="s">
        <v>98</v>
      </c>
      <c r="C17" s="19">
        <f t="shared" si="0"/>
        <v>2180</v>
      </c>
      <c r="E17" s="42"/>
      <c r="F17" s="42"/>
      <c r="G17" s="42"/>
      <c r="I17" s="42"/>
      <c r="J17" s="42"/>
      <c r="K17" s="42"/>
    </row>
    <row r="18" spans="1:12" x14ac:dyDescent="0.25">
      <c r="A18" s="8">
        <v>541</v>
      </c>
      <c r="B18" s="1"/>
      <c r="C18" s="19">
        <f t="shared" si="0"/>
        <v>2380</v>
      </c>
      <c r="E18" s="42"/>
      <c r="F18" s="42"/>
      <c r="G18" s="42"/>
      <c r="I18" s="42"/>
      <c r="J18" s="42"/>
      <c r="K18" s="42"/>
    </row>
    <row r="19" spans="1:12" x14ac:dyDescent="0.25">
      <c r="A19" s="8">
        <v>544</v>
      </c>
      <c r="B19" s="1" t="s">
        <v>69</v>
      </c>
      <c r="C19" s="19">
        <f t="shared" si="0"/>
        <v>1550</v>
      </c>
      <c r="E19" s="42"/>
      <c r="F19" s="42"/>
      <c r="G19" s="42"/>
      <c r="I19" s="42"/>
      <c r="J19" s="42"/>
      <c r="K19" s="42"/>
    </row>
    <row r="20" spans="1:12" x14ac:dyDescent="0.25">
      <c r="A20" s="8">
        <v>545</v>
      </c>
      <c r="B20" s="1" t="s">
        <v>22</v>
      </c>
      <c r="C20" s="19">
        <f t="shared" si="0"/>
        <v>2560</v>
      </c>
      <c r="E20" s="42"/>
      <c r="F20" s="42"/>
      <c r="G20" s="42"/>
      <c r="I20" s="42"/>
      <c r="J20" s="42"/>
      <c r="K20" s="42"/>
      <c r="L20" s="42"/>
    </row>
    <row r="21" spans="1:12" x14ac:dyDescent="0.25">
      <c r="A21" s="137">
        <v>546</v>
      </c>
      <c r="B21" s="1" t="s">
        <v>23</v>
      </c>
      <c r="C21" s="19">
        <f t="shared" si="0"/>
        <v>2160</v>
      </c>
      <c r="E21" s="42"/>
      <c r="F21" s="42"/>
      <c r="G21" s="42"/>
      <c r="I21" s="42"/>
      <c r="J21" s="42"/>
      <c r="K21" s="42"/>
      <c r="L21" s="42"/>
    </row>
    <row r="22" spans="1:12" x14ac:dyDescent="0.25">
      <c r="A22" s="137">
        <v>551</v>
      </c>
      <c r="B22" s="1" t="s">
        <v>103</v>
      </c>
      <c r="C22" s="19">
        <f t="shared" si="0"/>
        <v>1970</v>
      </c>
      <c r="E22" s="42"/>
      <c r="F22" s="42"/>
      <c r="G22" s="42"/>
      <c r="I22" s="42"/>
      <c r="J22" s="42"/>
      <c r="K22" s="42"/>
      <c r="L22" s="42"/>
    </row>
    <row r="23" spans="1:12" x14ac:dyDescent="0.25">
      <c r="A23" s="137">
        <v>553</v>
      </c>
      <c r="B23" s="1" t="s">
        <v>99</v>
      </c>
      <c r="C23" s="19">
        <f t="shared" si="0"/>
        <v>1970</v>
      </c>
      <c r="E23" s="42"/>
      <c r="F23" s="42"/>
      <c r="G23" s="42"/>
      <c r="I23" s="42"/>
      <c r="J23" s="42"/>
      <c r="K23" s="42"/>
      <c r="L23" s="42"/>
    </row>
    <row r="24" spans="1:12" x14ac:dyDescent="0.25">
      <c r="A24" s="137">
        <v>554</v>
      </c>
      <c r="B24" s="1" t="s">
        <v>100</v>
      </c>
      <c r="C24" s="19">
        <f t="shared" si="0"/>
        <v>1970</v>
      </c>
      <c r="E24" s="42"/>
      <c r="F24" s="42"/>
      <c r="G24" s="42"/>
      <c r="I24" s="42"/>
      <c r="J24" s="42"/>
      <c r="K24" s="42"/>
      <c r="L24" s="42"/>
    </row>
    <row r="25" spans="1:12" x14ac:dyDescent="0.25">
      <c r="A25" s="137">
        <v>555</v>
      </c>
      <c r="B25" s="1" t="s">
        <v>101</v>
      </c>
      <c r="C25" s="19">
        <f t="shared" si="0"/>
        <v>1680</v>
      </c>
      <c r="E25" s="42"/>
      <c r="F25" s="42"/>
      <c r="G25" s="42"/>
      <c r="I25" s="42"/>
      <c r="J25" s="42"/>
      <c r="K25" s="42"/>
      <c r="L25" s="42"/>
    </row>
    <row r="26" spans="1:12" x14ac:dyDescent="0.25">
      <c r="A26" s="137">
        <v>557</v>
      </c>
      <c r="B26" s="1" t="s">
        <v>102</v>
      </c>
      <c r="C26" s="19">
        <f t="shared" si="0"/>
        <v>1970</v>
      </c>
      <c r="E26" s="42"/>
      <c r="F26" s="42"/>
      <c r="G26" s="42"/>
      <c r="I26" s="42"/>
      <c r="J26" s="42"/>
      <c r="K26" s="42"/>
      <c r="L26" s="42"/>
    </row>
    <row r="27" spans="1:12" x14ac:dyDescent="0.25">
      <c r="A27" s="137">
        <v>558</v>
      </c>
      <c r="B27" s="1" t="s">
        <v>103</v>
      </c>
      <c r="C27" s="19">
        <f t="shared" si="0"/>
        <v>1970</v>
      </c>
      <c r="E27" s="42"/>
      <c r="F27" s="42"/>
      <c r="G27" s="42"/>
      <c r="I27" s="42"/>
      <c r="J27" s="42"/>
      <c r="K27" s="42"/>
      <c r="L27" s="42"/>
    </row>
    <row r="28" spans="1:12" x14ac:dyDescent="0.25">
      <c r="A28" s="137">
        <v>561</v>
      </c>
      <c r="B28" s="1" t="s">
        <v>103</v>
      </c>
      <c r="C28" s="19">
        <f t="shared" si="0"/>
        <v>1970</v>
      </c>
      <c r="E28" s="42"/>
      <c r="F28" s="42"/>
      <c r="G28" s="42"/>
      <c r="I28" s="42"/>
      <c r="J28" s="42"/>
      <c r="K28" s="42"/>
      <c r="L28" s="42"/>
    </row>
    <row r="29" spans="1:12" x14ac:dyDescent="0.25">
      <c r="A29" s="137">
        <v>562</v>
      </c>
      <c r="B29" s="1" t="s">
        <v>103</v>
      </c>
      <c r="C29" s="19">
        <f t="shared" si="0"/>
        <v>1970</v>
      </c>
      <c r="E29" s="42"/>
      <c r="F29" s="42"/>
      <c r="G29" s="42"/>
      <c r="I29" s="42"/>
      <c r="J29" s="42"/>
      <c r="K29" s="42"/>
      <c r="L29" s="42"/>
    </row>
    <row r="30" spans="1:12" x14ac:dyDescent="0.25">
      <c r="A30" s="137">
        <v>563</v>
      </c>
      <c r="B30" s="1" t="s">
        <v>103</v>
      </c>
      <c r="C30" s="19">
        <f t="shared" si="0"/>
        <v>1970</v>
      </c>
      <c r="E30" s="42"/>
      <c r="F30" s="42"/>
      <c r="G30" s="42"/>
      <c r="I30" s="42"/>
      <c r="J30" s="42"/>
      <c r="K30" s="42"/>
    </row>
    <row r="31" spans="1:12" x14ac:dyDescent="0.25">
      <c r="A31" s="137">
        <v>564</v>
      </c>
      <c r="B31" s="1" t="s">
        <v>103</v>
      </c>
      <c r="C31" s="19">
        <f t="shared" si="0"/>
        <v>1970</v>
      </c>
      <c r="E31" s="42"/>
      <c r="F31" s="42"/>
      <c r="G31" s="42"/>
      <c r="I31" s="42"/>
      <c r="J31" s="42"/>
      <c r="K31" s="42"/>
    </row>
    <row r="32" spans="1:12" x14ac:dyDescent="0.25">
      <c r="A32" s="137">
        <v>571</v>
      </c>
      <c r="B32" s="1" t="s">
        <v>103</v>
      </c>
      <c r="C32" s="19">
        <f t="shared" si="0"/>
        <v>1970</v>
      </c>
      <c r="E32" s="42"/>
      <c r="F32" s="42"/>
      <c r="G32" s="42"/>
      <c r="I32" s="42"/>
      <c r="J32" s="42"/>
      <c r="K32" s="42"/>
    </row>
    <row r="33" spans="1:11" x14ac:dyDescent="0.25">
      <c r="A33" s="137">
        <v>587</v>
      </c>
      <c r="B33" s="1" t="s">
        <v>104</v>
      </c>
      <c r="C33" s="19">
        <f t="shared" si="0"/>
        <v>2480</v>
      </c>
      <c r="E33" s="42"/>
      <c r="F33" s="42"/>
      <c r="G33" s="42"/>
      <c r="I33" s="42"/>
      <c r="J33" s="42"/>
      <c r="K33" s="42"/>
    </row>
    <row r="34" spans="1:11" x14ac:dyDescent="0.25">
      <c r="A34" s="137">
        <v>594</v>
      </c>
      <c r="B34" s="1" t="s">
        <v>24</v>
      </c>
      <c r="C34" s="19">
        <f t="shared" si="0"/>
        <v>2660</v>
      </c>
      <c r="E34" s="42"/>
      <c r="F34" s="42"/>
      <c r="G34" s="42"/>
      <c r="I34" s="42"/>
      <c r="J34" s="42"/>
      <c r="K34" s="42"/>
    </row>
    <row r="35" spans="1:11" x14ac:dyDescent="0.25">
      <c r="A35" s="137">
        <v>598</v>
      </c>
      <c r="B35" s="1" t="s">
        <v>25</v>
      </c>
      <c r="C35" s="19">
        <f t="shared" si="0"/>
        <v>2280</v>
      </c>
      <c r="E35" s="42"/>
      <c r="F35" s="42"/>
      <c r="G35" s="42"/>
      <c r="I35" s="42"/>
      <c r="J35" s="42"/>
      <c r="K35" s="42"/>
    </row>
    <row r="36" spans="1:11" x14ac:dyDescent="0.25">
      <c r="A36" s="137">
        <v>599</v>
      </c>
      <c r="B36" s="1" t="s">
        <v>26</v>
      </c>
      <c r="C36" s="19">
        <f t="shared" si="0"/>
        <v>1910</v>
      </c>
      <c r="E36" s="42"/>
      <c r="F36" s="42"/>
      <c r="G36" s="42"/>
      <c r="I36" s="42"/>
      <c r="J36" s="42"/>
      <c r="K36" s="42"/>
    </row>
    <row r="37" spans="1:11" x14ac:dyDescent="0.25">
      <c r="A37" s="137">
        <v>701</v>
      </c>
      <c r="B37" s="1" t="s">
        <v>27</v>
      </c>
      <c r="C37" s="19">
        <f t="shared" si="0"/>
        <v>1240</v>
      </c>
      <c r="E37" s="42"/>
      <c r="F37" s="42"/>
      <c r="G37" s="42"/>
      <c r="I37" s="42"/>
      <c r="J37" s="42"/>
      <c r="K37" s="42"/>
    </row>
    <row r="38" spans="1:11" x14ac:dyDescent="0.25">
      <c r="A38" s="137">
        <v>703</v>
      </c>
      <c r="B38" s="1" t="s">
        <v>28</v>
      </c>
      <c r="C38" s="19">
        <f t="shared" si="0"/>
        <v>1990</v>
      </c>
      <c r="E38" s="42"/>
      <c r="F38" s="42"/>
      <c r="G38" s="42"/>
      <c r="I38" s="42"/>
      <c r="J38" s="42"/>
      <c r="K38" s="42"/>
    </row>
    <row r="39" spans="1:11" x14ac:dyDescent="0.25">
      <c r="A39" s="137">
        <v>705</v>
      </c>
      <c r="B39" s="1" t="s">
        <v>29</v>
      </c>
      <c r="C39" s="19">
        <f t="shared" si="0"/>
        <v>1330</v>
      </c>
      <c r="E39" s="42"/>
      <c r="F39" s="42"/>
      <c r="G39" s="42"/>
      <c r="I39" s="42"/>
      <c r="J39" s="42"/>
      <c r="K39" s="42"/>
    </row>
    <row r="40" spans="1:11" x14ac:dyDescent="0.25">
      <c r="A40" s="137">
        <v>714</v>
      </c>
      <c r="B40" s="1" t="s">
        <v>107</v>
      </c>
      <c r="C40" s="19">
        <f t="shared" si="0"/>
        <v>1240</v>
      </c>
      <c r="E40" s="42"/>
      <c r="F40" s="42"/>
      <c r="G40" s="42"/>
      <c r="I40" s="42"/>
      <c r="J40" s="42"/>
      <c r="K40" s="42"/>
    </row>
    <row r="41" spans="1:11" x14ac:dyDescent="0.25">
      <c r="A41" s="137">
        <v>715</v>
      </c>
      <c r="B41" s="1" t="s">
        <v>33</v>
      </c>
      <c r="C41" s="19">
        <f t="shared" si="0"/>
        <v>1520</v>
      </c>
      <c r="E41" s="42"/>
      <c r="F41" s="42"/>
      <c r="G41" s="42"/>
      <c r="I41" s="36"/>
      <c r="J41" s="36"/>
      <c r="K41" s="42"/>
    </row>
    <row r="42" spans="1:11" x14ac:dyDescent="0.25">
      <c r="A42" s="137">
        <v>718</v>
      </c>
      <c r="B42" s="1" t="s">
        <v>34</v>
      </c>
      <c r="C42" s="19">
        <f t="shared" si="0"/>
        <v>1520</v>
      </c>
      <c r="E42" s="42"/>
      <c r="F42" s="42"/>
      <c r="G42" s="42"/>
      <c r="I42" s="36"/>
      <c r="J42" s="36"/>
      <c r="K42" s="42"/>
    </row>
    <row r="43" spans="1:11" x14ac:dyDescent="0.25">
      <c r="A43" s="137">
        <v>719</v>
      </c>
      <c r="B43" s="1" t="s">
        <v>106</v>
      </c>
      <c r="C43" s="19">
        <f t="shared" si="0"/>
        <v>1720</v>
      </c>
      <c r="E43" s="42"/>
      <c r="F43" s="42"/>
      <c r="G43" s="42"/>
      <c r="I43" s="36"/>
      <c r="J43" s="36"/>
      <c r="K43" s="42"/>
    </row>
    <row r="44" spans="1:11" x14ac:dyDescent="0.25">
      <c r="A44" s="137">
        <v>725</v>
      </c>
      <c r="B44" s="1" t="s">
        <v>38</v>
      </c>
      <c r="C44" s="19">
        <f t="shared" si="0"/>
        <v>1940</v>
      </c>
      <c r="E44" s="42"/>
      <c r="F44" s="42"/>
      <c r="G44" s="42"/>
      <c r="I44" s="36"/>
      <c r="J44" s="36"/>
      <c r="K44" s="42"/>
    </row>
    <row r="45" spans="1:11" x14ac:dyDescent="0.25">
      <c r="E45" s="42"/>
      <c r="F45" s="42"/>
      <c r="G45" s="42"/>
      <c r="I45" s="36"/>
      <c r="J45" s="36"/>
      <c r="K45" s="42"/>
    </row>
    <row r="46" spans="1:11" x14ac:dyDescent="0.25">
      <c r="A46" s="175" t="s">
        <v>121</v>
      </c>
      <c r="B46" s="175"/>
      <c r="C46" s="175"/>
      <c r="E46" s="175" t="s">
        <v>121</v>
      </c>
      <c r="F46" s="175"/>
      <c r="G46" s="175"/>
      <c r="I46" s="36"/>
      <c r="J46" s="36"/>
      <c r="K46" s="42"/>
    </row>
    <row r="47" spans="1:11" x14ac:dyDescent="0.25">
      <c r="E47" s="38"/>
      <c r="F47" s="36"/>
      <c r="G47" s="42"/>
      <c r="I47" s="36"/>
      <c r="J47" s="36"/>
      <c r="K47" s="42"/>
    </row>
    <row r="48" spans="1:11" x14ac:dyDescent="0.25">
      <c r="E48" s="175"/>
      <c r="F48" s="175"/>
      <c r="G48" s="175"/>
      <c r="I48" s="175"/>
      <c r="J48" s="175"/>
      <c r="K48" s="175"/>
    </row>
    <row r="49" spans="9:11" x14ac:dyDescent="0.25">
      <c r="I49" s="36"/>
      <c r="J49" s="36"/>
      <c r="K49" s="36"/>
    </row>
    <row r="50" spans="9:11" x14ac:dyDescent="0.25">
      <c r="I50" s="36"/>
      <c r="J50" s="36"/>
      <c r="K50" s="36"/>
    </row>
  </sheetData>
  <mergeCells count="6">
    <mergeCell ref="A1:C1"/>
    <mergeCell ref="E1:G1"/>
    <mergeCell ref="E48:G48"/>
    <mergeCell ref="I48:K48"/>
    <mergeCell ref="A46:C46"/>
    <mergeCell ref="E46:G46"/>
  </mergeCells>
  <pageMargins left="0.7" right="0.7" top="0.75" bottom="0.75" header="0.3" footer="0.3"/>
  <pageSetup paperSize="9" scale="89" orientation="portrait" r:id="rId1"/>
  <colBreaks count="1" manualBreakCount="1">
    <brk id="4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view="pageBreakPreview" zoomScale="60" zoomScaleNormal="85" workbookViewId="0">
      <selection activeCell="D30" sqref="D30"/>
    </sheetView>
  </sheetViews>
  <sheetFormatPr baseColWidth="10" defaultRowHeight="15" x14ac:dyDescent="0.25"/>
  <cols>
    <col min="1" max="1" width="12.28515625" bestFit="1" customWidth="1"/>
    <col min="2" max="2" width="44.42578125" customWidth="1"/>
    <col min="3" max="3" width="17.7109375" customWidth="1"/>
    <col min="4" max="4" width="15.140625" bestFit="1" customWidth="1"/>
    <col min="5" max="5" width="12.28515625" bestFit="1" customWidth="1"/>
    <col min="6" max="6" width="44.42578125" customWidth="1"/>
    <col min="7" max="7" width="17.7109375" customWidth="1"/>
    <col min="8" max="8" width="14.85546875" bestFit="1" customWidth="1"/>
    <col min="10" max="10" width="44.5703125" customWidth="1"/>
    <col min="11" max="11" width="17.7109375" customWidth="1"/>
  </cols>
  <sheetData>
    <row r="1" spans="1:12" ht="21" x14ac:dyDescent="0.35">
      <c r="A1" s="173" t="s">
        <v>117</v>
      </c>
      <c r="B1" s="173"/>
      <c r="C1" s="173"/>
      <c r="D1" s="141">
        <v>44470</v>
      </c>
      <c r="E1" s="173"/>
      <c r="F1" s="173"/>
      <c r="G1" s="173"/>
      <c r="H1" s="141"/>
      <c r="I1" s="42"/>
      <c r="J1" s="42"/>
      <c r="K1" s="42"/>
      <c r="L1" s="44"/>
    </row>
    <row r="2" spans="1:12" x14ac:dyDescent="0.25">
      <c r="C2" s="14"/>
      <c r="G2" s="14"/>
      <c r="I2" s="42"/>
      <c r="J2" s="42"/>
      <c r="K2" s="42"/>
    </row>
    <row r="3" spans="1:12" ht="21" x14ac:dyDescent="0.35">
      <c r="A3" s="156" t="s">
        <v>2</v>
      </c>
      <c r="B3" s="157" t="s">
        <v>3</v>
      </c>
      <c r="C3" s="158" t="s">
        <v>120</v>
      </c>
      <c r="E3" s="42"/>
      <c r="F3" s="42"/>
      <c r="G3" s="42"/>
      <c r="H3" s="42"/>
      <c r="I3" s="42"/>
      <c r="J3" s="42"/>
      <c r="K3" s="42"/>
    </row>
    <row r="4" spans="1:12" ht="21" x14ac:dyDescent="0.35">
      <c r="A4" s="159">
        <v>504</v>
      </c>
      <c r="B4" s="160" t="s">
        <v>19</v>
      </c>
      <c r="C4" s="161">
        <f t="shared" ref="C4:C21" si="0">VLOOKUP(A4,Precios,22,FALSE)</f>
        <v>1590</v>
      </c>
      <c r="E4" s="42"/>
      <c r="F4" s="42"/>
      <c r="G4" s="42"/>
      <c r="H4" s="42"/>
      <c r="I4" s="42"/>
      <c r="J4" s="42"/>
      <c r="K4" s="42"/>
    </row>
    <row r="5" spans="1:12" ht="21" x14ac:dyDescent="0.35">
      <c r="A5" s="159">
        <v>517</v>
      </c>
      <c r="B5" s="160" t="s">
        <v>110</v>
      </c>
      <c r="C5" s="161">
        <f t="shared" si="0"/>
        <v>3050</v>
      </c>
      <c r="E5" s="42"/>
      <c r="F5" s="42"/>
      <c r="G5" s="42"/>
      <c r="H5" s="42"/>
      <c r="I5" s="42"/>
      <c r="J5" s="42"/>
      <c r="K5" s="42"/>
    </row>
    <row r="6" spans="1:12" ht="21" x14ac:dyDescent="0.35">
      <c r="A6" s="159">
        <v>521</v>
      </c>
      <c r="B6" s="160" t="s">
        <v>93</v>
      </c>
      <c r="C6" s="161">
        <f t="shared" si="0"/>
        <v>2050</v>
      </c>
      <c r="E6" s="42"/>
      <c r="F6" s="42"/>
      <c r="G6" s="42"/>
      <c r="H6" s="42"/>
      <c r="I6" s="42"/>
      <c r="J6" s="42"/>
      <c r="K6" s="42"/>
    </row>
    <row r="7" spans="1:12" ht="21" x14ac:dyDescent="0.35">
      <c r="A7" s="159">
        <v>541</v>
      </c>
      <c r="B7" s="160" t="s">
        <v>280</v>
      </c>
      <c r="C7" s="161">
        <f t="shared" si="0"/>
        <v>2550</v>
      </c>
      <c r="E7" s="42"/>
      <c r="F7" s="42"/>
      <c r="G7" s="42"/>
      <c r="H7" s="42"/>
      <c r="I7" s="42"/>
      <c r="J7" s="42"/>
      <c r="K7" s="42"/>
    </row>
    <row r="8" spans="1:12" ht="21" x14ac:dyDescent="0.35">
      <c r="A8" s="159">
        <v>564</v>
      </c>
      <c r="B8" s="160" t="s">
        <v>103</v>
      </c>
      <c r="C8" s="161">
        <f t="shared" si="0"/>
        <v>2100</v>
      </c>
      <c r="E8" s="42"/>
      <c r="F8" s="42"/>
      <c r="G8" s="42"/>
      <c r="H8" s="42"/>
      <c r="I8" s="42"/>
      <c r="J8" s="42"/>
      <c r="K8" s="42"/>
    </row>
    <row r="9" spans="1:12" ht="21" x14ac:dyDescent="0.35">
      <c r="A9" s="159">
        <v>572</v>
      </c>
      <c r="B9" s="160" t="s">
        <v>281</v>
      </c>
      <c r="C9" s="161">
        <f t="shared" si="0"/>
        <v>1720</v>
      </c>
      <c r="E9" s="42"/>
      <c r="F9" s="42"/>
      <c r="G9" s="42"/>
      <c r="H9" s="42"/>
      <c r="I9" s="42"/>
      <c r="J9" s="42"/>
      <c r="K9" s="42"/>
    </row>
    <row r="10" spans="1:12" ht="21" x14ac:dyDescent="0.35">
      <c r="A10" s="159">
        <v>599</v>
      </c>
      <c r="B10" s="160" t="s">
        <v>26</v>
      </c>
      <c r="C10" s="161">
        <f t="shared" si="0"/>
        <v>2050</v>
      </c>
      <c r="E10" s="42"/>
      <c r="F10" s="42"/>
      <c r="G10" s="42"/>
      <c r="H10" s="42"/>
      <c r="I10" s="42"/>
      <c r="J10" s="42"/>
      <c r="K10" s="42"/>
    </row>
    <row r="11" spans="1:12" ht="21" x14ac:dyDescent="0.35">
      <c r="A11" s="159">
        <v>715</v>
      </c>
      <c r="B11" s="160" t="s">
        <v>33</v>
      </c>
      <c r="C11" s="161">
        <f t="shared" si="0"/>
        <v>1620</v>
      </c>
      <c r="E11" s="42"/>
      <c r="F11" s="42"/>
      <c r="G11" s="42"/>
      <c r="H11" s="42"/>
      <c r="I11" s="42"/>
      <c r="J11" s="42"/>
      <c r="K11" s="42"/>
    </row>
    <row r="12" spans="1:12" ht="21" x14ac:dyDescent="0.35">
      <c r="A12" s="159">
        <v>718</v>
      </c>
      <c r="B12" s="160" t="s">
        <v>34</v>
      </c>
      <c r="C12" s="161">
        <f t="shared" si="0"/>
        <v>1620</v>
      </c>
      <c r="E12" s="42"/>
      <c r="F12" s="42"/>
      <c r="G12" s="42"/>
      <c r="H12" s="42"/>
      <c r="I12" s="42"/>
      <c r="J12" s="42"/>
      <c r="K12" s="42"/>
    </row>
    <row r="13" spans="1:12" ht="21" x14ac:dyDescent="0.35">
      <c r="A13" s="159">
        <v>719</v>
      </c>
      <c r="B13" s="160" t="s">
        <v>106</v>
      </c>
      <c r="C13" s="161">
        <f t="shared" si="0"/>
        <v>1830</v>
      </c>
      <c r="E13" s="42"/>
      <c r="F13" s="42"/>
      <c r="G13" s="42"/>
      <c r="H13" s="42"/>
      <c r="I13" s="42"/>
      <c r="J13" s="42"/>
      <c r="K13" s="42"/>
    </row>
    <row r="14" spans="1:12" ht="21" x14ac:dyDescent="0.35">
      <c r="A14" s="159">
        <v>725</v>
      </c>
      <c r="B14" s="160" t="s">
        <v>38</v>
      </c>
      <c r="C14" s="161">
        <f t="shared" si="0"/>
        <v>2080</v>
      </c>
      <c r="E14" s="42"/>
      <c r="F14" s="42"/>
      <c r="G14" s="42"/>
      <c r="H14" s="42"/>
      <c r="I14" s="42"/>
      <c r="J14" s="42"/>
      <c r="K14" s="42"/>
    </row>
    <row r="15" spans="1:12" ht="21" x14ac:dyDescent="0.35">
      <c r="A15" s="162">
        <v>723</v>
      </c>
      <c r="B15" s="163" t="s">
        <v>282</v>
      </c>
      <c r="C15" s="161">
        <f t="shared" si="0"/>
        <v>1690</v>
      </c>
      <c r="E15" s="42"/>
      <c r="F15" s="42"/>
      <c r="G15" s="42"/>
      <c r="H15" s="42"/>
      <c r="I15" s="42"/>
      <c r="J15" s="42"/>
      <c r="K15" s="42"/>
    </row>
    <row r="16" spans="1:12" ht="21" x14ac:dyDescent="0.35">
      <c r="A16" s="159">
        <v>743</v>
      </c>
      <c r="B16" s="160" t="s">
        <v>47</v>
      </c>
      <c r="C16" s="161">
        <f t="shared" si="0"/>
        <v>2280</v>
      </c>
      <c r="E16" s="42"/>
      <c r="F16" s="42"/>
      <c r="G16" s="42"/>
      <c r="H16" s="42"/>
      <c r="I16" s="42"/>
      <c r="J16" s="42"/>
      <c r="K16" s="42"/>
    </row>
    <row r="17" spans="1:12" ht="21" x14ac:dyDescent="0.35">
      <c r="A17" s="159">
        <v>750</v>
      </c>
      <c r="B17" s="160" t="s">
        <v>72</v>
      </c>
      <c r="C17" s="161">
        <f t="shared" si="0"/>
        <v>1670</v>
      </c>
      <c r="E17" s="42"/>
      <c r="F17" s="42"/>
      <c r="G17" s="42"/>
      <c r="I17" s="42"/>
      <c r="J17" s="42"/>
      <c r="K17" s="42"/>
    </row>
    <row r="18" spans="1:12" ht="21" x14ac:dyDescent="0.35">
      <c r="A18" s="159">
        <v>756</v>
      </c>
      <c r="B18" s="160" t="s">
        <v>279</v>
      </c>
      <c r="C18" s="161">
        <f t="shared" si="0"/>
        <v>1680</v>
      </c>
      <c r="E18" s="42"/>
      <c r="F18" s="42"/>
      <c r="G18" s="42"/>
      <c r="I18" s="42"/>
      <c r="J18" s="42"/>
      <c r="K18" s="42"/>
      <c r="L18" s="42"/>
    </row>
    <row r="19" spans="1:12" ht="21" x14ac:dyDescent="0.35">
      <c r="A19" s="159">
        <v>763</v>
      </c>
      <c r="B19" s="160" t="s">
        <v>278</v>
      </c>
      <c r="C19" s="161">
        <f t="shared" si="0"/>
        <v>1700</v>
      </c>
      <c r="E19" s="42"/>
      <c r="F19" s="42"/>
      <c r="G19" s="42"/>
      <c r="I19" s="42"/>
      <c r="J19" s="42"/>
      <c r="K19" s="42"/>
      <c r="L19" s="42"/>
    </row>
    <row r="20" spans="1:12" ht="21" x14ac:dyDescent="0.35">
      <c r="A20" s="159">
        <v>801</v>
      </c>
      <c r="B20" s="160" t="s">
        <v>53</v>
      </c>
      <c r="C20" s="161">
        <f t="shared" si="0"/>
        <v>1600</v>
      </c>
      <c r="E20" s="42"/>
      <c r="F20" s="42"/>
      <c r="G20" s="42"/>
      <c r="I20" s="42"/>
      <c r="J20" s="42"/>
      <c r="K20" s="42"/>
      <c r="L20" s="42"/>
    </row>
    <row r="21" spans="1:12" ht="21" x14ac:dyDescent="0.35">
      <c r="A21" s="159">
        <v>806</v>
      </c>
      <c r="B21" s="160" t="s">
        <v>283</v>
      </c>
      <c r="C21" s="161">
        <f t="shared" si="0"/>
        <v>1150</v>
      </c>
      <c r="E21" s="42"/>
      <c r="F21" s="42"/>
      <c r="G21" s="42"/>
      <c r="I21" s="42"/>
      <c r="J21" s="42"/>
      <c r="K21" s="42"/>
      <c r="L21" s="42"/>
    </row>
    <row r="22" spans="1:12" ht="21" x14ac:dyDescent="0.35">
      <c r="A22" s="164"/>
      <c r="B22" s="164"/>
      <c r="C22" s="164"/>
      <c r="E22" s="42"/>
      <c r="F22" s="42"/>
      <c r="G22" s="42"/>
      <c r="I22" s="42"/>
      <c r="J22" s="42"/>
      <c r="K22" s="42"/>
      <c r="L22" s="42"/>
    </row>
    <row r="23" spans="1:12" ht="21" x14ac:dyDescent="0.35">
      <c r="A23" s="164" t="s">
        <v>285</v>
      </c>
      <c r="B23" s="164"/>
      <c r="C23" s="164"/>
      <c r="E23" s="42"/>
      <c r="F23" s="42"/>
      <c r="G23" s="42"/>
      <c r="I23" s="42"/>
      <c r="J23" s="42"/>
      <c r="K23" s="42"/>
      <c r="L23" s="42"/>
    </row>
    <row r="24" spans="1:12" ht="21" x14ac:dyDescent="0.35">
      <c r="A24" s="164"/>
      <c r="B24" s="164"/>
      <c r="C24" s="164"/>
      <c r="E24" s="42"/>
      <c r="F24" s="42"/>
      <c r="G24" s="42"/>
      <c r="I24" s="42"/>
      <c r="J24" s="42"/>
      <c r="K24" s="42"/>
      <c r="L24" s="42"/>
    </row>
    <row r="25" spans="1:12" ht="21" x14ac:dyDescent="0.35">
      <c r="A25" s="164"/>
      <c r="B25" s="164"/>
      <c r="C25" s="164"/>
      <c r="E25" s="42"/>
      <c r="F25" s="42"/>
      <c r="G25" s="42"/>
      <c r="I25" s="42"/>
      <c r="J25" s="42"/>
      <c r="K25" s="42"/>
      <c r="L25" s="42"/>
    </row>
    <row r="26" spans="1:12" ht="21" x14ac:dyDescent="0.35">
      <c r="A26" s="164"/>
      <c r="B26" s="164"/>
      <c r="C26" s="164"/>
      <c r="E26" s="42"/>
      <c r="F26" s="42"/>
      <c r="G26" s="42"/>
      <c r="I26" s="42"/>
      <c r="J26" s="42"/>
      <c r="K26" s="42"/>
      <c r="L26" s="42"/>
    </row>
    <row r="27" spans="1:12" x14ac:dyDescent="0.25">
      <c r="E27" s="42"/>
      <c r="F27" s="42"/>
      <c r="G27" s="42"/>
      <c r="I27" s="42"/>
      <c r="J27" s="42"/>
      <c r="K27" s="42"/>
      <c r="L27" s="42"/>
    </row>
    <row r="28" spans="1:12" x14ac:dyDescent="0.25">
      <c r="A28" s="175" t="s">
        <v>121</v>
      </c>
      <c r="B28" s="175"/>
      <c r="C28" s="175"/>
      <c r="E28" s="42"/>
      <c r="F28" s="42"/>
      <c r="G28" s="42"/>
      <c r="I28" s="42"/>
      <c r="J28" s="42"/>
      <c r="K28" s="42"/>
    </row>
    <row r="29" spans="1:12" x14ac:dyDescent="0.25">
      <c r="E29" s="42"/>
      <c r="F29" s="42"/>
      <c r="G29" s="42"/>
      <c r="I29" s="42"/>
      <c r="J29" s="42"/>
      <c r="K29" s="42"/>
    </row>
    <row r="30" spans="1:12" x14ac:dyDescent="0.25">
      <c r="E30" s="42"/>
      <c r="F30" s="42"/>
      <c r="G30" s="42"/>
      <c r="I30" s="42"/>
      <c r="J30" s="42"/>
      <c r="K30" s="42"/>
    </row>
    <row r="31" spans="1:12" x14ac:dyDescent="0.25">
      <c r="E31" s="42"/>
      <c r="F31" s="42"/>
      <c r="G31" s="42"/>
      <c r="I31" s="42"/>
      <c r="J31" s="42"/>
      <c r="K31" s="42"/>
    </row>
    <row r="32" spans="1:12" x14ac:dyDescent="0.25">
      <c r="E32" s="42"/>
      <c r="F32" s="42"/>
      <c r="G32" s="42"/>
      <c r="I32" s="42"/>
      <c r="J32" s="42"/>
      <c r="K32" s="42"/>
    </row>
    <row r="33" spans="1:11" x14ac:dyDescent="0.25">
      <c r="E33" s="42"/>
      <c r="F33" s="42"/>
      <c r="G33" s="42"/>
      <c r="I33" s="42"/>
      <c r="J33" s="42"/>
      <c r="K33" s="42"/>
    </row>
    <row r="34" spans="1:11" x14ac:dyDescent="0.25">
      <c r="E34" s="42"/>
      <c r="F34" s="42"/>
      <c r="G34" s="42"/>
      <c r="I34" s="42"/>
      <c r="J34" s="42"/>
      <c r="K34" s="42"/>
    </row>
    <row r="35" spans="1:11" x14ac:dyDescent="0.25">
      <c r="E35" s="42"/>
      <c r="F35" s="42"/>
      <c r="G35" s="42"/>
      <c r="I35" s="42"/>
      <c r="J35" s="42"/>
      <c r="K35" s="42"/>
    </row>
    <row r="36" spans="1:11" x14ac:dyDescent="0.25">
      <c r="E36" s="42"/>
      <c r="F36" s="42"/>
      <c r="G36" s="42"/>
      <c r="I36" s="42"/>
      <c r="J36" s="42"/>
      <c r="K36" s="42"/>
    </row>
    <row r="37" spans="1:11" x14ac:dyDescent="0.25">
      <c r="E37" s="42"/>
      <c r="F37" s="42"/>
      <c r="G37" s="42"/>
      <c r="I37" s="42"/>
      <c r="J37" s="42"/>
      <c r="K37" s="42"/>
    </row>
    <row r="38" spans="1:11" x14ac:dyDescent="0.25">
      <c r="E38" s="42"/>
      <c r="F38" s="42"/>
      <c r="G38" s="42"/>
      <c r="I38" s="42"/>
      <c r="J38" s="42"/>
      <c r="K38" s="42"/>
    </row>
    <row r="39" spans="1:11" x14ac:dyDescent="0.25">
      <c r="E39" s="42"/>
      <c r="F39" s="42"/>
      <c r="G39" s="42"/>
      <c r="I39" s="36"/>
      <c r="J39" s="36"/>
      <c r="K39" s="42"/>
    </row>
    <row r="40" spans="1:11" x14ac:dyDescent="0.25">
      <c r="E40" s="42"/>
      <c r="F40" s="42"/>
      <c r="G40" s="42"/>
      <c r="I40" s="36"/>
      <c r="J40" s="36"/>
      <c r="K40" s="42"/>
    </row>
    <row r="41" spans="1:11" x14ac:dyDescent="0.25">
      <c r="E41" s="42"/>
      <c r="F41" s="42"/>
      <c r="G41" s="42"/>
      <c r="I41" s="36"/>
      <c r="J41" s="36"/>
      <c r="K41" s="42"/>
    </row>
    <row r="42" spans="1:11" x14ac:dyDescent="0.25">
      <c r="E42" s="42"/>
      <c r="F42" s="42"/>
      <c r="G42" s="42"/>
      <c r="I42" s="36"/>
      <c r="J42" s="36"/>
      <c r="K42" s="42"/>
    </row>
    <row r="43" spans="1:11" x14ac:dyDescent="0.25">
      <c r="A43" s="175"/>
      <c r="B43" s="175"/>
      <c r="C43" s="175"/>
      <c r="E43" s="42"/>
      <c r="F43" s="42"/>
      <c r="G43" s="42"/>
      <c r="I43" s="36"/>
      <c r="J43" s="36"/>
      <c r="K43" s="42"/>
    </row>
    <row r="44" spans="1:11" x14ac:dyDescent="0.25">
      <c r="E44" s="175"/>
      <c r="F44" s="175"/>
      <c r="G44" s="175"/>
      <c r="I44" s="36"/>
      <c r="J44" s="36"/>
      <c r="K44" s="42"/>
    </row>
    <row r="45" spans="1:11" x14ac:dyDescent="0.25">
      <c r="E45" s="38"/>
      <c r="F45" s="36"/>
      <c r="G45" s="42"/>
      <c r="I45" s="36"/>
      <c r="J45" s="36"/>
      <c r="K45" s="42"/>
    </row>
    <row r="46" spans="1:11" x14ac:dyDescent="0.25">
      <c r="E46" s="175"/>
      <c r="F46" s="175"/>
      <c r="G46" s="175"/>
      <c r="I46" s="175"/>
      <c r="J46" s="175"/>
      <c r="K46" s="175"/>
    </row>
    <row r="47" spans="1:11" x14ac:dyDescent="0.25">
      <c r="I47" s="36"/>
      <c r="J47" s="36"/>
      <c r="K47" s="36"/>
    </row>
    <row r="48" spans="1:11" x14ac:dyDescent="0.25">
      <c r="I48" s="36"/>
      <c r="J48" s="36"/>
      <c r="K48" s="36"/>
    </row>
  </sheetData>
  <mergeCells count="7">
    <mergeCell ref="A1:C1"/>
    <mergeCell ref="E1:G1"/>
    <mergeCell ref="E44:G44"/>
    <mergeCell ref="E46:G46"/>
    <mergeCell ref="I46:K46"/>
    <mergeCell ref="A43:C43"/>
    <mergeCell ref="A28:C28"/>
  </mergeCells>
  <pageMargins left="0.7" right="0.7" top="0.75" bottom="0.75" header="0.3" footer="0.3"/>
  <pageSetup paperSize="9" scale="89" orientation="portrait" r:id="rId1"/>
  <colBreaks count="1" manualBreakCount="1">
    <brk id="4" max="4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89"/>
  <sheetViews>
    <sheetView view="pageBreakPreview" zoomScaleNormal="100" zoomScaleSheetLayoutView="100" workbookViewId="0">
      <selection activeCell="I5" activeCellId="4" sqref="D5 F5 G5 H5 I5"/>
    </sheetView>
  </sheetViews>
  <sheetFormatPr baseColWidth="10" defaultColWidth="9.7109375" defaultRowHeight="15" x14ac:dyDescent="0.25"/>
  <cols>
    <col min="1" max="1" width="9.7109375" bestFit="1" customWidth="1"/>
    <col min="2" max="2" width="23" bestFit="1" customWidth="1"/>
    <col min="3" max="4" width="13.5703125" bestFit="1" customWidth="1"/>
    <col min="5" max="5" width="11.85546875" bestFit="1" customWidth="1"/>
    <col min="6" max="6" width="12" bestFit="1" customWidth="1"/>
    <col min="7" max="7" width="16.85546875" bestFit="1" customWidth="1"/>
    <col min="8" max="8" width="13.5703125" bestFit="1" customWidth="1"/>
    <col min="9" max="9" width="12" bestFit="1" customWidth="1"/>
    <col min="10" max="10" width="13.140625" bestFit="1" customWidth="1"/>
    <col min="11" max="11" width="14.42578125" bestFit="1" customWidth="1"/>
    <col min="12" max="12" width="13.5703125" bestFit="1" customWidth="1"/>
    <col min="14" max="14" width="10.5703125" bestFit="1" customWidth="1"/>
    <col min="15" max="15" width="11.7109375" bestFit="1" customWidth="1"/>
    <col min="16" max="16" width="12.5703125" bestFit="1" customWidth="1"/>
    <col min="17" max="17" width="11.85546875" bestFit="1" customWidth="1"/>
    <col min="18" max="18" width="20.42578125" bestFit="1" customWidth="1"/>
    <col min="19" max="19" width="26.28515625" bestFit="1" customWidth="1"/>
    <col min="20" max="20" width="14.28515625" bestFit="1" customWidth="1"/>
    <col min="21" max="21" width="13.42578125" bestFit="1" customWidth="1"/>
  </cols>
  <sheetData>
    <row r="1" spans="1:22" x14ac:dyDescent="0.25">
      <c r="A1" s="176" t="s">
        <v>129</v>
      </c>
      <c r="B1" s="176"/>
      <c r="C1" s="176"/>
      <c r="D1" s="176"/>
      <c r="E1" s="176"/>
      <c r="F1" s="176"/>
      <c r="G1" s="176"/>
      <c r="H1" s="176"/>
      <c r="K1" s="27">
        <v>1.51</v>
      </c>
      <c r="L1" s="27">
        <v>1.05</v>
      </c>
    </row>
    <row r="2" spans="1:22" s="3" customFormat="1" ht="15.75" x14ac:dyDescent="0.25">
      <c r="A2" s="11" t="s">
        <v>2</v>
      </c>
      <c r="B2" s="3" t="s">
        <v>3</v>
      </c>
      <c r="C2" s="3" t="s">
        <v>109</v>
      </c>
      <c r="D2" s="18" t="s">
        <v>86</v>
      </c>
      <c r="E2" s="178" t="s">
        <v>85</v>
      </c>
      <c r="F2" s="179"/>
      <c r="G2" s="18" t="s">
        <v>87</v>
      </c>
      <c r="H2" s="18" t="s">
        <v>88</v>
      </c>
      <c r="I2" s="18" t="s">
        <v>89</v>
      </c>
      <c r="J2" s="18" t="s">
        <v>84</v>
      </c>
      <c r="K2" s="4" t="s">
        <v>4</v>
      </c>
      <c r="L2" s="5" t="s">
        <v>5</v>
      </c>
      <c r="N2" s="13" t="s">
        <v>2</v>
      </c>
      <c r="O2" s="24"/>
      <c r="P2" s="30" t="s">
        <v>113</v>
      </c>
      <c r="Q2" s="28" t="s">
        <v>112</v>
      </c>
      <c r="R2" s="31" t="s">
        <v>114</v>
      </c>
      <c r="S2" s="3" t="s">
        <v>116</v>
      </c>
      <c r="T2" s="34" t="s">
        <v>118</v>
      </c>
      <c r="U2" s="28" t="s">
        <v>119</v>
      </c>
    </row>
    <row r="3" spans="1:22" x14ac:dyDescent="0.25">
      <c r="A3" s="73">
        <v>504</v>
      </c>
      <c r="B3" s="74" t="s">
        <v>19</v>
      </c>
      <c r="C3" s="75">
        <v>0.33</v>
      </c>
      <c r="D3" s="48">
        <f>+C3*($C$28+$L$31)</f>
        <v>587.4</v>
      </c>
      <c r="E3" s="128">
        <v>20</v>
      </c>
      <c r="F3" s="48">
        <f>+E3*$C$26</f>
        <v>120</v>
      </c>
      <c r="G3" s="48">
        <f>+$J$31</f>
        <v>213.44444444444446</v>
      </c>
      <c r="H3" s="48">
        <v>0</v>
      </c>
      <c r="I3" s="48">
        <f>+$L$30</f>
        <v>25.5</v>
      </c>
      <c r="J3" s="59">
        <f>SUM(F3:I3)+D3</f>
        <v>946.34444444444443</v>
      </c>
      <c r="K3" s="20">
        <f>MROUND(J3*$K$1,10)</f>
        <v>1430</v>
      </c>
      <c r="L3" s="21">
        <f>MROUND(K3*$L$1,10)</f>
        <v>1500</v>
      </c>
      <c r="M3" s="26"/>
      <c r="N3" s="12">
        <f t="shared" ref="N3:N11" si="0">A3</f>
        <v>504</v>
      </c>
      <c r="P3" s="20">
        <f t="shared" ref="P3:P11" si="1">K3-J3</f>
        <v>483.65555555555557</v>
      </c>
      <c r="Q3" s="29">
        <f t="shared" ref="Q3:Q11" si="2">P3/K3</f>
        <v>0.33822066822066821</v>
      </c>
      <c r="R3" s="32">
        <f t="shared" ref="R3:R11" si="3">L3*0.85</f>
        <v>1275</v>
      </c>
      <c r="S3" s="33">
        <f t="shared" ref="S3:S11" si="4">K3-R3</f>
        <v>155</v>
      </c>
      <c r="T3" s="35">
        <f t="shared" ref="T3:T11" si="5">R3-J3</f>
        <v>328.65555555555557</v>
      </c>
      <c r="U3" s="29">
        <f t="shared" ref="U3:U11" si="6">T3/L3</f>
        <v>0.21910370370370372</v>
      </c>
    </row>
    <row r="4" spans="1:22" x14ac:dyDescent="0.25">
      <c r="A4" s="73">
        <v>517</v>
      </c>
      <c r="B4" s="74" t="s">
        <v>110</v>
      </c>
      <c r="C4" s="75">
        <v>0.68</v>
      </c>
      <c r="D4" s="48">
        <f>+C4*($C$28+$L$31)</f>
        <v>1210.4000000000001</v>
      </c>
      <c r="E4" s="128">
        <v>45</v>
      </c>
      <c r="F4" s="48">
        <f>200+20</f>
        <v>220</v>
      </c>
      <c r="G4" s="48">
        <f t="shared" ref="G4:G11" si="7">+$J$31</f>
        <v>213.44444444444446</v>
      </c>
      <c r="H4" s="48">
        <f>+$F$31</f>
        <v>148.85</v>
      </c>
      <c r="I4" s="48">
        <f t="shared" ref="I4:I25" si="8">+$L$30</f>
        <v>25.5</v>
      </c>
      <c r="J4" s="59">
        <f t="shared" ref="J4:J25" si="9">SUM(F4:I4)+D4</f>
        <v>1818.1944444444446</v>
      </c>
      <c r="K4" s="20">
        <f t="shared" ref="K4:K25" si="10">MROUND(J4*$K$1,10)</f>
        <v>2750</v>
      </c>
      <c r="L4" s="21">
        <f t="shared" ref="L4:L25" si="11">MROUND(K4*$L$1,10)</f>
        <v>2890</v>
      </c>
      <c r="M4" s="26"/>
      <c r="N4" s="12">
        <f t="shared" si="0"/>
        <v>517</v>
      </c>
      <c r="O4" s="23"/>
      <c r="P4" s="20">
        <f t="shared" si="1"/>
        <v>931.80555555555543</v>
      </c>
      <c r="Q4" s="29">
        <f t="shared" si="2"/>
        <v>0.33883838383838377</v>
      </c>
      <c r="R4" s="32">
        <f t="shared" si="3"/>
        <v>2456.5</v>
      </c>
      <c r="S4" s="33">
        <f>K4-R4</f>
        <v>293.5</v>
      </c>
      <c r="T4" s="35">
        <f t="shared" si="5"/>
        <v>638.30555555555543</v>
      </c>
      <c r="U4" s="29">
        <f t="shared" si="6"/>
        <v>0.22086697424067661</v>
      </c>
    </row>
    <row r="5" spans="1:22" x14ac:dyDescent="0.25">
      <c r="A5" s="73">
        <v>521</v>
      </c>
      <c r="B5" s="74" t="s">
        <v>93</v>
      </c>
      <c r="C5" s="75">
        <v>0.45</v>
      </c>
      <c r="D5" s="48">
        <f>+C5*($C$28+$L$31)</f>
        <v>801</v>
      </c>
      <c r="E5" s="128">
        <v>30</v>
      </c>
      <c r="F5" s="48">
        <f t="shared" ref="F5:F6" si="12">+E5*$C$26</f>
        <v>180</v>
      </c>
      <c r="G5" s="48">
        <f t="shared" si="7"/>
        <v>213.44444444444446</v>
      </c>
      <c r="H5" s="48">
        <v>0</v>
      </c>
      <c r="I5" s="48">
        <f t="shared" si="8"/>
        <v>25.5</v>
      </c>
      <c r="J5" s="59">
        <f t="shared" si="9"/>
        <v>1219.9444444444443</v>
      </c>
      <c r="K5" s="20">
        <f t="shared" si="10"/>
        <v>1840</v>
      </c>
      <c r="L5" s="21">
        <f t="shared" si="11"/>
        <v>1930</v>
      </c>
      <c r="M5" s="26"/>
      <c r="N5" s="12">
        <f t="shared" si="0"/>
        <v>521</v>
      </c>
      <c r="P5" s="20">
        <f t="shared" si="1"/>
        <v>620.05555555555566</v>
      </c>
      <c r="Q5" s="29">
        <f t="shared" si="2"/>
        <v>0.33698671497584548</v>
      </c>
      <c r="R5" s="32">
        <f t="shared" si="3"/>
        <v>1640.5</v>
      </c>
      <c r="S5" s="33">
        <f t="shared" si="4"/>
        <v>199.5</v>
      </c>
      <c r="T5" s="35">
        <f t="shared" si="5"/>
        <v>420.55555555555566</v>
      </c>
      <c r="U5" s="29">
        <f t="shared" si="6"/>
        <v>0.21790443293033973</v>
      </c>
    </row>
    <row r="6" spans="1:22" x14ac:dyDescent="0.25">
      <c r="A6" s="73">
        <v>564</v>
      </c>
      <c r="B6" s="74" t="s">
        <v>103</v>
      </c>
      <c r="C6" s="75">
        <v>0.45</v>
      </c>
      <c r="D6" s="48">
        <f>+C6*($C$28+$L$31)</f>
        <v>801</v>
      </c>
      <c r="E6" s="128">
        <v>35</v>
      </c>
      <c r="F6" s="48">
        <f t="shared" si="12"/>
        <v>210</v>
      </c>
      <c r="G6" s="48">
        <f t="shared" si="7"/>
        <v>213.44444444444446</v>
      </c>
      <c r="H6" s="48">
        <v>0</v>
      </c>
      <c r="I6" s="48">
        <f t="shared" si="8"/>
        <v>25.5</v>
      </c>
      <c r="J6" s="59">
        <f t="shared" si="9"/>
        <v>1249.9444444444443</v>
      </c>
      <c r="K6" s="20">
        <f t="shared" si="10"/>
        <v>1890</v>
      </c>
      <c r="L6" s="21">
        <f t="shared" si="11"/>
        <v>1980</v>
      </c>
      <c r="M6" s="26"/>
      <c r="N6" s="12">
        <f t="shared" si="0"/>
        <v>564</v>
      </c>
      <c r="P6" s="20">
        <f t="shared" si="1"/>
        <v>640.05555555555566</v>
      </c>
      <c r="Q6" s="29">
        <f t="shared" si="2"/>
        <v>0.33865373309817759</v>
      </c>
      <c r="R6" s="32">
        <f t="shared" si="3"/>
        <v>1683</v>
      </c>
      <c r="S6" s="33">
        <f t="shared" si="4"/>
        <v>207</v>
      </c>
      <c r="T6" s="35">
        <f t="shared" si="5"/>
        <v>433.05555555555566</v>
      </c>
      <c r="U6" s="29">
        <f t="shared" si="6"/>
        <v>0.21871492704826043</v>
      </c>
    </row>
    <row r="7" spans="1:22" x14ac:dyDescent="0.25">
      <c r="A7" s="73">
        <v>599</v>
      </c>
      <c r="B7" s="74" t="s">
        <v>26</v>
      </c>
      <c r="C7" s="75">
        <v>0.45</v>
      </c>
      <c r="D7" s="48">
        <f>+C7*($C$28+$L$31)</f>
        <v>801</v>
      </c>
      <c r="E7" s="128">
        <v>30</v>
      </c>
      <c r="F7" s="48">
        <v>180</v>
      </c>
      <c r="G7" s="48">
        <f t="shared" si="7"/>
        <v>213.44444444444446</v>
      </c>
      <c r="H7" s="48">
        <v>0</v>
      </c>
      <c r="I7" s="48">
        <f t="shared" si="8"/>
        <v>25.5</v>
      </c>
      <c r="J7" s="59">
        <f t="shared" si="9"/>
        <v>1219.9444444444443</v>
      </c>
      <c r="K7" s="20">
        <f t="shared" si="10"/>
        <v>1840</v>
      </c>
      <c r="L7" s="21">
        <f t="shared" si="11"/>
        <v>1930</v>
      </c>
      <c r="M7" s="26"/>
      <c r="N7" s="12">
        <f t="shared" si="0"/>
        <v>599</v>
      </c>
      <c r="P7" s="20">
        <f t="shared" si="1"/>
        <v>620.05555555555566</v>
      </c>
      <c r="Q7" s="29">
        <f t="shared" si="2"/>
        <v>0.33698671497584548</v>
      </c>
      <c r="R7" s="32">
        <f t="shared" si="3"/>
        <v>1640.5</v>
      </c>
      <c r="S7" s="33">
        <f t="shared" si="4"/>
        <v>199.5</v>
      </c>
      <c r="T7" s="35">
        <f t="shared" si="5"/>
        <v>420.55555555555566</v>
      </c>
      <c r="U7" s="29">
        <f t="shared" si="6"/>
        <v>0.21790443293033973</v>
      </c>
      <c r="V7" s="23"/>
    </row>
    <row r="8" spans="1:22" x14ac:dyDescent="0.25">
      <c r="A8" s="73">
        <v>715</v>
      </c>
      <c r="B8" s="74" t="s">
        <v>33</v>
      </c>
      <c r="C8" s="75">
        <v>0.31</v>
      </c>
      <c r="D8" s="48">
        <f>+C8*($C$29+$L$31)</f>
        <v>515.56099999999992</v>
      </c>
      <c r="E8" s="128"/>
      <c r="F8" s="48">
        <v>210</v>
      </c>
      <c r="G8" s="48">
        <f t="shared" si="7"/>
        <v>213.44444444444446</v>
      </c>
      <c r="H8" s="48">
        <v>0</v>
      </c>
      <c r="I8" s="48">
        <f t="shared" si="8"/>
        <v>25.5</v>
      </c>
      <c r="J8" s="59">
        <f t="shared" si="9"/>
        <v>964.50544444444438</v>
      </c>
      <c r="K8" s="20">
        <f t="shared" si="10"/>
        <v>1460</v>
      </c>
      <c r="L8" s="21">
        <f t="shared" si="11"/>
        <v>1530</v>
      </c>
      <c r="M8" s="26"/>
      <c r="N8" s="12">
        <f t="shared" si="0"/>
        <v>715</v>
      </c>
      <c r="P8" s="20">
        <f t="shared" si="1"/>
        <v>495.49455555555562</v>
      </c>
      <c r="Q8" s="29">
        <f t="shared" si="2"/>
        <v>0.33937983257229837</v>
      </c>
      <c r="R8" s="32">
        <f t="shared" si="3"/>
        <v>1300.5</v>
      </c>
      <c r="S8" s="33">
        <f t="shared" si="4"/>
        <v>159.5</v>
      </c>
      <c r="T8" s="35">
        <f t="shared" si="5"/>
        <v>335.99455555555562</v>
      </c>
      <c r="U8" s="29">
        <f t="shared" si="6"/>
        <v>0.21960428467683374</v>
      </c>
    </row>
    <row r="9" spans="1:22" x14ac:dyDescent="0.25">
      <c r="A9" s="73">
        <v>718</v>
      </c>
      <c r="B9" s="74" t="s">
        <v>34</v>
      </c>
      <c r="C9" s="75">
        <v>0.31</v>
      </c>
      <c r="D9" s="48">
        <f>+C9*($C$29+$L$31)</f>
        <v>515.56099999999992</v>
      </c>
      <c r="E9" s="128"/>
      <c r="F9" s="48">
        <v>210</v>
      </c>
      <c r="G9" s="48">
        <f t="shared" si="7"/>
        <v>213.44444444444446</v>
      </c>
      <c r="H9" s="48">
        <v>0</v>
      </c>
      <c r="I9" s="48">
        <f t="shared" si="8"/>
        <v>25.5</v>
      </c>
      <c r="J9" s="59">
        <f t="shared" si="9"/>
        <v>964.50544444444438</v>
      </c>
      <c r="K9" s="20">
        <f t="shared" si="10"/>
        <v>1460</v>
      </c>
      <c r="L9" s="21">
        <f t="shared" si="11"/>
        <v>1530</v>
      </c>
      <c r="M9" s="26"/>
      <c r="N9" s="12">
        <f t="shared" si="0"/>
        <v>718</v>
      </c>
      <c r="P9" s="20">
        <f t="shared" si="1"/>
        <v>495.49455555555562</v>
      </c>
      <c r="Q9" s="29">
        <f t="shared" si="2"/>
        <v>0.33937983257229837</v>
      </c>
      <c r="R9" s="32">
        <f t="shared" si="3"/>
        <v>1300.5</v>
      </c>
      <c r="S9" s="33">
        <f t="shared" si="4"/>
        <v>159.5</v>
      </c>
      <c r="T9" s="35">
        <f t="shared" si="5"/>
        <v>335.99455555555562</v>
      </c>
      <c r="U9" s="29">
        <f t="shared" si="6"/>
        <v>0.21960428467683374</v>
      </c>
    </row>
    <row r="10" spans="1:22" x14ac:dyDescent="0.25">
      <c r="A10" s="73">
        <v>719</v>
      </c>
      <c r="B10" s="74" t="s">
        <v>106</v>
      </c>
      <c r="C10" s="75">
        <v>0.38</v>
      </c>
      <c r="D10" s="48">
        <f>+C10*($C$29+$L$31)</f>
        <v>631.97799999999995</v>
      </c>
      <c r="E10" s="128"/>
      <c r="F10" s="48">
        <v>220</v>
      </c>
      <c r="G10" s="48">
        <f t="shared" si="7"/>
        <v>213.44444444444446</v>
      </c>
      <c r="H10" s="48">
        <v>0</v>
      </c>
      <c r="I10" s="48">
        <f t="shared" si="8"/>
        <v>25.5</v>
      </c>
      <c r="J10" s="59">
        <f t="shared" si="9"/>
        <v>1090.9224444444444</v>
      </c>
      <c r="K10" s="20">
        <f t="shared" si="10"/>
        <v>1650</v>
      </c>
      <c r="L10" s="21">
        <f t="shared" si="11"/>
        <v>1730</v>
      </c>
      <c r="M10" s="26"/>
      <c r="N10" s="12">
        <f t="shared" si="0"/>
        <v>719</v>
      </c>
      <c r="P10" s="20">
        <f t="shared" si="1"/>
        <v>559.07755555555559</v>
      </c>
      <c r="Q10" s="29">
        <f t="shared" si="2"/>
        <v>0.33883488215488217</v>
      </c>
      <c r="R10" s="32">
        <f t="shared" si="3"/>
        <v>1470.5</v>
      </c>
      <c r="S10" s="33">
        <f t="shared" si="4"/>
        <v>179.5</v>
      </c>
      <c r="T10" s="35">
        <f t="shared" si="5"/>
        <v>379.57755555555559</v>
      </c>
      <c r="U10" s="29">
        <f t="shared" si="6"/>
        <v>0.21940899165061017</v>
      </c>
    </row>
    <row r="11" spans="1:22" x14ac:dyDescent="0.25">
      <c r="A11" s="73">
        <v>743</v>
      </c>
      <c r="B11" s="74" t="s">
        <v>47</v>
      </c>
      <c r="C11" s="75">
        <v>0.45</v>
      </c>
      <c r="D11" s="48">
        <f>+C11*($C$29+$L$31)</f>
        <v>748.39499999999998</v>
      </c>
      <c r="E11" s="128"/>
      <c r="F11" s="48">
        <v>260</v>
      </c>
      <c r="G11" s="48">
        <f t="shared" si="7"/>
        <v>213.44444444444446</v>
      </c>
      <c r="H11" s="48">
        <f>+H28</f>
        <v>110.5</v>
      </c>
      <c r="I11" s="48">
        <f t="shared" si="8"/>
        <v>25.5</v>
      </c>
      <c r="J11" s="59">
        <f t="shared" si="9"/>
        <v>1357.8394444444443</v>
      </c>
      <c r="K11" s="20">
        <f t="shared" si="10"/>
        <v>2050</v>
      </c>
      <c r="L11" s="21">
        <f t="shared" si="11"/>
        <v>2150</v>
      </c>
      <c r="M11" s="26"/>
      <c r="N11" s="12">
        <f t="shared" si="0"/>
        <v>743</v>
      </c>
      <c r="P11" s="20">
        <f t="shared" si="1"/>
        <v>692.16055555555567</v>
      </c>
      <c r="Q11" s="29">
        <f t="shared" si="2"/>
        <v>0.33763929539295401</v>
      </c>
      <c r="R11" s="32">
        <f t="shared" si="3"/>
        <v>1827.5</v>
      </c>
      <c r="S11" s="33">
        <f t="shared" si="4"/>
        <v>222.5</v>
      </c>
      <c r="T11" s="35">
        <f t="shared" si="5"/>
        <v>469.66055555555567</v>
      </c>
      <c r="U11" s="29">
        <f t="shared" si="6"/>
        <v>0.21844677002583984</v>
      </c>
    </row>
    <row r="12" spans="1:22" x14ac:dyDescent="0.25">
      <c r="A12" s="73">
        <v>245</v>
      </c>
      <c r="B12" s="74" t="s">
        <v>130</v>
      </c>
      <c r="C12" s="75">
        <v>0.21</v>
      </c>
      <c r="D12" s="48">
        <f>+C12*($D$31+$L$31)</f>
        <v>451.5</v>
      </c>
      <c r="E12" s="128"/>
      <c r="F12" s="48">
        <v>0</v>
      </c>
      <c r="G12" s="48">
        <v>0</v>
      </c>
      <c r="H12" s="48">
        <v>0</v>
      </c>
      <c r="I12" s="48">
        <f t="shared" si="8"/>
        <v>25.5</v>
      </c>
      <c r="J12" s="59">
        <f t="shared" si="9"/>
        <v>477</v>
      </c>
      <c r="K12" s="20">
        <f t="shared" si="10"/>
        <v>720</v>
      </c>
      <c r="L12" s="21">
        <f t="shared" si="11"/>
        <v>760</v>
      </c>
      <c r="M12" s="26"/>
      <c r="N12" s="12">
        <f>A12</f>
        <v>245</v>
      </c>
      <c r="P12" s="20">
        <f>K12-J12</f>
        <v>243</v>
      </c>
      <c r="Q12" s="29">
        <f>P12/K12</f>
        <v>0.33750000000000002</v>
      </c>
      <c r="R12" s="32">
        <f>L12*0.85</f>
        <v>646</v>
      </c>
      <c r="S12" s="33">
        <f>K12-R12</f>
        <v>74</v>
      </c>
      <c r="T12" s="35">
        <f>R12-J12</f>
        <v>169</v>
      </c>
      <c r="U12" s="29">
        <f>T12/L12</f>
        <v>0.22236842105263158</v>
      </c>
    </row>
    <row r="13" spans="1:22" x14ac:dyDescent="0.25">
      <c r="A13" s="73">
        <v>800</v>
      </c>
      <c r="B13" s="74" t="s">
        <v>139</v>
      </c>
      <c r="C13" s="75">
        <v>0.33</v>
      </c>
      <c r="D13" s="48">
        <f>+C13*($C$30+$L$31)</f>
        <v>439.59300000000002</v>
      </c>
      <c r="E13" s="128"/>
      <c r="F13" s="48">
        <v>120</v>
      </c>
      <c r="G13" s="48">
        <f>+$J$32</f>
        <v>193.44444444444446</v>
      </c>
      <c r="H13" s="48">
        <v>0</v>
      </c>
      <c r="I13" s="48">
        <f t="shared" si="8"/>
        <v>25.5</v>
      </c>
      <c r="J13" s="59">
        <f t="shared" si="9"/>
        <v>778.53744444444442</v>
      </c>
      <c r="K13" s="20">
        <f t="shared" si="10"/>
        <v>1180</v>
      </c>
      <c r="L13" s="21">
        <f t="shared" si="11"/>
        <v>1240</v>
      </c>
      <c r="M13" s="26"/>
      <c r="N13" s="12">
        <f t="shared" ref="N13:N25" si="13">A13</f>
        <v>800</v>
      </c>
      <c r="P13" s="20">
        <f t="shared" ref="P13:P25" si="14">K13-J13</f>
        <v>401.46255555555558</v>
      </c>
      <c r="Q13" s="29">
        <f t="shared" ref="Q13:Q25" si="15">P13/K13</f>
        <v>0.34022250470809795</v>
      </c>
      <c r="R13" s="32">
        <f t="shared" ref="R13:R25" si="16">L13*0.85</f>
        <v>1054</v>
      </c>
      <c r="S13" s="33">
        <f t="shared" ref="S13:S25" si="17">K13-R13</f>
        <v>126</v>
      </c>
      <c r="T13" s="35">
        <f t="shared" ref="T13:T25" si="18">R13-J13</f>
        <v>275.46255555555558</v>
      </c>
      <c r="U13" s="29">
        <f t="shared" ref="U13:U25" si="19">T13/L13</f>
        <v>0.22214722222222225</v>
      </c>
    </row>
    <row r="14" spans="1:22" x14ac:dyDescent="0.25">
      <c r="A14" s="73">
        <v>801</v>
      </c>
      <c r="B14" s="74" t="s">
        <v>53</v>
      </c>
      <c r="C14" s="75">
        <v>0.4</v>
      </c>
      <c r="D14" s="48">
        <f>+C14*($C$30+$L$31)</f>
        <v>532.84</v>
      </c>
      <c r="E14" s="128"/>
      <c r="F14" s="48">
        <v>200</v>
      </c>
      <c r="G14" s="48">
        <f t="shared" ref="G14" si="20">+$J$32</f>
        <v>193.44444444444446</v>
      </c>
      <c r="H14" s="48">
        <v>0</v>
      </c>
      <c r="I14" s="48">
        <f t="shared" si="8"/>
        <v>25.5</v>
      </c>
      <c r="J14" s="59">
        <f t="shared" si="9"/>
        <v>951.78444444444449</v>
      </c>
      <c r="K14" s="20">
        <f t="shared" si="10"/>
        <v>1440</v>
      </c>
      <c r="L14" s="21">
        <f t="shared" si="11"/>
        <v>1510</v>
      </c>
      <c r="M14" s="26"/>
      <c r="N14" s="12">
        <f t="shared" si="13"/>
        <v>801</v>
      </c>
      <c r="P14" s="20">
        <f t="shared" si="14"/>
        <v>488.21555555555551</v>
      </c>
      <c r="Q14" s="29">
        <f t="shared" si="15"/>
        <v>0.33903858024691352</v>
      </c>
      <c r="R14" s="32">
        <f t="shared" si="16"/>
        <v>1283.5</v>
      </c>
      <c r="S14" s="33">
        <f t="shared" si="17"/>
        <v>156.5</v>
      </c>
      <c r="T14" s="35">
        <f t="shared" si="18"/>
        <v>331.71555555555551</v>
      </c>
      <c r="U14" s="29">
        <f t="shared" si="19"/>
        <v>0.21967917586460631</v>
      </c>
    </row>
    <row r="15" spans="1:22" x14ac:dyDescent="0.25">
      <c r="A15" s="73">
        <v>806</v>
      </c>
      <c r="B15" s="74" t="s">
        <v>54</v>
      </c>
      <c r="C15" s="75">
        <v>0.25</v>
      </c>
      <c r="D15" s="48">
        <f>+C15*($C$30+$L$31)</f>
        <v>333.02499999999998</v>
      </c>
      <c r="E15" s="128"/>
      <c r="F15" s="48">
        <v>150</v>
      </c>
      <c r="G15" s="48">
        <f>+H29+H30+H31+J28+J29+J30</f>
        <v>174.44444444444446</v>
      </c>
      <c r="H15" s="48">
        <v>0</v>
      </c>
      <c r="I15" s="48">
        <f t="shared" si="8"/>
        <v>25.5</v>
      </c>
      <c r="J15" s="59">
        <f t="shared" si="9"/>
        <v>682.96944444444443</v>
      </c>
      <c r="K15" s="20">
        <f t="shared" si="10"/>
        <v>1030</v>
      </c>
      <c r="L15" s="21">
        <f t="shared" si="11"/>
        <v>1080</v>
      </c>
      <c r="M15" s="26"/>
      <c r="N15" s="12">
        <f t="shared" si="13"/>
        <v>806</v>
      </c>
      <c r="P15" s="20">
        <f t="shared" si="14"/>
        <v>347.03055555555557</v>
      </c>
      <c r="Q15" s="29">
        <f t="shared" si="15"/>
        <v>0.33692286947141314</v>
      </c>
      <c r="R15" s="32">
        <f t="shared" si="16"/>
        <v>918</v>
      </c>
      <c r="S15" s="33">
        <f t="shared" si="17"/>
        <v>112</v>
      </c>
      <c r="T15" s="35">
        <f t="shared" si="18"/>
        <v>235.03055555555557</v>
      </c>
      <c r="U15" s="29">
        <f t="shared" si="19"/>
        <v>0.21762088477366257</v>
      </c>
    </row>
    <row r="16" spans="1:22" x14ac:dyDescent="0.25">
      <c r="A16" s="76">
        <v>762</v>
      </c>
      <c r="B16" s="77" t="s">
        <v>244</v>
      </c>
      <c r="C16" s="78">
        <v>0.25</v>
      </c>
      <c r="D16" s="63">
        <f>+C16*($C$29+$L$31)</f>
        <v>415.77499999999998</v>
      </c>
      <c r="E16" s="128"/>
      <c r="F16" s="48">
        <v>200</v>
      </c>
      <c r="G16" s="63">
        <v>100</v>
      </c>
      <c r="H16" s="63">
        <v>0</v>
      </c>
      <c r="I16" s="48">
        <f t="shared" si="8"/>
        <v>25.5</v>
      </c>
      <c r="J16" s="59">
        <f t="shared" si="9"/>
        <v>741.27499999999998</v>
      </c>
      <c r="K16" s="20">
        <f t="shared" si="10"/>
        <v>1120</v>
      </c>
      <c r="L16" s="21">
        <f t="shared" si="11"/>
        <v>1180</v>
      </c>
      <c r="M16" s="26"/>
      <c r="N16" s="12">
        <f t="shared" ref="N16:N17" si="21">A16</f>
        <v>762</v>
      </c>
      <c r="P16" s="20">
        <f t="shared" ref="P16:P17" si="22">K16-J16</f>
        <v>378.72500000000002</v>
      </c>
      <c r="Q16" s="29">
        <f t="shared" ref="Q16:Q17" si="23">P16/K16</f>
        <v>0.33814732142857146</v>
      </c>
      <c r="R16" s="32">
        <f t="shared" ref="R16:R17" si="24">L16*0.85</f>
        <v>1003</v>
      </c>
      <c r="S16" s="33">
        <f t="shared" ref="S16:S17" si="25">K16-R16</f>
        <v>117</v>
      </c>
      <c r="T16" s="35">
        <f t="shared" ref="T16:T17" si="26">R16-J16</f>
        <v>261.72500000000002</v>
      </c>
      <c r="U16" s="29">
        <f t="shared" ref="U16:U17" si="27">T16/L16</f>
        <v>0.22180084745762713</v>
      </c>
    </row>
    <row r="17" spans="1:21" x14ac:dyDescent="0.25">
      <c r="A17" s="73">
        <v>763</v>
      </c>
      <c r="B17" s="74" t="s">
        <v>138</v>
      </c>
      <c r="C17" s="75">
        <v>0.32</v>
      </c>
      <c r="D17" s="48">
        <f>+C17*($C$29+$L$31)</f>
        <v>532.19200000000001</v>
      </c>
      <c r="E17" s="128">
        <v>40</v>
      </c>
      <c r="F17" s="48">
        <f>+E17*C26</f>
        <v>240</v>
      </c>
      <c r="G17" s="48">
        <f>+J31</f>
        <v>213.44444444444446</v>
      </c>
      <c r="H17" s="48">
        <v>0</v>
      </c>
      <c r="I17" s="48">
        <f t="shared" si="8"/>
        <v>25.5</v>
      </c>
      <c r="J17" s="59">
        <f>SUM(F17:I17)+D17</f>
        <v>1011.1364444444445</v>
      </c>
      <c r="K17" s="20">
        <f t="shared" si="10"/>
        <v>1530</v>
      </c>
      <c r="L17" s="21">
        <f t="shared" si="11"/>
        <v>1610</v>
      </c>
      <c r="M17" s="26"/>
      <c r="N17" s="12">
        <f t="shared" si="21"/>
        <v>763</v>
      </c>
      <c r="P17" s="20">
        <f t="shared" si="22"/>
        <v>518.86355555555554</v>
      </c>
      <c r="Q17" s="29">
        <f t="shared" si="23"/>
        <v>0.33912650689905588</v>
      </c>
      <c r="R17" s="32">
        <f t="shared" si="24"/>
        <v>1368.5</v>
      </c>
      <c r="S17" s="33">
        <f t="shared" si="25"/>
        <v>161.5</v>
      </c>
      <c r="T17" s="35">
        <f t="shared" si="26"/>
        <v>357.36355555555554</v>
      </c>
      <c r="U17" s="29">
        <f t="shared" si="27"/>
        <v>0.22196494133885436</v>
      </c>
    </row>
    <row r="18" spans="1:21" x14ac:dyDescent="0.25">
      <c r="A18" s="73">
        <v>723</v>
      </c>
      <c r="B18" s="74" t="s">
        <v>36</v>
      </c>
      <c r="C18" s="75">
        <v>0.33</v>
      </c>
      <c r="D18" s="48">
        <f>+C18*($C$27+$L$31)</f>
        <v>534.6</v>
      </c>
      <c r="E18" s="128"/>
      <c r="F18" s="48">
        <v>230</v>
      </c>
      <c r="G18" s="48">
        <f>+J31</f>
        <v>213.44444444444446</v>
      </c>
      <c r="H18" s="48">
        <v>0</v>
      </c>
      <c r="I18" s="48">
        <f t="shared" si="8"/>
        <v>25.5</v>
      </c>
      <c r="J18" s="59">
        <f t="shared" si="9"/>
        <v>1003.5444444444445</v>
      </c>
      <c r="K18" s="20">
        <f>MROUND(J18*$K$1,10)</f>
        <v>1520</v>
      </c>
      <c r="L18" s="21">
        <f>MROUND(K18*$L$1,10)</f>
        <v>1600</v>
      </c>
      <c r="M18" s="26"/>
      <c r="N18" s="12">
        <f t="shared" si="13"/>
        <v>723</v>
      </c>
      <c r="P18" s="20">
        <f t="shared" ref="P18" si="28">K18-J18</f>
        <v>516.45555555555552</v>
      </c>
      <c r="Q18" s="29">
        <f t="shared" ref="Q18" si="29">P18/K18</f>
        <v>0.33977339181286548</v>
      </c>
      <c r="R18" s="32">
        <f t="shared" ref="R18" si="30">L18*0.85</f>
        <v>1360</v>
      </c>
      <c r="S18" s="33">
        <f t="shared" ref="S18" si="31">K18-R18</f>
        <v>160</v>
      </c>
      <c r="T18" s="35">
        <f t="shared" ref="T18" si="32">R18-J18</f>
        <v>356.45555555555552</v>
      </c>
      <c r="U18" s="29">
        <f t="shared" ref="U18" si="33">T18/L18</f>
        <v>0.2227847222222222</v>
      </c>
    </row>
    <row r="19" spans="1:21" x14ac:dyDescent="0.25">
      <c r="A19" s="76">
        <v>541</v>
      </c>
      <c r="B19" s="77" t="s">
        <v>134</v>
      </c>
      <c r="C19" s="78">
        <v>0.5</v>
      </c>
      <c r="D19" s="48">
        <f>+C19*($C$28+$L$31)</f>
        <v>890</v>
      </c>
      <c r="E19" s="128">
        <v>40</v>
      </c>
      <c r="F19" s="48">
        <f>+E19*$C$26</f>
        <v>240</v>
      </c>
      <c r="G19" s="48">
        <f t="shared" ref="G19" si="34">+$J$31</f>
        <v>213.44444444444446</v>
      </c>
      <c r="H19" s="48">
        <f>+$F$31</f>
        <v>148.85</v>
      </c>
      <c r="I19" s="48">
        <f t="shared" si="8"/>
        <v>25.5</v>
      </c>
      <c r="J19" s="59">
        <f>SUM(F19:I19)+D19</f>
        <v>1517.7944444444445</v>
      </c>
      <c r="K19" s="20">
        <f t="shared" ref="K19:K23" si="35">MROUND(J19*$K$1,10)</f>
        <v>2290</v>
      </c>
      <c r="L19" s="21">
        <f t="shared" ref="L19:L23" si="36">MROUND(K19*$L$1,10)</f>
        <v>2400</v>
      </c>
      <c r="M19" s="26"/>
      <c r="N19" s="12">
        <f t="shared" ref="N19:N23" si="37">A19</f>
        <v>541</v>
      </c>
      <c r="P19" s="20">
        <f t="shared" ref="P19:P23" si="38">K19-J19</f>
        <v>772.20555555555552</v>
      </c>
      <c r="Q19" s="29">
        <f t="shared" ref="Q19:Q23" si="39">P19/K19</f>
        <v>0.3372076661814653</v>
      </c>
      <c r="R19" s="32">
        <f t="shared" ref="R19:R23" si="40">L19*0.85</f>
        <v>2040</v>
      </c>
      <c r="S19" s="33">
        <f t="shared" ref="S19:S23" si="41">K19-R19</f>
        <v>250</v>
      </c>
      <c r="T19" s="35">
        <f t="shared" ref="T19:T23" si="42">R19-J19</f>
        <v>522.20555555555552</v>
      </c>
      <c r="U19" s="29">
        <f t="shared" ref="U19:U23" si="43">T19/L19</f>
        <v>0.21758564814814813</v>
      </c>
    </row>
    <row r="20" spans="1:21" x14ac:dyDescent="0.25">
      <c r="A20" s="82"/>
      <c r="B20" s="83" t="s">
        <v>140</v>
      </c>
      <c r="C20" s="84"/>
      <c r="D20" s="63"/>
      <c r="E20" s="128"/>
      <c r="F20" s="48">
        <v>0</v>
      </c>
      <c r="G20" s="63"/>
      <c r="H20" s="48"/>
      <c r="I20" s="48">
        <f t="shared" si="8"/>
        <v>25.5</v>
      </c>
      <c r="J20" s="59">
        <f t="shared" si="9"/>
        <v>25.5</v>
      </c>
      <c r="K20" s="20">
        <f t="shared" si="35"/>
        <v>40</v>
      </c>
      <c r="L20" s="21">
        <f t="shared" si="36"/>
        <v>40</v>
      </c>
      <c r="M20" s="26"/>
      <c r="N20" s="12">
        <f t="shared" si="37"/>
        <v>0</v>
      </c>
      <c r="P20" s="20">
        <f t="shared" si="38"/>
        <v>14.5</v>
      </c>
      <c r="Q20" s="29">
        <f t="shared" si="39"/>
        <v>0.36249999999999999</v>
      </c>
      <c r="R20" s="32">
        <f t="shared" si="40"/>
        <v>34</v>
      </c>
      <c r="S20" s="33">
        <f t="shared" si="41"/>
        <v>6</v>
      </c>
      <c r="T20" s="35">
        <f t="shared" si="42"/>
        <v>8.5</v>
      </c>
      <c r="U20" s="29">
        <f t="shared" si="43"/>
        <v>0.21249999999999999</v>
      </c>
    </row>
    <row r="21" spans="1:21" x14ac:dyDescent="0.25">
      <c r="A21" s="82"/>
      <c r="B21" s="83" t="s">
        <v>141</v>
      </c>
      <c r="C21" s="84"/>
      <c r="D21" s="63"/>
      <c r="E21" s="128"/>
      <c r="F21" s="48">
        <v>0</v>
      </c>
      <c r="G21" s="63"/>
      <c r="H21" s="63"/>
      <c r="I21" s="48">
        <f>+$L$30</f>
        <v>25.5</v>
      </c>
      <c r="J21" s="59">
        <f t="shared" si="9"/>
        <v>25.5</v>
      </c>
      <c r="K21" s="20">
        <f t="shared" si="35"/>
        <v>40</v>
      </c>
      <c r="L21" s="21">
        <f t="shared" si="36"/>
        <v>40</v>
      </c>
      <c r="M21" s="26"/>
      <c r="N21" s="12">
        <f t="shared" si="37"/>
        <v>0</v>
      </c>
      <c r="P21" s="20">
        <f t="shared" si="38"/>
        <v>14.5</v>
      </c>
      <c r="Q21" s="29">
        <f t="shared" si="39"/>
        <v>0.36249999999999999</v>
      </c>
      <c r="R21" s="32">
        <f t="shared" si="40"/>
        <v>34</v>
      </c>
      <c r="S21" s="33">
        <f t="shared" si="41"/>
        <v>6</v>
      </c>
      <c r="T21" s="35">
        <f t="shared" si="42"/>
        <v>8.5</v>
      </c>
      <c r="U21" s="29">
        <f t="shared" si="43"/>
        <v>0.21249999999999999</v>
      </c>
    </row>
    <row r="22" spans="1:21" x14ac:dyDescent="0.25">
      <c r="A22" s="82"/>
      <c r="B22" s="83" t="s">
        <v>143</v>
      </c>
      <c r="C22" s="84">
        <v>0.3</v>
      </c>
      <c r="D22" s="63"/>
      <c r="E22" s="128"/>
      <c r="F22" s="48">
        <v>0</v>
      </c>
      <c r="G22" s="63"/>
      <c r="H22" s="63"/>
      <c r="I22" s="48">
        <f t="shared" si="8"/>
        <v>25.5</v>
      </c>
      <c r="J22" s="59">
        <f t="shared" si="9"/>
        <v>25.5</v>
      </c>
      <c r="K22" s="20">
        <f t="shared" si="35"/>
        <v>40</v>
      </c>
      <c r="L22" s="21">
        <f t="shared" si="36"/>
        <v>40</v>
      </c>
      <c r="M22" s="26"/>
      <c r="N22" s="12">
        <f t="shared" si="37"/>
        <v>0</v>
      </c>
      <c r="P22" s="20">
        <f t="shared" si="38"/>
        <v>14.5</v>
      </c>
      <c r="Q22" s="29">
        <f t="shared" si="39"/>
        <v>0.36249999999999999</v>
      </c>
      <c r="R22" s="32">
        <f t="shared" si="40"/>
        <v>34</v>
      </c>
      <c r="S22" s="33">
        <f t="shared" si="41"/>
        <v>6</v>
      </c>
      <c r="T22" s="35">
        <f t="shared" si="42"/>
        <v>8.5</v>
      </c>
      <c r="U22" s="29">
        <f t="shared" si="43"/>
        <v>0.21249999999999999</v>
      </c>
    </row>
    <row r="23" spans="1:21" x14ac:dyDescent="0.25">
      <c r="A23" s="82"/>
      <c r="B23" s="83" t="s">
        <v>36</v>
      </c>
      <c r="C23" s="84"/>
      <c r="D23" s="63"/>
      <c r="E23" s="128"/>
      <c r="F23" s="48">
        <v>0</v>
      </c>
      <c r="G23" s="63"/>
      <c r="H23" s="63"/>
      <c r="I23" s="48">
        <f t="shared" si="8"/>
        <v>25.5</v>
      </c>
      <c r="J23" s="59">
        <f t="shared" si="9"/>
        <v>25.5</v>
      </c>
      <c r="K23" s="20">
        <f t="shared" si="35"/>
        <v>40</v>
      </c>
      <c r="L23" s="21">
        <f t="shared" si="36"/>
        <v>40</v>
      </c>
      <c r="M23" s="26"/>
      <c r="N23" s="12">
        <f t="shared" si="37"/>
        <v>0</v>
      </c>
      <c r="P23" s="20">
        <f t="shared" si="38"/>
        <v>14.5</v>
      </c>
      <c r="Q23" s="29">
        <f t="shared" si="39"/>
        <v>0.36249999999999999</v>
      </c>
      <c r="R23" s="32">
        <f t="shared" si="40"/>
        <v>34</v>
      </c>
      <c r="S23" s="33">
        <f t="shared" si="41"/>
        <v>6</v>
      </c>
      <c r="T23" s="35">
        <f t="shared" si="42"/>
        <v>8.5</v>
      </c>
      <c r="U23" s="29">
        <f t="shared" si="43"/>
        <v>0.21249999999999999</v>
      </c>
    </row>
    <row r="24" spans="1:21" x14ac:dyDescent="0.25">
      <c r="A24" s="82"/>
      <c r="B24" s="83" t="s">
        <v>142</v>
      </c>
      <c r="C24" s="84"/>
      <c r="D24" s="63"/>
      <c r="E24" s="128"/>
      <c r="F24" s="48">
        <v>0</v>
      </c>
      <c r="G24" s="63"/>
      <c r="H24" s="63"/>
      <c r="I24" s="48">
        <f t="shared" si="8"/>
        <v>25.5</v>
      </c>
      <c r="J24" s="59">
        <f t="shared" si="9"/>
        <v>25.5</v>
      </c>
      <c r="K24" s="64"/>
      <c r="L24" s="65"/>
      <c r="M24" s="56"/>
      <c r="N24" s="62"/>
      <c r="P24" s="64"/>
      <c r="Q24" s="81"/>
      <c r="R24" s="32"/>
      <c r="S24" s="37"/>
      <c r="T24" s="68"/>
      <c r="U24" s="81"/>
    </row>
    <row r="25" spans="1:21" x14ac:dyDescent="0.25">
      <c r="A25" s="76">
        <v>725</v>
      </c>
      <c r="B25" s="83" t="s">
        <v>144</v>
      </c>
      <c r="C25" s="78">
        <v>0.39</v>
      </c>
      <c r="D25" s="48">
        <f>+C25*($C$29+$L$31)</f>
        <v>648.60900000000004</v>
      </c>
      <c r="E25" s="128"/>
      <c r="F25" s="48">
        <v>200</v>
      </c>
      <c r="G25" s="48">
        <f t="shared" ref="G25" si="44">+$J$31</f>
        <v>213.44444444444446</v>
      </c>
      <c r="H25" s="48">
        <f>+$F$31</f>
        <v>148.85</v>
      </c>
      <c r="I25" s="48">
        <f t="shared" si="8"/>
        <v>25.5</v>
      </c>
      <c r="J25" s="59">
        <f t="shared" si="9"/>
        <v>1236.4034444444446</v>
      </c>
      <c r="K25" s="64">
        <f t="shared" si="10"/>
        <v>1870</v>
      </c>
      <c r="L25" s="65">
        <f t="shared" si="11"/>
        <v>1960</v>
      </c>
      <c r="N25" s="62">
        <f t="shared" si="13"/>
        <v>725</v>
      </c>
      <c r="P25" s="64">
        <f t="shared" si="14"/>
        <v>633.59655555555537</v>
      </c>
      <c r="Q25" s="69">
        <f t="shared" si="15"/>
        <v>0.33882168746286384</v>
      </c>
      <c r="R25" s="66">
        <f t="shared" si="16"/>
        <v>1666</v>
      </c>
      <c r="S25" s="67">
        <f t="shared" si="17"/>
        <v>204</v>
      </c>
      <c r="T25" s="68">
        <f t="shared" si="18"/>
        <v>429.59655555555537</v>
      </c>
      <c r="U25" s="69">
        <f t="shared" si="19"/>
        <v>0.21918191609977314</v>
      </c>
    </row>
    <row r="26" spans="1:21" x14ac:dyDescent="0.25">
      <c r="A26" s="39"/>
      <c r="B26" s="122" t="s">
        <v>215</v>
      </c>
      <c r="C26" s="63">
        <v>6</v>
      </c>
      <c r="D26" s="63"/>
      <c r="E26" s="124" t="s">
        <v>231</v>
      </c>
      <c r="F26" s="111">
        <v>27.5</v>
      </c>
      <c r="G26" s="126" t="s">
        <v>222</v>
      </c>
      <c r="H26" s="63">
        <v>30</v>
      </c>
      <c r="I26" s="111" t="s">
        <v>155</v>
      </c>
      <c r="J26" s="48">
        <v>19</v>
      </c>
      <c r="K26" s="116" t="s">
        <v>235</v>
      </c>
      <c r="L26" s="117">
        <v>10</v>
      </c>
      <c r="M26" s="118"/>
      <c r="N26" s="119"/>
      <c r="O26" s="118"/>
      <c r="P26" s="120"/>
      <c r="Q26" s="112"/>
      <c r="R26" s="121"/>
      <c r="S26" s="113"/>
      <c r="T26" s="114"/>
      <c r="U26" s="112"/>
    </row>
    <row r="27" spans="1:21" x14ac:dyDescent="0.25">
      <c r="A27" s="143">
        <v>44348</v>
      </c>
      <c r="B27" s="122" t="s">
        <v>266</v>
      </c>
      <c r="C27" s="142">
        <v>1600</v>
      </c>
      <c r="D27" s="63"/>
      <c r="E27" s="155"/>
      <c r="F27" s="111"/>
      <c r="G27" s="126"/>
      <c r="H27" s="63"/>
      <c r="I27" s="111"/>
      <c r="J27" s="48"/>
      <c r="K27" s="116"/>
      <c r="L27" s="117"/>
      <c r="M27" s="118"/>
      <c r="N27" s="119"/>
      <c r="O27" s="118"/>
      <c r="P27" s="120"/>
      <c r="Q27" s="112"/>
      <c r="R27" s="121"/>
      <c r="S27" s="113"/>
      <c r="T27" s="114"/>
      <c r="U27" s="112"/>
    </row>
    <row r="28" spans="1:21" x14ac:dyDescent="0.25">
      <c r="A28" s="143">
        <v>44470</v>
      </c>
      <c r="B28" s="122" t="s">
        <v>216</v>
      </c>
      <c r="C28" s="142">
        <v>1760</v>
      </c>
      <c r="D28" s="63"/>
      <c r="E28" s="115" t="s">
        <v>221</v>
      </c>
      <c r="F28" s="111">
        <v>56.35</v>
      </c>
      <c r="G28" s="126" t="s">
        <v>223</v>
      </c>
      <c r="H28" s="79">
        <f>+H26+F32+F26+F30</f>
        <v>110.5</v>
      </c>
      <c r="I28" s="111" t="s">
        <v>233</v>
      </c>
      <c r="J28" s="48">
        <f>+R36</f>
        <v>22.222222222222221</v>
      </c>
      <c r="K28" s="116" t="s">
        <v>234</v>
      </c>
      <c r="L28" s="117">
        <v>5.5</v>
      </c>
      <c r="M28" s="118"/>
      <c r="N28" s="119"/>
      <c r="O28" s="118"/>
      <c r="P28" s="120"/>
      <c r="Q28" s="112"/>
      <c r="R28" s="121"/>
      <c r="S28" s="113"/>
      <c r="T28" s="114"/>
      <c r="U28" s="112"/>
    </row>
    <row r="29" spans="1:21" x14ac:dyDescent="0.25">
      <c r="A29" s="143">
        <v>44317</v>
      </c>
      <c r="B29" s="122" t="s">
        <v>217</v>
      </c>
      <c r="C29" s="144">
        <f>1110*1.21+300</f>
        <v>1643.1</v>
      </c>
      <c r="D29" s="63"/>
      <c r="E29" s="115" t="s">
        <v>222</v>
      </c>
      <c r="F29" s="111">
        <v>50</v>
      </c>
      <c r="G29" s="126" t="s">
        <v>225</v>
      </c>
      <c r="H29" s="63">
        <v>80</v>
      </c>
      <c r="I29" s="111" t="s">
        <v>236</v>
      </c>
      <c r="J29" s="48">
        <f>+R36</f>
        <v>22.222222222222221</v>
      </c>
      <c r="K29" s="116" t="s">
        <v>243</v>
      </c>
      <c r="L29" s="117">
        <v>10</v>
      </c>
      <c r="M29" s="118"/>
      <c r="N29" s="119"/>
      <c r="O29" s="118"/>
      <c r="P29" s="120"/>
      <c r="Q29" s="112"/>
      <c r="R29" s="121"/>
      <c r="S29" s="113"/>
      <c r="T29" s="114"/>
      <c r="U29" s="112"/>
    </row>
    <row r="30" spans="1:21" x14ac:dyDescent="0.25">
      <c r="A30" s="143">
        <v>44348</v>
      </c>
      <c r="B30" s="122" t="s">
        <v>218</v>
      </c>
      <c r="C30" s="142">
        <v>1312.1</v>
      </c>
      <c r="D30" s="63"/>
      <c r="E30" s="115" t="s">
        <v>232</v>
      </c>
      <c r="F30" s="111">
        <v>15</v>
      </c>
      <c r="G30" s="126" t="s">
        <v>226</v>
      </c>
      <c r="H30" s="63">
        <v>20</v>
      </c>
      <c r="I30" s="111" t="s">
        <v>237</v>
      </c>
      <c r="J30" s="48">
        <v>10</v>
      </c>
      <c r="K30" s="116" t="s">
        <v>238</v>
      </c>
      <c r="L30" s="129">
        <f>+L29+L28+L26</f>
        <v>25.5</v>
      </c>
      <c r="M30" s="118"/>
      <c r="N30" s="119"/>
      <c r="O30" s="118"/>
      <c r="P30" s="120"/>
      <c r="Q30" s="112"/>
      <c r="R30" s="121"/>
      <c r="S30" s="113"/>
      <c r="T30" s="114"/>
      <c r="U30" s="112"/>
    </row>
    <row r="31" spans="1:21" x14ac:dyDescent="0.25">
      <c r="A31" s="39"/>
      <c r="B31" s="115" t="s">
        <v>219</v>
      </c>
      <c r="C31" s="123">
        <v>16</v>
      </c>
      <c r="D31" s="79">
        <f>MROUND(ROUNDUP(C31*C32*1.21,2),10)</f>
        <v>2130</v>
      </c>
      <c r="E31" s="115" t="s">
        <v>223</v>
      </c>
      <c r="F31" s="127">
        <f>+SUM(F26:F30)</f>
        <v>148.85</v>
      </c>
      <c r="G31" s="115" t="s">
        <v>227</v>
      </c>
      <c r="H31" s="111">
        <v>20</v>
      </c>
      <c r="I31" s="111" t="s">
        <v>229</v>
      </c>
      <c r="J31" s="59">
        <f>+H29+H30+H32+J26+J28+J29+J30</f>
        <v>213.44444444444446</v>
      </c>
      <c r="K31" s="116" t="s">
        <v>245</v>
      </c>
      <c r="L31" s="117">
        <v>20</v>
      </c>
      <c r="M31" s="118"/>
      <c r="N31" s="119"/>
      <c r="O31" s="118"/>
      <c r="P31" s="120"/>
      <c r="Q31" s="112"/>
      <c r="R31" s="121"/>
      <c r="S31" s="113"/>
      <c r="T31" s="114"/>
      <c r="U31" s="112"/>
    </row>
    <row r="32" spans="1:21" x14ac:dyDescent="0.25">
      <c r="A32" s="39"/>
      <c r="B32" s="115" t="s">
        <v>220</v>
      </c>
      <c r="C32" s="111">
        <v>110</v>
      </c>
      <c r="D32" s="63"/>
      <c r="E32" s="125" t="s">
        <v>224</v>
      </c>
      <c r="F32" s="63">
        <v>38</v>
      </c>
      <c r="G32" s="115" t="s">
        <v>228</v>
      </c>
      <c r="H32" s="111">
        <f>+H31*2</f>
        <v>40</v>
      </c>
      <c r="I32" s="111" t="s">
        <v>230</v>
      </c>
      <c r="J32" s="59">
        <f>+H29+H30+H31+J26+J28+J29+J30</f>
        <v>193.44444444444446</v>
      </c>
      <c r="K32" s="116"/>
      <c r="L32" s="117"/>
      <c r="M32" s="118"/>
      <c r="N32" s="119"/>
      <c r="O32" s="118"/>
      <c r="P32" s="120"/>
      <c r="Q32" s="112"/>
      <c r="R32" s="121"/>
      <c r="S32" s="113"/>
      <c r="T32" s="114"/>
      <c r="U32" s="112"/>
    </row>
    <row r="33" spans="1:20" x14ac:dyDescent="0.25">
      <c r="C33" s="29">
        <v>1.51</v>
      </c>
      <c r="D33" s="29">
        <v>1.04</v>
      </c>
      <c r="E33" s="110"/>
      <c r="G33" s="177" t="s">
        <v>131</v>
      </c>
      <c r="H33" s="177"/>
      <c r="J33" s="177" t="s">
        <v>132</v>
      </c>
      <c r="K33" s="177"/>
      <c r="N33" t="s">
        <v>133</v>
      </c>
      <c r="Q33" s="130" t="s">
        <v>239</v>
      </c>
      <c r="R33" s="1"/>
      <c r="S33" s="1"/>
    </row>
    <row r="34" spans="1:20" x14ac:dyDescent="0.25">
      <c r="C34" s="29"/>
      <c r="D34" s="29"/>
      <c r="E34" s="110"/>
      <c r="G34" s="80"/>
      <c r="H34" s="80"/>
      <c r="J34" s="80"/>
      <c r="K34" s="80"/>
      <c r="Q34" s="1" t="s">
        <v>240</v>
      </c>
      <c r="R34" s="1">
        <v>9</v>
      </c>
      <c r="S34" s="1" t="s">
        <v>241</v>
      </c>
    </row>
    <row r="35" spans="1:20" x14ac:dyDescent="0.25">
      <c r="A35" s="118"/>
      <c r="B35" s="118"/>
      <c r="C35" s="148"/>
      <c r="D35" s="148"/>
      <c r="E35" s="112"/>
      <c r="F35" s="118"/>
      <c r="G35" s="9"/>
      <c r="H35" s="9"/>
      <c r="I35" s="118"/>
      <c r="J35" s="9"/>
      <c r="K35" s="9"/>
      <c r="L35" s="118"/>
      <c r="Q35" s="1"/>
      <c r="R35" s="1">
        <v>200</v>
      </c>
      <c r="S35" s="1" t="s">
        <v>242</v>
      </c>
    </row>
    <row r="36" spans="1:20" ht="15.75" x14ac:dyDescent="0.25">
      <c r="A36" s="149" t="s">
        <v>2</v>
      </c>
      <c r="B36" s="150" t="s">
        <v>3</v>
      </c>
      <c r="C36" s="2" t="s">
        <v>4</v>
      </c>
      <c r="D36" s="2" t="s">
        <v>5</v>
      </c>
      <c r="E36" s="40"/>
      <c r="F36" s="118"/>
      <c r="G36" s="2" t="s">
        <v>4</v>
      </c>
      <c r="H36" s="2" t="s">
        <v>5</v>
      </c>
      <c r="I36" s="118"/>
      <c r="J36" s="2" t="s">
        <v>4</v>
      </c>
      <c r="K36" s="2" t="s">
        <v>5</v>
      </c>
      <c r="L36" s="118"/>
      <c r="Q36" s="1"/>
      <c r="R36" s="19">
        <f>+R35/R34</f>
        <v>22.222222222222221</v>
      </c>
      <c r="S36" s="1" t="s">
        <v>242</v>
      </c>
    </row>
    <row r="37" spans="1:20" x14ac:dyDescent="0.25">
      <c r="A37" s="9">
        <v>504</v>
      </c>
      <c r="B37" s="2" t="s">
        <v>19</v>
      </c>
      <c r="C37" s="48">
        <v>1430</v>
      </c>
      <c r="D37" s="48">
        <v>1500</v>
      </c>
      <c r="E37" s="111"/>
      <c r="F37" s="118"/>
      <c r="G37" s="48">
        <f t="shared" ref="G37:G49" si="45">VLOOKUP(A37,Precios,10,FALSE)</f>
        <v>1430</v>
      </c>
      <c r="H37" s="48">
        <f t="shared" ref="H37:H49" si="46">VLOOKUP(A37,Precios,11,FALSE)</f>
        <v>1490</v>
      </c>
      <c r="I37" s="118"/>
      <c r="J37" s="151">
        <f t="shared" ref="J37:J51" si="47">(C37/G37)-1</f>
        <v>0</v>
      </c>
      <c r="K37" s="151">
        <f t="shared" ref="K37:K51" si="48">(D37/H37)-1</f>
        <v>6.7114093959732557E-3</v>
      </c>
      <c r="L37" s="118"/>
      <c r="P37" s="70"/>
    </row>
    <row r="38" spans="1:20" x14ac:dyDescent="0.25">
      <c r="A38" s="9">
        <v>517</v>
      </c>
      <c r="B38" s="2" t="s">
        <v>110</v>
      </c>
      <c r="C38" s="48">
        <v>2750</v>
      </c>
      <c r="D38" s="48">
        <v>2890</v>
      </c>
      <c r="E38" s="111"/>
      <c r="F38" s="118"/>
      <c r="G38" s="48">
        <f t="shared" si="45"/>
        <v>2750</v>
      </c>
      <c r="H38" s="48">
        <f t="shared" si="46"/>
        <v>2860</v>
      </c>
      <c r="I38" s="118"/>
      <c r="J38" s="151">
        <f t="shared" si="47"/>
        <v>0</v>
      </c>
      <c r="K38" s="151">
        <f t="shared" si="48"/>
        <v>1.0489510489510412E-2</v>
      </c>
      <c r="L38" s="118"/>
      <c r="N38" s="23">
        <f>+J29+J28+L28+L29+J30+H31</f>
        <v>89.944444444444443</v>
      </c>
      <c r="P38" s="70"/>
      <c r="Q38" s="61"/>
    </row>
    <row r="39" spans="1:20" x14ac:dyDescent="0.25">
      <c r="A39" s="9">
        <v>521</v>
      </c>
      <c r="B39" s="2" t="s">
        <v>93</v>
      </c>
      <c r="C39" s="48">
        <v>1840</v>
      </c>
      <c r="D39" s="48">
        <v>1930</v>
      </c>
      <c r="E39" s="111"/>
      <c r="F39" s="118"/>
      <c r="G39" s="48">
        <f t="shared" si="45"/>
        <v>1840</v>
      </c>
      <c r="H39" s="48">
        <f t="shared" si="46"/>
        <v>1910</v>
      </c>
      <c r="I39" s="118"/>
      <c r="J39" s="151">
        <f t="shared" si="47"/>
        <v>0</v>
      </c>
      <c r="K39" s="151">
        <f t="shared" si="48"/>
        <v>1.0471204188481575E-2</v>
      </c>
      <c r="L39" s="118"/>
      <c r="O39" s="14"/>
      <c r="P39" s="27"/>
    </row>
    <row r="40" spans="1:20" x14ac:dyDescent="0.25">
      <c r="A40" s="9">
        <v>564</v>
      </c>
      <c r="B40" s="2" t="s">
        <v>103</v>
      </c>
      <c r="C40" s="48">
        <v>1890</v>
      </c>
      <c r="D40" s="48">
        <v>1980</v>
      </c>
      <c r="E40" s="111"/>
      <c r="F40" s="118"/>
      <c r="G40" s="48">
        <f t="shared" si="45"/>
        <v>1890</v>
      </c>
      <c r="H40" s="48">
        <f t="shared" si="46"/>
        <v>1970</v>
      </c>
      <c r="I40" s="118"/>
      <c r="J40" s="151">
        <f t="shared" si="47"/>
        <v>0</v>
      </c>
      <c r="K40" s="151">
        <f t="shared" si="48"/>
        <v>5.0761421319795996E-3</v>
      </c>
      <c r="L40" s="118"/>
      <c r="P40" s="27"/>
    </row>
    <row r="41" spans="1:20" x14ac:dyDescent="0.25">
      <c r="A41" s="9">
        <v>599</v>
      </c>
      <c r="B41" s="2" t="s">
        <v>26</v>
      </c>
      <c r="C41" s="48">
        <v>1840</v>
      </c>
      <c r="D41" s="48">
        <v>1930</v>
      </c>
      <c r="E41" s="111"/>
      <c r="F41" s="118"/>
      <c r="G41" s="48">
        <f t="shared" si="45"/>
        <v>1840</v>
      </c>
      <c r="H41" s="48">
        <f t="shared" si="46"/>
        <v>1910</v>
      </c>
      <c r="I41" s="118"/>
      <c r="J41" s="151">
        <f t="shared" si="47"/>
        <v>0</v>
      </c>
      <c r="K41" s="151">
        <f t="shared" si="48"/>
        <v>1.0471204188481575E-2</v>
      </c>
      <c r="L41" s="118"/>
      <c r="P41" s="27"/>
    </row>
    <row r="42" spans="1:20" x14ac:dyDescent="0.25">
      <c r="A42" s="9">
        <v>715</v>
      </c>
      <c r="B42" s="2" t="s">
        <v>33</v>
      </c>
      <c r="C42" s="48">
        <v>1460</v>
      </c>
      <c r="D42" s="48">
        <v>1530</v>
      </c>
      <c r="E42" s="111"/>
      <c r="F42" s="118"/>
      <c r="G42" s="48">
        <f t="shared" si="45"/>
        <v>1460</v>
      </c>
      <c r="H42" s="48">
        <f t="shared" si="46"/>
        <v>1520</v>
      </c>
      <c r="I42" s="152"/>
      <c r="J42" s="151">
        <f t="shared" si="47"/>
        <v>0</v>
      </c>
      <c r="K42" s="151">
        <f t="shared" si="48"/>
        <v>6.5789473684210176E-3</v>
      </c>
      <c r="L42" s="118"/>
      <c r="P42" s="27"/>
    </row>
    <row r="43" spans="1:20" x14ac:dyDescent="0.25">
      <c r="A43" s="9">
        <v>718</v>
      </c>
      <c r="B43" s="2" t="s">
        <v>34</v>
      </c>
      <c r="C43" s="48">
        <v>1460</v>
      </c>
      <c r="D43" s="48">
        <v>1530</v>
      </c>
      <c r="E43" s="111"/>
      <c r="F43" s="118"/>
      <c r="G43" s="48">
        <f t="shared" si="45"/>
        <v>1460</v>
      </c>
      <c r="H43" s="48">
        <f t="shared" si="46"/>
        <v>1520</v>
      </c>
      <c r="I43" s="118"/>
      <c r="J43" s="151">
        <f t="shared" si="47"/>
        <v>0</v>
      </c>
      <c r="K43" s="151">
        <f t="shared" si="48"/>
        <v>6.5789473684210176E-3</v>
      </c>
      <c r="L43" s="118"/>
      <c r="P43" s="27"/>
    </row>
    <row r="44" spans="1:20" x14ac:dyDescent="0.25">
      <c r="A44" s="9">
        <v>719</v>
      </c>
      <c r="B44" s="2" t="s">
        <v>106</v>
      </c>
      <c r="C44" s="48">
        <v>1650</v>
      </c>
      <c r="D44" s="48">
        <v>1730</v>
      </c>
      <c r="E44" s="111"/>
      <c r="F44" s="118"/>
      <c r="G44" s="48">
        <f t="shared" si="45"/>
        <v>1650</v>
      </c>
      <c r="H44" s="48">
        <f t="shared" si="46"/>
        <v>1720</v>
      </c>
      <c r="I44" s="118"/>
      <c r="J44" s="151">
        <f t="shared" si="47"/>
        <v>0</v>
      </c>
      <c r="K44" s="151">
        <f t="shared" si="48"/>
        <v>5.8139534883721034E-3</v>
      </c>
      <c r="L44" s="118"/>
      <c r="P44" s="27"/>
      <c r="R44" s="1"/>
      <c r="S44" s="1"/>
      <c r="T44" s="1" t="s">
        <v>5</v>
      </c>
    </row>
    <row r="45" spans="1:20" x14ac:dyDescent="0.25">
      <c r="A45" s="9">
        <v>743</v>
      </c>
      <c r="B45" s="2" t="s">
        <v>47</v>
      </c>
      <c r="C45" s="48">
        <v>2050</v>
      </c>
      <c r="D45" s="48">
        <v>2150</v>
      </c>
      <c r="E45" s="111"/>
      <c r="F45" s="118"/>
      <c r="G45" s="48">
        <f t="shared" si="45"/>
        <v>2050</v>
      </c>
      <c r="H45" s="48">
        <f t="shared" si="46"/>
        <v>2130</v>
      </c>
      <c r="I45" s="118"/>
      <c r="J45" s="151">
        <f t="shared" si="47"/>
        <v>0</v>
      </c>
      <c r="K45" s="151">
        <f t="shared" si="48"/>
        <v>9.3896713615022609E-3</v>
      </c>
      <c r="L45" s="118"/>
      <c r="P45" s="27"/>
      <c r="Q45" s="27"/>
      <c r="R45" s="9">
        <v>504</v>
      </c>
      <c r="S45" s="2" t="s">
        <v>19</v>
      </c>
      <c r="T45" s="19">
        <v>1400</v>
      </c>
    </row>
    <row r="46" spans="1:20" x14ac:dyDescent="0.25">
      <c r="A46" s="9">
        <v>245</v>
      </c>
      <c r="B46" s="2" t="s">
        <v>130</v>
      </c>
      <c r="C46" s="48">
        <v>720</v>
      </c>
      <c r="D46" s="48">
        <v>760</v>
      </c>
      <c r="E46" s="111"/>
      <c r="F46" s="118"/>
      <c r="G46" s="48">
        <f t="shared" si="45"/>
        <v>1210</v>
      </c>
      <c r="H46" s="48">
        <f t="shared" si="46"/>
        <v>1260</v>
      </c>
      <c r="I46" s="118"/>
      <c r="J46" s="151"/>
      <c r="K46" s="151"/>
      <c r="L46" s="118"/>
      <c r="P46" s="27"/>
      <c r="R46" s="9">
        <v>517</v>
      </c>
      <c r="S46" s="2" t="s">
        <v>110</v>
      </c>
      <c r="T46" s="19">
        <v>2710</v>
      </c>
    </row>
    <row r="47" spans="1:20" s="131" customFormat="1" x14ac:dyDescent="0.25">
      <c r="A47" s="9">
        <v>800</v>
      </c>
      <c r="B47" s="2" t="s">
        <v>139</v>
      </c>
      <c r="C47" s="48">
        <v>1180</v>
      </c>
      <c r="D47" s="48">
        <v>1240</v>
      </c>
      <c r="E47" s="111"/>
      <c r="F47" s="118"/>
      <c r="G47" s="48">
        <f t="shared" si="45"/>
        <v>1180</v>
      </c>
      <c r="H47" s="48">
        <f t="shared" si="46"/>
        <v>1230</v>
      </c>
      <c r="I47" s="118"/>
      <c r="J47" s="151">
        <f t="shared" ref="J47" si="49">(C47/G47)-1</f>
        <v>0</v>
      </c>
      <c r="K47" s="151">
        <f t="shared" ref="K47" si="50">(D47/H47)-1</f>
        <v>8.1300813008129413E-3</v>
      </c>
      <c r="L47" s="118"/>
      <c r="P47" s="132"/>
      <c r="R47" s="9">
        <v>521</v>
      </c>
      <c r="S47" s="2" t="s">
        <v>93</v>
      </c>
      <c r="T47" s="154">
        <v>1820</v>
      </c>
    </row>
    <row r="48" spans="1:20" x14ac:dyDescent="0.25">
      <c r="A48" s="9">
        <v>801</v>
      </c>
      <c r="B48" s="2" t="s">
        <v>53</v>
      </c>
      <c r="C48" s="48">
        <v>1440</v>
      </c>
      <c r="D48" s="48">
        <v>1510</v>
      </c>
      <c r="E48" s="111"/>
      <c r="F48" s="118"/>
      <c r="G48" s="48">
        <f t="shared" si="45"/>
        <v>1440</v>
      </c>
      <c r="H48" s="48">
        <f t="shared" si="46"/>
        <v>1500</v>
      </c>
      <c r="I48" s="118"/>
      <c r="J48" s="151">
        <f t="shared" si="47"/>
        <v>0</v>
      </c>
      <c r="K48" s="151">
        <f t="shared" si="48"/>
        <v>6.6666666666665986E-3</v>
      </c>
      <c r="L48" s="118"/>
      <c r="P48" s="27"/>
      <c r="R48" s="9">
        <v>564</v>
      </c>
      <c r="S48" s="2" t="s">
        <v>103</v>
      </c>
      <c r="T48" s="19">
        <v>1860</v>
      </c>
    </row>
    <row r="49" spans="1:20" s="131" customFormat="1" x14ac:dyDescent="0.25">
      <c r="A49" s="9">
        <v>806</v>
      </c>
      <c r="B49" s="2" t="s">
        <v>54</v>
      </c>
      <c r="C49" s="48">
        <v>1030</v>
      </c>
      <c r="D49" s="48">
        <v>1080</v>
      </c>
      <c r="E49" s="111"/>
      <c r="F49" s="118"/>
      <c r="G49" s="48">
        <f t="shared" si="45"/>
        <v>1030</v>
      </c>
      <c r="H49" s="48">
        <f t="shared" si="46"/>
        <v>1070</v>
      </c>
      <c r="I49" s="118"/>
      <c r="J49" s="151">
        <f t="shared" si="47"/>
        <v>0</v>
      </c>
      <c r="K49" s="151">
        <f t="shared" si="48"/>
        <v>9.3457943925232545E-3</v>
      </c>
      <c r="L49" s="118"/>
      <c r="P49" s="132"/>
      <c r="R49" s="9">
        <v>599</v>
      </c>
      <c r="S49" s="2" t="s">
        <v>26</v>
      </c>
      <c r="T49" s="154">
        <v>1820</v>
      </c>
    </row>
    <row r="50" spans="1:20" x14ac:dyDescent="0.25">
      <c r="A50" s="9"/>
      <c r="B50" s="2"/>
      <c r="C50" s="48">
        <v>1120</v>
      </c>
      <c r="D50" s="48">
        <v>1180</v>
      </c>
      <c r="E50" s="111"/>
      <c r="F50" s="118"/>
      <c r="G50" s="48"/>
      <c r="H50" s="48"/>
      <c r="I50" s="118"/>
      <c r="J50" s="151"/>
      <c r="K50" s="151"/>
      <c r="L50" s="118"/>
      <c r="P50" s="27"/>
      <c r="R50" s="9">
        <v>715</v>
      </c>
      <c r="S50" s="2" t="s">
        <v>33</v>
      </c>
      <c r="T50" s="19">
        <v>1510</v>
      </c>
    </row>
    <row r="51" spans="1:20" x14ac:dyDescent="0.25">
      <c r="A51" s="9">
        <v>763</v>
      </c>
      <c r="B51" s="2" t="s">
        <v>138</v>
      </c>
      <c r="C51" s="48">
        <v>1530</v>
      </c>
      <c r="D51" s="48">
        <v>1610</v>
      </c>
      <c r="E51" s="111"/>
      <c r="F51" s="118"/>
      <c r="G51" s="48">
        <f t="shared" ref="G51:G59" si="51">VLOOKUP(A51,Precios,10,FALSE)</f>
        <v>1530</v>
      </c>
      <c r="H51" s="48">
        <f t="shared" ref="H51:H59" si="52">VLOOKUP(A51,Precios,11,FALSE)</f>
        <v>1590</v>
      </c>
      <c r="I51" s="118"/>
      <c r="J51" s="151">
        <f t="shared" si="47"/>
        <v>0</v>
      </c>
      <c r="K51" s="151">
        <f t="shared" si="48"/>
        <v>1.2578616352201255E-2</v>
      </c>
      <c r="L51" s="118"/>
      <c r="R51" s="9">
        <v>718</v>
      </c>
      <c r="S51" s="2" t="s">
        <v>34</v>
      </c>
      <c r="T51" s="19">
        <v>1510</v>
      </c>
    </row>
    <row r="52" spans="1:20" x14ac:dyDescent="0.25">
      <c r="A52" s="9">
        <v>723</v>
      </c>
      <c r="B52" s="2" t="s">
        <v>36</v>
      </c>
      <c r="C52" s="48">
        <v>1520</v>
      </c>
      <c r="D52" s="48">
        <v>1600</v>
      </c>
      <c r="E52" s="111"/>
      <c r="F52" s="118"/>
      <c r="G52" s="48">
        <f t="shared" si="51"/>
        <v>1520</v>
      </c>
      <c r="H52" s="48">
        <f t="shared" si="52"/>
        <v>1580</v>
      </c>
      <c r="I52" s="118"/>
      <c r="J52" s="151">
        <f t="shared" ref="J52" si="53">(C52/G52)-1</f>
        <v>0</v>
      </c>
      <c r="K52" s="151">
        <f t="shared" ref="K52" si="54">(D52/H52)-1</f>
        <v>1.2658227848101333E-2</v>
      </c>
      <c r="L52" s="118"/>
      <c r="R52" s="9">
        <v>719</v>
      </c>
      <c r="S52" s="2" t="s">
        <v>106</v>
      </c>
      <c r="T52" s="19">
        <v>1710</v>
      </c>
    </row>
    <row r="53" spans="1:20" x14ac:dyDescent="0.25">
      <c r="A53" s="9">
        <v>541</v>
      </c>
      <c r="B53" s="2" t="s">
        <v>134</v>
      </c>
      <c r="C53" s="48">
        <v>2290</v>
      </c>
      <c r="D53" s="48">
        <v>2400</v>
      </c>
      <c r="E53" s="111"/>
      <c r="F53" s="118"/>
      <c r="G53" s="48">
        <f t="shared" si="51"/>
        <v>2290</v>
      </c>
      <c r="H53" s="48">
        <f t="shared" si="52"/>
        <v>2380</v>
      </c>
      <c r="I53" s="118"/>
      <c r="J53" s="151">
        <f t="shared" ref="J53:J59" si="55">(C53/G53)-1</f>
        <v>0</v>
      </c>
      <c r="K53" s="151">
        <f t="shared" ref="K53:K59" si="56">(D53/H53)-1</f>
        <v>8.4033613445377853E-3</v>
      </c>
      <c r="L53" s="118"/>
      <c r="R53" s="9">
        <v>743</v>
      </c>
      <c r="S53" s="2" t="s">
        <v>47</v>
      </c>
      <c r="T53" s="19">
        <v>2130</v>
      </c>
    </row>
    <row r="54" spans="1:20" x14ac:dyDescent="0.25">
      <c r="A54" s="9"/>
      <c r="B54" s="2" t="s">
        <v>140</v>
      </c>
      <c r="C54" s="48">
        <v>40</v>
      </c>
      <c r="D54" s="48">
        <v>40</v>
      </c>
      <c r="E54" s="111"/>
      <c r="F54" s="118"/>
      <c r="G54" s="48" t="e">
        <f t="shared" si="51"/>
        <v>#N/A</v>
      </c>
      <c r="H54" s="48" t="e">
        <f t="shared" si="52"/>
        <v>#N/A</v>
      </c>
      <c r="I54" s="118"/>
      <c r="J54" s="151"/>
      <c r="K54" s="151"/>
      <c r="L54" s="118"/>
      <c r="R54" s="9"/>
      <c r="S54" s="2"/>
      <c r="T54" s="19"/>
    </row>
    <row r="55" spans="1:20" x14ac:dyDescent="0.25">
      <c r="A55" s="9"/>
      <c r="B55" s="2" t="s">
        <v>141</v>
      </c>
      <c r="C55" s="48">
        <v>40</v>
      </c>
      <c r="D55" s="48">
        <v>40</v>
      </c>
      <c r="E55" s="111"/>
      <c r="F55" s="118"/>
      <c r="G55" s="48" t="e">
        <f t="shared" si="51"/>
        <v>#N/A</v>
      </c>
      <c r="H55" s="48" t="e">
        <f t="shared" si="52"/>
        <v>#N/A</v>
      </c>
      <c r="I55" s="118"/>
      <c r="J55" s="151"/>
      <c r="K55" s="151"/>
      <c r="L55" s="118"/>
      <c r="R55" s="9">
        <v>800</v>
      </c>
      <c r="S55" s="2" t="s">
        <v>139</v>
      </c>
      <c r="T55" s="19">
        <v>1150</v>
      </c>
    </row>
    <row r="56" spans="1:20" x14ac:dyDescent="0.25">
      <c r="A56" s="9"/>
      <c r="B56" s="2" t="s">
        <v>143</v>
      </c>
      <c r="C56" s="48">
        <v>40</v>
      </c>
      <c r="D56" s="48">
        <v>40</v>
      </c>
      <c r="E56" s="111"/>
      <c r="F56" s="118"/>
      <c r="G56" s="48" t="e">
        <f t="shared" si="51"/>
        <v>#N/A</v>
      </c>
      <c r="H56" s="48" t="e">
        <f t="shared" si="52"/>
        <v>#N/A</v>
      </c>
      <c r="I56" s="118"/>
      <c r="J56" s="151"/>
      <c r="K56" s="151"/>
      <c r="L56" s="118"/>
      <c r="R56" s="9">
        <v>801</v>
      </c>
      <c r="S56" s="2" t="s">
        <v>53</v>
      </c>
      <c r="T56" s="19">
        <v>1410</v>
      </c>
    </row>
    <row r="57" spans="1:20" x14ac:dyDescent="0.25">
      <c r="A57" s="9"/>
      <c r="B57" s="2" t="s">
        <v>36</v>
      </c>
      <c r="C57" s="48">
        <v>40</v>
      </c>
      <c r="D57" s="48">
        <v>40</v>
      </c>
      <c r="E57" s="111"/>
      <c r="F57" s="118"/>
      <c r="G57" s="48" t="e">
        <f t="shared" si="51"/>
        <v>#N/A</v>
      </c>
      <c r="H57" s="48" t="e">
        <f t="shared" si="52"/>
        <v>#N/A</v>
      </c>
      <c r="I57" s="118"/>
      <c r="J57" s="151"/>
      <c r="K57" s="151"/>
      <c r="L57" s="118"/>
      <c r="R57" s="9">
        <v>806</v>
      </c>
      <c r="S57" s="2" t="s">
        <v>54</v>
      </c>
      <c r="T57" s="19">
        <v>1080</v>
      </c>
    </row>
    <row r="58" spans="1:20" x14ac:dyDescent="0.25">
      <c r="A58" s="9"/>
      <c r="B58" s="2" t="s">
        <v>142</v>
      </c>
      <c r="C58" s="48"/>
      <c r="D58" s="48"/>
      <c r="E58" s="111"/>
      <c r="F58" s="118"/>
      <c r="G58" s="48" t="e">
        <f t="shared" si="51"/>
        <v>#N/A</v>
      </c>
      <c r="H58" s="48" t="e">
        <f t="shared" si="52"/>
        <v>#N/A</v>
      </c>
      <c r="I58" s="118"/>
      <c r="J58" s="151"/>
      <c r="K58" s="151"/>
      <c r="L58" s="118"/>
      <c r="R58" s="9"/>
      <c r="S58" s="2"/>
      <c r="T58" s="19"/>
    </row>
    <row r="59" spans="1:20" x14ac:dyDescent="0.25">
      <c r="A59" s="9">
        <v>725</v>
      </c>
      <c r="B59" s="2" t="s">
        <v>144</v>
      </c>
      <c r="C59" s="48">
        <v>1870</v>
      </c>
      <c r="D59" s="48">
        <v>1960</v>
      </c>
      <c r="E59" s="111"/>
      <c r="F59" s="118"/>
      <c r="G59" s="48">
        <f t="shared" si="51"/>
        <v>1870</v>
      </c>
      <c r="H59" s="48">
        <f t="shared" si="52"/>
        <v>1940</v>
      </c>
      <c r="I59" s="118"/>
      <c r="J59" s="151">
        <f t="shared" si="55"/>
        <v>0</v>
      </c>
      <c r="K59" s="151">
        <f t="shared" si="56"/>
        <v>1.0309278350515427E-2</v>
      </c>
      <c r="L59" s="118"/>
      <c r="R59" s="9">
        <v>763</v>
      </c>
      <c r="S59" s="2" t="s">
        <v>138</v>
      </c>
      <c r="T59" s="19">
        <v>1580</v>
      </c>
    </row>
    <row r="60" spans="1:20" x14ac:dyDescent="0.25">
      <c r="A60" s="118"/>
      <c r="B60" s="118"/>
      <c r="C60" s="118">
        <v>1690</v>
      </c>
      <c r="D60" s="118">
        <v>1940</v>
      </c>
      <c r="E60" s="118"/>
      <c r="F60" s="118"/>
      <c r="G60" s="118"/>
      <c r="H60" s="118"/>
      <c r="I60" s="118"/>
      <c r="J60" s="118"/>
      <c r="K60" s="118"/>
      <c r="L60" s="118"/>
      <c r="R60" s="9"/>
      <c r="S60" s="2"/>
      <c r="T60" s="19"/>
    </row>
    <row r="61" spans="1:20" x14ac:dyDescent="0.25">
      <c r="A61" s="118"/>
      <c r="B61" s="118"/>
      <c r="C61" s="118"/>
      <c r="D61" s="118"/>
      <c r="E61" s="118"/>
      <c r="F61" s="118"/>
      <c r="G61" s="118"/>
      <c r="H61" s="118"/>
      <c r="I61" s="2" t="s">
        <v>246</v>
      </c>
      <c r="J61" s="153">
        <f>AVERAGE(J37:J59)</f>
        <v>0</v>
      </c>
      <c r="K61" s="153">
        <f>AVERAGE(K37:K59)</f>
        <v>8.7295635147813383E-3</v>
      </c>
      <c r="L61" s="118"/>
      <c r="R61" s="9">
        <v>541</v>
      </c>
      <c r="S61" s="2" t="s">
        <v>134</v>
      </c>
      <c r="T61" s="19">
        <v>2280</v>
      </c>
    </row>
    <row r="62" spans="1:20" x14ac:dyDescent="0.25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R62" s="9">
        <v>725</v>
      </c>
      <c r="S62" s="2" t="s">
        <v>144</v>
      </c>
      <c r="T62" s="48">
        <v>1930</v>
      </c>
    </row>
    <row r="63" spans="1:20" x14ac:dyDescent="0.25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R63" s="1"/>
      <c r="S63" s="1"/>
      <c r="T63" s="1"/>
    </row>
    <row r="65" spans="10:11" x14ac:dyDescent="0.25">
      <c r="J65" s="27"/>
      <c r="K65" s="27"/>
    </row>
    <row r="66" spans="10:11" x14ac:dyDescent="0.25">
      <c r="J66" s="27"/>
      <c r="K66" s="27"/>
    </row>
    <row r="67" spans="10:11" x14ac:dyDescent="0.25">
      <c r="J67" s="27"/>
      <c r="K67" s="27"/>
    </row>
    <row r="68" spans="10:11" x14ac:dyDescent="0.25">
      <c r="J68" s="27"/>
      <c r="K68" s="27"/>
    </row>
    <row r="69" spans="10:11" x14ac:dyDescent="0.25">
      <c r="J69" s="27"/>
      <c r="K69" s="27"/>
    </row>
    <row r="70" spans="10:11" x14ac:dyDescent="0.25">
      <c r="J70" s="27"/>
      <c r="K70" s="27"/>
    </row>
    <row r="71" spans="10:11" x14ac:dyDescent="0.25">
      <c r="J71" s="27"/>
      <c r="K71" s="27"/>
    </row>
    <row r="72" spans="10:11" x14ac:dyDescent="0.25">
      <c r="J72" s="27"/>
      <c r="K72" s="27"/>
    </row>
    <row r="73" spans="10:11" x14ac:dyDescent="0.25">
      <c r="J73" s="27"/>
      <c r="K73" s="27"/>
    </row>
    <row r="74" spans="10:11" x14ac:dyDescent="0.25">
      <c r="J74" s="27"/>
      <c r="K74" s="27"/>
    </row>
    <row r="75" spans="10:11" x14ac:dyDescent="0.25">
      <c r="J75" s="27"/>
      <c r="K75" s="27"/>
    </row>
    <row r="76" spans="10:11" x14ac:dyDescent="0.25">
      <c r="J76" s="27"/>
      <c r="K76" s="27"/>
    </row>
    <row r="77" spans="10:11" x14ac:dyDescent="0.25">
      <c r="J77" s="27"/>
      <c r="K77" s="27"/>
    </row>
    <row r="78" spans="10:11" x14ac:dyDescent="0.25">
      <c r="J78" s="27"/>
      <c r="K78" s="27"/>
    </row>
    <row r="79" spans="10:11" x14ac:dyDescent="0.25">
      <c r="J79" s="27"/>
      <c r="K79" s="27"/>
    </row>
    <row r="80" spans="10:11" x14ac:dyDescent="0.25">
      <c r="J80" s="27"/>
      <c r="K80" s="27"/>
    </row>
    <row r="81" spans="10:11" x14ac:dyDescent="0.25">
      <c r="J81" s="27"/>
      <c r="K81" s="27"/>
    </row>
    <row r="82" spans="10:11" x14ac:dyDescent="0.25">
      <c r="J82" s="27"/>
      <c r="K82" s="27"/>
    </row>
    <row r="83" spans="10:11" x14ac:dyDescent="0.25">
      <c r="J83" s="27"/>
      <c r="K83" s="27"/>
    </row>
    <row r="84" spans="10:11" x14ac:dyDescent="0.25">
      <c r="J84" s="27"/>
      <c r="K84" s="27"/>
    </row>
    <row r="85" spans="10:11" x14ac:dyDescent="0.25">
      <c r="J85" s="27"/>
      <c r="K85" s="27"/>
    </row>
    <row r="86" spans="10:11" x14ac:dyDescent="0.25">
      <c r="J86" s="27"/>
      <c r="K86" s="27"/>
    </row>
    <row r="87" spans="10:11" x14ac:dyDescent="0.25">
      <c r="J87" s="27"/>
      <c r="K87" s="27"/>
    </row>
    <row r="89" spans="10:11" x14ac:dyDescent="0.25">
      <c r="J89" s="90"/>
    </row>
  </sheetData>
  <mergeCells count="4">
    <mergeCell ref="A1:H1"/>
    <mergeCell ref="G33:H33"/>
    <mergeCell ref="J33:K33"/>
    <mergeCell ref="E2:F2"/>
  </mergeCells>
  <pageMargins left="0.25" right="0.25" top="0.75" bottom="0.75" header="0.3" footer="0.3"/>
  <pageSetup paperSize="9" scale="85" fitToHeight="2" orientation="landscape" r:id="rId1"/>
  <rowBreaks count="1" manualBreakCount="1">
    <brk id="32" max="11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J40" sqref="J40"/>
    </sheetView>
  </sheetViews>
  <sheetFormatPr baseColWidth="10" defaultRowHeight="15" x14ac:dyDescent="0.25"/>
  <cols>
    <col min="1" max="1" width="19" customWidth="1"/>
    <col min="2" max="2" width="16.140625" bestFit="1" customWidth="1"/>
    <col min="3" max="3" width="9.42578125" bestFit="1" customWidth="1"/>
    <col min="4" max="4" width="18" bestFit="1" customWidth="1"/>
    <col min="5" max="5" width="15.85546875" bestFit="1" customWidth="1"/>
    <col min="6" max="6" width="13" bestFit="1" customWidth="1"/>
    <col min="13" max="13" width="13" bestFit="1" customWidth="1"/>
  </cols>
  <sheetData>
    <row r="1" spans="1:17" x14ac:dyDescent="0.25">
      <c r="A1" s="36" t="s">
        <v>200</v>
      </c>
    </row>
    <row r="2" spans="1:17" x14ac:dyDescent="0.25">
      <c r="A2" s="1">
        <v>718</v>
      </c>
      <c r="B2" s="1" t="str">
        <f>VLOOKUP($A$2,Precios,2,FALSE)</f>
        <v xml:space="preserve">E.V. liso algodón </v>
      </c>
      <c r="C2" s="19">
        <f>VLOOKUP($A$2,Precios,19,FALSE)</f>
        <v>327.49455555555562</v>
      </c>
      <c r="I2" t="s">
        <v>201</v>
      </c>
      <c r="L2" t="s">
        <v>202</v>
      </c>
      <c r="M2" s="14">
        <v>500000</v>
      </c>
      <c r="P2" t="s">
        <v>203</v>
      </c>
      <c r="Q2" t="s">
        <v>204</v>
      </c>
    </row>
    <row r="3" spans="1:17" x14ac:dyDescent="0.25">
      <c r="A3" s="1">
        <v>599</v>
      </c>
      <c r="B3" s="1" t="str">
        <f>VLOOKUP($A$3,Precios,2,FALSE)</f>
        <v>Bosa liso pull</v>
      </c>
      <c r="C3" s="19">
        <f>VLOOKUP($A$3,Precios,19,FALSE)</f>
        <v>403.55555555555566</v>
      </c>
      <c r="Q3" t="s">
        <v>205</v>
      </c>
    </row>
    <row r="16" spans="1:17" x14ac:dyDescent="0.25">
      <c r="A16" t="s">
        <v>247</v>
      </c>
    </row>
    <row r="18" spans="1:10" x14ac:dyDescent="0.25">
      <c r="A18" s="146" t="s">
        <v>248</v>
      </c>
      <c r="E18" s="146" t="s">
        <v>250</v>
      </c>
      <c r="I18" t="s">
        <v>258</v>
      </c>
    </row>
    <row r="19" spans="1:10" x14ac:dyDescent="0.25">
      <c r="A19" t="s">
        <v>264</v>
      </c>
      <c r="E19" t="s">
        <v>263</v>
      </c>
    </row>
    <row r="20" spans="1:10" x14ac:dyDescent="0.25">
      <c r="A20" t="s">
        <v>249</v>
      </c>
      <c r="B20" s="14">
        <f>10000*1.21</f>
        <v>12100</v>
      </c>
      <c r="E20" t="s">
        <v>249</v>
      </c>
      <c r="F20" s="14">
        <f>3500*1.21</f>
        <v>4235</v>
      </c>
      <c r="I20" t="s">
        <v>259</v>
      </c>
      <c r="J20" s="23">
        <f>+B20-F20</f>
        <v>7865</v>
      </c>
    </row>
    <row r="21" spans="1:10" x14ac:dyDescent="0.25">
      <c r="A21" t="s">
        <v>255</v>
      </c>
      <c r="B21" s="14">
        <f>6*30</f>
        <v>180</v>
      </c>
      <c r="E21" t="s">
        <v>255</v>
      </c>
      <c r="F21" s="14">
        <f>35*6</f>
        <v>210</v>
      </c>
    </row>
    <row r="22" spans="1:10" x14ac:dyDescent="0.25">
      <c r="A22" t="str">
        <f>+'Creacion de Precios'!G32</f>
        <v>Lv+Pl</v>
      </c>
      <c r="B22" s="23">
        <f>+'Creacion de Precios'!H32</f>
        <v>40</v>
      </c>
      <c r="E22" t="s">
        <v>251</v>
      </c>
      <c r="F22" s="23">
        <f>+'Creacion de Precios'!J31</f>
        <v>213.44444444444446</v>
      </c>
      <c r="I22" t="s">
        <v>260</v>
      </c>
      <c r="J22" s="23">
        <f>+B25-F25</f>
        <v>-169</v>
      </c>
    </row>
    <row r="23" spans="1:10" x14ac:dyDescent="0.25">
      <c r="A23" s="23" t="s">
        <v>265</v>
      </c>
      <c r="B23" s="23">
        <f>+'Creacion de Precios'!H30+'Creacion de Precios'!J30+'Creacion de Precios'!J29+'Creacion de Precios'!J28</f>
        <v>74.444444444444443</v>
      </c>
      <c r="E23" t="str">
        <f>+'Creacion de Precios'!G32</f>
        <v>Lv+Pl</v>
      </c>
      <c r="F23" s="23">
        <f>+'Creacion de Precios'!H32</f>
        <v>40</v>
      </c>
    </row>
    <row r="24" spans="1:10" x14ac:dyDescent="0.25">
      <c r="A24" t="s">
        <v>238</v>
      </c>
      <c r="B24" s="23">
        <f>+'Creacion de Precios'!L30</f>
        <v>25.5</v>
      </c>
      <c r="E24" t="s">
        <v>89</v>
      </c>
      <c r="F24" s="23">
        <f>+'Creacion de Precios'!L30</f>
        <v>25.5</v>
      </c>
    </row>
    <row r="25" spans="1:10" x14ac:dyDescent="0.25">
      <c r="A25" t="s">
        <v>252</v>
      </c>
      <c r="B25" s="23">
        <f>+SUM(B21:B24)</f>
        <v>319.94444444444446</v>
      </c>
      <c r="E25" t="s">
        <v>252</v>
      </c>
      <c r="F25" s="23">
        <f>+SUM(F21:F24)</f>
        <v>488.94444444444446</v>
      </c>
    </row>
    <row r="28" spans="1:10" x14ac:dyDescent="0.25">
      <c r="A28" t="s">
        <v>253</v>
      </c>
      <c r="B28" s="14">
        <f>+B25*(1+C28)</f>
        <v>479.91666666666669</v>
      </c>
      <c r="C28" s="16">
        <v>0.5</v>
      </c>
      <c r="E28" t="s">
        <v>254</v>
      </c>
      <c r="F28" s="14">
        <f>+F25*(1+G28)</f>
        <v>733.41666666666674</v>
      </c>
      <c r="G28" s="16">
        <v>0.5</v>
      </c>
    </row>
    <row r="29" spans="1:10" x14ac:dyDescent="0.25">
      <c r="B29" s="14">
        <v>700</v>
      </c>
      <c r="F29" s="14">
        <v>700</v>
      </c>
    </row>
    <row r="32" spans="1:10" x14ac:dyDescent="0.25">
      <c r="A32" t="s">
        <v>256</v>
      </c>
      <c r="B32" s="145">
        <f>ROUNDUP(B20/(B29-(B25)),0)</f>
        <v>32</v>
      </c>
      <c r="E32" t="s">
        <v>257</v>
      </c>
      <c r="F32" s="145">
        <f>ROUNDUP(F20/(F29-(F25)),0)</f>
        <v>21</v>
      </c>
    </row>
    <row r="35" spans="1:6" x14ac:dyDescent="0.25">
      <c r="A35" t="s">
        <v>262</v>
      </c>
      <c r="B35">
        <v>150</v>
      </c>
      <c r="D35" t="s">
        <v>262</v>
      </c>
      <c r="E35" t="s">
        <v>261</v>
      </c>
      <c r="F35">
        <v>150</v>
      </c>
    </row>
    <row r="37" spans="1:6" x14ac:dyDescent="0.25">
      <c r="B37" s="147">
        <f>+B35*(B29-B25)-B20</f>
        <v>44908.333333333328</v>
      </c>
      <c r="F37" s="147">
        <f>+F35*(F29-F25)-F20</f>
        <v>27423.333333333332</v>
      </c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view="pageBreakPreview" zoomScale="70" zoomScaleNormal="70" zoomScaleSheetLayoutView="70" workbookViewId="0">
      <selection activeCell="I33" sqref="I33"/>
    </sheetView>
  </sheetViews>
  <sheetFormatPr baseColWidth="10" defaultRowHeight="15" x14ac:dyDescent="0.25"/>
  <cols>
    <col min="1" max="1" width="6" customWidth="1"/>
    <col min="2" max="2" width="25.5703125" bestFit="1" customWidth="1"/>
    <col min="3" max="3" width="16" style="14" customWidth="1"/>
    <col min="4" max="4" width="13.5703125" bestFit="1" customWidth="1"/>
    <col min="5" max="5" width="4.5703125" customWidth="1"/>
    <col min="6" max="6" width="8" bestFit="1" customWidth="1"/>
    <col min="7" max="7" width="30.5703125" customWidth="1"/>
    <col min="8" max="9" width="13.5703125" bestFit="1" customWidth="1"/>
    <col min="10" max="10" width="4.140625" style="36" customWidth="1"/>
    <col min="11" max="11" width="9.85546875" customWidth="1"/>
    <col min="12" max="12" width="29.5703125" bestFit="1" customWidth="1"/>
    <col min="13" max="14" width="14.5703125" bestFit="1" customWidth="1"/>
    <col min="15" max="15" width="2.85546875" customWidth="1"/>
    <col min="16" max="16" width="6.85546875" bestFit="1" customWidth="1"/>
    <col min="17" max="17" width="31.5703125" bestFit="1" customWidth="1"/>
    <col min="18" max="18" width="12.85546875" customWidth="1"/>
    <col min="19" max="19" width="12.85546875" bestFit="1" customWidth="1"/>
    <col min="20" max="20" width="3" customWidth="1"/>
    <col min="21" max="22" width="13.5703125" bestFit="1" customWidth="1"/>
  </cols>
  <sheetData>
    <row r="1" spans="1:22" s="52" customFormat="1" ht="21" x14ac:dyDescent="0.35">
      <c r="A1" s="171" t="s">
        <v>0</v>
      </c>
      <c r="B1" s="171"/>
      <c r="C1" s="50" t="s">
        <v>111</v>
      </c>
      <c r="D1" s="50"/>
      <c r="E1" s="50"/>
      <c r="F1" s="50"/>
      <c r="G1" s="58" t="s">
        <v>123</v>
      </c>
      <c r="H1" s="170" t="s">
        <v>286</v>
      </c>
      <c r="I1" s="170"/>
      <c r="J1" s="57"/>
      <c r="K1" s="49"/>
      <c r="L1" s="49" t="s">
        <v>0</v>
      </c>
      <c r="M1" s="172" t="s">
        <v>111</v>
      </c>
      <c r="N1" s="172"/>
      <c r="O1" s="50"/>
      <c r="P1" s="49"/>
      <c r="Q1" s="58" t="s">
        <v>123</v>
      </c>
      <c r="R1" s="170" t="s">
        <v>287</v>
      </c>
      <c r="S1" s="170"/>
      <c r="T1" s="50"/>
      <c r="U1" s="50"/>
      <c r="V1" s="51"/>
    </row>
    <row r="2" spans="1:22" s="22" customFormat="1" ht="15.75" x14ac:dyDescent="0.25">
      <c r="A2" s="11" t="s">
        <v>122</v>
      </c>
      <c r="B2" s="24" t="s">
        <v>3</v>
      </c>
      <c r="C2" s="53" t="s">
        <v>4</v>
      </c>
      <c r="D2"/>
      <c r="E2" s="56"/>
      <c r="F2" s="26" t="s">
        <v>122</v>
      </c>
      <c r="G2" s="3" t="s">
        <v>3</v>
      </c>
      <c r="H2" s="53" t="s">
        <v>4</v>
      </c>
      <c r="I2" s="56"/>
      <c r="J2" s="56"/>
      <c r="K2" s="11" t="s">
        <v>122</v>
      </c>
      <c r="L2" s="3" t="s">
        <v>3</v>
      </c>
      <c r="M2" s="53" t="s">
        <v>4</v>
      </c>
      <c r="N2" s="56"/>
      <c r="O2" s="54"/>
      <c r="P2" s="11" t="s">
        <v>122</v>
      </c>
      <c r="Q2" s="3" t="s">
        <v>3</v>
      </c>
      <c r="R2" s="53" t="s">
        <v>4</v>
      </c>
      <c r="S2" s="56"/>
      <c r="T2" s="55"/>
      <c r="U2" s="56"/>
    </row>
    <row r="3" spans="1:22" x14ac:dyDescent="0.25">
      <c r="A3" s="100">
        <v>115</v>
      </c>
      <c r="B3" s="1"/>
      <c r="C3" s="19">
        <f t="shared" ref="C3:C32" si="0">MROUND(VLOOKUP(A3,Precios,10,FALSE)*$D$37,10)</f>
        <v>1030</v>
      </c>
      <c r="E3" s="46"/>
      <c r="F3" s="100">
        <v>517</v>
      </c>
      <c r="G3" s="2" t="str">
        <f t="shared" ref="G3:G9" si="1">VLOOKUP(F3,Precios,2,FALSE)</f>
        <v>Campera Patagonia PULL</v>
      </c>
      <c r="H3" s="19">
        <f t="shared" ref="H3:H33" si="2">MROUND(VLOOKUP(F3,Precios,10,FALSE)*$D$37,10)</f>
        <v>2480</v>
      </c>
      <c r="I3" s="56"/>
      <c r="J3" s="46"/>
      <c r="K3" s="85">
        <v>599</v>
      </c>
      <c r="L3" s="86" t="str">
        <f t="shared" ref="L3:L20" si="3">VLOOKUP(K3,Precios,2,FALSE)</f>
        <v>Bosa liso pull</v>
      </c>
      <c r="M3" s="60">
        <f t="shared" ref="M3:M33" si="4">MROUND(VLOOKUP(K3,Precios,10,FALSE)*$D$37,10)</f>
        <v>1660</v>
      </c>
      <c r="N3" s="56"/>
      <c r="O3" s="37"/>
      <c r="P3" s="105">
        <v>751</v>
      </c>
      <c r="Q3" s="2" t="str">
        <f>VLOOKUP(P3,Precios,2,FALSE)</f>
        <v>E.V. c/8 vivo cuello</v>
      </c>
      <c r="R3" s="47">
        <f t="shared" ref="R3:R28" si="5">MROUND(VLOOKUP(P3,Precios,10,FALSE)*$D$37,10)</f>
        <v>1240</v>
      </c>
      <c r="S3" s="56"/>
      <c r="T3" s="42"/>
      <c r="U3" s="46"/>
    </row>
    <row r="4" spans="1:22" x14ac:dyDescent="0.25">
      <c r="A4" s="100">
        <v>122</v>
      </c>
      <c r="B4" s="1"/>
      <c r="C4" s="19">
        <f t="shared" si="0"/>
        <v>770</v>
      </c>
      <c r="E4" s="46"/>
      <c r="F4" s="100">
        <v>518</v>
      </c>
      <c r="G4" s="2" t="str">
        <f t="shared" si="1"/>
        <v>Bosa rayado pull</v>
      </c>
      <c r="H4" s="19">
        <f t="shared" si="2"/>
        <v>1700</v>
      </c>
      <c r="I4" s="56"/>
      <c r="J4" s="46"/>
      <c r="K4" s="100">
        <v>700</v>
      </c>
      <c r="L4" s="2" t="str">
        <f t="shared" si="3"/>
        <v>*</v>
      </c>
      <c r="M4" s="19">
        <f t="shared" si="4"/>
        <v>450</v>
      </c>
      <c r="N4" s="56"/>
      <c r="O4" s="37"/>
      <c r="P4" s="105">
        <v>753</v>
      </c>
      <c r="Q4" s="2" t="str">
        <f>VLOOKUP(P4,Precios,2,FALSE)</f>
        <v>E.V. serido rayado sisa</v>
      </c>
      <c r="R4" s="47">
        <f t="shared" si="5"/>
        <v>1240</v>
      </c>
      <c r="S4" s="56"/>
      <c r="T4" s="42"/>
      <c r="U4" s="46"/>
    </row>
    <row r="5" spans="1:22" x14ac:dyDescent="0.25">
      <c r="A5" s="100">
        <v>128</v>
      </c>
      <c r="B5" s="1"/>
      <c r="C5" s="19">
        <f t="shared" si="0"/>
        <v>770</v>
      </c>
      <c r="E5" s="46"/>
      <c r="F5" s="100">
        <v>521</v>
      </c>
      <c r="G5" s="2" t="str">
        <f t="shared" si="1"/>
        <v>Escote V liso PULL</v>
      </c>
      <c r="H5" s="19">
        <f t="shared" si="2"/>
        <v>1660</v>
      </c>
      <c r="I5" s="56"/>
      <c r="J5" s="46"/>
      <c r="K5" s="100">
        <v>701</v>
      </c>
      <c r="L5" s="2" t="str">
        <f t="shared" si="3"/>
        <v>Cardigan Deal c/botones*</v>
      </c>
      <c r="M5" s="19">
        <f t="shared" si="4"/>
        <v>1070</v>
      </c>
      <c r="N5" s="56"/>
      <c r="O5" s="37"/>
      <c r="P5" s="105">
        <v>754</v>
      </c>
      <c r="Q5" s="2" t="str">
        <f>VLOOKUP(P5,Precios,2,FALSE)</f>
        <v>Bosa cigarrillo</v>
      </c>
      <c r="R5" s="47">
        <f t="shared" si="5"/>
        <v>1350</v>
      </c>
      <c r="S5" s="56"/>
      <c r="T5" s="42"/>
      <c r="U5" s="46"/>
    </row>
    <row r="6" spans="1:22" x14ac:dyDescent="0.25">
      <c r="A6" s="100">
        <v>130</v>
      </c>
      <c r="B6" s="1"/>
      <c r="C6" s="19">
        <f t="shared" si="0"/>
        <v>770</v>
      </c>
      <c r="E6" s="46"/>
      <c r="F6" s="100">
        <v>524</v>
      </c>
      <c r="G6" s="2" t="str">
        <f t="shared" si="1"/>
        <v>Saco c/ botones Paris PULL</v>
      </c>
      <c r="H6" s="19">
        <f t="shared" si="2"/>
        <v>2230</v>
      </c>
      <c r="I6" s="56"/>
      <c r="J6" s="46"/>
      <c r="K6" s="100">
        <v>703</v>
      </c>
      <c r="L6" s="2" t="str">
        <f t="shared" si="3"/>
        <v>Cardigan nacho serido</v>
      </c>
      <c r="M6" s="19">
        <f t="shared" si="4"/>
        <v>1720</v>
      </c>
      <c r="N6" s="56"/>
      <c r="O6" s="37"/>
      <c r="P6" s="105">
        <v>755</v>
      </c>
      <c r="Q6" s="2" t="str">
        <f>VLOOKUP(P6,Precios,2,FALSE)</f>
        <v>Bosa CATE (3rayas)</v>
      </c>
      <c r="R6" s="47">
        <f t="shared" si="5"/>
        <v>1350</v>
      </c>
      <c r="S6" s="56"/>
      <c r="T6" s="42"/>
      <c r="U6" s="46"/>
    </row>
    <row r="7" spans="1:22" x14ac:dyDescent="0.25">
      <c r="A7" s="100">
        <v>131</v>
      </c>
      <c r="B7" s="1"/>
      <c r="C7" s="19">
        <f t="shared" si="0"/>
        <v>770</v>
      </c>
      <c r="E7" s="46"/>
      <c r="F7" s="100">
        <v>525</v>
      </c>
      <c r="G7" s="2" t="str">
        <f t="shared" si="1"/>
        <v>Bosa perla c/ cola MAX*</v>
      </c>
      <c r="H7" s="19">
        <f t="shared" si="2"/>
        <v>770</v>
      </c>
      <c r="I7" s="56"/>
      <c r="J7" s="46"/>
      <c r="K7" s="100">
        <v>705</v>
      </c>
      <c r="L7" s="2" t="str">
        <f t="shared" si="3"/>
        <v>Cardigan dividido*</v>
      </c>
      <c r="M7" s="19">
        <f t="shared" si="4"/>
        <v>1150</v>
      </c>
      <c r="N7" s="56"/>
      <c r="O7" s="37"/>
      <c r="P7" s="105">
        <v>756</v>
      </c>
      <c r="Q7" s="2"/>
      <c r="R7" s="47">
        <f t="shared" si="5"/>
        <v>1360</v>
      </c>
      <c r="S7" s="56"/>
      <c r="T7" s="42"/>
      <c r="U7" s="46"/>
    </row>
    <row r="8" spans="1:22" x14ac:dyDescent="0.25">
      <c r="A8" s="100">
        <v>145</v>
      </c>
      <c r="B8" s="1"/>
      <c r="C8" s="19">
        <f t="shared" si="0"/>
        <v>770</v>
      </c>
      <c r="E8" s="46"/>
      <c r="F8" s="100">
        <v>526</v>
      </c>
      <c r="G8" s="2" t="str">
        <f t="shared" si="1"/>
        <v>Bosa Manga pipa 2 cao pull</v>
      </c>
      <c r="H8" s="19">
        <f t="shared" si="2"/>
        <v>1970</v>
      </c>
      <c r="I8" s="56"/>
      <c r="J8" s="46"/>
      <c r="K8" s="100">
        <v>707</v>
      </c>
      <c r="L8" s="2" t="str">
        <f t="shared" si="3"/>
        <v>Tubo**</v>
      </c>
      <c r="M8" s="19">
        <f t="shared" si="4"/>
        <v>450</v>
      </c>
      <c r="N8" s="56"/>
      <c r="O8" s="37"/>
      <c r="P8" s="105">
        <v>757</v>
      </c>
      <c r="Q8" s="2" t="str">
        <f>VLOOKUP(P8,Precios,2,FALSE)</f>
        <v>Bosa m/pipa 2 colores</v>
      </c>
      <c r="R8" s="47">
        <f t="shared" si="5"/>
        <v>1350</v>
      </c>
      <c r="S8" s="56"/>
      <c r="T8" s="42"/>
      <c r="U8" s="46"/>
    </row>
    <row r="9" spans="1:22" x14ac:dyDescent="0.25">
      <c r="A9" s="100">
        <v>200</v>
      </c>
      <c r="B9" s="1" t="str">
        <f t="shared" ref="B9:B29" si="6">VLOOKUP(A9,Precios,2,FALSE)</f>
        <v>Bote Australia*</v>
      </c>
      <c r="C9" s="19">
        <f t="shared" si="0"/>
        <v>1280</v>
      </c>
      <c r="E9" s="46"/>
      <c r="F9" s="100">
        <v>527</v>
      </c>
      <c r="G9" s="2" t="str">
        <f t="shared" si="1"/>
        <v>Sw smoking c/ 1 bot PULL</v>
      </c>
      <c r="H9" s="19">
        <f t="shared" si="2"/>
        <v>2250</v>
      </c>
      <c r="I9" s="56"/>
      <c r="J9" s="46"/>
      <c r="K9" s="100">
        <v>708</v>
      </c>
      <c r="L9" s="2" t="str">
        <f t="shared" si="3"/>
        <v>Bosa hilo rayado*</v>
      </c>
      <c r="M9" s="19">
        <f t="shared" si="4"/>
        <v>1030</v>
      </c>
      <c r="N9" s="56"/>
      <c r="O9" s="46"/>
      <c r="P9" s="105">
        <v>762</v>
      </c>
      <c r="Q9" s="2" t="str">
        <f>VLOOKUP(P9,Precios,2,FALSE)</f>
        <v>Capa Alg lisa</v>
      </c>
      <c r="R9" s="47">
        <f t="shared" si="5"/>
        <v>1010</v>
      </c>
      <c r="S9" s="56"/>
      <c r="T9" s="42"/>
      <c r="U9" s="46"/>
    </row>
    <row r="10" spans="1:22" x14ac:dyDescent="0.25">
      <c r="A10" s="100">
        <v>202</v>
      </c>
      <c r="B10" s="1" t="str">
        <f t="shared" si="6"/>
        <v>Bosa Australia rayas 2</v>
      </c>
      <c r="C10" s="19">
        <f t="shared" si="0"/>
        <v>1430</v>
      </c>
      <c r="E10" s="46"/>
      <c r="F10" s="100">
        <v>528</v>
      </c>
      <c r="G10" s="2"/>
      <c r="H10" s="19">
        <f t="shared" si="2"/>
        <v>1280</v>
      </c>
      <c r="I10" s="56"/>
      <c r="J10" s="46"/>
      <c r="K10" s="100" t="s">
        <v>31</v>
      </c>
      <c r="L10" s="2" t="str">
        <f t="shared" si="3"/>
        <v>Camp 2H hilo</v>
      </c>
      <c r="M10" s="19">
        <f t="shared" si="4"/>
        <v>1870</v>
      </c>
      <c r="N10" s="56"/>
      <c r="O10" s="46"/>
      <c r="P10" s="105">
        <v>763</v>
      </c>
      <c r="Q10" s="2" t="str">
        <f>VLOOKUP(P10,Precios,2,FALSE)</f>
        <v>Bosa Pique</v>
      </c>
      <c r="R10" s="47">
        <f t="shared" si="5"/>
        <v>1380</v>
      </c>
      <c r="S10" s="56"/>
      <c r="T10" s="42"/>
      <c r="U10" s="46"/>
    </row>
    <row r="11" spans="1:22" x14ac:dyDescent="0.25">
      <c r="A11" s="100">
        <v>204</v>
      </c>
      <c r="B11" s="1" t="str">
        <f t="shared" si="6"/>
        <v>Bosa m/corto*</v>
      </c>
      <c r="C11" s="19">
        <f t="shared" si="0"/>
        <v>270</v>
      </c>
      <c r="E11" s="46"/>
      <c r="F11" s="100">
        <v>529</v>
      </c>
      <c r="G11" s="2" t="str">
        <f t="shared" ref="G11:G33" si="7">VLOOKUP(F11,Precios,2,FALSE)</f>
        <v>Sw del negro PULL</v>
      </c>
      <c r="H11" s="19">
        <f t="shared" si="2"/>
        <v>2030</v>
      </c>
      <c r="I11" s="56"/>
      <c r="J11" s="46"/>
      <c r="K11" s="100">
        <v>713</v>
      </c>
      <c r="L11" s="2" t="str">
        <f t="shared" si="3"/>
        <v>Bosa hilo Flama</v>
      </c>
      <c r="M11" s="19">
        <f t="shared" si="4"/>
        <v>1140</v>
      </c>
      <c r="N11" s="56"/>
      <c r="O11" s="46"/>
      <c r="P11" s="100">
        <v>765</v>
      </c>
      <c r="Q11" s="2"/>
      <c r="R11" s="47">
        <f t="shared" si="5"/>
        <v>1580</v>
      </c>
      <c r="S11" s="56"/>
      <c r="T11" s="36"/>
      <c r="U11" s="36"/>
    </row>
    <row r="12" spans="1:22" x14ac:dyDescent="0.25">
      <c r="A12" s="100">
        <v>205</v>
      </c>
      <c r="B12" s="1" t="str">
        <f t="shared" si="6"/>
        <v>Escote U S/ manga*</v>
      </c>
      <c r="C12" s="19">
        <f t="shared" si="0"/>
        <v>1180</v>
      </c>
      <c r="E12" s="46"/>
      <c r="F12" s="100">
        <v>532</v>
      </c>
      <c r="G12" s="2" t="str">
        <f t="shared" si="7"/>
        <v>Poncho max</v>
      </c>
      <c r="H12" s="19">
        <f t="shared" si="2"/>
        <v>1370</v>
      </c>
      <c r="I12" s="56"/>
      <c r="J12" s="46"/>
      <c r="K12" s="100">
        <v>714</v>
      </c>
      <c r="L12" s="2" t="str">
        <f t="shared" si="3"/>
        <v>EV. s/ manga lliso</v>
      </c>
      <c r="M12" s="19">
        <f t="shared" si="4"/>
        <v>1070</v>
      </c>
      <c r="N12" s="56"/>
      <c r="O12" s="46"/>
      <c r="P12" s="100">
        <v>779</v>
      </c>
      <c r="Q12" s="2"/>
      <c r="R12" s="47">
        <f t="shared" si="5"/>
        <v>1280</v>
      </c>
      <c r="S12" s="56"/>
      <c r="T12" s="36"/>
      <c r="U12" s="36"/>
    </row>
    <row r="13" spans="1:22" x14ac:dyDescent="0.25">
      <c r="A13" s="100">
        <v>206</v>
      </c>
      <c r="B13" s="1" t="str">
        <f t="shared" si="6"/>
        <v>Bosa Varios Bremer*</v>
      </c>
      <c r="C13" s="19">
        <f t="shared" si="0"/>
        <v>1260</v>
      </c>
      <c r="E13" s="46"/>
      <c r="F13" s="100">
        <v>534</v>
      </c>
      <c r="G13" s="2" t="str">
        <f t="shared" si="7"/>
        <v>Bosa c/ trensa largo PULL*</v>
      </c>
      <c r="H13" s="19">
        <f t="shared" si="2"/>
        <v>1430</v>
      </c>
      <c r="I13" s="56"/>
      <c r="J13" s="46"/>
      <c r="K13" s="85">
        <v>715</v>
      </c>
      <c r="L13" s="86" t="str">
        <f t="shared" si="3"/>
        <v>Bosa hilo Algodón</v>
      </c>
      <c r="M13" s="60">
        <f>MROUND(VLOOKUP(K13,Precios,10,FALSE)*$D$37,10)</f>
        <v>1310</v>
      </c>
      <c r="N13" s="56"/>
      <c r="O13" s="46"/>
      <c r="P13" s="100">
        <v>800</v>
      </c>
      <c r="Q13" s="2" t="str">
        <f>VLOOKUP(P13,Precios,2,FALSE)</f>
        <v>E.V. S/manga</v>
      </c>
      <c r="R13" s="47">
        <f t="shared" si="5"/>
        <v>1060</v>
      </c>
      <c r="S13" s="56"/>
    </row>
    <row r="14" spans="1:22" x14ac:dyDescent="0.25">
      <c r="A14" s="100">
        <v>210</v>
      </c>
      <c r="B14" s="1" t="str">
        <f t="shared" si="6"/>
        <v>Bosa Mono*</v>
      </c>
      <c r="C14" s="19">
        <f t="shared" si="0"/>
        <v>710</v>
      </c>
      <c r="E14" s="46"/>
      <c r="F14" s="100">
        <v>539</v>
      </c>
      <c r="G14" s="2" t="str">
        <f t="shared" si="7"/>
        <v>Campera algodón pull ajedrez</v>
      </c>
      <c r="H14" s="19">
        <f t="shared" si="2"/>
        <v>1890</v>
      </c>
      <c r="I14" s="56"/>
      <c r="J14" s="46"/>
      <c r="K14" s="85">
        <v>718</v>
      </c>
      <c r="L14" s="86" t="str">
        <f t="shared" si="3"/>
        <v xml:space="preserve">E.V. liso algodón </v>
      </c>
      <c r="M14" s="60">
        <f>MROUND(VLOOKUP(K14,Precios,10,FALSE)*$D$37,10)</f>
        <v>1310</v>
      </c>
      <c r="N14" s="56"/>
      <c r="O14" s="46"/>
      <c r="P14" s="100">
        <v>801</v>
      </c>
      <c r="Q14" s="2" t="str">
        <f>VLOOKUP(P14,Precios,2,FALSE)</f>
        <v>E.V. uniforme</v>
      </c>
      <c r="R14" s="47">
        <f t="shared" si="5"/>
        <v>1300</v>
      </c>
      <c r="S14" s="56"/>
    </row>
    <row r="15" spans="1:22" x14ac:dyDescent="0.25">
      <c r="A15" s="100">
        <v>211</v>
      </c>
      <c r="B15" s="1" t="str">
        <f t="shared" si="6"/>
        <v>Cardigan mono*</v>
      </c>
      <c r="C15" s="19">
        <f t="shared" si="0"/>
        <v>1070</v>
      </c>
      <c r="E15" s="46"/>
      <c r="F15" s="100">
        <v>541</v>
      </c>
      <c r="G15" s="2" t="str">
        <f t="shared" si="7"/>
        <v>Camp pull 1Cabo</v>
      </c>
      <c r="H15" s="19">
        <f t="shared" si="2"/>
        <v>2060</v>
      </c>
      <c r="I15" s="56"/>
      <c r="J15" s="46"/>
      <c r="K15" s="100">
        <v>719</v>
      </c>
      <c r="L15" s="2" t="str">
        <f t="shared" si="3"/>
        <v>E.V. Gigante Moll</v>
      </c>
      <c r="M15" s="19">
        <f t="shared" si="4"/>
        <v>1490</v>
      </c>
      <c r="N15" s="56"/>
      <c r="O15" s="46"/>
      <c r="P15" s="100">
        <v>806</v>
      </c>
      <c r="Q15" s="2" t="str">
        <f>VLOOKUP(P15,Precios,2,FALSE)</f>
        <v>Polerita morley</v>
      </c>
      <c r="R15" s="47">
        <f t="shared" si="5"/>
        <v>930</v>
      </c>
      <c r="S15" s="56"/>
    </row>
    <row r="16" spans="1:22" x14ac:dyDescent="0.25">
      <c r="A16" s="100">
        <v>606</v>
      </c>
      <c r="B16" s="1" t="str">
        <f t="shared" si="6"/>
        <v>Pollera**</v>
      </c>
      <c r="C16" s="19">
        <f t="shared" si="0"/>
        <v>1030</v>
      </c>
      <c r="E16" s="46"/>
      <c r="F16" s="100">
        <v>544</v>
      </c>
      <c r="G16" s="2" t="str">
        <f t="shared" si="7"/>
        <v>Bosa max abeja</v>
      </c>
      <c r="H16" s="19">
        <f t="shared" si="2"/>
        <v>1340</v>
      </c>
      <c r="I16" s="56"/>
      <c r="J16" s="46"/>
      <c r="K16" s="100">
        <v>720</v>
      </c>
      <c r="L16" s="2" t="str">
        <f t="shared" si="3"/>
        <v>Bosa hilo grueso</v>
      </c>
      <c r="M16" s="19">
        <f t="shared" si="4"/>
        <v>1580</v>
      </c>
      <c r="N16" s="56"/>
      <c r="O16" s="46"/>
      <c r="P16" s="100">
        <v>844</v>
      </c>
      <c r="Q16" s="2" t="str">
        <f>VLOOKUP(P16,Precios,2,FALSE)</f>
        <v>Campera gruesa c/8 3/16</v>
      </c>
      <c r="R16" s="47">
        <f t="shared" si="5"/>
        <v>1280</v>
      </c>
      <c r="S16" s="56"/>
    </row>
    <row r="17" spans="1:19" x14ac:dyDescent="0.25">
      <c r="A17" s="100">
        <v>224</v>
      </c>
      <c r="B17" s="1" t="str">
        <f t="shared" si="6"/>
        <v>Cardigan hombre*</v>
      </c>
      <c r="C17" s="19">
        <f t="shared" si="0"/>
        <v>1030</v>
      </c>
      <c r="E17" s="46"/>
      <c r="F17" s="100">
        <v>545</v>
      </c>
      <c r="G17" s="2" t="str">
        <f t="shared" si="7"/>
        <v>Polo c/ 1/2 Cierre pull</v>
      </c>
      <c r="H17" s="19">
        <f t="shared" si="2"/>
        <v>2210</v>
      </c>
      <c r="I17" s="56"/>
      <c r="J17" s="46"/>
      <c r="K17" s="100">
        <v>722</v>
      </c>
      <c r="L17" s="2" t="str">
        <f t="shared" si="3"/>
        <v>Saco cardigan liviano*</v>
      </c>
      <c r="M17" s="19">
        <f t="shared" si="4"/>
        <v>630</v>
      </c>
      <c r="N17" s="56"/>
      <c r="O17" s="46"/>
      <c r="P17" s="100">
        <v>851</v>
      </c>
      <c r="Q17" s="2" t="str">
        <f t="shared" ref="Q17:Q28" si="8">VLOOKUP(P17,Precios,2,FALSE)</f>
        <v>Chaleco c/bot dralon</v>
      </c>
      <c r="R17" s="47">
        <f t="shared" si="5"/>
        <v>1460</v>
      </c>
      <c r="S17" s="56"/>
    </row>
    <row r="18" spans="1:19" x14ac:dyDescent="0.25">
      <c r="A18" s="100">
        <v>228</v>
      </c>
      <c r="B18" s="1" t="str">
        <f t="shared" si="6"/>
        <v>Chaleco c/bot*</v>
      </c>
      <c r="C18" s="19">
        <f t="shared" si="0"/>
        <v>410</v>
      </c>
      <c r="E18" s="46"/>
      <c r="F18" s="100">
        <v>546</v>
      </c>
      <c r="G18" s="2" t="str">
        <f t="shared" si="7"/>
        <v>Polo grueso salgui</v>
      </c>
      <c r="H18" s="19">
        <f t="shared" si="2"/>
        <v>1870</v>
      </c>
      <c r="I18" s="56"/>
      <c r="J18" s="46"/>
      <c r="K18" s="100">
        <v>723</v>
      </c>
      <c r="L18" s="2" t="str">
        <f t="shared" si="3"/>
        <v>Polera hilo serido</v>
      </c>
      <c r="M18" s="19">
        <f t="shared" si="4"/>
        <v>1370</v>
      </c>
      <c r="N18" s="56"/>
      <c r="O18" s="46"/>
      <c r="P18" s="100">
        <v>860</v>
      </c>
      <c r="Q18" s="2" t="str">
        <f t="shared" si="8"/>
        <v>Campera yamm*</v>
      </c>
      <c r="R18" s="47">
        <f t="shared" si="5"/>
        <v>1010</v>
      </c>
      <c r="S18" s="56"/>
    </row>
    <row r="19" spans="1:19" x14ac:dyDescent="0.25">
      <c r="A19" s="100">
        <v>230</v>
      </c>
      <c r="B19" s="1" t="str">
        <f t="shared" si="6"/>
        <v>Americano*</v>
      </c>
      <c r="C19" s="19">
        <f t="shared" si="0"/>
        <v>1030</v>
      </c>
      <c r="E19" s="46"/>
      <c r="F19" s="100">
        <v>551</v>
      </c>
      <c r="G19" s="2" t="str">
        <f t="shared" si="7"/>
        <v>Bosa Rallado Pull</v>
      </c>
      <c r="H19" s="19">
        <f t="shared" si="2"/>
        <v>1700</v>
      </c>
      <c r="I19" s="56"/>
      <c r="K19" s="100">
        <v>725</v>
      </c>
      <c r="L19" s="2" t="str">
        <f t="shared" si="3"/>
        <v>Americano Abeto 24/2</v>
      </c>
      <c r="M19" s="19">
        <f t="shared" si="4"/>
        <v>1680</v>
      </c>
      <c r="N19" s="56"/>
      <c r="O19" s="46"/>
      <c r="P19" s="100">
        <v>877</v>
      </c>
      <c r="Q19" s="2" t="str">
        <f t="shared" si="8"/>
        <v>Sw c/</v>
      </c>
      <c r="R19" s="47">
        <f t="shared" si="5"/>
        <v>1280</v>
      </c>
      <c r="S19" s="56"/>
    </row>
    <row r="20" spans="1:19" x14ac:dyDescent="0.25">
      <c r="A20" s="100">
        <v>241</v>
      </c>
      <c r="B20" s="1" t="str">
        <f t="shared" si="6"/>
        <v>Cardigan Monkey*</v>
      </c>
      <c r="C20" s="19">
        <f t="shared" si="0"/>
        <v>410</v>
      </c>
      <c r="E20" s="46"/>
      <c r="F20" s="100">
        <v>553</v>
      </c>
      <c r="G20" s="2" t="str">
        <f t="shared" si="7"/>
        <v>Bosa c/ raya ancha PULL</v>
      </c>
      <c r="H20" s="19">
        <f t="shared" si="2"/>
        <v>1700</v>
      </c>
      <c r="I20" s="56"/>
      <c r="K20" s="100">
        <v>726</v>
      </c>
      <c r="L20" s="2" t="str">
        <f t="shared" si="3"/>
        <v>Cardigan c/bols ancho</v>
      </c>
      <c r="M20" s="19">
        <f t="shared" si="4"/>
        <v>1660</v>
      </c>
      <c r="N20" s="56"/>
      <c r="O20" s="46"/>
      <c r="P20" s="100">
        <v>1300</v>
      </c>
      <c r="Q20" s="2" t="str">
        <f t="shared" si="8"/>
        <v>Cardigan grto elos*</v>
      </c>
      <c r="R20" s="47">
        <f t="shared" si="5"/>
        <v>890</v>
      </c>
      <c r="S20" s="56"/>
    </row>
    <row r="21" spans="1:19" x14ac:dyDescent="0.25">
      <c r="A21" s="100">
        <v>245</v>
      </c>
      <c r="B21" s="1" t="str">
        <f t="shared" si="6"/>
        <v>Bosa Milan</v>
      </c>
      <c r="C21" s="19">
        <f t="shared" si="0"/>
        <v>1090</v>
      </c>
      <c r="E21" s="46"/>
      <c r="F21" s="100">
        <v>554</v>
      </c>
      <c r="G21" s="2" t="str">
        <f>VLOOKUP(F21,Precios,2,FALSE)</f>
        <v>Bosa con rayitas PULL</v>
      </c>
      <c r="H21" s="19">
        <f t="shared" si="2"/>
        <v>1700</v>
      </c>
      <c r="I21" s="56"/>
      <c r="K21" s="100">
        <v>727</v>
      </c>
      <c r="L21" s="2"/>
      <c r="M21" s="19">
        <f t="shared" si="4"/>
        <v>1210</v>
      </c>
      <c r="N21" s="56"/>
      <c r="O21" s="46"/>
      <c r="P21" s="100">
        <v>1310</v>
      </c>
      <c r="Q21" s="2" t="str">
        <f t="shared" si="8"/>
        <v>E.V. largo*</v>
      </c>
      <c r="R21" s="47">
        <f t="shared" si="5"/>
        <v>1280</v>
      </c>
      <c r="S21" s="56"/>
    </row>
    <row r="22" spans="1:19" x14ac:dyDescent="0.25">
      <c r="A22" s="100">
        <v>246</v>
      </c>
      <c r="B22" s="1" t="str">
        <f t="shared" si="6"/>
        <v>Ev. Milan</v>
      </c>
      <c r="C22" s="19">
        <f t="shared" si="0"/>
        <v>770</v>
      </c>
      <c r="E22" s="46"/>
      <c r="F22" s="100">
        <v>555</v>
      </c>
      <c r="G22" s="2" t="str">
        <f t="shared" si="7"/>
        <v>Bosa  degrade PULL</v>
      </c>
      <c r="H22" s="19">
        <f t="shared" si="2"/>
        <v>1460</v>
      </c>
      <c r="I22" s="56"/>
      <c r="K22" s="100">
        <v>731</v>
      </c>
      <c r="L22" s="2" t="str">
        <f t="shared" ref="L22:L30" si="9">VLOOKUP(K22,Precios,2,FALSE)</f>
        <v>Campera dama c/cierre</v>
      </c>
      <c r="M22" s="19">
        <f t="shared" si="4"/>
        <v>1310</v>
      </c>
      <c r="N22" s="56"/>
      <c r="O22" s="46"/>
      <c r="P22" s="100">
        <v>1340</v>
      </c>
      <c r="Q22" s="2" t="str">
        <f t="shared" si="8"/>
        <v>Polera elastizada*</v>
      </c>
      <c r="R22" s="47">
        <f t="shared" si="5"/>
        <v>1280</v>
      </c>
      <c r="S22" s="56"/>
    </row>
    <row r="23" spans="1:19" x14ac:dyDescent="0.25">
      <c r="A23" s="100">
        <v>247</v>
      </c>
      <c r="B23" s="1" t="str">
        <f t="shared" si="6"/>
        <v>Polera Milan</v>
      </c>
      <c r="C23" s="19">
        <f t="shared" si="0"/>
        <v>1090</v>
      </c>
      <c r="E23" s="46"/>
      <c r="F23" s="100">
        <v>557</v>
      </c>
      <c r="G23" s="2" t="str">
        <f t="shared" si="7"/>
        <v>Bosa Rayado Pull</v>
      </c>
      <c r="H23" s="19">
        <f t="shared" si="2"/>
        <v>1700</v>
      </c>
      <c r="I23" s="56"/>
      <c r="K23" s="100">
        <v>733</v>
      </c>
      <c r="L23" s="2" t="str">
        <f t="shared" si="9"/>
        <v>Bosa flamita</v>
      </c>
      <c r="M23" s="19">
        <f t="shared" si="4"/>
        <v>1040</v>
      </c>
      <c r="N23" s="56"/>
      <c r="O23" s="46"/>
      <c r="P23" s="100">
        <v>1350</v>
      </c>
      <c r="Q23" s="2" t="str">
        <f t="shared" si="8"/>
        <v>*</v>
      </c>
      <c r="R23" s="47">
        <f t="shared" si="5"/>
        <v>900</v>
      </c>
      <c r="S23" s="56"/>
    </row>
    <row r="24" spans="1:19" x14ac:dyDescent="0.25">
      <c r="A24" s="100">
        <v>248</v>
      </c>
      <c r="B24" s="1" t="str">
        <f t="shared" si="6"/>
        <v>Camp c/ cierre Milan</v>
      </c>
      <c r="C24" s="19">
        <f t="shared" si="0"/>
        <v>1230</v>
      </c>
      <c r="E24" s="46"/>
      <c r="F24" s="100">
        <v>558</v>
      </c>
      <c r="G24" s="2" t="str">
        <f t="shared" si="7"/>
        <v>Bosa Rallado Pull</v>
      </c>
      <c r="H24" s="19">
        <f t="shared" si="2"/>
        <v>1700</v>
      </c>
      <c r="I24" s="56"/>
      <c r="K24" s="100">
        <v>734</v>
      </c>
      <c r="L24" s="2" t="str">
        <f t="shared" si="9"/>
        <v>E.V. 3 cabos</v>
      </c>
      <c r="M24" s="19">
        <f t="shared" si="4"/>
        <v>1550</v>
      </c>
      <c r="N24" s="56"/>
      <c r="O24" s="46"/>
      <c r="P24" s="100">
        <v>1360</v>
      </c>
      <c r="Q24" s="2" t="str">
        <f t="shared" si="8"/>
        <v>Americano V*</v>
      </c>
      <c r="R24" s="47">
        <f t="shared" si="5"/>
        <v>900</v>
      </c>
      <c r="S24" s="56"/>
    </row>
    <row r="25" spans="1:19" x14ac:dyDescent="0.25">
      <c r="A25" s="100">
        <v>254</v>
      </c>
      <c r="B25" s="1" t="str">
        <f t="shared" si="6"/>
        <v>Polera lisa*</v>
      </c>
      <c r="C25" s="19">
        <f t="shared" si="0"/>
        <v>590</v>
      </c>
      <c r="E25" s="46"/>
      <c r="F25" s="100">
        <v>561</v>
      </c>
      <c r="G25" s="2" t="str">
        <f t="shared" si="7"/>
        <v>Bosa Rallado Pull</v>
      </c>
      <c r="H25" s="19">
        <f t="shared" si="2"/>
        <v>1700</v>
      </c>
      <c r="I25" s="56"/>
      <c r="K25" s="100">
        <v>735</v>
      </c>
      <c r="L25" s="2" t="str">
        <f t="shared" si="9"/>
        <v>Bosa batich*</v>
      </c>
      <c r="M25" s="19">
        <f t="shared" si="4"/>
        <v>1090</v>
      </c>
      <c r="N25" s="56"/>
      <c r="O25" s="46"/>
      <c r="P25" s="100">
        <v>1370</v>
      </c>
      <c r="Q25" s="2" t="str">
        <f t="shared" si="8"/>
        <v>Campera c/cierre*</v>
      </c>
      <c r="R25" s="47">
        <f t="shared" si="5"/>
        <v>900</v>
      </c>
      <c r="S25" s="56"/>
    </row>
    <row r="26" spans="1:19" x14ac:dyDescent="0.25">
      <c r="A26" s="100">
        <v>269</v>
      </c>
      <c r="B26" s="1" t="str">
        <f t="shared" si="6"/>
        <v>Bosa fina bremer</v>
      </c>
      <c r="C26" s="19">
        <f t="shared" si="0"/>
        <v>2120</v>
      </c>
      <c r="E26" s="46"/>
      <c r="F26" s="100">
        <v>562</v>
      </c>
      <c r="G26" s="2" t="str">
        <f t="shared" si="7"/>
        <v>Bosa Rallado Pull</v>
      </c>
      <c r="H26" s="19">
        <f t="shared" si="2"/>
        <v>1700</v>
      </c>
      <c r="I26" s="56"/>
      <c r="K26" s="100">
        <v>736</v>
      </c>
      <c r="L26" s="2" t="str">
        <f t="shared" si="9"/>
        <v>Bosa brillo*</v>
      </c>
      <c r="M26" s="19">
        <f t="shared" si="4"/>
        <v>1140</v>
      </c>
      <c r="N26" s="56"/>
      <c r="O26" s="46"/>
      <c r="P26" s="100">
        <v>1380</v>
      </c>
      <c r="Q26" s="2" t="str">
        <f t="shared" si="8"/>
        <v>Bosa*</v>
      </c>
      <c r="R26" s="47">
        <f t="shared" si="5"/>
        <v>1280</v>
      </c>
      <c r="S26" s="56"/>
    </row>
    <row r="27" spans="1:19" x14ac:dyDescent="0.25">
      <c r="A27" s="100">
        <v>292</v>
      </c>
      <c r="B27" s="1" t="str">
        <f t="shared" si="6"/>
        <v>Polera morley*</v>
      </c>
      <c r="C27" s="19">
        <f t="shared" si="0"/>
        <v>1030</v>
      </c>
      <c r="E27" s="46"/>
      <c r="F27" s="100">
        <v>563</v>
      </c>
      <c r="G27" s="2" t="str">
        <f t="shared" si="7"/>
        <v>Bosa Rallado Pull</v>
      </c>
      <c r="H27" s="19">
        <f t="shared" si="2"/>
        <v>1700</v>
      </c>
      <c r="I27" s="56"/>
      <c r="K27" s="100">
        <v>737</v>
      </c>
      <c r="L27" s="2" t="str">
        <f t="shared" si="9"/>
        <v>Cardigan flama grueso</v>
      </c>
      <c r="M27" s="19">
        <f t="shared" si="4"/>
        <v>1630</v>
      </c>
      <c r="N27" s="56"/>
      <c r="O27" s="46"/>
      <c r="P27" s="100">
        <v>1390</v>
      </c>
      <c r="Q27" s="2" t="str">
        <f t="shared" si="8"/>
        <v>Bosa mall*</v>
      </c>
      <c r="R27" s="47">
        <f t="shared" si="5"/>
        <v>1280</v>
      </c>
      <c r="S27" s="56"/>
    </row>
    <row r="28" spans="1:19" x14ac:dyDescent="0.25">
      <c r="A28" s="100">
        <v>294</v>
      </c>
      <c r="B28" s="1" t="str">
        <f t="shared" si="6"/>
        <v>Escote V bremer</v>
      </c>
      <c r="C28" s="19">
        <f t="shared" si="0"/>
        <v>2160</v>
      </c>
      <c r="E28" s="46"/>
      <c r="F28" s="100">
        <v>564</v>
      </c>
      <c r="G28" s="2" t="str">
        <f t="shared" si="7"/>
        <v>Bosa Rallado Pull</v>
      </c>
      <c r="H28" s="19">
        <f t="shared" si="2"/>
        <v>1700</v>
      </c>
      <c r="I28" s="56"/>
      <c r="K28" s="100" t="s">
        <v>45</v>
      </c>
      <c r="L28" s="2" t="str">
        <f t="shared" si="9"/>
        <v xml:space="preserve">Bosa perla raul tejedor </v>
      </c>
      <c r="M28" s="19">
        <f t="shared" si="4"/>
        <v>1280</v>
      </c>
      <c r="N28" s="56"/>
      <c r="O28" s="46"/>
      <c r="P28" s="100">
        <v>1395</v>
      </c>
      <c r="Q28" s="2" t="str">
        <f t="shared" si="8"/>
        <v>Cardigan mall*</v>
      </c>
      <c r="R28" s="47">
        <f t="shared" si="5"/>
        <v>1670</v>
      </c>
      <c r="S28" s="56"/>
    </row>
    <row r="29" spans="1:19" x14ac:dyDescent="0.25">
      <c r="A29" s="100">
        <v>295</v>
      </c>
      <c r="B29" s="1" t="str">
        <f t="shared" si="6"/>
        <v>Bosa rombo Ast*</v>
      </c>
      <c r="C29" s="19">
        <f t="shared" si="0"/>
        <v>1720</v>
      </c>
      <c r="E29" s="46"/>
      <c r="F29" s="100">
        <v>565</v>
      </c>
      <c r="G29" s="2" t="str">
        <f t="shared" si="7"/>
        <v>Capaz ecco*</v>
      </c>
      <c r="H29" s="19">
        <f t="shared" si="2"/>
        <v>940</v>
      </c>
      <c r="I29" s="56"/>
      <c r="K29" s="100">
        <v>741</v>
      </c>
      <c r="L29" s="2" t="str">
        <f t="shared" si="9"/>
        <v>Bosa cuadrado</v>
      </c>
      <c r="M29" s="19">
        <f t="shared" si="4"/>
        <v>1280</v>
      </c>
      <c r="N29" s="56"/>
      <c r="O29" s="46"/>
      <c r="P29" s="96" t="s">
        <v>65</v>
      </c>
      <c r="Q29" s="2"/>
      <c r="R29" s="47"/>
      <c r="S29" s="56"/>
    </row>
    <row r="30" spans="1:19" x14ac:dyDescent="0.25">
      <c r="A30" s="100">
        <v>502</v>
      </c>
      <c r="B30" s="1"/>
      <c r="C30" s="19">
        <f t="shared" si="0"/>
        <v>1790</v>
      </c>
      <c r="E30" s="46"/>
      <c r="F30" s="100">
        <v>571</v>
      </c>
      <c r="G30" s="2" t="str">
        <f t="shared" si="7"/>
        <v>Bosa Rallado Pull</v>
      </c>
      <c r="H30" s="19">
        <f t="shared" si="2"/>
        <v>1700</v>
      </c>
      <c r="I30" s="56"/>
      <c r="K30" s="100">
        <v>743</v>
      </c>
      <c r="L30" s="2" t="str">
        <f t="shared" si="9"/>
        <v>Polo c/vivo en el cuello</v>
      </c>
      <c r="M30" s="19">
        <f t="shared" si="4"/>
        <v>1850</v>
      </c>
      <c r="N30" s="56"/>
      <c r="O30" s="46"/>
      <c r="P30" s="100">
        <v>140</v>
      </c>
      <c r="Q30" s="2" t="str">
        <f>VLOOKUP(P30,Precios,2,FALSE)</f>
        <v>E.V. uniforme</v>
      </c>
      <c r="R30" s="47">
        <f>MROUND(VLOOKUP(P30,Precios,10,FALSE)*$D$37,10)</f>
        <v>1150</v>
      </c>
      <c r="S30" s="56"/>
    </row>
    <row r="31" spans="1:19" x14ac:dyDescent="0.25">
      <c r="A31" s="100">
        <v>504</v>
      </c>
      <c r="B31" s="1" t="str">
        <f>VLOOKUP(A31,Precios,2,FALSE)</f>
        <v xml:space="preserve">Escote V sin manga </v>
      </c>
      <c r="C31" s="19">
        <f t="shared" si="0"/>
        <v>1290</v>
      </c>
      <c r="E31" s="46"/>
      <c r="F31" s="105">
        <v>572</v>
      </c>
      <c r="G31" s="2" t="str">
        <f t="shared" si="7"/>
        <v>Ev. Serido con codera</v>
      </c>
      <c r="H31" s="19">
        <f t="shared" si="2"/>
        <v>1400</v>
      </c>
      <c r="I31" s="56"/>
      <c r="K31" s="100">
        <v>745</v>
      </c>
      <c r="L31" s="2"/>
      <c r="M31" s="19">
        <f t="shared" si="4"/>
        <v>1210</v>
      </c>
      <c r="N31" s="56"/>
      <c r="O31" s="46"/>
      <c r="P31" s="100">
        <v>150</v>
      </c>
      <c r="Q31" s="2" t="str">
        <f>VLOOKUP(P31,Precios,2,FALSE)</f>
        <v>Bosa babero</v>
      </c>
      <c r="R31" s="47">
        <f>MROUND(VLOOKUP(P31,Precios,10,FALSE)*$D$37,10)</f>
        <v>1070</v>
      </c>
      <c r="S31" s="56"/>
    </row>
    <row r="32" spans="1:19" x14ac:dyDescent="0.25">
      <c r="A32" s="100">
        <v>513</v>
      </c>
      <c r="B32" s="1" t="str">
        <f>VLOOKUP(A32,Precios,2,FALSE)</f>
        <v>Cardigan tango  MAX*</v>
      </c>
      <c r="C32" s="19">
        <f t="shared" si="0"/>
        <v>960</v>
      </c>
      <c r="E32" s="46"/>
      <c r="F32" s="105">
        <v>587</v>
      </c>
      <c r="G32" s="2" t="str">
        <f t="shared" si="7"/>
        <v>Polo c/ Bot Aron PULL</v>
      </c>
      <c r="H32" s="19">
        <f t="shared" si="2"/>
        <v>2140</v>
      </c>
      <c r="I32" s="56"/>
      <c r="K32" s="100">
        <v>746</v>
      </c>
      <c r="L32" s="2"/>
      <c r="M32" s="19">
        <f t="shared" si="4"/>
        <v>1280</v>
      </c>
      <c r="N32" s="56"/>
      <c r="O32" s="46"/>
      <c r="P32" s="1"/>
      <c r="Q32" s="1" t="s">
        <v>267</v>
      </c>
      <c r="R32" s="19" t="s">
        <v>270</v>
      </c>
      <c r="S32" s="19" t="s">
        <v>271</v>
      </c>
    </row>
    <row r="33" spans="2:19" x14ac:dyDescent="0.25">
      <c r="C33"/>
      <c r="E33" s="46"/>
      <c r="F33" s="105">
        <v>594</v>
      </c>
      <c r="G33" s="2" t="str">
        <f t="shared" si="7"/>
        <v>Saco solapa hombre</v>
      </c>
      <c r="H33" s="19">
        <f t="shared" si="2"/>
        <v>2300</v>
      </c>
      <c r="I33" s="56"/>
      <c r="K33" s="9">
        <v>748</v>
      </c>
      <c r="L33" s="2" t="str">
        <f>VLOOKUP(K33,Precios,2,FALSE)</f>
        <v>Bosa perla fino raul tejedor</v>
      </c>
      <c r="M33" s="19">
        <f t="shared" si="4"/>
        <v>1280</v>
      </c>
      <c r="N33" s="56"/>
      <c r="O33" s="46"/>
      <c r="P33" s="1"/>
      <c r="Q33" s="1" t="s">
        <v>274</v>
      </c>
      <c r="R33" s="19" t="s">
        <v>268</v>
      </c>
      <c r="S33" s="19" t="s">
        <v>269</v>
      </c>
    </row>
    <row r="34" spans="2:19" x14ac:dyDescent="0.25">
      <c r="C34"/>
      <c r="F34" s="105">
        <v>598</v>
      </c>
      <c r="G34" s="2" t="str">
        <f t="shared" ref="G34" si="10">VLOOKUP(F34,Precios,2,FALSE)</f>
        <v>Saco flama grueso</v>
      </c>
      <c r="H34" s="19">
        <f t="shared" ref="H34" si="11">MROUND(VLOOKUP(F34,Precios,10,FALSE)*$D$37,10)</f>
        <v>1970</v>
      </c>
      <c r="I34" s="56"/>
      <c r="J34"/>
      <c r="K34" s="105">
        <v>750</v>
      </c>
      <c r="L34" s="2" t="str">
        <f>VLOOKUP(K34,Precios,2,FALSE)</f>
        <v>Bosa fino rayado</v>
      </c>
      <c r="M34" s="19">
        <f t="shared" ref="M34" si="12">MROUND(VLOOKUP(K34,Precios,10,FALSE)*$D$37,10)</f>
        <v>1350</v>
      </c>
      <c r="N34" s="56"/>
      <c r="O34" s="46"/>
      <c r="P34" s="1"/>
      <c r="Q34" s="1" t="s">
        <v>275</v>
      </c>
      <c r="R34" s="19" t="s">
        <v>272</v>
      </c>
      <c r="S34" s="19" t="s">
        <v>273</v>
      </c>
    </row>
    <row r="35" spans="2:19" x14ac:dyDescent="0.25">
      <c r="C35"/>
      <c r="J35"/>
    </row>
    <row r="36" spans="2:19" x14ac:dyDescent="0.25">
      <c r="C36"/>
      <c r="J36"/>
    </row>
    <row r="37" spans="2:19" x14ac:dyDescent="0.25">
      <c r="B37" t="s">
        <v>206</v>
      </c>
      <c r="C37" s="101">
        <v>0.1</v>
      </c>
      <c r="D37" s="90">
        <f>1-C37</f>
        <v>0.9</v>
      </c>
      <c r="G37" s="105"/>
      <c r="J37"/>
    </row>
    <row r="38" spans="2:19" x14ac:dyDescent="0.25">
      <c r="C38"/>
      <c r="G38" s="105"/>
      <c r="J38"/>
    </row>
    <row r="39" spans="2:19" x14ac:dyDescent="0.25">
      <c r="C39"/>
      <c r="G39" s="105"/>
      <c r="J39"/>
    </row>
    <row r="40" spans="2:19" x14ac:dyDescent="0.25">
      <c r="C40"/>
      <c r="G40" s="105"/>
      <c r="J40"/>
    </row>
    <row r="41" spans="2:19" x14ac:dyDescent="0.25">
      <c r="C41"/>
      <c r="J41"/>
    </row>
    <row r="42" spans="2:19" x14ac:dyDescent="0.25">
      <c r="C42"/>
      <c r="J42"/>
    </row>
    <row r="43" spans="2:19" x14ac:dyDescent="0.25">
      <c r="C43"/>
      <c r="J43"/>
    </row>
    <row r="44" spans="2:19" x14ac:dyDescent="0.25">
      <c r="C44"/>
      <c r="J44"/>
    </row>
    <row r="45" spans="2:19" x14ac:dyDescent="0.25">
      <c r="C45"/>
      <c r="J45"/>
    </row>
    <row r="46" spans="2:19" x14ac:dyDescent="0.25">
      <c r="C46"/>
      <c r="J46"/>
    </row>
    <row r="47" spans="2:19" x14ac:dyDescent="0.25">
      <c r="C47"/>
      <c r="J47"/>
      <c r="O47" s="46"/>
    </row>
    <row r="48" spans="2:19" x14ac:dyDescent="0.25">
      <c r="C48"/>
      <c r="J48"/>
      <c r="O48" s="46"/>
    </row>
    <row r="49" spans="3:15" x14ac:dyDescent="0.25">
      <c r="C49"/>
      <c r="J49"/>
      <c r="O49" s="46"/>
    </row>
    <row r="50" spans="3:15" x14ac:dyDescent="0.25">
      <c r="C50"/>
      <c r="J50"/>
      <c r="O50" s="36"/>
    </row>
    <row r="51" spans="3:15" x14ac:dyDescent="0.25">
      <c r="C51"/>
      <c r="J51"/>
      <c r="O51" s="36"/>
    </row>
    <row r="52" spans="3:15" x14ac:dyDescent="0.25">
      <c r="C52"/>
      <c r="J52"/>
      <c r="O52" s="36"/>
    </row>
    <row r="53" spans="3:15" x14ac:dyDescent="0.25">
      <c r="C53"/>
      <c r="J53"/>
      <c r="O53" s="36"/>
    </row>
    <row r="54" spans="3:15" x14ac:dyDescent="0.25">
      <c r="C54"/>
      <c r="J54"/>
      <c r="O54" s="36"/>
    </row>
    <row r="55" spans="3:15" x14ac:dyDescent="0.25">
      <c r="C55"/>
      <c r="J55"/>
      <c r="O55" s="36"/>
    </row>
    <row r="56" spans="3:15" x14ac:dyDescent="0.25">
      <c r="C56"/>
      <c r="J56"/>
      <c r="O56" s="36"/>
    </row>
    <row r="57" spans="3:15" x14ac:dyDescent="0.25">
      <c r="C57"/>
      <c r="J57"/>
      <c r="O57" s="36"/>
    </row>
    <row r="58" spans="3:15" x14ac:dyDescent="0.25">
      <c r="C58"/>
      <c r="J58"/>
      <c r="O58" s="36"/>
    </row>
    <row r="59" spans="3:15" x14ac:dyDescent="0.25">
      <c r="C59"/>
      <c r="J59"/>
      <c r="O59" s="36"/>
    </row>
    <row r="60" spans="3:15" x14ac:dyDescent="0.25">
      <c r="C60"/>
      <c r="J60"/>
      <c r="O60" s="36"/>
    </row>
    <row r="61" spans="3:15" x14ac:dyDescent="0.25">
      <c r="C61"/>
      <c r="J61"/>
    </row>
    <row r="62" spans="3:15" x14ac:dyDescent="0.25">
      <c r="C62"/>
      <c r="J62"/>
    </row>
    <row r="63" spans="3:15" x14ac:dyDescent="0.25">
      <c r="C63"/>
      <c r="J63"/>
    </row>
    <row r="64" spans="3:15" x14ac:dyDescent="0.25">
      <c r="C64"/>
      <c r="J64"/>
    </row>
    <row r="65" spans="3:13" x14ac:dyDescent="0.25">
      <c r="C65"/>
      <c r="J65"/>
    </row>
    <row r="66" spans="3:13" x14ac:dyDescent="0.25">
      <c r="C66"/>
      <c r="J66"/>
    </row>
    <row r="67" spans="3:13" x14ac:dyDescent="0.25">
      <c r="C67"/>
      <c r="J67"/>
    </row>
    <row r="68" spans="3:13" x14ac:dyDescent="0.25">
      <c r="C68"/>
      <c r="J68"/>
    </row>
    <row r="69" spans="3:13" x14ac:dyDescent="0.25">
      <c r="C69"/>
      <c r="J69"/>
    </row>
    <row r="70" spans="3:13" x14ac:dyDescent="0.25">
      <c r="C70"/>
      <c r="J70"/>
    </row>
    <row r="71" spans="3:13" x14ac:dyDescent="0.25">
      <c r="C71"/>
      <c r="J71"/>
    </row>
    <row r="72" spans="3:13" x14ac:dyDescent="0.25">
      <c r="C72"/>
      <c r="J72"/>
    </row>
    <row r="73" spans="3:13" x14ac:dyDescent="0.25">
      <c r="C73"/>
      <c r="J73"/>
    </row>
    <row r="74" spans="3:13" x14ac:dyDescent="0.25">
      <c r="C74"/>
      <c r="J74"/>
    </row>
    <row r="75" spans="3:13" x14ac:dyDescent="0.25">
      <c r="C75"/>
      <c r="J75"/>
    </row>
    <row r="76" spans="3:13" x14ac:dyDescent="0.25">
      <c r="C76"/>
      <c r="J76"/>
    </row>
    <row r="77" spans="3:13" x14ac:dyDescent="0.25">
      <c r="C77"/>
      <c r="J77"/>
    </row>
    <row r="78" spans="3:13" x14ac:dyDescent="0.25">
      <c r="C78"/>
      <c r="J78"/>
    </row>
    <row r="79" spans="3:13" x14ac:dyDescent="0.25">
      <c r="C79"/>
      <c r="J79"/>
    </row>
    <row r="80" spans="3:13" x14ac:dyDescent="0.25">
      <c r="C80"/>
      <c r="J80"/>
      <c r="M80" s="14"/>
    </row>
    <row r="81" spans="1:10" x14ac:dyDescent="0.25">
      <c r="C81"/>
      <c r="J81"/>
    </row>
    <row r="82" spans="1:10" x14ac:dyDescent="0.25">
      <c r="C82"/>
      <c r="J82"/>
    </row>
    <row r="83" spans="1:10" x14ac:dyDescent="0.25">
      <c r="C83"/>
      <c r="J83"/>
    </row>
    <row r="84" spans="1:10" x14ac:dyDescent="0.25">
      <c r="C84"/>
      <c r="J84"/>
    </row>
    <row r="85" spans="1:10" x14ac:dyDescent="0.25">
      <c r="C85"/>
      <c r="J85"/>
    </row>
    <row r="86" spans="1:10" x14ac:dyDescent="0.25">
      <c r="C86"/>
      <c r="J86"/>
    </row>
    <row r="87" spans="1:10" x14ac:dyDescent="0.25">
      <c r="C87"/>
      <c r="J87"/>
    </row>
    <row r="88" spans="1:10" x14ac:dyDescent="0.25">
      <c r="C88"/>
      <c r="J88"/>
    </row>
    <row r="89" spans="1:10" x14ac:dyDescent="0.25">
      <c r="C89"/>
      <c r="J89"/>
    </row>
    <row r="90" spans="1:10" x14ac:dyDescent="0.25">
      <c r="C90"/>
      <c r="J90"/>
    </row>
    <row r="91" spans="1:10" x14ac:dyDescent="0.25">
      <c r="C91"/>
      <c r="J91"/>
    </row>
    <row r="92" spans="1:10" x14ac:dyDescent="0.25">
      <c r="C92"/>
      <c r="J92"/>
    </row>
    <row r="93" spans="1:10" x14ac:dyDescent="0.25">
      <c r="A93" s="39"/>
      <c r="B93" s="40"/>
      <c r="C93" s="36"/>
      <c r="D93" s="36"/>
      <c r="J93"/>
    </row>
    <row r="94" spans="1:10" x14ac:dyDescent="0.25">
      <c r="A94" s="39"/>
      <c r="B94" s="40"/>
      <c r="C94" s="36"/>
      <c r="D94" s="36"/>
      <c r="E94" s="36"/>
      <c r="F94" s="36"/>
      <c r="G94" s="36"/>
      <c r="H94" s="36"/>
    </row>
    <row r="95" spans="1:10" x14ac:dyDescent="0.25">
      <c r="A95" s="39"/>
      <c r="B95" s="40"/>
      <c r="C95" s="36"/>
      <c r="D95" s="36"/>
      <c r="E95" s="36"/>
      <c r="F95" s="36"/>
      <c r="G95" s="36"/>
      <c r="H95" s="36"/>
    </row>
    <row r="96" spans="1:10" x14ac:dyDescent="0.25">
      <c r="A96" s="39"/>
      <c r="B96" s="40"/>
      <c r="C96" s="36"/>
      <c r="D96" s="36"/>
      <c r="E96" s="36"/>
      <c r="F96" s="36"/>
      <c r="G96" s="36"/>
      <c r="H96" s="36"/>
    </row>
    <row r="97" spans="1:8" x14ac:dyDescent="0.25">
      <c r="A97" s="39"/>
      <c r="B97" s="40"/>
      <c r="C97" s="36"/>
      <c r="D97" s="36"/>
      <c r="E97" s="36"/>
      <c r="F97" s="36"/>
      <c r="G97" s="36"/>
      <c r="H97" s="36"/>
    </row>
    <row r="98" spans="1:8" x14ac:dyDescent="0.25">
      <c r="A98" s="39"/>
      <c r="B98" s="40"/>
      <c r="C98" s="36"/>
      <c r="D98" s="36"/>
      <c r="E98" s="36"/>
      <c r="F98" s="36"/>
      <c r="G98" s="36"/>
      <c r="H98" s="36"/>
    </row>
    <row r="99" spans="1:8" x14ac:dyDescent="0.25">
      <c r="A99" s="39"/>
      <c r="B99" s="40"/>
      <c r="C99" s="36"/>
      <c r="D99" s="36"/>
      <c r="E99" s="36"/>
      <c r="F99" s="36"/>
      <c r="G99" s="36"/>
      <c r="H99" s="36"/>
    </row>
    <row r="100" spans="1:8" x14ac:dyDescent="0.25">
      <c r="A100" s="39"/>
      <c r="B100" s="40"/>
      <c r="C100" s="36"/>
      <c r="D100" s="36"/>
      <c r="E100" s="36"/>
      <c r="F100" s="36"/>
      <c r="G100" s="36"/>
      <c r="H100" s="36"/>
    </row>
    <row r="101" spans="1:8" x14ac:dyDescent="0.25">
      <c r="A101" s="39"/>
      <c r="B101" s="36"/>
      <c r="C101" s="36"/>
      <c r="D101" s="36"/>
      <c r="E101" s="36"/>
      <c r="F101" s="36"/>
      <c r="G101" s="36"/>
      <c r="H101" s="36"/>
    </row>
    <row r="102" spans="1:8" x14ac:dyDescent="0.25">
      <c r="A102" s="39"/>
      <c r="B102" s="36"/>
      <c r="C102" s="36"/>
      <c r="D102" s="36"/>
      <c r="E102" s="36"/>
      <c r="F102" s="36"/>
      <c r="G102" s="36"/>
      <c r="H102" s="36"/>
    </row>
    <row r="103" spans="1:8" x14ac:dyDescent="0.25">
      <c r="A103" s="38"/>
      <c r="B103" s="36"/>
      <c r="C103" s="36"/>
      <c r="D103" s="36"/>
      <c r="E103" s="36"/>
      <c r="F103" s="36"/>
      <c r="G103" s="36"/>
      <c r="H103" s="36"/>
    </row>
    <row r="104" spans="1:8" x14ac:dyDescent="0.25">
      <c r="A104" s="38"/>
      <c r="B104" s="36"/>
      <c r="C104" s="36"/>
      <c r="D104" s="36"/>
      <c r="E104" s="36"/>
      <c r="F104" s="36"/>
      <c r="G104" s="36"/>
      <c r="H104" s="36"/>
    </row>
    <row r="105" spans="1:8" x14ac:dyDescent="0.25">
      <c r="A105" s="38"/>
      <c r="B105" s="36"/>
      <c r="C105" s="36"/>
      <c r="D105" s="36"/>
      <c r="E105" s="36"/>
      <c r="F105" s="36"/>
      <c r="G105" s="36"/>
      <c r="H105" s="36"/>
    </row>
    <row r="106" spans="1:8" x14ac:dyDescent="0.25">
      <c r="A106" s="38"/>
      <c r="B106" s="36"/>
      <c r="C106" s="36"/>
      <c r="D106" s="36"/>
      <c r="E106" s="36"/>
      <c r="F106" s="36"/>
      <c r="G106" s="36"/>
      <c r="H106" s="36"/>
    </row>
    <row r="107" spans="1:8" x14ac:dyDescent="0.25">
      <c r="A107" s="38"/>
      <c r="B107" s="36"/>
      <c r="C107" s="36"/>
      <c r="D107" s="36"/>
      <c r="E107" s="36"/>
      <c r="F107" s="36"/>
      <c r="G107" s="36"/>
      <c r="H107" s="36"/>
    </row>
    <row r="108" spans="1:8" x14ac:dyDescent="0.25">
      <c r="A108" s="38"/>
      <c r="B108" s="36"/>
      <c r="C108" s="36"/>
      <c r="D108" s="36"/>
      <c r="E108" s="36"/>
      <c r="F108" s="36"/>
      <c r="G108" s="36"/>
      <c r="H108" s="36"/>
    </row>
    <row r="109" spans="1:8" x14ac:dyDescent="0.25">
      <c r="A109" s="38"/>
      <c r="B109" s="36"/>
      <c r="C109" s="36"/>
      <c r="D109" s="36"/>
      <c r="E109" s="36"/>
      <c r="F109" s="36"/>
      <c r="G109" s="36"/>
      <c r="H109" s="36"/>
    </row>
    <row r="110" spans="1:8" x14ac:dyDescent="0.25">
      <c r="A110" s="38"/>
      <c r="B110" s="36"/>
      <c r="C110" s="36"/>
      <c r="D110" s="36"/>
      <c r="E110" s="36"/>
      <c r="F110" s="36"/>
      <c r="G110" s="36"/>
      <c r="H110" s="36"/>
    </row>
    <row r="111" spans="1:8" x14ac:dyDescent="0.25">
      <c r="A111" s="38"/>
      <c r="B111" s="36"/>
      <c r="C111" s="36"/>
      <c r="D111" s="36"/>
      <c r="E111" s="36"/>
      <c r="F111" s="36"/>
      <c r="G111" s="36"/>
      <c r="H111" s="36"/>
    </row>
    <row r="112" spans="1:8" x14ac:dyDescent="0.25">
      <c r="A112" s="38"/>
      <c r="B112" s="36"/>
      <c r="C112" s="36"/>
      <c r="D112" s="36"/>
      <c r="E112" s="36"/>
      <c r="F112" s="36"/>
      <c r="G112" s="36"/>
      <c r="H112" s="36"/>
    </row>
    <row r="113" spans="1:8" x14ac:dyDescent="0.25">
      <c r="A113" s="38"/>
      <c r="B113" s="36"/>
      <c r="C113" s="36"/>
      <c r="D113" s="36"/>
      <c r="E113" s="36"/>
      <c r="F113" s="36"/>
      <c r="G113" s="36"/>
      <c r="H113" s="36"/>
    </row>
    <row r="114" spans="1:8" x14ac:dyDescent="0.25">
      <c r="A114" s="38"/>
      <c r="B114" s="36"/>
      <c r="C114" s="36"/>
      <c r="D114" s="36"/>
      <c r="E114" s="36"/>
      <c r="F114" s="36"/>
      <c r="G114" s="36"/>
      <c r="H114" s="36"/>
    </row>
    <row r="115" spans="1:8" x14ac:dyDescent="0.25">
      <c r="A115" s="38"/>
      <c r="B115" s="36"/>
      <c r="C115" s="36"/>
      <c r="D115" s="36"/>
      <c r="E115" s="36"/>
      <c r="F115" s="36"/>
      <c r="G115" s="36"/>
      <c r="H115" s="36"/>
    </row>
    <row r="116" spans="1:8" x14ac:dyDescent="0.25">
      <c r="A116" s="38"/>
      <c r="B116" s="36"/>
      <c r="C116" s="36"/>
      <c r="D116" s="36"/>
      <c r="E116" s="36"/>
      <c r="F116" s="36"/>
      <c r="G116" s="36"/>
      <c r="H116" s="36"/>
    </row>
    <row r="117" spans="1:8" x14ac:dyDescent="0.25">
      <c r="A117" s="38"/>
      <c r="B117" s="36"/>
      <c r="C117" s="36"/>
      <c r="D117" s="36"/>
      <c r="E117" s="36"/>
      <c r="F117" s="36"/>
      <c r="G117" s="36"/>
      <c r="H117" s="36"/>
    </row>
    <row r="118" spans="1:8" x14ac:dyDescent="0.25">
      <c r="A118" s="38"/>
      <c r="B118" s="36"/>
      <c r="C118" s="36"/>
      <c r="D118" s="36"/>
      <c r="E118" s="36"/>
      <c r="F118" s="36"/>
      <c r="G118" s="36"/>
      <c r="H118" s="36"/>
    </row>
    <row r="119" spans="1:8" x14ac:dyDescent="0.25">
      <c r="A119" s="38"/>
      <c r="B119" s="36"/>
      <c r="C119" s="36"/>
      <c r="D119" s="36"/>
      <c r="E119" s="36"/>
      <c r="F119" s="36"/>
      <c r="G119" s="36"/>
      <c r="H119" s="36"/>
    </row>
    <row r="120" spans="1:8" x14ac:dyDescent="0.25">
      <c r="A120" s="38"/>
      <c r="B120" s="36"/>
      <c r="C120" s="36"/>
      <c r="D120" s="36"/>
      <c r="E120" s="36"/>
      <c r="F120" s="36"/>
      <c r="G120" s="36"/>
      <c r="H120" s="36"/>
    </row>
    <row r="121" spans="1:8" x14ac:dyDescent="0.25">
      <c r="A121" s="174"/>
      <c r="B121" s="174"/>
      <c r="C121" s="36"/>
      <c r="D121" s="36"/>
      <c r="E121" s="36"/>
      <c r="F121" s="36"/>
      <c r="G121" s="36"/>
      <c r="H121" s="36"/>
    </row>
    <row r="122" spans="1:8" x14ac:dyDescent="0.25">
      <c r="A122" s="38"/>
      <c r="B122" s="36"/>
      <c r="C122" s="36"/>
      <c r="D122" s="36"/>
      <c r="E122" s="36"/>
      <c r="F122" s="36"/>
      <c r="G122" s="36"/>
      <c r="H122" s="36"/>
    </row>
    <row r="123" spans="1:8" x14ac:dyDescent="0.25">
      <c r="A123" s="38"/>
      <c r="B123" s="36"/>
      <c r="C123" s="42"/>
      <c r="D123" s="36"/>
      <c r="E123" s="36"/>
      <c r="F123" s="36"/>
      <c r="G123" s="36"/>
      <c r="H123" s="36"/>
    </row>
    <row r="124" spans="1:8" x14ac:dyDescent="0.25">
      <c r="E124" s="36"/>
      <c r="F124" s="36"/>
      <c r="G124" s="36"/>
      <c r="H124" s="36"/>
    </row>
  </sheetData>
  <mergeCells count="5">
    <mergeCell ref="A121:B121"/>
    <mergeCell ref="A1:B1"/>
    <mergeCell ref="H1:I1"/>
    <mergeCell ref="M1:N1"/>
    <mergeCell ref="R1:S1"/>
  </mergeCells>
  <pageMargins left="0.23622047244094491" right="0.23622047244094491" top="0.74803149606299213" bottom="0.74803149606299213" header="0.31496062992125984" footer="0.31496062992125984"/>
  <pageSetup paperSize="9" scale="97" orientation="landscape" r:id="rId1"/>
  <colBreaks count="1" manualBreakCount="1">
    <brk id="10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9</vt:i4>
      </vt:variant>
    </vt:vector>
  </HeadingPairs>
  <TitlesOfParts>
    <vt:vector size="21" baseType="lpstr">
      <vt:lpstr>Costos</vt:lpstr>
      <vt:lpstr>Hoja2</vt:lpstr>
      <vt:lpstr>Lista P Imprimir Horizontal</vt:lpstr>
      <vt:lpstr>Imprimir Valor Fabrica</vt:lpstr>
      <vt:lpstr>Imprimir Valor Vendedor</vt:lpstr>
      <vt:lpstr>Imprimir Valor Vorrazo</vt:lpstr>
      <vt:lpstr>Creacion de Precios</vt:lpstr>
      <vt:lpstr>Punto de Equilibrio</vt:lpstr>
      <vt:lpstr>Lista Vendedor borra-Sep</vt:lpstr>
      <vt:lpstr>Lavado y Planchado</vt:lpstr>
      <vt:lpstr>Hoja3</vt:lpstr>
      <vt:lpstr>Hoja1</vt:lpstr>
      <vt:lpstr>'Creacion de Precios'!Área_de_impresión</vt:lpstr>
      <vt:lpstr>'Imprimir Valor Fabrica'!Área_de_impresión</vt:lpstr>
      <vt:lpstr>'Imprimir Valor Vendedor'!Área_de_impresión</vt:lpstr>
      <vt:lpstr>'Imprimir Valor Vorrazo'!Área_de_impresión</vt:lpstr>
      <vt:lpstr>'Lavado y Planchado'!Área_de_impresión</vt:lpstr>
      <vt:lpstr>'Lista P Imprimir Horizontal'!Área_de_impresión</vt:lpstr>
      <vt:lpstr>'Lista Vendedor borra-Sep'!Área_de_impresión</vt:lpstr>
      <vt:lpstr>Precios</vt:lpstr>
      <vt:lpstr>Costos!Títulos_a_imprimir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2021-10-21T13:34:00Z</dcterms:modified>
</cp:coreProperties>
</file>