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codeName="ThisWorkbook" defaultThemeVersion="124226"/>
  <mc:AlternateContent xmlns:mc="http://schemas.openxmlformats.org/markup-compatibility/2006">
    <mc:Choice Requires="x15">
      <x15ac:absPath xmlns:x15ac="http://schemas.microsoft.com/office/spreadsheetml/2010/11/ac" url="C:\Users\lavis\OneDrive\Desktop\New folder\"/>
    </mc:Choice>
  </mc:AlternateContent>
  <xr:revisionPtr revIDLastSave="0" documentId="13_ncr:1_{2AB9F7F7-BDD7-49A3-A264-6F8A1555A826}" xr6:coauthVersionLast="47" xr6:coauthVersionMax="47" xr10:uidLastSave="{00000000-0000-0000-0000-000000000000}"/>
  <bookViews>
    <workbookView xWindow="-110" yWindow="-110" windowWidth="19420" windowHeight="11500" tabRatio="926" xr2:uid="{00000000-000D-0000-FFFF-FFFF00000000}"/>
  </bookViews>
  <sheets>
    <sheet name="Basic Details" sheetId="30" r:id="rId1"/>
    <sheet name="Phigh" sheetId="22" r:id="rId2"/>
    <sheet name="Intro" sheetId="23" r:id="rId3"/>
    <sheet name="Land" sheetId="27" r:id="rId4"/>
    <sheet name="PM-MFA" sheetId="24" r:id="rId5"/>
    <sheet name="Pre Operative exp" sheetId="28" r:id="rId6"/>
    <sheet name="Exp" sheetId="25" r:id="rId7"/>
    <sheet name="Dep" sheetId="13" r:id="rId8"/>
    <sheet name="WCAP" sheetId="29" r:id="rId9"/>
    <sheet name="Cost" sheetId="1" r:id="rId10"/>
    <sheet name="Intt" sheetId="14" r:id="rId11"/>
    <sheet name="PL" sheetId="15" r:id="rId12"/>
    <sheet name="BS" sheetId="21" r:id="rId13"/>
    <sheet name="CF" sheetId="19" r:id="rId14"/>
    <sheet name="Pback" sheetId="20" r:id="rId15"/>
    <sheet name="DSCR" sheetId="26" r:id="rId16"/>
  </sheets>
  <definedNames>
    <definedName name="_xlnm.Print_Area" localSheetId="12">BS!$A$1:$F$44</definedName>
    <definedName name="_xlnm.Print_Area" localSheetId="9">Cost!$A$1:$B$41</definedName>
    <definedName name="_xlnm.Print_Area" localSheetId="7">Dep!$A$1:$E$23</definedName>
    <definedName name="_xlnm.Print_Area" localSheetId="15">DSCR!$A$1:$I$31</definedName>
    <definedName name="_xlnm.Print_Area" localSheetId="2">Intro!$A$1:$A$27</definedName>
    <definedName name="_xlnm.Print_Area" localSheetId="10">Intt!$A$1:$E$39</definedName>
    <definedName name="_xlnm.Print_Area" localSheetId="3">Land!$A$1:$D$35</definedName>
    <definedName name="_xlnm.Print_Area" localSheetId="14">Pback!$A$1:$E$27</definedName>
    <definedName name="_xlnm.Print_Area" localSheetId="1">Phigh!$A$1:$D$99</definedName>
    <definedName name="_xlnm.Print_Area" localSheetId="11">PL!$A$1:$F$49</definedName>
    <definedName name="_xlnm.Print_Area" localSheetId="4">'PM-MFA'!$A$1:$E$45</definedName>
    <definedName name="_xlnm.Print_Area" localSheetId="5">'Pre Operative exp'!$A$1:$E$23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9" i="24" l="1"/>
  <c r="E42" i="24" s="1"/>
  <c r="E36" i="24"/>
  <c r="F19" i="30"/>
  <c r="E10" i="24" s="1"/>
  <c r="F20" i="30"/>
  <c r="F21" i="30"/>
  <c r="E12" i="24" s="1"/>
  <c r="F22" i="30"/>
  <c r="F23" i="30"/>
  <c r="F24" i="30"/>
  <c r="E15" i="24" s="1"/>
  <c r="A16" i="24"/>
  <c r="F25" i="30"/>
  <c r="E16" i="24" s="1"/>
  <c r="A17" i="24"/>
  <c r="F26" i="30"/>
  <c r="E17" i="24" s="1"/>
  <c r="A18" i="24"/>
  <c r="F27" i="30"/>
  <c r="E18" i="24" s="1"/>
  <c r="F28" i="30"/>
  <c r="E19" i="24" s="1"/>
  <c r="F29" i="30"/>
  <c r="E20" i="24" s="1"/>
  <c r="A11" i="24"/>
  <c r="B11" i="24"/>
  <c r="C11" i="24"/>
  <c r="D11" i="24"/>
  <c r="E11" i="24"/>
  <c r="A12" i="24"/>
  <c r="B12" i="24"/>
  <c r="C12" i="24"/>
  <c r="D12" i="24"/>
  <c r="A13" i="24"/>
  <c r="B13" i="24"/>
  <c r="C13" i="24"/>
  <c r="D13" i="24"/>
  <c r="E13" i="24"/>
  <c r="A14" i="24"/>
  <c r="B14" i="24"/>
  <c r="C14" i="24"/>
  <c r="D14" i="24"/>
  <c r="E14" i="24"/>
  <c r="A15" i="24"/>
  <c r="B15" i="24"/>
  <c r="C15" i="24"/>
  <c r="D15" i="24"/>
  <c r="B16" i="24"/>
  <c r="C16" i="24"/>
  <c r="D16" i="24"/>
  <c r="B17" i="24"/>
  <c r="C17" i="24"/>
  <c r="D17" i="24"/>
  <c r="B18" i="24"/>
  <c r="C18" i="24"/>
  <c r="D18" i="24"/>
  <c r="A19" i="24"/>
  <c r="B19" i="24"/>
  <c r="C19" i="24"/>
  <c r="D19" i="24"/>
  <c r="A20" i="24"/>
  <c r="B20" i="24"/>
  <c r="C20" i="24"/>
  <c r="D20" i="24"/>
  <c r="D10" i="24"/>
  <c r="C10" i="24"/>
  <c r="B10" i="24"/>
  <c r="A10" i="24"/>
  <c r="E29" i="14"/>
  <c r="E9" i="14"/>
  <c r="A33" i="1"/>
  <c r="B29" i="1"/>
  <c r="D25" i="25"/>
  <c r="B11" i="27"/>
  <c r="C11" i="27"/>
  <c r="A6" i="23" s="1"/>
  <c r="C54" i="22"/>
  <c r="C50" i="22"/>
  <c r="C48" i="22"/>
  <c r="C28" i="22"/>
  <c r="A22" i="22"/>
  <c r="A16" i="22"/>
  <c r="A12" i="22"/>
  <c r="F35" i="21"/>
  <c r="E35" i="21"/>
  <c r="D35" i="21"/>
  <c r="C35" i="21"/>
  <c r="B17" i="15"/>
  <c r="C24" i="27" l="1"/>
  <c r="H11" i="15"/>
  <c r="F31" i="19"/>
  <c r="J12" i="14" l="1"/>
  <c r="C13" i="13" l="1"/>
  <c r="D13" i="13"/>
  <c r="C46" i="22"/>
  <c r="D15" i="13" l="1"/>
  <c r="D17" i="13" s="1"/>
  <c r="D19" i="13" l="1"/>
  <c r="D21" i="13" s="1"/>
  <c r="D23" i="13" s="1"/>
  <c r="K32" i="21"/>
  <c r="G38" i="24"/>
  <c r="C39" i="19"/>
  <c r="D12" i="29"/>
  <c r="B35" i="21" s="1"/>
  <c r="C35" i="19" s="1"/>
  <c r="C31" i="1"/>
  <c r="E29" i="1"/>
  <c r="F21" i="1"/>
  <c r="G28" i="24"/>
  <c r="D10" i="29" l="1"/>
  <c r="B33" i="21" s="1"/>
  <c r="C33" i="19" s="1"/>
  <c r="E31" i="19"/>
  <c r="D31" i="19"/>
  <c r="C31" i="19"/>
  <c r="B24" i="27"/>
  <c r="E22" i="24" l="1"/>
  <c r="E43" i="24" l="1"/>
  <c r="A12" i="29"/>
  <c r="F42" i="24" l="1"/>
  <c r="G44" i="24" s="1"/>
  <c r="C56" i="22"/>
  <c r="B17" i="25" l="1"/>
  <c r="B13" i="1" l="1"/>
  <c r="G42" i="24"/>
  <c r="E23" i="24"/>
  <c r="B26" i="15"/>
  <c r="C26" i="15" s="1"/>
  <c r="D26" i="15" s="1"/>
  <c r="E26" i="15" s="1"/>
  <c r="F26" i="15" s="1"/>
  <c r="F27" i="1"/>
  <c r="A3" i="23" l="1"/>
  <c r="A2" i="27" l="1"/>
  <c r="C82" i="22" l="1"/>
  <c r="A2" i="24"/>
  <c r="A27" i="24" l="1"/>
  <c r="A2" i="13"/>
  <c r="A2" i="29" s="1"/>
  <c r="B15" i="1"/>
  <c r="B27" i="1" s="1"/>
  <c r="A2" i="28"/>
  <c r="A2" i="25" s="1"/>
  <c r="A2" i="14" l="1"/>
  <c r="A2" i="1"/>
  <c r="A1" i="27"/>
  <c r="A1" i="24" s="1"/>
  <c r="A1" i="28" s="1"/>
  <c r="A18" i="23" l="1"/>
  <c r="B80" i="22"/>
  <c r="B90" i="22"/>
  <c r="B78" i="22"/>
  <c r="B76" i="22"/>
  <c r="B74" i="22"/>
  <c r="B72" i="22"/>
  <c r="B70" i="22"/>
  <c r="B68" i="22"/>
  <c r="B66" i="22"/>
  <c r="B64" i="22"/>
  <c r="B62" i="22"/>
  <c r="A48" i="22"/>
  <c r="A50" i="22" l="1"/>
  <c r="A52" i="22" l="1"/>
  <c r="A54" i="22" l="1"/>
  <c r="A56" i="22" s="1"/>
  <c r="B28" i="15"/>
  <c r="A58" i="22" l="1"/>
  <c r="A72" i="22" s="1"/>
  <c r="A82" i="22" s="1"/>
  <c r="C11" i="15"/>
  <c r="C17" i="15" s="1"/>
  <c r="C84" i="22"/>
  <c r="D11" i="25"/>
  <c r="D35" i="19" l="1"/>
  <c r="C33" i="21"/>
  <c r="A84" i="22"/>
  <c r="D11" i="15"/>
  <c r="D17" i="15" s="1"/>
  <c r="H28" i="15"/>
  <c r="E35" i="19" l="1"/>
  <c r="D33" i="21"/>
  <c r="A86" i="22"/>
  <c r="A88" i="22" s="1"/>
  <c r="A90" i="22" s="1"/>
  <c r="A92" i="22" s="1"/>
  <c r="A94" i="22" s="1"/>
  <c r="E11" i="15"/>
  <c r="E17" i="15" s="1"/>
  <c r="C28" i="15"/>
  <c r="F35" i="19" l="1"/>
  <c r="E33" i="21"/>
  <c r="A96" i="22"/>
  <c r="F11" i="15"/>
  <c r="F17" i="15" s="1"/>
  <c r="D28" i="15"/>
  <c r="I28" i="15"/>
  <c r="D16" i="28"/>
  <c r="D17" i="28" s="1"/>
  <c r="A15" i="23" s="1"/>
  <c r="D29" i="27"/>
  <c r="D31" i="27" s="1"/>
  <c r="B11" i="1" s="1"/>
  <c r="C66" i="22"/>
  <c r="D15" i="25"/>
  <c r="A26" i="24"/>
  <c r="D13" i="25"/>
  <c r="C46" i="19"/>
  <c r="G35" i="19" l="1"/>
  <c r="F33" i="21"/>
  <c r="C62" i="22"/>
  <c r="C29" i="19"/>
  <c r="D17" i="25"/>
  <c r="D23" i="25" s="1"/>
  <c r="E28" i="15"/>
  <c r="J28" i="15"/>
  <c r="A9" i="23"/>
  <c r="A2" i="15"/>
  <c r="A2" i="19" s="1"/>
  <c r="A2" i="20" s="1"/>
  <c r="A2" i="21" s="1"/>
  <c r="A2" i="26" s="1"/>
  <c r="A1" i="13"/>
  <c r="A1" i="29" s="1"/>
  <c r="D38" i="25" l="1"/>
  <c r="A1" i="14"/>
  <c r="A1" i="25" s="1"/>
  <c r="A1" i="15" s="1"/>
  <c r="A1" i="19" s="1"/>
  <c r="A1" i="20" s="1"/>
  <c r="A1" i="21" s="1"/>
  <c r="A1" i="26" s="1"/>
  <c r="A1" i="1"/>
  <c r="F28" i="15"/>
  <c r="L28" i="15" s="1"/>
  <c r="K28" i="15"/>
  <c r="C15" i="13"/>
  <c r="D17" i="29" l="1"/>
  <c r="E27" i="1"/>
  <c r="C64" i="22"/>
  <c r="B26" i="21"/>
  <c r="C26" i="21" s="1"/>
  <c r="C17" i="13"/>
  <c r="C19" i="13" s="1"/>
  <c r="B24" i="15"/>
  <c r="H24" i="15" s="1"/>
  <c r="B13" i="13"/>
  <c r="C21" i="13" l="1"/>
  <c r="C23" i="13" s="1"/>
  <c r="E13" i="13"/>
  <c r="D26" i="21"/>
  <c r="B15" i="13"/>
  <c r="B17" i="1"/>
  <c r="C7" i="14"/>
  <c r="B11" i="14" s="1"/>
  <c r="C76" i="22"/>
  <c r="C24" i="15"/>
  <c r="E15" i="13" l="1"/>
  <c r="B30" i="21" s="1"/>
  <c r="E26" i="21"/>
  <c r="C13" i="14"/>
  <c r="D11" i="14"/>
  <c r="C68" i="22"/>
  <c r="C70" i="22" s="1"/>
  <c r="C58" i="22" s="1"/>
  <c r="B20" i="1"/>
  <c r="D24" i="15"/>
  <c r="I24" i="15"/>
  <c r="B17" i="13"/>
  <c r="B33" i="1" l="1"/>
  <c r="B25" i="1"/>
  <c r="B30" i="15"/>
  <c r="C15" i="19" s="1"/>
  <c r="E17" i="13"/>
  <c r="C30" i="21" s="1"/>
  <c r="C31" i="21" s="1"/>
  <c r="F26" i="21"/>
  <c r="C78" i="22"/>
  <c r="G16" i="20"/>
  <c r="C29" i="1"/>
  <c r="C28" i="14"/>
  <c r="B31" i="14" s="1"/>
  <c r="C27" i="1"/>
  <c r="G23" i="20"/>
  <c r="D17" i="1"/>
  <c r="E24" i="15"/>
  <c r="J24" i="15"/>
  <c r="B31" i="21"/>
  <c r="B19" i="13"/>
  <c r="E19" i="13" s="1"/>
  <c r="C30" i="15" l="1"/>
  <c r="C15" i="20" s="1"/>
  <c r="E14" i="26"/>
  <c r="C13" i="20"/>
  <c r="E31" i="14"/>
  <c r="B22" i="15" s="1"/>
  <c r="H12" i="13"/>
  <c r="H13" i="13" s="1"/>
  <c r="B21" i="13"/>
  <c r="C96" i="22"/>
  <c r="B31" i="1"/>
  <c r="C94" i="22" s="1"/>
  <c r="D33" i="19"/>
  <c r="C25" i="1"/>
  <c r="D31" i="1" s="1"/>
  <c r="C74" i="22"/>
  <c r="C80" i="22" s="1"/>
  <c r="B18" i="21"/>
  <c r="C21" i="19" s="1"/>
  <c r="B33" i="14"/>
  <c r="E33" i="14" s="1"/>
  <c r="F24" i="15"/>
  <c r="L24" i="15" s="1"/>
  <c r="K24" i="15"/>
  <c r="F14" i="26" l="1"/>
  <c r="D15" i="19"/>
  <c r="H14" i="13"/>
  <c r="H16" i="13" s="1"/>
  <c r="H17" i="13" s="1"/>
  <c r="E21" i="13"/>
  <c r="E30" i="15" s="1"/>
  <c r="B23" i="13"/>
  <c r="E23" i="13" s="1"/>
  <c r="D30" i="15"/>
  <c r="C17" i="20" s="1"/>
  <c r="D30" i="21"/>
  <c r="E33" i="19"/>
  <c r="C22" i="15"/>
  <c r="C18" i="21"/>
  <c r="D18" i="21" s="1"/>
  <c r="E21" i="19" s="1"/>
  <c r="B35" i="14"/>
  <c r="E35" i="14" s="1"/>
  <c r="E15" i="19" l="1"/>
  <c r="G14" i="26"/>
  <c r="E30" i="21"/>
  <c r="D31" i="21"/>
  <c r="G33" i="19"/>
  <c r="F33" i="19"/>
  <c r="D22" i="15"/>
  <c r="B37" i="14"/>
  <c r="E37" i="14" s="1"/>
  <c r="E18" i="21"/>
  <c r="F18" i="21" s="1"/>
  <c r="G21" i="19" s="1"/>
  <c r="D21" i="19"/>
  <c r="H14" i="26"/>
  <c r="C19" i="20"/>
  <c r="F15" i="19"/>
  <c r="F30" i="15"/>
  <c r="F30" i="21" l="1"/>
  <c r="F31" i="21" s="1"/>
  <c r="E31" i="21"/>
  <c r="B39" i="14"/>
  <c r="E39" i="14" s="1"/>
  <c r="E22" i="15"/>
  <c r="F21" i="19"/>
  <c r="I14" i="26"/>
  <c r="G15" i="19"/>
  <c r="C21" i="20"/>
  <c r="F22" i="15" l="1"/>
  <c r="B40" i="1"/>
  <c r="B12" i="21"/>
  <c r="C17" i="19" s="1"/>
  <c r="C12" i="21" l="1"/>
  <c r="C19" i="19"/>
  <c r="D12" i="21" l="1"/>
  <c r="D17" i="19"/>
  <c r="E20" i="26" l="1"/>
  <c r="E12" i="21"/>
  <c r="E17" i="19"/>
  <c r="C15" i="14"/>
  <c r="C17" i="14" s="1"/>
  <c r="C19" i="14" s="1"/>
  <c r="F12" i="21" l="1"/>
  <c r="F17" i="19"/>
  <c r="F20" i="26"/>
  <c r="G20" i="26" l="1"/>
  <c r="G17" i="19"/>
  <c r="E39" i="19" l="1"/>
  <c r="G39" i="19" l="1"/>
  <c r="F39" i="19"/>
  <c r="D39" i="19"/>
  <c r="B16" i="21"/>
  <c r="J15" i="21" s="1"/>
  <c r="B13" i="14"/>
  <c r="D13" i="14" s="1"/>
  <c r="B20" i="15"/>
  <c r="B32" i="15" s="1"/>
  <c r="C37" i="19" l="1"/>
  <c r="E12" i="26"/>
  <c r="E22" i="26" s="1"/>
  <c r="E24" i="26" s="1"/>
  <c r="B35" i="15"/>
  <c r="B39" i="15" s="1"/>
  <c r="B41" i="15" s="1"/>
  <c r="C41" i="19" s="1"/>
  <c r="C20" i="15"/>
  <c r="C16" i="21"/>
  <c r="K15" i="21" s="1"/>
  <c r="B15" i="14"/>
  <c r="D15" i="14" s="1"/>
  <c r="B17" i="14" s="1"/>
  <c r="C43" i="19" l="1"/>
  <c r="D20" i="15"/>
  <c r="D37" i="19"/>
  <c r="F12" i="26"/>
  <c r="F22" i="26" s="1"/>
  <c r="F24" i="26" s="1"/>
  <c r="C32" i="15"/>
  <c r="C35" i="15" s="1"/>
  <c r="C39" i="15" s="1"/>
  <c r="C41" i="15" s="1"/>
  <c r="C13" i="19"/>
  <c r="C25" i="19" s="1"/>
  <c r="C43" i="15" l="1"/>
  <c r="D13" i="19"/>
  <c r="D25" i="19" s="1"/>
  <c r="D32" i="15"/>
  <c r="D35" i="15" s="1"/>
  <c r="D39" i="15" s="1"/>
  <c r="D41" i="15" s="1"/>
  <c r="G12" i="26"/>
  <c r="G22" i="26" s="1"/>
  <c r="G24" i="26" s="1"/>
  <c r="E37" i="19"/>
  <c r="D16" i="21"/>
  <c r="L15" i="21" s="1"/>
  <c r="E10" i="26"/>
  <c r="E16" i="26" s="1"/>
  <c r="E26" i="26" s="1"/>
  <c r="C47" i="19"/>
  <c r="C48" i="19" s="1"/>
  <c r="B37" i="21" s="1"/>
  <c r="H36" i="15"/>
  <c r="B13" i="20"/>
  <c r="D13" i="20" s="1"/>
  <c r="E13" i="20" s="1"/>
  <c r="D17" i="14" l="1"/>
  <c r="B40" i="21"/>
  <c r="K31" i="21"/>
  <c r="K33" i="21" s="1"/>
  <c r="B43" i="15"/>
  <c r="B45" i="15"/>
  <c r="B14" i="21" s="1"/>
  <c r="D46" i="19"/>
  <c r="E13" i="19"/>
  <c r="E25" i="19" s="1"/>
  <c r="D41" i="19"/>
  <c r="D43" i="19" s="1"/>
  <c r="D47" i="19" s="1"/>
  <c r="I36" i="15"/>
  <c r="F10" i="26"/>
  <c r="F16" i="26" s="1"/>
  <c r="F26" i="26" s="1"/>
  <c r="B15" i="20"/>
  <c r="D15" i="20" s="1"/>
  <c r="E15" i="20" s="1"/>
  <c r="B19" i="14" l="1"/>
  <c r="E16" i="21"/>
  <c r="H20" i="26"/>
  <c r="B21" i="21"/>
  <c r="I21" i="21" s="1"/>
  <c r="J16" i="21"/>
  <c r="J17" i="21" s="1"/>
  <c r="C45" i="15"/>
  <c r="C14" i="21" s="1"/>
  <c r="B17" i="20"/>
  <c r="D17" i="20" s="1"/>
  <c r="E17" i="20" s="1"/>
  <c r="E41" i="19"/>
  <c r="G10" i="26"/>
  <c r="G16" i="26" s="1"/>
  <c r="G26" i="26" s="1"/>
  <c r="J36" i="15"/>
  <c r="G17" i="20"/>
  <c r="E20" i="15"/>
  <c r="F37" i="19" s="1"/>
  <c r="B42" i="21"/>
  <c r="D48" i="19"/>
  <c r="E19" i="14" l="1"/>
  <c r="G31" i="19" s="1"/>
  <c r="I20" i="26" s="1"/>
  <c r="E43" i="19"/>
  <c r="E47" i="19" s="1"/>
  <c r="C21" i="21"/>
  <c r="K16" i="21"/>
  <c r="K17" i="21" s="1"/>
  <c r="D43" i="15"/>
  <c r="D45" i="15" s="1"/>
  <c r="D14" i="21" s="1"/>
  <c r="H23" i="20"/>
  <c r="H24" i="20" s="1"/>
  <c r="H16" i="20"/>
  <c r="G18" i="20" s="1"/>
  <c r="E46" i="19"/>
  <c r="C37" i="21"/>
  <c r="E32" i="15"/>
  <c r="E35" i="15" s="1"/>
  <c r="E39" i="15" s="1"/>
  <c r="E41" i="15" s="1"/>
  <c r="F41" i="19" s="1"/>
  <c r="F43" i="19" s="1"/>
  <c r="H12" i="26"/>
  <c r="H22" i="26" s="1"/>
  <c r="H24" i="26" s="1"/>
  <c r="C42" i="21"/>
  <c r="D19" i="14" l="1"/>
  <c r="F16" i="21" s="1"/>
  <c r="E48" i="19"/>
  <c r="D37" i="21" s="1"/>
  <c r="D21" i="21"/>
  <c r="L16" i="21"/>
  <c r="L17" i="21" s="1"/>
  <c r="C40" i="21"/>
  <c r="I40" i="21" s="1"/>
  <c r="F20" i="15"/>
  <c r="G37" i="19" s="1"/>
  <c r="F13" i="19"/>
  <c r="F25" i="19" s="1"/>
  <c r="D42" i="21"/>
  <c r="F46" i="19" l="1"/>
  <c r="D40" i="21"/>
  <c r="K21" i="21" s="1"/>
  <c r="J21" i="21"/>
  <c r="J22" i="21" s="1"/>
  <c r="K36" i="15"/>
  <c r="B19" i="20"/>
  <c r="D19" i="20" s="1"/>
  <c r="E19" i="20" s="1"/>
  <c r="H10" i="26"/>
  <c r="H16" i="26" s="1"/>
  <c r="H26" i="26" s="1"/>
  <c r="F47" i="19"/>
  <c r="F32" i="15"/>
  <c r="F35" i="15" s="1"/>
  <c r="F39" i="15" s="1"/>
  <c r="F41" i="15" s="1"/>
  <c r="G41" i="19" s="1"/>
  <c r="I12" i="26"/>
  <c r="I22" i="26" s="1"/>
  <c r="I24" i="26" s="1"/>
  <c r="F48" i="19" l="1"/>
  <c r="E37" i="21" s="1"/>
  <c r="K22" i="21"/>
  <c r="J40" i="21"/>
  <c r="G13" i="19"/>
  <c r="G25" i="19" s="1"/>
  <c r="E43" i="15"/>
  <c r="E45" i="15" s="1"/>
  <c r="E14" i="21" s="1"/>
  <c r="E21" i="21" s="1"/>
  <c r="G46" i="19" l="1"/>
  <c r="E40" i="21"/>
  <c r="L21" i="21" s="1"/>
  <c r="L22" i="21" s="1"/>
  <c r="G43" i="19"/>
  <c r="G47" i="19" s="1"/>
  <c r="I10" i="26"/>
  <c r="I16" i="26" s="1"/>
  <c r="I26" i="26" s="1"/>
  <c r="G30" i="26" s="1"/>
  <c r="C90" i="22" s="1"/>
  <c r="B21" i="20"/>
  <c r="D21" i="20" s="1"/>
  <c r="E21" i="20" s="1"/>
  <c r="L36" i="15"/>
  <c r="E42" i="21"/>
  <c r="G48" i="19" l="1"/>
  <c r="F37" i="21" s="1"/>
  <c r="F40" i="21" s="1"/>
  <c r="K40" i="21"/>
  <c r="F43" i="15"/>
  <c r="F45" i="15" s="1"/>
  <c r="F14" i="21" s="1"/>
  <c r="F21" i="21" s="1"/>
  <c r="L40" i="21" l="1"/>
  <c r="M21" i="21"/>
  <c r="M22" i="21" s="1"/>
  <c r="F42" i="21"/>
  <c r="D44" i="21" s="1"/>
  <c r="B36" i="1" s="1"/>
</calcChain>
</file>

<file path=xl/sharedStrings.xml><?xml version="1.0" encoding="utf-8"?>
<sst xmlns="http://schemas.openxmlformats.org/spreadsheetml/2006/main" count="327" uniqueCount="273">
  <si>
    <t xml:space="preserve">                        Profit After Tax</t>
  </si>
  <si>
    <t>PROJECT COST</t>
  </si>
  <si>
    <t>S. No.  PARTICULARS</t>
  </si>
  <si>
    <t>MEANS OF FINANCE</t>
  </si>
  <si>
    <t>1.0       Promoter's Contribution</t>
  </si>
  <si>
    <t>DEBT - EQUITY RATIO</t>
  </si>
  <si>
    <t>PROMOTERS' CONTRIBUTION</t>
  </si>
  <si>
    <t>TO PROJECT COST</t>
  </si>
  <si>
    <t xml:space="preserve">        ( Rs. In Lakhs )</t>
  </si>
  <si>
    <t xml:space="preserve"> </t>
  </si>
  <si>
    <t xml:space="preserve">                  ( Rs. In Lakhs )</t>
  </si>
  <si>
    <t>A.        Depreciation under</t>
  </si>
  <si>
    <t xml:space="preserve">              Total</t>
  </si>
  <si>
    <t xml:space="preserve">          Rate of Dep.</t>
  </si>
  <si>
    <t xml:space="preserve">          Value of Assets</t>
  </si>
  <si>
    <t xml:space="preserve">          1st Year Dep.</t>
  </si>
  <si>
    <t xml:space="preserve">          2nd Year Dep.</t>
  </si>
  <si>
    <t xml:space="preserve">          3rd Year Dep.</t>
  </si>
  <si>
    <t xml:space="preserve">          4th Year Dep.</t>
  </si>
  <si>
    <t xml:space="preserve">          5th Year Dep.</t>
  </si>
  <si>
    <t>Interest Calculation &amp; Repayment of Loan</t>
  </si>
  <si>
    <t>Term Loan</t>
  </si>
  <si>
    <t xml:space="preserve">  Opening Bal.</t>
  </si>
  <si>
    <t xml:space="preserve">  Repayment</t>
  </si>
  <si>
    <t xml:space="preserve">  Closing Bal.</t>
  </si>
  <si>
    <t>Particulars</t>
  </si>
  <si>
    <t xml:space="preserve">                                  Operating Years</t>
  </si>
  <si>
    <t xml:space="preserve">          1st</t>
  </si>
  <si>
    <t xml:space="preserve">         2nd</t>
  </si>
  <si>
    <t xml:space="preserve">          3rd</t>
  </si>
  <si>
    <t xml:space="preserve">          4th</t>
  </si>
  <si>
    <t xml:space="preserve">          5th</t>
  </si>
  <si>
    <t>A.        SOURCES OF FUNDS</t>
  </si>
  <si>
    <t>B.        APPLICATION OF FUNDS</t>
  </si>
  <si>
    <t xml:space="preserve">         ( Rs. In Lakhs )</t>
  </si>
  <si>
    <t xml:space="preserve">                                           Total ( A )</t>
  </si>
  <si>
    <t xml:space="preserve">                                           Total ( B )</t>
  </si>
  <si>
    <t>Opening Balance</t>
  </si>
  <si>
    <t>Net Surplus ( A - B )</t>
  </si>
  <si>
    <t>Closing Balance</t>
  </si>
  <si>
    <t>Pay Back Period</t>
  </si>
  <si>
    <t xml:space="preserve">                    Basis :- Profit After Tax</t>
  </si>
  <si>
    <t xml:space="preserve">                               ( Rs. In Lakhs )</t>
  </si>
  <si>
    <t xml:space="preserve">             Year </t>
  </si>
  <si>
    <t xml:space="preserve"> Cash Accruals</t>
  </si>
  <si>
    <t>Cumulative Accruals</t>
  </si>
  <si>
    <t>PAY BACK PERIOD              =</t>
  </si>
  <si>
    <t xml:space="preserve">            Depn.</t>
  </si>
  <si>
    <t xml:space="preserve">            ( Rs. In Lakhs )</t>
  </si>
  <si>
    <t xml:space="preserve">            1st</t>
  </si>
  <si>
    <t xml:space="preserve">           2nd</t>
  </si>
  <si>
    <t xml:space="preserve">             3rd</t>
  </si>
  <si>
    <t xml:space="preserve">            4th</t>
  </si>
  <si>
    <t xml:space="preserve">            5th</t>
  </si>
  <si>
    <t>A.       LIABILITIES</t>
  </si>
  <si>
    <t xml:space="preserve">          1.0 Promoter's Contribution</t>
  </si>
  <si>
    <t xml:space="preserve">          2.0 Reserves &amp; Surplus</t>
  </si>
  <si>
    <t xml:space="preserve">          3.0 Term Loan</t>
  </si>
  <si>
    <t xml:space="preserve">                                        Total ( A )</t>
  </si>
  <si>
    <t>B.       ASSETS</t>
  </si>
  <si>
    <t xml:space="preserve">          1.0 Fixed Assets</t>
  </si>
  <si>
    <t xml:space="preserve">               Gross Block</t>
  </si>
  <si>
    <t xml:space="preserve">               Less Depreciation</t>
  </si>
  <si>
    <t xml:space="preserve">                                       Total ( B ) </t>
  </si>
  <si>
    <t>(Rs. In Lakhs )</t>
  </si>
  <si>
    <t>PROJECT HIGHLIGHTS</t>
  </si>
  <si>
    <t xml:space="preserve">                                                     Total:- ( A )</t>
  </si>
  <si>
    <t xml:space="preserve">                                                     Total:- ( B )</t>
  </si>
  <si>
    <t>Constitution</t>
  </si>
  <si>
    <t xml:space="preserve">PROJECT PROFILE </t>
  </si>
  <si>
    <t>INTRODUCTION</t>
  </si>
  <si>
    <t xml:space="preserve">      ( Rs. In Lakhs)</t>
  </si>
  <si>
    <t>AMOUNT</t>
  </si>
  <si>
    <t>Operating Years</t>
  </si>
  <si>
    <t>Detail of Miscellaneous Fixed Assets</t>
  </si>
  <si>
    <t>(Rs. In Lakhs)</t>
  </si>
  <si>
    <t>G. Total :-</t>
  </si>
  <si>
    <t>Detail of Salaries and other Administrative Expenses</t>
  </si>
  <si>
    <t>S. No.  Particulars</t>
  </si>
  <si>
    <t xml:space="preserve">  Monthly Salary</t>
  </si>
  <si>
    <t xml:space="preserve"> Total per annum</t>
  </si>
  <si>
    <t xml:space="preserve">      ( in Rs. )</t>
  </si>
  <si>
    <t xml:space="preserve">    ( Rs. In Lakhs )</t>
  </si>
  <si>
    <t>Total :-</t>
  </si>
  <si>
    <t xml:space="preserve">            etc.</t>
  </si>
  <si>
    <t xml:space="preserve">            Expenses</t>
  </si>
  <si>
    <t>1.0       Land &amp; Building</t>
  </si>
  <si>
    <t>2.0       Plant &amp; Machinery</t>
  </si>
  <si>
    <t>Plant &amp;</t>
  </si>
  <si>
    <t>Machinery</t>
  </si>
  <si>
    <t>Working Capital</t>
  </si>
  <si>
    <t>W/c Loan</t>
  </si>
  <si>
    <t xml:space="preserve">          4.0 Working Capital Loan</t>
  </si>
  <si>
    <t xml:space="preserve">          2.0 Closing Stock</t>
  </si>
  <si>
    <t>S. No.</t>
  </si>
  <si>
    <t>Name of item</t>
  </si>
  <si>
    <t>Qty.</t>
  </si>
  <si>
    <t>Rate</t>
  </si>
  <si>
    <t>Amount (in Rs.)</t>
  </si>
  <si>
    <t>Total: -</t>
  </si>
  <si>
    <t>5.0       Advertisement/Publicity</t>
  </si>
  <si>
    <t>6.0       Staff Welfare/Entertainment etc.</t>
  </si>
  <si>
    <t>(AMT. IN LACS )</t>
  </si>
  <si>
    <t xml:space="preserve">DEBT SERVICE  COVERAGE  RATIO  </t>
  </si>
  <si>
    <t>PARTICULARS</t>
  </si>
  <si>
    <t xml:space="preserve">  YEAR-I</t>
  </si>
  <si>
    <t xml:space="preserve"> YEAR-II</t>
  </si>
  <si>
    <t>YEAR-III</t>
  </si>
  <si>
    <t>YEAR-IV</t>
  </si>
  <si>
    <t>YEAR-V</t>
  </si>
  <si>
    <t>(I)  Net Profit  After   Tax</t>
  </si>
  <si>
    <t>(ii)  Interest</t>
  </si>
  <si>
    <t>(iii)  Depreciation</t>
  </si>
  <si>
    <t>(B) DEBT  OBLIGATIONS</t>
  </si>
  <si>
    <t>(I)  Term Loan Installment</t>
  </si>
  <si>
    <t>(C) DEBT SERVICE</t>
  </si>
  <si>
    <t xml:space="preserve">      COVERAGE RATIO</t>
  </si>
  <si>
    <t xml:space="preserve">(D) AVERAGE DEBT SERVICE </t>
  </si>
  <si>
    <t xml:space="preserve">       COVERAGE RATIO</t>
  </si>
  <si>
    <t>4.0       Working Capital</t>
  </si>
  <si>
    <t>2.0       Working Capital Loan</t>
  </si>
  <si>
    <t xml:space="preserve">            (Stock)</t>
  </si>
  <si>
    <t>Line of Activity</t>
  </si>
  <si>
    <t>Shift</t>
  </si>
  <si>
    <t>Single; 8 Hours</t>
  </si>
  <si>
    <t>Working Days Per Annum</t>
  </si>
  <si>
    <t>Power Load</t>
  </si>
  <si>
    <t>In Favour of</t>
  </si>
  <si>
    <t>For</t>
  </si>
  <si>
    <t>DETAILS OF LAND AND BUILDING</t>
  </si>
  <si>
    <t>DETAILS OF MISCELLANEOUS FIXED ASSETS</t>
  </si>
  <si>
    <t>DETAILS OF PRELIMINARY &amp; PRE OPERATIVES EXPENSES</t>
  </si>
  <si>
    <t>DETAILS OF UTILITIES</t>
  </si>
  <si>
    <t>DETAILS OF MAN POWER REQUIREMENT</t>
  </si>
  <si>
    <t>DETAILS OF DEPRECIATION SCHEDULE</t>
  </si>
  <si>
    <t>CASH FLOW STATEMENT</t>
  </si>
  <si>
    <t>Annex - I</t>
  </si>
  <si>
    <t>Area</t>
  </si>
  <si>
    <t>Total Cost</t>
  </si>
  <si>
    <t>Annex - II</t>
  </si>
  <si>
    <t>ESTIMATED COST&amp; DETAILS OF BUILDING</t>
  </si>
  <si>
    <t>ESTIMATED COST &amp; DETAILS OF LAND</t>
  </si>
  <si>
    <t>Grand Total</t>
  </si>
  <si>
    <t>Qty</t>
  </si>
  <si>
    <t>Annex- III</t>
  </si>
  <si>
    <t>DETAIL OF PLANT &amp; MACHINERY</t>
  </si>
  <si>
    <t>Annex- IV</t>
  </si>
  <si>
    <t>DETAILS OF PRELIMINARY &amp; PRE-OPERATIVE EXPENSES</t>
  </si>
  <si>
    <t>Registration, Project report etc.</t>
  </si>
  <si>
    <t>Travelling</t>
  </si>
  <si>
    <t>Legal Expenses</t>
  </si>
  <si>
    <t xml:space="preserve">               Net Block</t>
  </si>
  <si>
    <t>A. SALES REVENUE</t>
  </si>
  <si>
    <t>D. FINANCIAL EXPENSES</t>
  </si>
  <si>
    <t>1. BANK INTEREST (TERM LOAN)</t>
  </si>
  <si>
    <t>2. BANK INTEREST (C/C)</t>
  </si>
  <si>
    <t>WITHDRAWLS</t>
  </si>
  <si>
    <t>BALANCE CARRIED TO BALANCE SHEET</t>
  </si>
  <si>
    <t>CUMULATIVE PROFIT</t>
  </si>
  <si>
    <t>PROJECTED PROFIT &amp; LOSS ACCOUNT FOR FIVE YEARS</t>
  </si>
  <si>
    <t xml:space="preserve">           1.0 PROFIT BEFORE INTT., TAXES BUT</t>
  </si>
  <si>
    <t xml:space="preserve">                 AFTER DEPRECAITION</t>
  </si>
  <si>
    <t xml:space="preserve">           2.0 DEPRECIATION</t>
  </si>
  <si>
    <t xml:space="preserve">           3.0 INCREASE IN PROMOTOR'S CONTRIBUTION</t>
  </si>
  <si>
    <t xml:space="preserve">           4.0 INCREASE IN TERM LOAN</t>
  </si>
  <si>
    <t xml:space="preserve">           5.0 INCREASE IN C/C LOAN</t>
  </si>
  <si>
    <t xml:space="preserve">           1.0 CAPITAL EXPENDITURE</t>
  </si>
  <si>
    <t/>
  </si>
  <si>
    <t xml:space="preserve">           2.0 DECREASE IN TERM LOAN</t>
  </si>
  <si>
    <t xml:space="preserve">           3.0 INCREASE IN STOCK</t>
  </si>
  <si>
    <t>PROJECTED CASH FLOW STATEMENT</t>
  </si>
  <si>
    <t>PROJECTED BALANCE SHEET</t>
  </si>
  <si>
    <t>The detail of Miscellaneous Fixed Assets shown in Annex - III.</t>
  </si>
  <si>
    <t>Nos.</t>
  </si>
  <si>
    <t>(Including GST, loading, unloading, freight etc.)</t>
  </si>
  <si>
    <t>Furniture &amp;</t>
  </si>
  <si>
    <t>Fittings</t>
  </si>
  <si>
    <t>E. PAYMENT &amp; BENEFIT TO EMPLOYEES</t>
  </si>
  <si>
    <t>(in Lacs)</t>
  </si>
  <si>
    <t>Annex-V</t>
  </si>
  <si>
    <t>Annex- VI</t>
  </si>
  <si>
    <t>The details of Depreciation Schedule shown in Annex - VI.</t>
  </si>
  <si>
    <t>COST OF PROJECT &amp; MEANS OF FINANCE</t>
  </si>
  <si>
    <t>DEPRECIATION COMPUTATION</t>
  </si>
  <si>
    <t>The details of cash flow are given in Projected Cash Flow Statement for the project. It is clear from the statement that the unit will be able to generate sufficient cash flows to maintain smooth flow of business.</t>
  </si>
  <si>
    <t>Proprietorship</t>
  </si>
  <si>
    <t>2.0       Term Loan</t>
  </si>
  <si>
    <t>8.0       Printing &amp; Stationery, Postage, Telephone</t>
  </si>
  <si>
    <t>9.0      Travelling &amp; Conveyances, Petrol, Diesel</t>
  </si>
  <si>
    <t>Details Of Preliminary &amp; Pre-Operative Expenses</t>
  </si>
  <si>
    <t>Depreciation</t>
  </si>
  <si>
    <t>WDV Method</t>
  </si>
  <si>
    <t>Electrical Equipments &amp; Fittings</t>
  </si>
  <si>
    <t>.</t>
  </si>
  <si>
    <t>Name of the Unit</t>
  </si>
  <si>
    <t>Address of the Promoter</t>
  </si>
  <si>
    <t>Name of the Promoter</t>
  </si>
  <si>
    <t>Proposed Location of the Unit</t>
  </si>
  <si>
    <t>Project Cost</t>
  </si>
  <si>
    <t>Amount (Rs. In Lacs)</t>
  </si>
  <si>
    <t>Repayment Period</t>
  </si>
  <si>
    <t>Employment Potential</t>
  </si>
  <si>
    <t>-</t>
  </si>
  <si>
    <t>Years</t>
  </si>
  <si>
    <t>DETAILS OF ESTIMATED COST OF PLANT AND MACHINERY</t>
  </si>
  <si>
    <t>10.0     Repairs &amp; Other administrative expenses</t>
  </si>
  <si>
    <t>(A) CASH  ACCRUALS</t>
  </si>
  <si>
    <t>Debt Equity Ratio</t>
  </si>
  <si>
    <t>Average DER</t>
  </si>
  <si>
    <t>G. GENERAL &amp; ADMIN EXPENSES</t>
  </si>
  <si>
    <t>H. DEPRECIATION (WDV)</t>
  </si>
  <si>
    <t>I. TOTAL (D + E+ F + G)</t>
  </si>
  <si>
    <t>J. PROFIT BEFORE TAX</t>
  </si>
  <si>
    <t xml:space="preserve">K. INCOME TAX </t>
  </si>
  <si>
    <t>L. PROFIT AFTER TAX</t>
  </si>
  <si>
    <t>F. RENT</t>
  </si>
  <si>
    <r>
      <t xml:space="preserve">The details of Man Power Required and respective costs are shown in Annex V - </t>
    </r>
    <r>
      <rPr>
        <i/>
        <sz val="11"/>
        <rFont val="Century Gothic"/>
        <family val="2"/>
      </rPr>
      <t>"Detail of Salaries and other Administrative Expenses"</t>
    </r>
    <r>
      <rPr>
        <sz val="11"/>
        <rFont val="Century Gothic"/>
        <family val="2"/>
      </rPr>
      <t>. Benefits @10% have been added to the Total Employee costs.</t>
    </r>
  </si>
  <si>
    <t>2.0       Skilled</t>
  </si>
  <si>
    <t>3.0       Unskilled</t>
  </si>
  <si>
    <t>Working Capital Requirement</t>
  </si>
  <si>
    <t>Sr. No.</t>
  </si>
  <si>
    <t xml:space="preserve"> Period</t>
  </si>
  <si>
    <t>Amount</t>
  </si>
  <si>
    <t>Debtors</t>
  </si>
  <si>
    <t>Per Working Capital Cycle</t>
  </si>
  <si>
    <t xml:space="preserve">Stock </t>
  </si>
  <si>
    <t xml:space="preserve">Subsidy from KVIB/ DIC  </t>
  </si>
  <si>
    <t>PROPRIETOR</t>
  </si>
  <si>
    <t>AT</t>
  </si>
  <si>
    <t>CHARTERED ACCOUNTANTS</t>
  </si>
  <si>
    <t>M.No - 571401</t>
  </si>
  <si>
    <t>FRN - 040833N</t>
  </si>
  <si>
    <t>The annexed projections have been prepared on the basis of information provided to us by the promoter. See Annexed Report attached.</t>
  </si>
  <si>
    <t>3.0 Debtors</t>
  </si>
  <si>
    <t xml:space="preserve">          4.0 Cash &amp; Bank Balances</t>
  </si>
  <si>
    <t xml:space="preserve">           4.0 INCREASE IN DEBTORS</t>
  </si>
  <si>
    <t xml:space="preserve">           5.0 INTT. ON BANK LOAN  </t>
  </si>
  <si>
    <t xml:space="preserve">           6.0 TAXATION</t>
  </si>
  <si>
    <t xml:space="preserve">           7.0 WITHDRAWALS</t>
  </si>
  <si>
    <t>x</t>
  </si>
  <si>
    <t xml:space="preserve">               Less Subsidy</t>
  </si>
  <si>
    <t xml:space="preserve">           6.0 SUBSIDY</t>
  </si>
  <si>
    <t>LABORATORY AND DIAGNOSTICS CENTRE</t>
  </si>
  <si>
    <t>Rented</t>
  </si>
  <si>
    <t>11.0    Electricity etc.</t>
  </si>
  <si>
    <t>Electric Equipments</t>
  </si>
  <si>
    <t>3.0       Furniture &amp; Fixtures &amp; Electric Equipments</t>
  </si>
  <si>
    <t>4 KVA</t>
  </si>
  <si>
    <t>For L T GUPTA &amp; CO.</t>
  </si>
  <si>
    <t>M/S TRIKUTA MEDICOS AND DIAGNOSTICS CENTRE</t>
  </si>
  <si>
    <t>AIRPORT ROAD, GADI GARH, OPPOSITE DAYAL G MEDICOS, JAMMU</t>
  </si>
  <si>
    <t>CA Lavish Gupta</t>
  </si>
  <si>
    <t>Bansh Manhas</t>
  </si>
  <si>
    <t>Johan, udhumpur, J&amp;K, 182124</t>
  </si>
  <si>
    <t>Furniture &amp; Fixture</t>
  </si>
  <si>
    <t>1.0       Manager</t>
  </si>
  <si>
    <t>7.0       Building Rent  (30000/month)</t>
  </si>
  <si>
    <r>
      <rPr>
        <b/>
        <i/>
        <sz val="11"/>
        <rFont val="Century Gothic"/>
        <family val="2"/>
      </rPr>
      <t>NOTE:</t>
    </r>
    <r>
      <rPr>
        <i/>
        <sz val="11"/>
        <rFont val="Century Gothic"/>
        <family val="2"/>
      </rPr>
      <t xml:space="preserve"> TAX ON TOTAL INCOME UPTO 12 LAKHS IS NIL AS PER INCOME TAX ACT, 1961</t>
    </r>
  </si>
  <si>
    <t>B. OTHER INCOME</t>
  </si>
  <si>
    <t>C. GROSS PROFIT (A+B)</t>
  </si>
  <si>
    <t xml:space="preserve">                                             2.5   Years Approx.</t>
  </si>
  <si>
    <t>Firm Name</t>
  </si>
  <si>
    <t xml:space="preserve">Firm Address </t>
  </si>
  <si>
    <t>Nature of Business</t>
  </si>
  <si>
    <t xml:space="preserve">Proprietor Name </t>
  </si>
  <si>
    <t>Address of proprietor</t>
  </si>
  <si>
    <t>Building Rented/Owned</t>
  </si>
  <si>
    <t>Area in sq. ft</t>
  </si>
  <si>
    <t>Rent in Rs.</t>
  </si>
  <si>
    <t>Margin Percentage</t>
  </si>
  <si>
    <t>Subsidy Percentage</t>
  </si>
  <si>
    <t>Term Loan Interest Rate</t>
  </si>
  <si>
    <t>CC Interest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</si>
</sst>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_ * #,##0.00_ ;_ * \-#,##0.00_ ;_ * &quot;-&quot;??_ ;_ @_ "/>
    <numFmt numFmtId="165" formatCode="_(* #,##0.00_);_(* \(#,##0.00\);_(* &quot;-&quot;??_);_(@_)"/>
    <numFmt numFmtId="166" formatCode="0.0"/>
    <numFmt numFmtId="167" formatCode="0.00\ &quot;Lacs&quot;"/>
    <numFmt numFmtId="168" formatCode="[$INR]\ #,##0.00_);[Red]\([$INR]\ #,##0.00\)"/>
    <numFmt numFmtId="169" formatCode="0.000"/>
    <numFmt numFmtId="170" formatCode="0.000000000"/>
    <numFmt numFmtId="171" formatCode="0\ &quot;Years&quot;"/>
    <numFmt numFmtId="172" formatCode="0\ "/>
    <numFmt numFmtId="173" formatCode="0.00\ &quot;TIMES&quot;"/>
    <numFmt numFmtId="174" formatCode="&quot;( Rs.&quot;0.00\ &quot;Lacs )&quot;"/>
    <numFmt numFmtId="175" formatCode="0.00\ &quot;Times&quot;"/>
    <numFmt numFmtId="176" formatCode="General\ &quot;Days&quot;"/>
    <numFmt numFmtId="177" formatCode="0\ &quot;Days&quot;"/>
    <numFmt numFmtId="178" formatCode="_ * #,##0.0000_ ;_ * \-#,##0.0000_ ;_ * &quot;-&quot;??_ ;_ @_ "/>
    <numFmt numFmtId="179" formatCode="General\ &quot;sq. ft&quot;"/>
  </numFmts>
  <fonts count="34" x14ac:knownFonts="1">
    <font>
      <sz val="10"/>
      <name val="Arial"/>
    </font>
    <font>
      <sz val="10"/>
      <name val="Arial"/>
      <family val="2"/>
    </font>
    <font>
      <b/>
      <sz val="11"/>
      <name val="Arial"/>
      <family val="2"/>
    </font>
    <font>
      <sz val="11"/>
      <name val="Arial"/>
      <family val="2"/>
    </font>
    <font>
      <b/>
      <u/>
      <sz val="11"/>
      <name val="Arial"/>
      <family val="2"/>
    </font>
    <font>
      <u/>
      <sz val="11"/>
      <name val="Arial"/>
      <family val="2"/>
    </font>
    <font>
      <sz val="10"/>
      <name val="Arial"/>
      <family val="2"/>
    </font>
    <font>
      <b/>
      <sz val="16"/>
      <name val="Arial"/>
      <family val="2"/>
    </font>
    <font>
      <b/>
      <i/>
      <u/>
      <sz val="10"/>
      <name val="Arial"/>
      <family val="2"/>
    </font>
    <font>
      <b/>
      <sz val="24"/>
      <name val="Algerian"/>
      <family val="5"/>
    </font>
    <font>
      <b/>
      <u/>
      <sz val="20"/>
      <name val="Cooper Black"/>
      <family val="1"/>
    </font>
    <font>
      <b/>
      <sz val="11"/>
      <name val="Century Gothic"/>
      <family val="2"/>
    </font>
    <font>
      <sz val="11"/>
      <name val="Century Gothic"/>
      <family val="2"/>
    </font>
    <font>
      <b/>
      <u/>
      <sz val="11"/>
      <name val="Century Gothic"/>
      <family val="2"/>
    </font>
    <font>
      <i/>
      <sz val="11"/>
      <name val="Century Gothic"/>
      <family val="2"/>
    </font>
    <font>
      <b/>
      <sz val="28"/>
      <name val="Algerian"/>
      <family val="5"/>
    </font>
    <font>
      <b/>
      <sz val="16"/>
      <name val="Century Gothic"/>
      <family val="2"/>
    </font>
    <font>
      <b/>
      <sz val="14"/>
      <name val="Century Gothic"/>
      <family val="2"/>
    </font>
    <font>
      <b/>
      <sz val="18"/>
      <name val="Century Gothic"/>
      <family val="2"/>
    </font>
    <font>
      <sz val="10"/>
      <name val="Century Gothic"/>
      <family val="2"/>
    </font>
    <font>
      <b/>
      <i/>
      <u/>
      <sz val="10"/>
      <name val="Century Gothic"/>
      <family val="2"/>
    </font>
    <font>
      <b/>
      <i/>
      <u/>
      <sz val="11"/>
      <name val="Century Gothic"/>
      <family val="2"/>
    </font>
    <font>
      <b/>
      <sz val="10"/>
      <name val="Century Gothic"/>
      <family val="2"/>
    </font>
    <font>
      <i/>
      <sz val="10"/>
      <name val="Century Gothic"/>
      <family val="2"/>
    </font>
    <font>
      <sz val="12"/>
      <name val="Century Gothic"/>
      <family val="2"/>
    </font>
    <font>
      <u/>
      <sz val="11"/>
      <name val="Century Gothic"/>
      <family val="2"/>
    </font>
    <font>
      <b/>
      <u/>
      <sz val="12"/>
      <name val="Century Gothic"/>
      <family val="2"/>
    </font>
    <font>
      <sz val="11"/>
      <color rgb="FFFF0000"/>
      <name val="Century Gothic"/>
      <family val="2"/>
    </font>
    <font>
      <b/>
      <sz val="12"/>
      <name val="Century Gothic"/>
      <family val="2"/>
    </font>
    <font>
      <b/>
      <i/>
      <sz val="11"/>
      <name val="Century Gothic"/>
      <family val="2"/>
    </font>
    <font>
      <b/>
      <u/>
      <sz val="16"/>
      <name val="Century Gothic"/>
      <family val="2"/>
    </font>
    <font>
      <b/>
      <sz val="18"/>
      <name val="Algerian"/>
      <family val="5"/>
    </font>
    <font>
      <sz val="14"/>
      <name val="Century Gothic"/>
      <family val="2"/>
    </font>
    <font>
      <b/>
      <sz val="26"/>
      <name val="Algerian"/>
      <family val="5"/>
    </font>
  </fonts>
  <fills count="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34998626667073579"/>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right/>
      <top style="thin">
        <color indexed="64"/>
      </top>
      <bottom style="medium">
        <color indexed="64"/>
      </bottom>
      <diagonal/>
    </border>
    <border>
      <left/>
      <right/>
      <top/>
      <bottom style="mediumDashDot">
        <color indexed="64"/>
      </bottom>
      <diagonal/>
    </border>
    <border>
      <left style="mediumDashDotDot">
        <color indexed="64"/>
      </left>
      <right/>
      <top style="mediumDashDotDot">
        <color indexed="64"/>
      </top>
      <bottom style="dashDotDot">
        <color indexed="64"/>
      </bottom>
      <diagonal/>
    </border>
    <border>
      <left/>
      <right/>
      <top style="mediumDashDotDot">
        <color indexed="64"/>
      </top>
      <bottom style="dashDotDot">
        <color indexed="64"/>
      </bottom>
      <diagonal/>
    </border>
    <border>
      <left/>
      <right style="mediumDashDotDot">
        <color indexed="64"/>
      </right>
      <top style="mediumDashDotDot">
        <color indexed="64"/>
      </top>
      <bottom style="dashDotDot">
        <color indexed="64"/>
      </bottom>
      <diagonal/>
    </border>
    <border>
      <left style="mediumDashDotDot">
        <color indexed="64"/>
      </left>
      <right/>
      <top/>
      <bottom/>
      <diagonal/>
    </border>
    <border>
      <left/>
      <right style="mediumDashDotDot">
        <color indexed="64"/>
      </right>
      <top/>
      <bottom/>
      <diagonal/>
    </border>
    <border>
      <left style="mediumDashDotDot">
        <color indexed="64"/>
      </left>
      <right/>
      <top/>
      <bottom style="mediumDashDot">
        <color indexed="64"/>
      </bottom>
      <diagonal/>
    </border>
    <border>
      <left/>
      <right style="mediumDashDotDot">
        <color indexed="64"/>
      </right>
      <top/>
      <bottom style="mediumDashDot">
        <color indexed="64"/>
      </bottom>
      <diagonal/>
    </border>
    <border>
      <left style="mediumDashDotDot">
        <color indexed="64"/>
      </left>
      <right/>
      <top style="mediumDashDot">
        <color indexed="64"/>
      </top>
      <bottom style="mediumDashDot">
        <color indexed="64"/>
      </bottom>
      <diagonal/>
    </border>
    <border>
      <left/>
      <right/>
      <top style="mediumDashDot">
        <color indexed="64"/>
      </top>
      <bottom style="mediumDashDot">
        <color indexed="64"/>
      </bottom>
      <diagonal/>
    </border>
    <border>
      <left/>
      <right style="mediumDashDotDot">
        <color indexed="64"/>
      </right>
      <top style="mediumDashDot">
        <color indexed="64"/>
      </top>
      <bottom style="mediumDashDot">
        <color indexed="64"/>
      </bottom>
      <diagonal/>
    </border>
  </borders>
  <cellStyleXfs count="4">
    <xf numFmtId="0" fontId="0" fillId="0" borderId="0"/>
    <xf numFmtId="165" fontId="1" fillId="0" borderId="0" applyFont="0" applyFill="0" applyBorder="0" applyAlignment="0" applyProtection="0"/>
    <xf numFmtId="9" fontId="6" fillId="0" borderId="0" applyFont="0" applyFill="0" applyBorder="0" applyAlignment="0" applyProtection="0"/>
    <xf numFmtId="0" fontId="1" fillId="0" borderId="0"/>
  </cellStyleXfs>
  <cellXfs count="204">
    <xf numFmtId="0" fontId="0" fillId="0" borderId="0" xfId="0"/>
    <xf numFmtId="0" fontId="2" fillId="0" borderId="0" xfId="0" applyFont="1"/>
    <xf numFmtId="0" fontId="3" fillId="0" borderId="0" xfId="0" applyFont="1"/>
    <xf numFmtId="0" fontId="4" fillId="0" borderId="0" xfId="0" applyFont="1"/>
    <xf numFmtId="0" fontId="2" fillId="0" borderId="0" xfId="0" applyFont="1" applyAlignment="1">
      <alignment horizontal="right"/>
    </xf>
    <xf numFmtId="2" fontId="3" fillId="0" borderId="0" xfId="0" applyNumberFormat="1" applyFont="1"/>
    <xf numFmtId="10" fontId="3" fillId="0" borderId="0" xfId="0" applyNumberFormat="1" applyFont="1"/>
    <xf numFmtId="0" fontId="3" fillId="0" borderId="0" xfId="0" applyFont="1" applyAlignment="1">
      <alignment horizontal="right"/>
    </xf>
    <xf numFmtId="0" fontId="2" fillId="0" borderId="0" xfId="0" applyFont="1" applyAlignment="1">
      <alignment horizontal="left"/>
    </xf>
    <xf numFmtId="0" fontId="5" fillId="0" borderId="0" xfId="0" applyFont="1"/>
    <xf numFmtId="0" fontId="3" fillId="0" borderId="0" xfId="0" applyFont="1" applyAlignment="1">
      <alignment horizontal="left"/>
    </xf>
    <xf numFmtId="0" fontId="1" fillId="0" borderId="0" xfId="0" applyFont="1"/>
    <xf numFmtId="0" fontId="8" fillId="0" borderId="0" xfId="0" applyFont="1"/>
    <xf numFmtId="0" fontId="3" fillId="0" borderId="5" xfId="0" applyFont="1" applyBorder="1"/>
    <xf numFmtId="0" fontId="2" fillId="0" borderId="6" xfId="0" applyFont="1" applyBorder="1"/>
    <xf numFmtId="0" fontId="3" fillId="0" borderId="7" xfId="0" applyFont="1" applyBorder="1"/>
    <xf numFmtId="0" fontId="3" fillId="0" borderId="8" xfId="0" applyFont="1" applyBorder="1"/>
    <xf numFmtId="0" fontId="2" fillId="0" borderId="9" xfId="0" applyFont="1" applyBorder="1"/>
    <xf numFmtId="0" fontId="3" fillId="0" borderId="10" xfId="0" applyFont="1" applyBorder="1"/>
    <xf numFmtId="0" fontId="3" fillId="0" borderId="9" xfId="0" applyFont="1" applyBorder="1"/>
    <xf numFmtId="0" fontId="3" fillId="0" borderId="11" xfId="0" applyFont="1" applyBorder="1"/>
    <xf numFmtId="0" fontId="3" fillId="0" borderId="12" xfId="0" applyFont="1" applyBorder="1"/>
    <xf numFmtId="0" fontId="11" fillId="0" borderId="0" xfId="0" applyFont="1" applyAlignment="1">
      <alignment horizontal="left" vertical="top"/>
    </xf>
    <xf numFmtId="0" fontId="11" fillId="0" borderId="0" xfId="0" applyFont="1" applyAlignment="1">
      <alignment vertical="top"/>
    </xf>
    <xf numFmtId="0" fontId="12" fillId="0" borderId="0" xfId="0" applyFont="1" applyAlignment="1">
      <alignment vertical="top" wrapText="1"/>
    </xf>
    <xf numFmtId="0" fontId="11" fillId="0" borderId="0" xfId="0" applyFont="1" applyAlignment="1">
      <alignment horizontal="left"/>
    </xf>
    <xf numFmtId="0" fontId="11" fillId="0" borderId="0" xfId="0" applyFont="1"/>
    <xf numFmtId="0" fontId="12" fillId="0" borderId="0" xfId="0" applyFont="1"/>
    <xf numFmtId="0" fontId="12" fillId="0" borderId="0" xfId="0" applyFont="1" applyAlignment="1">
      <alignment wrapText="1"/>
    </xf>
    <xf numFmtId="2" fontId="12" fillId="0" borderId="0" xfId="0" applyNumberFormat="1" applyFont="1" applyAlignment="1">
      <alignment horizontal="center" vertical="center"/>
    </xf>
    <xf numFmtId="0" fontId="11" fillId="0" borderId="0" xfId="0" applyFont="1" applyAlignment="1">
      <alignment horizontal="left" vertical="center"/>
    </xf>
    <xf numFmtId="0" fontId="13" fillId="0" borderId="0" xfId="0" applyFont="1" applyAlignment="1">
      <alignment vertical="top"/>
    </xf>
    <xf numFmtId="0" fontId="13" fillId="0" borderId="0" xfId="0" applyFont="1" applyAlignment="1">
      <alignment horizontal="center" vertical="top"/>
    </xf>
    <xf numFmtId="2" fontId="12" fillId="0" borderId="0" xfId="0" applyNumberFormat="1" applyFont="1" applyAlignment="1">
      <alignment horizontal="center"/>
    </xf>
    <xf numFmtId="0" fontId="12" fillId="0" borderId="0" xfId="0" applyFont="1" applyAlignment="1">
      <alignment horizontal="center"/>
    </xf>
    <xf numFmtId="0" fontId="11" fillId="0" borderId="0" xfId="0" applyFont="1" applyAlignment="1">
      <alignment horizontal="right"/>
    </xf>
    <xf numFmtId="2" fontId="11" fillId="0" borderId="3" xfId="0" applyNumberFormat="1" applyFont="1" applyBorder="1" applyAlignment="1">
      <alignment horizontal="center"/>
    </xf>
    <xf numFmtId="170" fontId="12" fillId="0" borderId="0" xfId="0" applyNumberFormat="1" applyFont="1" applyAlignment="1">
      <alignment horizontal="center"/>
    </xf>
    <xf numFmtId="2" fontId="11" fillId="0" borderId="0" xfId="0" applyNumberFormat="1" applyFont="1" applyAlignment="1">
      <alignment horizontal="center"/>
    </xf>
    <xf numFmtId="0" fontId="11" fillId="0" borderId="0" xfId="0" applyFont="1" applyAlignment="1">
      <alignment vertical="center"/>
    </xf>
    <xf numFmtId="171" fontId="12" fillId="0" borderId="0" xfId="0" applyNumberFormat="1" applyFont="1" applyAlignment="1">
      <alignment horizontal="center"/>
    </xf>
    <xf numFmtId="172" fontId="12" fillId="0" borderId="0" xfId="0" applyNumberFormat="1" applyFont="1" applyAlignment="1">
      <alignment horizontal="center"/>
    </xf>
    <xf numFmtId="173" fontId="12" fillId="0" borderId="0" xfId="0" applyNumberFormat="1" applyFont="1" applyAlignment="1">
      <alignment horizontal="center"/>
    </xf>
    <xf numFmtId="0" fontId="13" fillId="0" borderId="0" xfId="0" applyFont="1" applyAlignment="1">
      <alignment horizontal="left"/>
    </xf>
    <xf numFmtId="0" fontId="17" fillId="0" borderId="0" xfId="0" applyFont="1" applyAlignment="1">
      <alignment horizontal="center"/>
    </xf>
    <xf numFmtId="0" fontId="13" fillId="0" borderId="0" xfId="0" applyFont="1"/>
    <xf numFmtId="0" fontId="12" fillId="0" borderId="0" xfId="0" applyFont="1" applyAlignment="1">
      <alignment horizontal="left" wrapText="1" indent="1"/>
    </xf>
    <xf numFmtId="2" fontId="12" fillId="0" borderId="0" xfId="0" applyNumberFormat="1" applyFont="1"/>
    <xf numFmtId="0" fontId="13" fillId="0" borderId="0" xfId="0" applyFont="1" applyAlignment="1">
      <alignment wrapText="1"/>
    </xf>
    <xf numFmtId="0" fontId="12" fillId="0" borderId="0" xfId="0" applyFont="1" applyAlignment="1">
      <alignment horizontal="left" vertical="top" wrapText="1" indent="1"/>
    </xf>
    <xf numFmtId="0" fontId="12" fillId="0" borderId="0" xfId="0" applyFont="1" applyAlignment="1">
      <alignment horizontal="left" indent="1"/>
    </xf>
    <xf numFmtId="0" fontId="19" fillId="0" borderId="0" xfId="0" applyFont="1"/>
    <xf numFmtId="0" fontId="20" fillId="0" borderId="0" xfId="0" applyFont="1" applyAlignment="1">
      <alignment horizontal="right"/>
    </xf>
    <xf numFmtId="0" fontId="21" fillId="0" borderId="0" xfId="0" applyFont="1" applyAlignment="1">
      <alignment horizontal="right"/>
    </xf>
    <xf numFmtId="0" fontId="22" fillId="0" borderId="0" xfId="0" applyFont="1"/>
    <xf numFmtId="0" fontId="19" fillId="0" borderId="0" xfId="0" applyFont="1" applyAlignment="1">
      <alignment horizontal="left"/>
    </xf>
    <xf numFmtId="165" fontId="22" fillId="0" borderId="4" xfId="0" applyNumberFormat="1" applyFont="1" applyBorder="1" applyAlignment="1">
      <alignment horizontal="center"/>
    </xf>
    <xf numFmtId="165" fontId="22" fillId="0" borderId="0" xfId="0" applyNumberFormat="1" applyFont="1"/>
    <xf numFmtId="165" fontId="19" fillId="0" borderId="0" xfId="0" applyNumberFormat="1" applyFont="1"/>
    <xf numFmtId="0" fontId="19" fillId="0" borderId="0" xfId="0" applyFont="1" applyAlignment="1">
      <alignment wrapText="1"/>
    </xf>
    <xf numFmtId="165" fontId="22" fillId="0" borderId="4" xfId="0" applyNumberFormat="1" applyFont="1" applyBorder="1"/>
    <xf numFmtId="0" fontId="23" fillId="0" borderId="0" xfId="0" applyFont="1"/>
    <xf numFmtId="167" fontId="22" fillId="0" borderId="0" xfId="0" applyNumberFormat="1" applyFont="1"/>
    <xf numFmtId="0" fontId="21" fillId="0" borderId="0" xfId="0" applyFont="1"/>
    <xf numFmtId="0" fontId="11" fillId="0" borderId="0" xfId="0" applyFont="1" applyAlignment="1">
      <alignment horizontal="center"/>
    </xf>
    <xf numFmtId="0" fontId="12" fillId="0" borderId="0" xfId="0" applyFont="1" applyAlignment="1">
      <alignment horizontal="right"/>
    </xf>
    <xf numFmtId="166" fontId="12" fillId="0" borderId="0" xfId="0" applyNumberFormat="1" applyFont="1" applyAlignment="1">
      <alignment vertical="top"/>
    </xf>
    <xf numFmtId="165" fontId="12" fillId="0" borderId="0" xfId="0" applyNumberFormat="1" applyFont="1" applyAlignment="1">
      <alignment vertical="top"/>
    </xf>
    <xf numFmtId="0" fontId="12" fillId="0" borderId="0" xfId="0" applyFont="1" applyAlignment="1">
      <alignment horizontal="center" vertical="center"/>
    </xf>
    <xf numFmtId="165" fontId="12" fillId="0" borderId="0" xfId="1" applyFont="1" applyAlignment="1">
      <alignment horizontal="right"/>
    </xf>
    <xf numFmtId="165" fontId="11" fillId="0" borderId="4" xfId="0" applyNumberFormat="1" applyFont="1" applyBorder="1"/>
    <xf numFmtId="165" fontId="12" fillId="0" borderId="0" xfId="0" applyNumberFormat="1" applyFont="1"/>
    <xf numFmtId="0" fontId="14" fillId="0" borderId="0" xfId="0" applyFont="1"/>
    <xf numFmtId="165" fontId="24" fillId="0" borderId="0" xfId="1" applyFont="1"/>
    <xf numFmtId="166" fontId="12" fillId="0" borderId="0" xfId="0" applyNumberFormat="1" applyFont="1"/>
    <xf numFmtId="165" fontId="12" fillId="0" borderId="0" xfId="1" applyFont="1" applyFill="1"/>
    <xf numFmtId="165" fontId="11" fillId="0" borderId="4" xfId="0" applyNumberFormat="1" applyFont="1" applyBorder="1" applyAlignment="1">
      <alignment horizontal="left"/>
    </xf>
    <xf numFmtId="2" fontId="25" fillId="0" borderId="0" xfId="0" applyNumberFormat="1" applyFont="1"/>
    <xf numFmtId="2" fontId="12" fillId="0" borderId="0" xfId="0" applyNumberFormat="1" applyFont="1" applyAlignment="1">
      <alignment horizontal="right"/>
    </xf>
    <xf numFmtId="165" fontId="11" fillId="0" borderId="0" xfId="0" applyNumberFormat="1" applyFont="1"/>
    <xf numFmtId="2" fontId="11" fillId="0" borderId="0" xfId="0" applyNumberFormat="1" applyFont="1"/>
    <xf numFmtId="165" fontId="12" fillId="0" borderId="0" xfId="1" applyFont="1"/>
    <xf numFmtId="2" fontId="13" fillId="0" borderId="0" xfId="0" applyNumberFormat="1" applyFont="1"/>
    <xf numFmtId="2" fontId="11" fillId="0" borderId="0" xfId="0" applyNumberFormat="1" applyFont="1" applyAlignment="1">
      <alignment horizontal="right"/>
    </xf>
    <xf numFmtId="9" fontId="14" fillId="0" borderId="0" xfId="0" applyNumberFormat="1" applyFont="1"/>
    <xf numFmtId="9" fontId="11" fillId="0" borderId="0" xfId="2" applyFont="1"/>
    <xf numFmtId="0" fontId="27" fillId="2" borderId="0" xfId="0" applyFont="1" applyFill="1"/>
    <xf numFmtId="9" fontId="12" fillId="0" borderId="0" xfId="2" applyFont="1"/>
    <xf numFmtId="175" fontId="11" fillId="0" borderId="0" xfId="0" applyNumberFormat="1" applyFont="1" applyAlignment="1">
      <alignment horizontal="right"/>
    </xf>
    <xf numFmtId="10" fontId="11" fillId="0" borderId="0" xfId="0" applyNumberFormat="1" applyFont="1"/>
    <xf numFmtId="9" fontId="12" fillId="0" borderId="0" xfId="0" applyNumberFormat="1" applyFont="1" applyAlignment="1">
      <alignment horizontal="right"/>
    </xf>
    <xf numFmtId="0" fontId="11" fillId="3" borderId="0" xfId="0" applyFont="1" applyFill="1" applyAlignment="1">
      <alignment horizontal="center" vertical="top" wrapText="1"/>
    </xf>
    <xf numFmtId="168" fontId="12" fillId="0" borderId="0" xfId="0" applyNumberFormat="1" applyFont="1"/>
    <xf numFmtId="165" fontId="13" fillId="0" borderId="0" xfId="1" applyFont="1"/>
    <xf numFmtId="169" fontId="12" fillId="0" borderId="0" xfId="0" applyNumberFormat="1" applyFont="1"/>
    <xf numFmtId="0" fontId="28" fillId="0" borderId="0" xfId="0" applyFont="1" applyAlignment="1">
      <alignment horizontal="center"/>
    </xf>
    <xf numFmtId="0" fontId="28" fillId="0" borderId="2" xfId="0" applyFont="1" applyBorder="1"/>
    <xf numFmtId="0" fontId="24" fillId="0" borderId="2" xfId="0" applyFont="1" applyBorder="1"/>
    <xf numFmtId="0" fontId="28" fillId="0" borderId="0" xfId="0" applyFont="1" applyAlignment="1">
      <alignment horizontal="right"/>
    </xf>
    <xf numFmtId="0" fontId="28" fillId="0" borderId="1" xfId="0" applyFont="1" applyBorder="1"/>
    <xf numFmtId="0" fontId="24" fillId="0" borderId="1" xfId="0" applyFont="1" applyBorder="1"/>
    <xf numFmtId="0" fontId="28" fillId="0" borderId="1" xfId="0" applyFont="1" applyBorder="1" applyAlignment="1">
      <alignment horizontal="right" wrapText="1"/>
    </xf>
    <xf numFmtId="0" fontId="24" fillId="0" borderId="0" xfId="0" applyFont="1"/>
    <xf numFmtId="0" fontId="28" fillId="0" borderId="0" xfId="0" applyFont="1"/>
    <xf numFmtId="165" fontId="24" fillId="0" borderId="0" xfId="1" applyFont="1" applyFill="1"/>
    <xf numFmtId="165" fontId="19" fillId="0" borderId="0" xfId="1" applyFont="1"/>
    <xf numFmtId="165" fontId="28" fillId="0" borderId="1" xfId="1" applyFont="1" applyBorder="1"/>
    <xf numFmtId="165" fontId="24" fillId="0" borderId="0" xfId="1" applyFont="1" applyBorder="1"/>
    <xf numFmtId="165" fontId="28" fillId="0" borderId="0" xfId="1" applyFont="1" applyFill="1"/>
    <xf numFmtId="166" fontId="12" fillId="0" borderId="0" xfId="0" applyNumberFormat="1" applyFont="1" applyAlignment="1">
      <alignment horizontal="left" vertical="top"/>
    </xf>
    <xf numFmtId="9" fontId="12" fillId="0" borderId="0" xfId="2" applyFont="1" applyAlignment="1">
      <alignment horizontal="center"/>
    </xf>
    <xf numFmtId="0" fontId="1" fillId="0" borderId="0" xfId="3"/>
    <xf numFmtId="0" fontId="16" fillId="0" borderId="0" xfId="3" applyFont="1" applyAlignment="1">
      <alignment horizontal="center"/>
    </xf>
    <xf numFmtId="0" fontId="30" fillId="0" borderId="0" xfId="3" applyFont="1" applyAlignment="1">
      <alignment horizontal="center"/>
    </xf>
    <xf numFmtId="0" fontId="22" fillId="0" borderId="0" xfId="3" applyFont="1"/>
    <xf numFmtId="0" fontId="22" fillId="0" borderId="0" xfId="3" applyFont="1" applyAlignment="1">
      <alignment horizontal="center"/>
    </xf>
    <xf numFmtId="0" fontId="19" fillId="0" borderId="0" xfId="3" applyFont="1" applyAlignment="1">
      <alignment horizontal="left"/>
    </xf>
    <xf numFmtId="0" fontId="19" fillId="0" borderId="0" xfId="3" applyFont="1"/>
    <xf numFmtId="176" fontId="19" fillId="0" borderId="0" xfId="3" applyNumberFormat="1" applyFont="1"/>
    <xf numFmtId="165" fontId="19" fillId="0" borderId="0" xfId="3" applyNumberFormat="1" applyFont="1"/>
    <xf numFmtId="177" fontId="19" fillId="0" borderId="0" xfId="3" applyNumberFormat="1" applyFont="1"/>
    <xf numFmtId="165" fontId="22" fillId="0" borderId="0" xfId="3" applyNumberFormat="1" applyFont="1"/>
    <xf numFmtId="0" fontId="1" fillId="0" borderId="0" xfId="0" applyFont="1" applyAlignment="1">
      <alignment wrapText="1"/>
    </xf>
    <xf numFmtId="165" fontId="12" fillId="0" borderId="0" xfId="1" applyFont="1" applyAlignment="1">
      <alignment horizontal="right" vertical="center"/>
    </xf>
    <xf numFmtId="0" fontId="11" fillId="5" borderId="0" xfId="0" applyFont="1" applyFill="1"/>
    <xf numFmtId="0" fontId="11" fillId="5" borderId="0" xfId="0" applyFont="1" applyFill="1" applyAlignment="1">
      <alignment horizontal="center"/>
    </xf>
    <xf numFmtId="0" fontId="12" fillId="5" borderId="0" xfId="0" applyFont="1" applyFill="1" applyAlignment="1">
      <alignment horizontal="center"/>
    </xf>
    <xf numFmtId="2" fontId="11" fillId="5" borderId="0" xfId="0" applyNumberFormat="1" applyFont="1" applyFill="1" applyAlignment="1">
      <alignment horizontal="center"/>
    </xf>
    <xf numFmtId="0" fontId="12" fillId="5" borderId="0" xfId="0" applyFont="1" applyFill="1"/>
    <xf numFmtId="2" fontId="13" fillId="5" borderId="0" xfId="0" applyNumberFormat="1" applyFont="1" applyFill="1" applyAlignment="1">
      <alignment horizontal="center"/>
    </xf>
    <xf numFmtId="0" fontId="19" fillId="2" borderId="0" xfId="0" applyFont="1" applyFill="1" applyAlignment="1">
      <alignment horizontal="center"/>
    </xf>
    <xf numFmtId="165" fontId="12" fillId="0" borderId="0" xfId="1" applyFont="1" applyFill="1" applyAlignment="1">
      <alignment horizontal="center"/>
    </xf>
    <xf numFmtId="0" fontId="19" fillId="0" borderId="0" xfId="0" applyFont="1" applyAlignment="1">
      <alignment horizontal="left" vertical="top" wrapText="1"/>
    </xf>
    <xf numFmtId="0" fontId="19" fillId="0" borderId="0" xfId="0" applyFont="1" applyAlignment="1">
      <alignment horizontal="center"/>
    </xf>
    <xf numFmtId="0" fontId="32" fillId="0" borderId="0" xfId="0" applyFont="1"/>
    <xf numFmtId="165" fontId="12" fillId="0" borderId="0" xfId="1" applyFont="1" applyFill="1" applyAlignment="1">
      <alignment horizontal="right" vertical="center"/>
    </xf>
    <xf numFmtId="164" fontId="12" fillId="0" borderId="0" xfId="0" applyNumberFormat="1" applyFont="1"/>
    <xf numFmtId="0" fontId="32" fillId="0" borderId="0" xfId="0" applyFont="1" applyAlignment="1">
      <alignment horizontal="left" indent="17"/>
    </xf>
    <xf numFmtId="0" fontId="12" fillId="0" borderId="0" xfId="0" applyFont="1" applyAlignment="1">
      <alignment horizontal="left" indent="3"/>
    </xf>
    <xf numFmtId="0" fontId="32" fillId="0" borderId="0" xfId="0" applyFont="1" applyAlignment="1">
      <alignment horizontal="left" indent="16"/>
    </xf>
    <xf numFmtId="178" fontId="12" fillId="0" borderId="0" xfId="0" applyNumberFormat="1" applyFont="1"/>
    <xf numFmtId="0" fontId="14" fillId="0" borderId="0" xfId="0" applyFont="1" applyAlignment="1">
      <alignment horizontal="left" indent="2"/>
    </xf>
    <xf numFmtId="165" fontId="12" fillId="0" borderId="0" xfId="1" applyFont="1" applyFill="1" applyBorder="1"/>
    <xf numFmtId="165" fontId="12" fillId="0" borderId="0" xfId="1" applyFont="1" applyBorder="1"/>
    <xf numFmtId="165" fontId="11" fillId="0" borderId="0" xfId="1" applyFont="1"/>
    <xf numFmtId="165" fontId="11" fillId="0" borderId="1" xfId="1" applyFont="1" applyFill="1" applyBorder="1"/>
    <xf numFmtId="165" fontId="11" fillId="0" borderId="1" xfId="1" applyFont="1" applyBorder="1"/>
    <xf numFmtId="165" fontId="11" fillId="0" borderId="0" xfId="1" applyFont="1" applyFill="1"/>
    <xf numFmtId="165" fontId="11" fillId="0" borderId="3" xfId="1" applyFont="1" applyBorder="1"/>
    <xf numFmtId="165" fontId="12" fillId="0" borderId="2" xfId="1" applyFont="1" applyFill="1" applyBorder="1"/>
    <xf numFmtId="165" fontId="11" fillId="0" borderId="0" xfId="1" applyFont="1" applyAlignment="1">
      <alignment horizontal="right"/>
    </xf>
    <xf numFmtId="179" fontId="19" fillId="0" borderId="0" xfId="0" applyNumberFormat="1" applyFont="1" applyAlignment="1">
      <alignment horizontal="center"/>
    </xf>
    <xf numFmtId="179" fontId="0" fillId="0" borderId="0" xfId="0" applyNumberFormat="1"/>
    <xf numFmtId="9" fontId="0" fillId="0" borderId="0" xfId="2" applyFont="1"/>
    <xf numFmtId="10" fontId="0" fillId="0" borderId="0" xfId="2" applyNumberFormat="1" applyFont="1"/>
    <xf numFmtId="0" fontId="2" fillId="0" borderId="9" xfId="0" applyFont="1" applyBorder="1" applyAlignment="1">
      <alignment horizontal="center"/>
    </xf>
    <xf numFmtId="0" fontId="2" fillId="0" borderId="0" xfId="0" applyFont="1" applyAlignment="1">
      <alignment horizontal="center"/>
    </xf>
    <xf numFmtId="0" fontId="3" fillId="0" borderId="9" xfId="0" applyFont="1" applyBorder="1" applyAlignment="1">
      <alignment horizontal="center"/>
    </xf>
    <xf numFmtId="0" fontId="3" fillId="0" borderId="0" xfId="0" applyFont="1" applyAlignment="1">
      <alignment horizontal="center"/>
    </xf>
    <xf numFmtId="0" fontId="33" fillId="0" borderId="13" xfId="0" applyFont="1" applyBorder="1" applyAlignment="1">
      <alignment horizontal="center" vertical="center" wrapText="1"/>
    </xf>
    <xf numFmtId="0" fontId="33" fillId="0" borderId="14" xfId="0" applyFont="1" applyBorder="1" applyAlignment="1">
      <alignment horizontal="center" vertical="center" wrapText="1"/>
    </xf>
    <xf numFmtId="0" fontId="33" fillId="0" borderId="15" xfId="0" applyFont="1" applyBorder="1" applyAlignment="1">
      <alignment horizontal="center" vertical="center" wrapText="1"/>
    </xf>
    <xf numFmtId="0" fontId="9" fillId="0" borderId="9" xfId="0" applyFont="1" applyBorder="1" applyAlignment="1">
      <alignment horizontal="center"/>
    </xf>
    <xf numFmtId="0" fontId="9" fillId="0" borderId="0" xfId="0" applyFont="1" applyAlignment="1">
      <alignment horizontal="center"/>
    </xf>
    <xf numFmtId="0" fontId="9" fillId="0" borderId="10" xfId="0" applyFont="1" applyBorder="1" applyAlignment="1">
      <alignment horizontal="center"/>
    </xf>
    <xf numFmtId="0" fontId="31" fillId="0" borderId="9" xfId="0" applyFont="1" applyBorder="1" applyAlignment="1">
      <alignment horizontal="center"/>
    </xf>
    <xf numFmtId="0" fontId="31" fillId="0" borderId="0" xfId="0" applyFont="1" applyAlignment="1">
      <alignment horizontal="center"/>
    </xf>
    <xf numFmtId="0" fontId="31" fillId="0" borderId="10" xfId="0" applyFont="1" applyBorder="1" applyAlignment="1">
      <alignment horizontal="center"/>
    </xf>
    <xf numFmtId="0" fontId="16" fillId="0" borderId="9" xfId="0" applyFont="1" applyBorder="1" applyAlignment="1">
      <alignment horizontal="center" wrapText="1"/>
    </xf>
    <xf numFmtId="0" fontId="16" fillId="0" borderId="0" xfId="0" applyFont="1" applyAlignment="1">
      <alignment horizontal="center" wrapText="1"/>
    </xf>
    <xf numFmtId="0" fontId="16" fillId="0" borderId="10" xfId="0" applyFont="1" applyBorder="1" applyAlignment="1">
      <alignment horizontal="center"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4" fillId="0" borderId="0" xfId="0" applyFont="1" applyAlignment="1">
      <alignment horizontal="left" wrapText="1"/>
    </xf>
    <xf numFmtId="0" fontId="7" fillId="0" borderId="9" xfId="0" applyFont="1" applyBorder="1" applyAlignment="1">
      <alignment horizontal="center"/>
    </xf>
    <xf numFmtId="0" fontId="7" fillId="0" borderId="0" xfId="0" applyFont="1" applyAlignment="1">
      <alignment horizontal="center"/>
    </xf>
    <xf numFmtId="0" fontId="15" fillId="0" borderId="9" xfId="0" applyFont="1" applyBorder="1" applyAlignment="1">
      <alignment horizontal="center" wrapText="1"/>
    </xf>
    <xf numFmtId="0" fontId="15" fillId="0" borderId="0" xfId="0" applyFont="1" applyAlignment="1">
      <alignment horizontal="center" wrapText="1"/>
    </xf>
    <xf numFmtId="0" fontId="15" fillId="0" borderId="10" xfId="0" applyFont="1" applyBorder="1" applyAlignment="1">
      <alignment horizontal="center" wrapText="1"/>
    </xf>
    <xf numFmtId="0" fontId="7" fillId="0" borderId="10" xfId="0" applyFont="1" applyBorder="1" applyAlignment="1">
      <alignment horizontal="center"/>
    </xf>
    <xf numFmtId="0" fontId="10" fillId="0" borderId="0" xfId="0" applyFont="1" applyAlignment="1">
      <alignment horizontal="center"/>
    </xf>
    <xf numFmtId="0" fontId="11" fillId="0" borderId="0" xfId="0" applyFont="1" applyAlignment="1">
      <alignment horizontal="center"/>
    </xf>
    <xf numFmtId="0" fontId="4" fillId="0" borderId="0" xfId="0" applyFont="1" applyAlignment="1">
      <alignment horizontal="center"/>
    </xf>
    <xf numFmtId="0" fontId="13" fillId="0" borderId="0" xfId="0" applyFont="1" applyAlignment="1">
      <alignment horizontal="center"/>
    </xf>
    <xf numFmtId="0" fontId="18" fillId="0" borderId="0" xfId="0" applyFont="1" applyAlignment="1">
      <alignment horizontal="center" wrapText="1"/>
    </xf>
    <xf numFmtId="0" fontId="17" fillId="0" borderId="0" xfId="0" applyFont="1" applyAlignment="1">
      <alignment horizontal="center" wrapText="1"/>
    </xf>
    <xf numFmtId="0" fontId="17" fillId="0" borderId="0" xfId="0" applyFont="1" applyAlignment="1">
      <alignment horizontal="center"/>
    </xf>
    <xf numFmtId="0" fontId="11" fillId="0" borderId="0" xfId="0" applyFont="1" applyAlignment="1">
      <alignment horizontal="center" vertical="center" wrapText="1"/>
    </xf>
    <xf numFmtId="0" fontId="13" fillId="0" borderId="0" xfId="0" applyFont="1" applyAlignment="1">
      <alignment horizontal="right"/>
    </xf>
    <xf numFmtId="0" fontId="11" fillId="0" borderId="0" xfId="0" applyFont="1" applyAlignment="1">
      <alignment horizontal="right"/>
    </xf>
    <xf numFmtId="0" fontId="16" fillId="0" borderId="0" xfId="3" applyFont="1" applyAlignment="1">
      <alignment horizontal="center" wrapText="1"/>
    </xf>
    <xf numFmtId="0" fontId="11" fillId="0" borderId="0" xfId="3" applyFont="1" applyAlignment="1">
      <alignment horizontal="center"/>
    </xf>
    <xf numFmtId="0" fontId="16" fillId="0" borderId="2" xfId="3" applyFont="1" applyBorder="1" applyAlignment="1">
      <alignment horizontal="center"/>
    </xf>
    <xf numFmtId="0" fontId="22" fillId="0" borderId="0" xfId="3" applyFont="1" applyAlignment="1">
      <alignment horizontal="center"/>
    </xf>
    <xf numFmtId="0" fontId="29" fillId="4" borderId="0" xfId="3" applyFont="1" applyFill="1" applyAlignment="1">
      <alignment horizontal="center" wrapText="1"/>
    </xf>
    <xf numFmtId="0" fontId="29" fillId="4" borderId="2" xfId="3" applyFont="1" applyFill="1" applyBorder="1" applyAlignment="1">
      <alignment horizontal="center" wrapText="1"/>
    </xf>
    <xf numFmtId="0" fontId="26" fillId="0" borderId="0" xfId="0" applyFont="1" applyAlignment="1">
      <alignment horizontal="center"/>
    </xf>
    <xf numFmtId="174" fontId="11" fillId="0" borderId="0" xfId="1" applyNumberFormat="1" applyFont="1" applyFill="1" applyAlignment="1">
      <alignment horizontal="center"/>
    </xf>
    <xf numFmtId="174" fontId="11" fillId="0" borderId="0" xfId="1" applyNumberFormat="1" applyFont="1" applyAlignment="1">
      <alignment horizontal="center"/>
    </xf>
    <xf numFmtId="0" fontId="12" fillId="0" borderId="0" xfId="0" applyFont="1" applyAlignment="1">
      <alignment horizontal="right"/>
    </xf>
    <xf numFmtId="0" fontId="18" fillId="0" borderId="0" xfId="0" applyFont="1" applyAlignment="1">
      <alignment horizontal="center"/>
    </xf>
    <xf numFmtId="0" fontId="11" fillId="0" borderId="0" xfId="0" applyFont="1"/>
    <xf numFmtId="0" fontId="28" fillId="0" borderId="0" xfId="0" applyFont="1" applyAlignment="1">
      <alignment horizontal="center"/>
    </xf>
  </cellXfs>
  <cellStyles count="4">
    <cellStyle name="Comma" xfId="1" builtinId="3"/>
    <cellStyle name="Normal" xfId="0" builtinId="0"/>
    <cellStyle name="Normal 2" xfId="3" xr:uid="{00000000-0005-0000-0000-00000200000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xdr:col>
      <xdr:colOff>2020957</xdr:colOff>
      <xdr:row>29</xdr:row>
      <xdr:rowOff>0</xdr:rowOff>
    </xdr:from>
    <xdr:ext cx="1152761" cy="875372"/>
    <xdr:sp macro="" textlink="">
      <xdr:nvSpPr>
        <xdr:cNvPr id="4" name="TextBox 3">
          <a:extLst>
            <a:ext uri="{FF2B5EF4-FFF2-40B4-BE49-F238E27FC236}">
              <a16:creationId xmlns:a16="http://schemas.microsoft.com/office/drawing/2014/main" id="{1932106B-0224-4823-AF08-4C534AC502AA}"/>
            </a:ext>
          </a:extLst>
        </xdr:cNvPr>
        <xdr:cNvSpPr txBox="1"/>
      </xdr:nvSpPr>
      <xdr:spPr>
        <a:xfrm>
          <a:off x="2600740" y="6259962"/>
          <a:ext cx="1152761" cy="8753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900"/>
        </a:p>
      </xdr:txBody>
    </xdr:sp>
    <xdr:clientData/>
  </xdr:oneCellAnchor>
  <xdr:oneCellAnchor>
    <xdr:from>
      <xdr:col>1</xdr:col>
      <xdr:colOff>2020957</xdr:colOff>
      <xdr:row>29</xdr:row>
      <xdr:rowOff>0</xdr:rowOff>
    </xdr:from>
    <xdr:ext cx="1152761" cy="875372"/>
    <xdr:sp macro="" textlink="">
      <xdr:nvSpPr>
        <xdr:cNvPr id="5" name="TextBox 4">
          <a:extLst>
            <a:ext uri="{FF2B5EF4-FFF2-40B4-BE49-F238E27FC236}">
              <a16:creationId xmlns:a16="http://schemas.microsoft.com/office/drawing/2014/main" id="{010EAA46-E8D4-4562-9A85-7C279AB7B4E5}"/>
            </a:ext>
          </a:extLst>
        </xdr:cNvPr>
        <xdr:cNvSpPr txBox="1"/>
      </xdr:nvSpPr>
      <xdr:spPr>
        <a:xfrm>
          <a:off x="2249557" y="7124700"/>
          <a:ext cx="1152761" cy="8753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9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70FFE-54A9-4A21-ACCD-4D0E784EBF5B}">
  <dimension ref="B3:F40"/>
  <sheetViews>
    <sheetView tabSelected="1" topLeftCell="A9" workbookViewId="0">
      <selection activeCell="D25" sqref="D25"/>
    </sheetView>
  </sheetViews>
  <sheetFormatPr defaultRowHeight="12.5" x14ac:dyDescent="0.25"/>
  <cols>
    <col min="2" max="2" width="19.6328125" bestFit="1" customWidth="1"/>
    <col min="3" max="3" width="62.1796875" bestFit="1" customWidth="1"/>
    <col min="5" max="5" width="12.1796875" bestFit="1" customWidth="1"/>
    <col min="6" max="6" width="15.36328125" bestFit="1" customWidth="1"/>
  </cols>
  <sheetData>
    <row r="3" spans="2:3" x14ac:dyDescent="0.25">
      <c r="B3" t="s">
        <v>261</v>
      </c>
      <c r="C3" t="s">
        <v>249</v>
      </c>
    </row>
    <row r="4" spans="2:3" x14ac:dyDescent="0.25">
      <c r="B4" t="s">
        <v>262</v>
      </c>
      <c r="C4" t="s">
        <v>250</v>
      </c>
    </row>
    <row r="5" spans="2:3" x14ac:dyDescent="0.25">
      <c r="B5" t="s">
        <v>263</v>
      </c>
      <c r="C5" t="s">
        <v>242</v>
      </c>
    </row>
    <row r="6" spans="2:3" x14ac:dyDescent="0.25">
      <c r="B6" t="s">
        <v>264</v>
      </c>
      <c r="C6" t="s">
        <v>252</v>
      </c>
    </row>
    <row r="7" spans="2:3" x14ac:dyDescent="0.25">
      <c r="B7" t="s">
        <v>265</v>
      </c>
      <c r="C7" t="s">
        <v>253</v>
      </c>
    </row>
    <row r="8" spans="2:3" x14ac:dyDescent="0.25">
      <c r="B8" t="s">
        <v>266</v>
      </c>
      <c r="C8" t="s">
        <v>243</v>
      </c>
    </row>
    <row r="9" spans="2:3" x14ac:dyDescent="0.25">
      <c r="B9" t="s">
        <v>267</v>
      </c>
      <c r="C9" s="152">
        <v>1100</v>
      </c>
    </row>
    <row r="10" spans="2:3" x14ac:dyDescent="0.25">
      <c r="B10" s="11" t="s">
        <v>268</v>
      </c>
      <c r="C10">
        <v>30000</v>
      </c>
    </row>
    <row r="11" spans="2:3" x14ac:dyDescent="0.25">
      <c r="B11" s="11" t="s">
        <v>269</v>
      </c>
      <c r="C11" s="153">
        <v>0.05</v>
      </c>
    </row>
    <row r="12" spans="2:3" x14ac:dyDescent="0.25">
      <c r="B12" s="11" t="s">
        <v>270</v>
      </c>
      <c r="C12" s="153">
        <v>0.25</v>
      </c>
    </row>
    <row r="13" spans="2:3" x14ac:dyDescent="0.25">
      <c r="B13" s="11" t="s">
        <v>271</v>
      </c>
      <c r="C13" s="154">
        <v>0.1195</v>
      </c>
    </row>
    <row r="14" spans="2:3" x14ac:dyDescent="0.25">
      <c r="B14" s="11" t="s">
        <v>272</v>
      </c>
      <c r="C14" s="154">
        <v>0.1195</v>
      </c>
    </row>
    <row r="15" spans="2:3" x14ac:dyDescent="0.25">
      <c r="B15" s="11"/>
    </row>
    <row r="17" spans="2:6" ht="14" x14ac:dyDescent="0.3">
      <c r="B17" s="35" t="s">
        <v>94</v>
      </c>
      <c r="C17" s="64" t="s">
        <v>95</v>
      </c>
      <c r="D17" s="64" t="s">
        <v>143</v>
      </c>
      <c r="E17" s="64" t="s">
        <v>97</v>
      </c>
      <c r="F17" s="35" t="s">
        <v>98</v>
      </c>
    </row>
    <row r="18" spans="2:6" ht="14" x14ac:dyDescent="0.3">
      <c r="B18" s="35"/>
      <c r="C18" s="64"/>
      <c r="D18" s="64"/>
      <c r="E18" s="64"/>
      <c r="F18" s="35"/>
    </row>
    <row r="19" spans="2:6" ht="13.5" x14ac:dyDescent="0.25">
      <c r="B19" s="109"/>
      <c r="C19" s="28"/>
      <c r="D19" s="68"/>
      <c r="E19" s="135"/>
      <c r="F19" s="123">
        <f>E19*D19</f>
        <v>0</v>
      </c>
    </row>
    <row r="20" spans="2:6" ht="13.5" x14ac:dyDescent="0.25">
      <c r="B20" s="109"/>
      <c r="C20" s="28"/>
      <c r="D20" s="68"/>
      <c r="E20" s="135"/>
      <c r="F20" s="123">
        <f>E20*D20</f>
        <v>0</v>
      </c>
    </row>
    <row r="21" spans="2:6" ht="13.5" x14ac:dyDescent="0.25">
      <c r="B21" s="109"/>
      <c r="C21" s="28"/>
      <c r="D21" s="68"/>
      <c r="E21" s="135"/>
      <c r="F21" s="123">
        <f>E21*D21</f>
        <v>0</v>
      </c>
    </row>
    <row r="22" spans="2:6" ht="13.5" x14ac:dyDescent="0.25">
      <c r="B22" s="109"/>
      <c r="C22" s="28"/>
      <c r="D22" s="68"/>
      <c r="E22" s="135"/>
      <c r="F22" s="123">
        <f t="shared" ref="F22:F29" si="0">E22*D22</f>
        <v>0</v>
      </c>
    </row>
    <row r="23" spans="2:6" ht="13.5" x14ac:dyDescent="0.25">
      <c r="B23" s="109"/>
      <c r="C23" s="28"/>
      <c r="D23" s="68"/>
      <c r="E23" s="135"/>
      <c r="F23" s="123">
        <f t="shared" si="0"/>
        <v>0</v>
      </c>
    </row>
    <row r="24" spans="2:6" ht="13.5" x14ac:dyDescent="0.25">
      <c r="B24" s="109"/>
      <c r="C24" s="28"/>
      <c r="D24" s="68"/>
      <c r="E24" s="135"/>
      <c r="F24" s="123">
        <f t="shared" si="0"/>
        <v>0</v>
      </c>
    </row>
    <row r="25" spans="2:6" ht="13.5" x14ac:dyDescent="0.25">
      <c r="B25" s="109"/>
      <c r="C25" s="28"/>
      <c r="D25" s="68"/>
      <c r="E25" s="135"/>
      <c r="F25" s="123">
        <f t="shared" si="0"/>
        <v>0</v>
      </c>
    </row>
    <row r="26" spans="2:6" ht="13.5" x14ac:dyDescent="0.25">
      <c r="B26" s="109"/>
      <c r="C26" s="28"/>
      <c r="D26" s="68"/>
      <c r="E26" s="135"/>
      <c r="F26" s="123">
        <f t="shared" si="0"/>
        <v>0</v>
      </c>
    </row>
    <row r="27" spans="2:6" ht="13.5" x14ac:dyDescent="0.25">
      <c r="B27" s="109"/>
      <c r="C27" s="28"/>
      <c r="D27" s="68"/>
      <c r="E27" s="135"/>
      <c r="F27" s="123">
        <f t="shared" si="0"/>
        <v>0</v>
      </c>
    </row>
    <row r="28" spans="2:6" ht="13.5" x14ac:dyDescent="0.25">
      <c r="B28" s="109"/>
      <c r="C28" s="28"/>
      <c r="D28" s="68"/>
      <c r="E28" s="135"/>
      <c r="F28" s="123">
        <f t="shared" si="0"/>
        <v>0</v>
      </c>
    </row>
    <row r="29" spans="2:6" ht="13.5" x14ac:dyDescent="0.25">
      <c r="B29" s="109"/>
      <c r="C29" s="28"/>
      <c r="D29" s="68"/>
      <c r="E29" s="135"/>
      <c r="F29" s="123">
        <f t="shared" si="0"/>
        <v>0</v>
      </c>
    </row>
    <row r="32" spans="2:6" ht="14" x14ac:dyDescent="0.3">
      <c r="B32" s="184" t="s">
        <v>74</v>
      </c>
      <c r="C32" s="184"/>
      <c r="D32" s="184"/>
      <c r="E32" s="184"/>
      <c r="F32" s="184"/>
    </row>
    <row r="33" spans="2:6" ht="14" x14ac:dyDescent="0.3">
      <c r="B33" s="27"/>
      <c r="C33" s="27"/>
      <c r="D33" s="27"/>
      <c r="E33" s="27"/>
      <c r="F33" s="63" t="s">
        <v>144</v>
      </c>
    </row>
    <row r="34" spans="2:6" ht="13.5" x14ac:dyDescent="0.25">
      <c r="B34" s="27"/>
      <c r="C34" s="27"/>
      <c r="D34" s="27"/>
      <c r="E34" s="27"/>
      <c r="F34" s="27"/>
    </row>
    <row r="35" spans="2:6" ht="14" x14ac:dyDescent="0.3">
      <c r="B35" s="27"/>
      <c r="C35" s="27"/>
      <c r="D35" s="27"/>
      <c r="E35" s="27"/>
      <c r="F35" s="35" t="s">
        <v>75</v>
      </c>
    </row>
    <row r="36" spans="2:6" ht="13.5" x14ac:dyDescent="0.25">
      <c r="B36" s="27"/>
      <c r="C36" s="27"/>
      <c r="D36" s="27"/>
      <c r="E36" s="27"/>
      <c r="F36" s="27"/>
    </row>
    <row r="37" spans="2:6" ht="13.5" x14ac:dyDescent="0.25">
      <c r="B37" s="74">
        <v>1</v>
      </c>
      <c r="C37" s="27" t="s">
        <v>254</v>
      </c>
      <c r="D37" s="27"/>
      <c r="E37" s="27"/>
      <c r="F37" s="131">
        <v>260000</v>
      </c>
    </row>
    <row r="38" spans="2:6" ht="13.5" x14ac:dyDescent="0.25">
      <c r="B38" s="74"/>
      <c r="C38" s="141"/>
      <c r="D38" s="27"/>
      <c r="E38" s="27"/>
      <c r="F38" s="75"/>
    </row>
    <row r="39" spans="2:6" ht="13.5" x14ac:dyDescent="0.25">
      <c r="B39" s="74"/>
      <c r="C39" s="72"/>
      <c r="D39" s="27"/>
      <c r="E39" s="27"/>
      <c r="F39" s="75"/>
    </row>
    <row r="40" spans="2:6" ht="13.5" x14ac:dyDescent="0.25">
      <c r="B40" s="74">
        <v>2</v>
      </c>
      <c r="C40" s="72" t="s">
        <v>192</v>
      </c>
      <c r="D40" s="27"/>
      <c r="E40" s="27"/>
      <c r="F40" s="75">
        <v>100000</v>
      </c>
    </row>
  </sheetData>
  <mergeCells count="1">
    <mergeCell ref="B32:F3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showGridLines="0" view="pageBreakPreview" topLeftCell="A23" zoomScaleSheetLayoutView="100" workbookViewId="0">
      <selection activeCell="B15" sqref="B15"/>
    </sheetView>
  </sheetViews>
  <sheetFormatPr defaultColWidth="9.1796875" defaultRowHeight="13.5" x14ac:dyDescent="0.25"/>
  <cols>
    <col min="1" max="1" width="70.26953125" style="27" customWidth="1"/>
    <col min="2" max="2" width="19" style="27" bestFit="1" customWidth="1"/>
    <col min="3" max="3" width="29.81640625" style="27" bestFit="1" customWidth="1"/>
    <col min="4" max="16384" width="9.1796875" style="27"/>
  </cols>
  <sheetData>
    <row r="1" spans="1:8" ht="54.75" customHeight="1" x14ac:dyDescent="0.45">
      <c r="A1" s="185" t="str">
        <f>+Dep!A1</f>
        <v>M/S TRIKUTA MEDICOS AND DIAGNOSTICS CENTRE</v>
      </c>
      <c r="B1" s="185"/>
      <c r="C1" s="26"/>
    </row>
    <row r="2" spans="1:8" ht="36" customHeight="1" x14ac:dyDescent="0.35">
      <c r="A2" s="186" t="str">
        <f>+Dep!A2</f>
        <v>AIRPORT ROAD, GADI GARH, OPPOSITE DAYAL G MEDICOS, JAMMU</v>
      </c>
      <c r="B2" s="186"/>
      <c r="C2" s="26"/>
    </row>
    <row r="3" spans="1:8" ht="14" x14ac:dyDescent="0.3">
      <c r="A3" s="45"/>
      <c r="B3" s="45"/>
      <c r="C3" s="45"/>
      <c r="D3" s="43"/>
      <c r="E3" s="43"/>
      <c r="F3" s="43"/>
      <c r="G3" s="43"/>
      <c r="H3" s="43"/>
    </row>
    <row r="5" spans="1:8" ht="15" x14ac:dyDescent="0.3">
      <c r="A5" s="197" t="s">
        <v>182</v>
      </c>
      <c r="B5" s="197"/>
      <c r="C5" s="45"/>
      <c r="D5" s="43"/>
      <c r="E5" s="43"/>
      <c r="F5" s="43"/>
      <c r="G5" s="43"/>
      <c r="H5" s="43"/>
    </row>
    <row r="7" spans="1:8" ht="14" x14ac:dyDescent="0.3">
      <c r="A7" s="45" t="s">
        <v>1</v>
      </c>
      <c r="B7" s="26"/>
      <c r="C7" s="45"/>
      <c r="D7" s="45"/>
      <c r="E7" s="26"/>
      <c r="F7" s="45"/>
    </row>
    <row r="8" spans="1:8" ht="14" x14ac:dyDescent="0.3">
      <c r="A8" s="45"/>
      <c r="B8" s="35" t="s">
        <v>72</v>
      </c>
      <c r="C8" s="85"/>
      <c r="D8" s="45"/>
      <c r="E8" s="26"/>
      <c r="F8" s="45"/>
    </row>
    <row r="9" spans="1:8" ht="14" x14ac:dyDescent="0.3">
      <c r="A9" s="26" t="s">
        <v>2</v>
      </c>
      <c r="B9" s="35" t="s">
        <v>71</v>
      </c>
    </row>
    <row r="11" spans="1:8" x14ac:dyDescent="0.25">
      <c r="A11" s="27" t="s">
        <v>86</v>
      </c>
      <c r="B11" s="78">
        <f>Land!D31</f>
        <v>0</v>
      </c>
    </row>
    <row r="13" spans="1:8" x14ac:dyDescent="0.25">
      <c r="A13" s="27" t="s">
        <v>87</v>
      </c>
      <c r="B13" s="47">
        <f>'PM-MFA'!E22/10^5</f>
        <v>0</v>
      </c>
    </row>
    <row r="15" spans="1:8" x14ac:dyDescent="0.25">
      <c r="A15" s="27" t="s">
        <v>246</v>
      </c>
      <c r="B15" s="47">
        <f>'PM-MFA'!E42/100000</f>
        <v>3.6</v>
      </c>
    </row>
    <row r="16" spans="1:8" x14ac:dyDescent="0.25">
      <c r="B16" s="47"/>
    </row>
    <row r="17" spans="1:6" x14ac:dyDescent="0.25">
      <c r="A17" s="27" t="s">
        <v>119</v>
      </c>
      <c r="B17" s="47">
        <f>WCAP!D17</f>
        <v>0</v>
      </c>
      <c r="C17" s="86">
        <v>3.5267368421052629</v>
      </c>
      <c r="D17" s="47">
        <f>B20-25</f>
        <v>-21.4</v>
      </c>
    </row>
    <row r="18" spans="1:6" x14ac:dyDescent="0.25">
      <c r="A18" s="27" t="s">
        <v>121</v>
      </c>
    </row>
    <row r="20" spans="1:6" ht="14" x14ac:dyDescent="0.3">
      <c r="A20" s="35" t="s">
        <v>66</v>
      </c>
      <c r="B20" s="82">
        <f>SUM(B11:B18)</f>
        <v>3.6</v>
      </c>
      <c r="C20" s="47"/>
    </row>
    <row r="21" spans="1:6" x14ac:dyDescent="0.25">
      <c r="F21" s="27">
        <f>1.99/1.05</f>
        <v>1.8952380952380952</v>
      </c>
    </row>
    <row r="23" spans="1:6" ht="14" x14ac:dyDescent="0.3">
      <c r="A23" s="45" t="s">
        <v>3</v>
      </c>
    </row>
    <row r="25" spans="1:6" x14ac:dyDescent="0.25">
      <c r="A25" s="27" t="s">
        <v>4</v>
      </c>
      <c r="B25" s="47">
        <f>B20*'Basic Details'!C11</f>
        <v>0.18000000000000002</v>
      </c>
      <c r="C25" s="87">
        <f>B25/B20</f>
        <v>0.05</v>
      </c>
    </row>
    <row r="27" spans="1:6" x14ac:dyDescent="0.25">
      <c r="A27" s="27" t="s">
        <v>186</v>
      </c>
      <c r="B27" s="47">
        <f>(B11+B13+B15)*(1-'Basic Details'!C11)</f>
        <v>3.42</v>
      </c>
      <c r="C27" s="87">
        <f>B27/SUM($B$27:$B$29)</f>
        <v>1</v>
      </c>
      <c r="E27" s="27">
        <f>B27/0.95</f>
        <v>3.6</v>
      </c>
      <c r="F27" s="27">
        <f>4/0.95*10^5</f>
        <v>421052.63157894736</v>
      </c>
    </row>
    <row r="28" spans="1:6" x14ac:dyDescent="0.25">
      <c r="D28" s="87"/>
    </row>
    <row r="29" spans="1:6" x14ac:dyDescent="0.25">
      <c r="A29" s="27" t="s">
        <v>120</v>
      </c>
      <c r="B29" s="47">
        <f>B17*(1-'Basic Details'!C11)</f>
        <v>0</v>
      </c>
      <c r="C29" s="87">
        <f>B29/SUM($B$27:$B$29)</f>
        <v>0</v>
      </c>
      <c r="E29" s="27">
        <f>5*0.95</f>
        <v>4.75</v>
      </c>
    </row>
    <row r="30" spans="1:6" x14ac:dyDescent="0.25">
      <c r="B30" s="47"/>
    </row>
    <row r="31" spans="1:6" ht="14" x14ac:dyDescent="0.3">
      <c r="A31" s="35" t="s">
        <v>67</v>
      </c>
      <c r="B31" s="82">
        <f>SUM(B25:B29)</f>
        <v>3.6</v>
      </c>
      <c r="C31" s="27">
        <f>2*0.95</f>
        <v>1.9</v>
      </c>
      <c r="D31" s="87" t="e">
        <f>B29/B17</f>
        <v>#DIV/0!</v>
      </c>
    </row>
    <row r="32" spans="1:6" ht="14" x14ac:dyDescent="0.3">
      <c r="D32" s="45"/>
      <c r="F32" s="45"/>
    </row>
    <row r="33" spans="1:7" ht="14" x14ac:dyDescent="0.3">
      <c r="A33" s="26" t="str">
        <f>"SUBSIDY FROM KVIB/ DIC @ "&amp;'Basic Details'!C12*100&amp;"%"</f>
        <v>SUBSIDY FROM KVIB/ DIC @ 25%</v>
      </c>
      <c r="B33" s="80">
        <f>B20*'Basic Details'!C12</f>
        <v>0.9</v>
      </c>
    </row>
    <row r="35" spans="1:7" ht="14" x14ac:dyDescent="0.3">
      <c r="C35" s="45"/>
      <c r="D35" s="45"/>
      <c r="E35" s="45"/>
      <c r="F35" s="45"/>
      <c r="G35" s="45"/>
    </row>
    <row r="36" spans="1:7" ht="14" x14ac:dyDescent="0.3">
      <c r="A36" s="27" t="s">
        <v>5</v>
      </c>
      <c r="B36" s="88">
        <f>BS!D44</f>
        <v>-0.33467873298722078</v>
      </c>
    </row>
    <row r="39" spans="1:7" x14ac:dyDescent="0.25">
      <c r="A39" s="27" t="s">
        <v>6</v>
      </c>
    </row>
    <row r="40" spans="1:7" ht="14" x14ac:dyDescent="0.3">
      <c r="A40" s="27" t="s">
        <v>7</v>
      </c>
      <c r="B40" s="89">
        <f>B25/B31</f>
        <v>0.05</v>
      </c>
    </row>
  </sheetData>
  <mergeCells count="3">
    <mergeCell ref="A1:B1"/>
    <mergeCell ref="A2:B2"/>
    <mergeCell ref="A5:B5"/>
  </mergeCells>
  <phoneticPr fontId="0" type="noConversion"/>
  <printOptions horizontalCentered="1"/>
  <pageMargins left="0.75" right="0.75" top="1" bottom="1" header="0.5" footer="0.5"/>
  <pageSetup scale="91"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48"/>
  <sheetViews>
    <sheetView showGridLines="0" view="pageBreakPreview" topLeftCell="A7" zoomScaleSheetLayoutView="100" workbookViewId="0">
      <selection activeCell="E29" sqref="E29"/>
    </sheetView>
  </sheetViews>
  <sheetFormatPr defaultColWidth="9.1796875" defaultRowHeight="13.5" x14ac:dyDescent="0.25"/>
  <cols>
    <col min="1" max="1" width="19" style="27" customWidth="1"/>
    <col min="2" max="5" width="17" style="27" bestFit="1" customWidth="1"/>
    <col min="6" max="6" width="9.1796875" style="27"/>
    <col min="7" max="7" width="18.7265625" style="27" bestFit="1" customWidth="1"/>
    <col min="8" max="16384" width="9.1796875" style="27"/>
  </cols>
  <sheetData>
    <row r="1" spans="1:10" ht="47.25" customHeight="1" x14ac:dyDescent="0.45">
      <c r="A1" s="185" t="str">
        <f>Dep!A1</f>
        <v>M/S TRIKUTA MEDICOS AND DIAGNOSTICS CENTRE</v>
      </c>
      <c r="B1" s="185"/>
      <c r="C1" s="185"/>
      <c r="D1" s="185"/>
      <c r="E1" s="185"/>
    </row>
    <row r="2" spans="1:10" ht="17.5" x14ac:dyDescent="0.35">
      <c r="A2" s="187" t="str">
        <f>Dep!A2</f>
        <v>AIRPORT ROAD, GADI GARH, OPPOSITE DAYAL G MEDICOS, JAMMU</v>
      </c>
      <c r="B2" s="187"/>
      <c r="C2" s="187"/>
      <c r="D2" s="187"/>
      <c r="E2" s="187"/>
    </row>
    <row r="3" spans="1:10" ht="14" x14ac:dyDescent="0.3">
      <c r="A3" s="189"/>
      <c r="B3" s="189"/>
      <c r="C3" s="189"/>
      <c r="D3" s="189"/>
      <c r="E3" s="189"/>
      <c r="F3" s="43"/>
      <c r="G3" s="43"/>
      <c r="H3" s="43"/>
    </row>
    <row r="5" spans="1:10" ht="14" x14ac:dyDescent="0.3">
      <c r="A5" s="184" t="s">
        <v>20</v>
      </c>
      <c r="B5" s="184"/>
      <c r="C5" s="184"/>
      <c r="D5" s="184"/>
      <c r="E5" s="184"/>
      <c r="F5" s="43"/>
      <c r="G5" s="43"/>
      <c r="H5" s="43"/>
    </row>
    <row r="6" spans="1:10" ht="14" x14ac:dyDescent="0.3">
      <c r="E6" s="35" t="s">
        <v>8</v>
      </c>
    </row>
    <row r="7" spans="1:10" ht="14" x14ac:dyDescent="0.3">
      <c r="A7" s="26" t="s">
        <v>21</v>
      </c>
      <c r="C7" s="198">
        <f>+Cost!B27</f>
        <v>3.42</v>
      </c>
      <c r="D7" s="199"/>
    </row>
    <row r="9" spans="1:10" ht="28" x14ac:dyDescent="0.25">
      <c r="A9" s="91" t="s">
        <v>203</v>
      </c>
      <c r="B9" s="91" t="s">
        <v>22</v>
      </c>
      <c r="C9" s="91" t="s">
        <v>23</v>
      </c>
      <c r="D9" s="91" t="s">
        <v>24</v>
      </c>
      <c r="E9" s="91" t="str">
        <f>"    Interest @ "&amp;'Basic Details'!C13*100&amp;"%"</f>
        <v xml:space="preserve">    Interest @ 11.95%</v>
      </c>
    </row>
    <row r="11" spans="1:10" x14ac:dyDescent="0.25">
      <c r="A11" s="65">
        <v>1</v>
      </c>
      <c r="B11" s="75">
        <f>+C7</f>
        <v>3.42</v>
      </c>
      <c r="C11" s="75">
        <v>4.5593772000000001</v>
      </c>
      <c r="D11" s="75">
        <f>B11+E11-C11</f>
        <v>0.7615949999999998</v>
      </c>
      <c r="E11" s="75">
        <v>1.9009722000000002</v>
      </c>
      <c r="G11" s="92"/>
    </row>
    <row r="12" spans="1:10" x14ac:dyDescent="0.25">
      <c r="B12" s="81"/>
      <c r="C12" s="81"/>
      <c r="D12" s="81"/>
      <c r="E12" s="81"/>
      <c r="J12" s="140">
        <f>C11/12</f>
        <v>0.37994810000000001</v>
      </c>
    </row>
    <row r="13" spans="1:10" x14ac:dyDescent="0.25">
      <c r="A13" s="27">
        <v>2</v>
      </c>
      <c r="B13" s="81">
        <f>D11</f>
        <v>0.7615949999999998</v>
      </c>
      <c r="C13" s="75">
        <f>C11</f>
        <v>4.5593772000000001</v>
      </c>
      <c r="D13" s="75">
        <f>B13+E13-C13</f>
        <v>-2.2324796999999998</v>
      </c>
      <c r="E13" s="75">
        <v>1.5653025000000003</v>
      </c>
    </row>
    <row r="14" spans="1:10" x14ac:dyDescent="0.25">
      <c r="B14" s="81"/>
      <c r="C14" s="81"/>
      <c r="D14" s="81"/>
      <c r="E14" s="81"/>
      <c r="G14" s="92"/>
    </row>
    <row r="15" spans="1:10" x14ac:dyDescent="0.25">
      <c r="A15" s="27">
        <v>3</v>
      </c>
      <c r="B15" s="81">
        <f>D13</f>
        <v>-2.2324796999999998</v>
      </c>
      <c r="C15" s="75">
        <f>C13</f>
        <v>4.5593772000000001</v>
      </c>
      <c r="D15" s="75">
        <f>B15+E15-C15</f>
        <v>-5.6046079999999998</v>
      </c>
      <c r="E15" s="75">
        <v>1.1872488999999999</v>
      </c>
    </row>
    <row r="16" spans="1:10" x14ac:dyDescent="0.25">
      <c r="B16" s="81"/>
      <c r="C16" s="81"/>
      <c r="D16" s="81"/>
      <c r="E16" s="81"/>
    </row>
    <row r="17" spans="1:5" x14ac:dyDescent="0.25">
      <c r="A17" s="27">
        <v>4</v>
      </c>
      <c r="B17" s="81">
        <f>D15</f>
        <v>-5.6046079999999998</v>
      </c>
      <c r="C17" s="75">
        <f>C15</f>
        <v>4.5593772000000001</v>
      </c>
      <c r="D17" s="75">
        <f>B17+E17-C17</f>
        <v>-9.4025260999999993</v>
      </c>
      <c r="E17" s="75">
        <v>0.76145910000000006</v>
      </c>
    </row>
    <row r="18" spans="1:5" x14ac:dyDescent="0.25">
      <c r="B18" s="81"/>
      <c r="C18" s="81"/>
      <c r="D18" s="81"/>
      <c r="E18" s="81"/>
    </row>
    <row r="19" spans="1:5" x14ac:dyDescent="0.25">
      <c r="A19" s="27">
        <v>5</v>
      </c>
      <c r="B19" s="81">
        <f>D17</f>
        <v>-9.4025260999999993</v>
      </c>
      <c r="C19" s="75">
        <f>C17</f>
        <v>4.5593772000000001</v>
      </c>
      <c r="D19" s="75">
        <f>B19+E19-C19</f>
        <v>0</v>
      </c>
      <c r="E19" s="75">
        <f>C19-B19</f>
        <v>13.961903299999999</v>
      </c>
    </row>
    <row r="20" spans="1:5" x14ac:dyDescent="0.25">
      <c r="B20" s="47"/>
      <c r="C20" s="47"/>
      <c r="D20" s="47"/>
    </row>
    <row r="21" spans="1:5" x14ac:dyDescent="0.25">
      <c r="B21" s="47"/>
      <c r="C21" s="47"/>
      <c r="D21" s="47"/>
    </row>
    <row r="22" spans="1:5" ht="16" x14ac:dyDescent="0.35">
      <c r="A22" s="102"/>
      <c r="B22" s="102"/>
      <c r="C22" s="102"/>
      <c r="D22" s="102"/>
      <c r="E22" s="102"/>
    </row>
    <row r="25" spans="1:5" ht="14" x14ac:dyDescent="0.3">
      <c r="A25" s="26"/>
    </row>
    <row r="27" spans="1:5" ht="14" x14ac:dyDescent="0.3">
      <c r="A27" s="26" t="s">
        <v>90</v>
      </c>
      <c r="B27" s="65"/>
      <c r="E27" s="35" t="s">
        <v>8</v>
      </c>
    </row>
    <row r="28" spans="1:5" ht="14" x14ac:dyDescent="0.3">
      <c r="A28" s="26"/>
      <c r="B28" s="65"/>
      <c r="C28" s="198">
        <f>+Cost!B29</f>
        <v>0</v>
      </c>
      <c r="D28" s="199"/>
      <c r="E28" s="35"/>
    </row>
    <row r="29" spans="1:5" ht="28" x14ac:dyDescent="0.25">
      <c r="A29" s="91" t="s">
        <v>203</v>
      </c>
      <c r="B29" s="91" t="s">
        <v>91</v>
      </c>
      <c r="C29" s="91"/>
      <c r="D29" s="91"/>
      <c r="E29" s="91" t="str">
        <f>"    Interest @ "&amp;'Basic Details'!C14*100&amp;"%"</f>
        <v xml:space="preserve">    Interest @ 11.95%</v>
      </c>
    </row>
    <row r="31" spans="1:5" x14ac:dyDescent="0.25">
      <c r="A31" s="65">
        <v>1</v>
      </c>
      <c r="B31" s="75">
        <f>+C28</f>
        <v>0</v>
      </c>
      <c r="C31" s="81"/>
      <c r="D31" s="81"/>
      <c r="E31" s="75">
        <f>B31*0.1195</f>
        <v>0</v>
      </c>
    </row>
    <row r="32" spans="1:5" x14ac:dyDescent="0.25">
      <c r="B32" s="81"/>
      <c r="C32" s="81"/>
      <c r="D32" s="81"/>
      <c r="E32" s="81"/>
    </row>
    <row r="33" spans="1:6" x14ac:dyDescent="0.25">
      <c r="A33" s="27">
        <v>2</v>
      </c>
      <c r="B33" s="81">
        <f>B31</f>
        <v>0</v>
      </c>
      <c r="C33" s="81"/>
      <c r="D33" s="81"/>
      <c r="E33" s="75">
        <f>B33*0.1195</f>
        <v>0</v>
      </c>
    </row>
    <row r="34" spans="1:6" x14ac:dyDescent="0.25">
      <c r="B34" s="81"/>
      <c r="C34" s="81"/>
      <c r="D34" s="81"/>
      <c r="E34" s="81"/>
    </row>
    <row r="35" spans="1:6" x14ac:dyDescent="0.25">
      <c r="A35" s="27">
        <v>3</v>
      </c>
      <c r="B35" s="81">
        <f>B33</f>
        <v>0</v>
      </c>
      <c r="C35" s="81"/>
      <c r="D35" s="81"/>
      <c r="E35" s="75">
        <f>B35*0.1195</f>
        <v>0</v>
      </c>
    </row>
    <row r="36" spans="1:6" x14ac:dyDescent="0.25">
      <c r="B36" s="81"/>
      <c r="C36" s="81"/>
      <c r="D36" s="81"/>
      <c r="E36" s="81"/>
    </row>
    <row r="37" spans="1:6" x14ac:dyDescent="0.25">
      <c r="A37" s="27">
        <v>4</v>
      </c>
      <c r="B37" s="81">
        <f>B35</f>
        <v>0</v>
      </c>
      <c r="C37" s="81"/>
      <c r="D37" s="81"/>
      <c r="E37" s="75">
        <f>B37*0.1195</f>
        <v>0</v>
      </c>
    </row>
    <row r="38" spans="1:6" x14ac:dyDescent="0.25">
      <c r="B38" s="81"/>
      <c r="C38" s="81"/>
      <c r="D38" s="81"/>
      <c r="E38" s="81"/>
    </row>
    <row r="39" spans="1:6" x14ac:dyDescent="0.25">
      <c r="A39" s="27">
        <v>5</v>
      </c>
      <c r="B39" s="81">
        <f>B37</f>
        <v>0</v>
      </c>
      <c r="C39" s="81"/>
      <c r="D39" s="81"/>
      <c r="E39" s="75">
        <f>B39*0.1195</f>
        <v>0</v>
      </c>
    </row>
    <row r="43" spans="1:6" ht="14" x14ac:dyDescent="0.3">
      <c r="A43" s="26"/>
      <c r="E43" s="83"/>
      <c r="F43" s="26"/>
    </row>
    <row r="44" spans="1:6" ht="14" x14ac:dyDescent="0.3">
      <c r="A44" s="26"/>
      <c r="E44" s="35"/>
      <c r="F44" s="26"/>
    </row>
    <row r="45" spans="1:6" ht="14" x14ac:dyDescent="0.3">
      <c r="A45" s="26"/>
      <c r="E45" s="26"/>
      <c r="F45" s="26"/>
    </row>
    <row r="46" spans="1:6" ht="14" x14ac:dyDescent="0.3">
      <c r="A46" s="26"/>
      <c r="E46" s="26"/>
      <c r="F46" s="26"/>
    </row>
    <row r="47" spans="1:6" ht="14" x14ac:dyDescent="0.3">
      <c r="A47" s="26"/>
      <c r="E47" s="35"/>
      <c r="F47" s="26"/>
    </row>
    <row r="48" spans="1:6" ht="14" x14ac:dyDescent="0.3">
      <c r="A48" s="26"/>
      <c r="E48" s="35"/>
      <c r="F48" s="26"/>
    </row>
  </sheetData>
  <mergeCells count="6">
    <mergeCell ref="C28:D28"/>
    <mergeCell ref="A5:E5"/>
    <mergeCell ref="A3:E3"/>
    <mergeCell ref="C7:D7"/>
    <mergeCell ref="A1:E1"/>
    <mergeCell ref="A2:E2"/>
  </mergeCells>
  <phoneticPr fontId="0" type="noConversion"/>
  <printOptions horizontalCentered="1"/>
  <pageMargins left="0.75" right="0.75" top="1" bottom="1" header="0.5" footer="0.5"/>
  <pageSetup scale="95"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FD84"/>
  <sheetViews>
    <sheetView showGridLines="0" view="pageBreakPreview" zoomScaleSheetLayoutView="100" workbookViewId="0">
      <selection activeCell="G37" sqref="G37"/>
    </sheetView>
  </sheetViews>
  <sheetFormatPr defaultColWidth="9.1796875" defaultRowHeight="13.5" x14ac:dyDescent="0.25"/>
  <cols>
    <col min="1" max="1" width="56.7265625" style="27" customWidth="1"/>
    <col min="2" max="2" width="10" style="27" customWidth="1"/>
    <col min="3" max="3" width="9.81640625" style="27" customWidth="1"/>
    <col min="4" max="5" width="10" style="27" customWidth="1"/>
    <col min="6" max="6" width="10.54296875" style="27" customWidth="1"/>
    <col min="7" max="16384" width="9.1796875" style="27"/>
  </cols>
  <sheetData>
    <row r="1" spans="1:8" ht="22.5" x14ac:dyDescent="0.45">
      <c r="A1" s="201" t="str">
        <f>Exp!A1</f>
        <v>M/S TRIKUTA MEDICOS AND DIAGNOSTICS CENTRE</v>
      </c>
      <c r="B1" s="201"/>
      <c r="C1" s="201"/>
      <c r="D1" s="201"/>
      <c r="E1" s="201"/>
      <c r="F1" s="201"/>
    </row>
    <row r="2" spans="1:8" ht="17.5" x14ac:dyDescent="0.35">
      <c r="A2" s="187" t="str">
        <f>Exp!A2</f>
        <v>AIRPORT ROAD, GADI GARH, OPPOSITE DAYAL G MEDICOS, JAMMU</v>
      </c>
      <c r="B2" s="187"/>
      <c r="C2" s="187"/>
      <c r="D2" s="187"/>
      <c r="E2" s="187"/>
      <c r="F2" s="187"/>
    </row>
    <row r="3" spans="1:8" ht="14" x14ac:dyDescent="0.3">
      <c r="A3" s="189"/>
      <c r="B3" s="189"/>
      <c r="C3" s="189"/>
      <c r="D3" s="189"/>
      <c r="E3" s="189"/>
      <c r="F3" s="189"/>
      <c r="G3" s="43"/>
      <c r="H3" s="43"/>
    </row>
    <row r="5" spans="1:8" ht="14" x14ac:dyDescent="0.3">
      <c r="A5" s="184" t="s">
        <v>159</v>
      </c>
      <c r="B5" s="184"/>
      <c r="C5" s="184"/>
      <c r="D5" s="184"/>
      <c r="E5" s="184"/>
      <c r="F5" s="184"/>
      <c r="G5" s="43"/>
      <c r="H5" s="43"/>
    </row>
    <row r="6" spans="1:8" ht="14" x14ac:dyDescent="0.3">
      <c r="A6" s="26"/>
      <c r="B6" s="26"/>
      <c r="C6" s="26"/>
      <c r="D6" s="26"/>
      <c r="E6" s="190" t="s">
        <v>64</v>
      </c>
      <c r="F6" s="200"/>
      <c r="G6" s="26"/>
    </row>
    <row r="7" spans="1:8" ht="14" x14ac:dyDescent="0.3">
      <c r="A7" s="26" t="s">
        <v>25</v>
      </c>
      <c r="B7" s="182" t="s">
        <v>73</v>
      </c>
      <c r="C7" s="182"/>
      <c r="D7" s="182"/>
      <c r="E7" s="182"/>
      <c r="F7" s="182"/>
      <c r="G7" s="64"/>
    </row>
    <row r="8" spans="1:8" ht="14" x14ac:dyDescent="0.3">
      <c r="A8" s="26"/>
      <c r="B8" s="35" t="s">
        <v>27</v>
      </c>
      <c r="C8" s="35" t="s">
        <v>28</v>
      </c>
      <c r="D8" s="35" t="s">
        <v>29</v>
      </c>
      <c r="E8" s="35" t="s">
        <v>30</v>
      </c>
      <c r="F8" s="35" t="s">
        <v>31</v>
      </c>
      <c r="G8" s="26"/>
    </row>
    <row r="10" spans="1:8" ht="14" x14ac:dyDescent="0.3">
      <c r="A10" s="26" t="s">
        <v>25</v>
      </c>
      <c r="B10" s="90"/>
      <c r="C10" s="90"/>
      <c r="D10" s="90"/>
      <c r="E10" s="90"/>
      <c r="F10" s="90"/>
    </row>
    <row r="11" spans="1:8" x14ac:dyDescent="0.25">
      <c r="A11" s="27" t="s">
        <v>152</v>
      </c>
      <c r="B11" s="142">
        <v>30</v>
      </c>
      <c r="C11" s="143">
        <f>B11*1.1</f>
        <v>33</v>
      </c>
      <c r="D11" s="143">
        <f>C11*1.1</f>
        <v>36.300000000000004</v>
      </c>
      <c r="E11" s="142">
        <f>D11*1.1</f>
        <v>39.930000000000007</v>
      </c>
      <c r="F11" s="142">
        <f>E11*1.1</f>
        <v>43.923000000000009</v>
      </c>
      <c r="H11" s="27">
        <f>6*360/30</f>
        <v>72</v>
      </c>
    </row>
    <row r="12" spans="1:8" x14ac:dyDescent="0.25">
      <c r="B12" s="143"/>
      <c r="C12" s="143"/>
      <c r="D12" s="143"/>
      <c r="E12" s="143"/>
      <c r="F12" s="143"/>
    </row>
    <row r="13" spans="1:8" x14ac:dyDescent="0.25">
      <c r="B13" s="143"/>
      <c r="C13" s="143"/>
      <c r="D13" s="143"/>
      <c r="E13" s="143"/>
      <c r="F13" s="143"/>
    </row>
    <row r="14" spans="1:8" x14ac:dyDescent="0.25">
      <c r="A14" s="27" t="s">
        <v>258</v>
      </c>
      <c r="B14" s="142">
        <v>0</v>
      </c>
      <c r="C14" s="142">
        <v>0</v>
      </c>
      <c r="D14" s="142">
        <v>0</v>
      </c>
      <c r="E14" s="142">
        <v>0</v>
      </c>
      <c r="F14" s="142">
        <v>0</v>
      </c>
    </row>
    <row r="15" spans="1:8" x14ac:dyDescent="0.25">
      <c r="B15" s="81"/>
      <c r="C15" s="81"/>
      <c r="D15" s="81"/>
      <c r="E15" s="81"/>
      <c r="F15" s="81"/>
    </row>
    <row r="16" spans="1:8" ht="14" x14ac:dyDescent="0.3">
      <c r="A16" s="26"/>
      <c r="B16" s="144"/>
      <c r="C16" s="144"/>
      <c r="D16" s="144"/>
      <c r="E16" s="144"/>
      <c r="F16" s="144"/>
      <c r="H16" s="87"/>
    </row>
    <row r="17" spans="1:12 16384:16384" ht="14" x14ac:dyDescent="0.3">
      <c r="A17" s="26" t="s">
        <v>259</v>
      </c>
      <c r="B17" s="145">
        <f>B11+B14</f>
        <v>30</v>
      </c>
      <c r="C17" s="145">
        <f t="shared" ref="C17:F17" si="0">C11+C14</f>
        <v>33</v>
      </c>
      <c r="D17" s="145">
        <f t="shared" si="0"/>
        <v>36.300000000000004</v>
      </c>
      <c r="E17" s="145">
        <f t="shared" si="0"/>
        <v>39.930000000000007</v>
      </c>
      <c r="F17" s="145">
        <f t="shared" si="0"/>
        <v>43.923000000000009</v>
      </c>
      <c r="H17" s="87"/>
      <c r="I17" s="87">
        <v>0.04</v>
      </c>
    </row>
    <row r="18" spans="1:12 16384:16384" ht="14" x14ac:dyDescent="0.3">
      <c r="A18" s="26"/>
      <c r="B18" s="144"/>
      <c r="C18" s="144"/>
      <c r="D18" s="144"/>
      <c r="E18" s="144"/>
      <c r="F18" s="144"/>
      <c r="H18" s="87"/>
    </row>
    <row r="19" spans="1:12 16384:16384" ht="14" x14ac:dyDescent="0.3">
      <c r="A19" s="27" t="s">
        <v>153</v>
      </c>
      <c r="B19" s="144"/>
      <c r="C19" s="144"/>
      <c r="D19" s="144"/>
      <c r="E19" s="144"/>
      <c r="F19" s="144"/>
      <c r="H19" s="87"/>
      <c r="I19" s="87"/>
    </row>
    <row r="20" spans="1:12 16384:16384" x14ac:dyDescent="0.25">
      <c r="A20" s="50" t="s">
        <v>154</v>
      </c>
      <c r="B20" s="75">
        <f>Intt!E11</f>
        <v>1.9009722000000002</v>
      </c>
      <c r="C20" s="81">
        <f>Intt!E13</f>
        <v>1.5653025000000003</v>
      </c>
      <c r="D20" s="81">
        <f>Intt!E15</f>
        <v>1.1872488999999999</v>
      </c>
      <c r="E20" s="81">
        <f>Intt!E17</f>
        <v>0.76145910000000006</v>
      </c>
      <c r="F20" s="75">
        <f>Intt!E19</f>
        <v>13.961903299999999</v>
      </c>
      <c r="I20" s="87"/>
      <c r="J20" s="87"/>
      <c r="K20" s="87"/>
      <c r="L20" s="87"/>
    </row>
    <row r="21" spans="1:12 16384:16384" x14ac:dyDescent="0.25">
      <c r="A21" s="50"/>
      <c r="B21" s="75"/>
      <c r="C21" s="81"/>
      <c r="D21" s="81"/>
      <c r="E21" s="81"/>
      <c r="F21" s="81"/>
      <c r="H21" s="87"/>
      <c r="I21" s="87"/>
      <c r="J21" s="87"/>
      <c r="K21" s="87"/>
      <c r="L21" s="87"/>
    </row>
    <row r="22" spans="1:12 16384:16384" x14ac:dyDescent="0.25">
      <c r="A22" s="50" t="s">
        <v>155</v>
      </c>
      <c r="B22" s="75">
        <f>Intt!E31</f>
        <v>0</v>
      </c>
      <c r="C22" s="75">
        <f>Intt!E33</f>
        <v>0</v>
      </c>
      <c r="D22" s="75">
        <f>Intt!E35</f>
        <v>0</v>
      </c>
      <c r="E22" s="75">
        <f>Intt!E37</f>
        <v>0</v>
      </c>
      <c r="F22" s="75">
        <f>Intt!E39</f>
        <v>0</v>
      </c>
      <c r="I22" s="87"/>
      <c r="J22" s="87"/>
      <c r="K22" s="87"/>
      <c r="L22" s="87"/>
    </row>
    <row r="23" spans="1:12 16384:16384" x14ac:dyDescent="0.25">
      <c r="B23" s="81"/>
      <c r="C23" s="81"/>
      <c r="D23" s="81"/>
      <c r="E23" s="81"/>
      <c r="F23" s="81"/>
      <c r="H23" s="87"/>
      <c r="I23" s="87"/>
      <c r="J23" s="87"/>
      <c r="K23" s="87"/>
      <c r="L23" s="87"/>
    </row>
    <row r="24" spans="1:12 16384:16384" x14ac:dyDescent="0.25">
      <c r="A24" s="27" t="s">
        <v>177</v>
      </c>
      <c r="B24" s="75">
        <f>Exp!D17+Exp!D23</f>
        <v>14.652000000000001</v>
      </c>
      <c r="C24" s="75">
        <f>B24*1.1</f>
        <v>16.117200000000004</v>
      </c>
      <c r="D24" s="75">
        <f t="shared" ref="D24:F24" si="1">C24*1.1</f>
        <v>17.728920000000006</v>
      </c>
      <c r="E24" s="75">
        <f t="shared" si="1"/>
        <v>19.501812000000008</v>
      </c>
      <c r="F24" s="75">
        <f t="shared" si="1"/>
        <v>21.451993200000011</v>
      </c>
      <c r="H24" s="87">
        <f>B24/B11</f>
        <v>0.48840000000000006</v>
      </c>
      <c r="I24" s="87">
        <f>C24/C11</f>
        <v>0.48840000000000011</v>
      </c>
      <c r="J24" s="87">
        <f>D24/D11</f>
        <v>0.48840000000000011</v>
      </c>
      <c r="K24" s="87">
        <f>E24/E11</f>
        <v>0.48840000000000011</v>
      </c>
      <c r="L24" s="87">
        <f>F24/F11</f>
        <v>0.48840000000000017</v>
      </c>
    </row>
    <row r="25" spans="1:12 16384:16384" x14ac:dyDescent="0.25">
      <c r="B25" s="81"/>
      <c r="C25" s="81"/>
      <c r="D25" s="81"/>
      <c r="E25" s="81"/>
      <c r="F25" s="81"/>
      <c r="H25" s="87"/>
      <c r="I25" s="87"/>
      <c r="J25" s="87"/>
      <c r="K25" s="87"/>
      <c r="L25" s="87"/>
    </row>
    <row r="26" spans="1:12 16384:16384" x14ac:dyDescent="0.25">
      <c r="A26" s="27" t="s">
        <v>215</v>
      </c>
      <c r="B26" s="81">
        <f>Exp!D25</f>
        <v>3.6</v>
      </c>
      <c r="C26" s="81">
        <f>B26*1.05</f>
        <v>3.7800000000000002</v>
      </c>
      <c r="D26" s="81">
        <f t="shared" ref="D26:F26" si="2">C26*1.05</f>
        <v>3.9690000000000003</v>
      </c>
      <c r="E26" s="81">
        <f t="shared" si="2"/>
        <v>4.1674500000000005</v>
      </c>
      <c r="F26" s="81">
        <f t="shared" si="2"/>
        <v>4.3758225000000008</v>
      </c>
      <c r="H26" s="87"/>
      <c r="I26" s="87"/>
      <c r="J26" s="87"/>
      <c r="K26" s="87"/>
      <c r="L26" s="87"/>
      <c r="XFD26" s="81"/>
    </row>
    <row r="27" spans="1:12 16384:16384" x14ac:dyDescent="0.25">
      <c r="B27" s="81"/>
      <c r="C27" s="81"/>
      <c r="D27" s="81"/>
      <c r="E27" s="81"/>
      <c r="F27" s="81"/>
      <c r="H27" s="87"/>
      <c r="I27" s="87"/>
      <c r="J27" s="87"/>
      <c r="K27" s="87"/>
      <c r="L27" s="87"/>
    </row>
    <row r="28" spans="1:12 16384:16384" x14ac:dyDescent="0.25">
      <c r="A28" s="27" t="s">
        <v>209</v>
      </c>
      <c r="B28" s="75">
        <f>SUM(Exp!D21,Exp!D27:D36)</f>
        <v>2.5</v>
      </c>
      <c r="C28" s="75">
        <f>B28*C11/B11</f>
        <v>2.75</v>
      </c>
      <c r="D28" s="75">
        <f>C28*D11/C11</f>
        <v>3.0250000000000004</v>
      </c>
      <c r="E28" s="75">
        <f>D28*E11/D11</f>
        <v>3.3275000000000006</v>
      </c>
      <c r="F28" s="75">
        <f>E28*F11/E11</f>
        <v>3.6602500000000009</v>
      </c>
      <c r="H28" s="87">
        <f>B28/B11</f>
        <v>8.3333333333333329E-2</v>
      </c>
      <c r="I28" s="87">
        <f>C28/C11</f>
        <v>8.3333333333333329E-2</v>
      </c>
      <c r="J28" s="87">
        <f>D28/D11</f>
        <v>8.3333333333333329E-2</v>
      </c>
      <c r="K28" s="87">
        <f>E28/E11</f>
        <v>8.3333333333333329E-2</v>
      </c>
      <c r="L28" s="87">
        <f>F28/F11</f>
        <v>8.3333333333333343E-2</v>
      </c>
    </row>
    <row r="29" spans="1:12 16384:16384" x14ac:dyDescent="0.25">
      <c r="B29" s="81"/>
      <c r="C29" s="81"/>
      <c r="D29" s="81"/>
      <c r="E29" s="81"/>
      <c r="F29" s="81"/>
      <c r="H29" s="87"/>
      <c r="I29" s="87"/>
      <c r="J29" s="87"/>
      <c r="K29" s="87"/>
      <c r="L29" s="87"/>
    </row>
    <row r="30" spans="1:12 16384:16384" x14ac:dyDescent="0.25">
      <c r="A30" s="27" t="s">
        <v>210</v>
      </c>
      <c r="B30" s="75">
        <f>Dep!E15</f>
        <v>0.41000000000000003</v>
      </c>
      <c r="C30" s="75">
        <f>Dep!E17</f>
        <v>0.36149999999999999</v>
      </c>
      <c r="D30" s="81">
        <f>Dep!E19</f>
        <v>0.31897500000000001</v>
      </c>
      <c r="E30" s="81">
        <f>Dep!E21</f>
        <v>0.28165875000000001</v>
      </c>
      <c r="F30" s="81">
        <f>Dep!E23</f>
        <v>0.24888693750000002</v>
      </c>
    </row>
    <row r="31" spans="1:12 16384:16384" x14ac:dyDescent="0.25">
      <c r="B31" s="81"/>
      <c r="C31" s="81"/>
      <c r="D31" s="81"/>
      <c r="E31" s="81"/>
      <c r="F31" s="81"/>
    </row>
    <row r="32" spans="1:12 16384:16384" ht="14" x14ac:dyDescent="0.3">
      <c r="A32" s="26" t="s">
        <v>211</v>
      </c>
      <c r="B32" s="145">
        <f>SUM(B20:B30)</f>
        <v>23.062972200000004</v>
      </c>
      <c r="C32" s="146">
        <f>SUM(C20:C30)</f>
        <v>24.574002500000006</v>
      </c>
      <c r="D32" s="146">
        <f>SUM(D20:D30)</f>
        <v>26.229143900000011</v>
      </c>
      <c r="E32" s="145">
        <f>SUM(E20:E30)</f>
        <v>28.039879850000005</v>
      </c>
      <c r="F32" s="146">
        <f>SUM(F20:F30)</f>
        <v>43.698855937499999</v>
      </c>
      <c r="H32" s="87"/>
      <c r="I32" s="87"/>
    </row>
    <row r="33" spans="1:12" x14ac:dyDescent="0.25">
      <c r="B33" s="81"/>
      <c r="C33" s="81"/>
      <c r="D33" s="81"/>
      <c r="E33" s="81"/>
      <c r="F33" s="81"/>
      <c r="J33" s="27">
        <v>14.23</v>
      </c>
    </row>
    <row r="34" spans="1:12" x14ac:dyDescent="0.25">
      <c r="B34" s="81"/>
      <c r="C34" s="81"/>
      <c r="D34" s="81"/>
      <c r="E34" s="81"/>
      <c r="F34" s="81"/>
    </row>
    <row r="35" spans="1:12" ht="14" x14ac:dyDescent="0.3">
      <c r="A35" s="26" t="s">
        <v>212</v>
      </c>
      <c r="B35" s="145">
        <f>B17-B32</f>
        <v>6.9370277999999956</v>
      </c>
      <c r="C35" s="146">
        <f>C17-C32</f>
        <v>8.425997499999994</v>
      </c>
      <c r="D35" s="146">
        <f>D17-D32</f>
        <v>10.070856099999993</v>
      </c>
      <c r="E35" s="145">
        <f>E17-E32</f>
        <v>11.890120150000001</v>
      </c>
      <c r="F35" s="146">
        <f>F17-F32</f>
        <v>0.22414406250000951</v>
      </c>
    </row>
    <row r="36" spans="1:12" x14ac:dyDescent="0.25">
      <c r="B36" s="81"/>
      <c r="C36" s="81"/>
      <c r="D36" s="81"/>
      <c r="E36" s="81"/>
      <c r="F36" s="81"/>
      <c r="H36" s="87">
        <f>B39/B11</f>
        <v>0.23123425999999986</v>
      </c>
      <c r="I36" s="87">
        <f>C39/C11</f>
        <v>0.25533325757575742</v>
      </c>
      <c r="J36" s="87">
        <f>D39/D11</f>
        <v>0.27743405234159757</v>
      </c>
      <c r="K36" s="87">
        <f>E39/E11</f>
        <v>0.29777410843976959</v>
      </c>
      <c r="L36" s="87">
        <f>F39/F11</f>
        <v>-2.9047559080663667E-2</v>
      </c>
    </row>
    <row r="37" spans="1:12" x14ac:dyDescent="0.25">
      <c r="A37" s="27" t="s">
        <v>213</v>
      </c>
      <c r="B37" s="75">
        <v>0</v>
      </c>
      <c r="C37" s="75">
        <v>0</v>
      </c>
      <c r="D37" s="75">
        <v>0</v>
      </c>
      <c r="E37" s="75">
        <v>0</v>
      </c>
      <c r="F37" s="75">
        <v>1.5</v>
      </c>
    </row>
    <row r="38" spans="1:12" x14ac:dyDescent="0.25">
      <c r="B38" s="81"/>
      <c r="C38" s="81"/>
      <c r="D38" s="81"/>
      <c r="E38" s="81"/>
      <c r="F38" s="81"/>
    </row>
    <row r="39" spans="1:12" ht="14" x14ac:dyDescent="0.3">
      <c r="A39" s="26" t="s">
        <v>214</v>
      </c>
      <c r="B39" s="145">
        <f>B35-B37</f>
        <v>6.9370277999999956</v>
      </c>
      <c r="C39" s="146">
        <f>C35-C37</f>
        <v>8.425997499999994</v>
      </c>
      <c r="D39" s="146">
        <f>D35-D37</f>
        <v>10.070856099999993</v>
      </c>
      <c r="E39" s="145">
        <f>E35-E37</f>
        <v>11.890120150000001</v>
      </c>
      <c r="F39" s="146">
        <f>F35-F37</f>
        <v>-1.2758559374999905</v>
      </c>
    </row>
    <row r="40" spans="1:12" ht="14" x14ac:dyDescent="0.3">
      <c r="A40" s="26"/>
      <c r="B40" s="147"/>
      <c r="C40" s="147"/>
      <c r="D40" s="147"/>
      <c r="E40" s="147"/>
      <c r="F40" s="147"/>
    </row>
    <row r="41" spans="1:12" x14ac:dyDescent="0.25">
      <c r="A41" s="27" t="s">
        <v>156</v>
      </c>
      <c r="B41" s="75">
        <f>B39*0.7</f>
        <v>4.8559194599999964</v>
      </c>
      <c r="C41" s="75">
        <f t="shared" ref="C41:F41" si="3">C39*0.7</f>
        <v>5.8981982499999956</v>
      </c>
      <c r="D41" s="75">
        <f t="shared" si="3"/>
        <v>7.0495992699999945</v>
      </c>
      <c r="E41" s="75">
        <f t="shared" si="3"/>
        <v>8.3230841050000013</v>
      </c>
      <c r="F41" s="75">
        <f t="shared" si="3"/>
        <v>-0.89309915624999325</v>
      </c>
    </row>
    <row r="42" spans="1:12" x14ac:dyDescent="0.25">
      <c r="B42" s="81"/>
      <c r="C42" s="81"/>
      <c r="D42" s="81"/>
      <c r="E42" s="81"/>
      <c r="F42" s="81"/>
    </row>
    <row r="43" spans="1:12" ht="14" x14ac:dyDescent="0.3">
      <c r="A43" s="26" t="s">
        <v>157</v>
      </c>
      <c r="B43" s="81">
        <f>B39-B41</f>
        <v>2.0811083399999992</v>
      </c>
      <c r="C43" s="81">
        <f>C39-C41</f>
        <v>2.5277992499999984</v>
      </c>
      <c r="D43" s="81">
        <f>D39-D41</f>
        <v>3.0212568299999987</v>
      </c>
      <c r="E43" s="81">
        <f>E39-E41</f>
        <v>3.567036045</v>
      </c>
      <c r="F43" s="81">
        <f>F39-F41</f>
        <v>-0.38275678124999724</v>
      </c>
    </row>
    <row r="44" spans="1:12" x14ac:dyDescent="0.25">
      <c r="B44" s="81"/>
      <c r="C44" s="81"/>
      <c r="D44" s="81"/>
      <c r="E44" s="81"/>
      <c r="F44" s="81"/>
    </row>
    <row r="45" spans="1:12" x14ac:dyDescent="0.25">
      <c r="A45" s="27" t="s">
        <v>158</v>
      </c>
      <c r="B45" s="75">
        <f>B39-B41</f>
        <v>2.0811083399999992</v>
      </c>
      <c r="C45" s="75">
        <f>B45+C43</f>
        <v>4.6089075899999976</v>
      </c>
      <c r="D45" s="75">
        <f>C45+D43</f>
        <v>7.6301644199999963</v>
      </c>
      <c r="E45" s="75">
        <f>D45+E43</f>
        <v>11.197200464999996</v>
      </c>
      <c r="F45" s="75">
        <f>F43+E45</f>
        <v>10.81444368375</v>
      </c>
    </row>
    <row r="46" spans="1:12" ht="14" x14ac:dyDescent="0.3">
      <c r="A46" s="26"/>
    </row>
    <row r="47" spans="1:12" x14ac:dyDescent="0.25">
      <c r="B47" s="87"/>
      <c r="C47" s="87"/>
      <c r="D47" s="87"/>
      <c r="E47" s="87"/>
      <c r="F47" s="87"/>
    </row>
    <row r="48" spans="1:12" ht="14" x14ac:dyDescent="0.3">
      <c r="A48" s="72" t="s">
        <v>257</v>
      </c>
      <c r="B48" s="87"/>
      <c r="C48" s="87"/>
      <c r="D48" s="87"/>
      <c r="E48" s="87"/>
      <c r="F48" s="87"/>
    </row>
    <row r="49" spans="1:6" x14ac:dyDescent="0.25">
      <c r="B49" s="87"/>
      <c r="C49" s="87"/>
      <c r="D49" s="87"/>
      <c r="E49" s="87"/>
      <c r="F49" s="87"/>
    </row>
    <row r="50" spans="1:6" ht="14" x14ac:dyDescent="0.3">
      <c r="A50" s="26"/>
      <c r="E50" s="80"/>
      <c r="F50" s="83"/>
    </row>
    <row r="51" spans="1:6" ht="14" x14ac:dyDescent="0.3">
      <c r="A51" s="26"/>
      <c r="E51" s="26"/>
      <c r="F51" s="35"/>
    </row>
    <row r="52" spans="1:6" ht="14" x14ac:dyDescent="0.3">
      <c r="A52" s="26"/>
      <c r="E52" s="26"/>
      <c r="F52" s="26"/>
    </row>
    <row r="53" spans="1:6" ht="14" x14ac:dyDescent="0.3">
      <c r="A53" s="26"/>
      <c r="E53" s="26"/>
      <c r="F53" s="26"/>
    </row>
    <row r="54" spans="1:6" ht="14" x14ac:dyDescent="0.3">
      <c r="A54" s="26"/>
      <c r="E54" s="26"/>
      <c r="F54" s="35"/>
    </row>
    <row r="55" spans="1:6" ht="14" x14ac:dyDescent="0.3">
      <c r="A55" s="26"/>
      <c r="E55" s="26"/>
      <c r="F55" s="35"/>
    </row>
    <row r="56" spans="1:6" x14ac:dyDescent="0.25">
      <c r="B56" s="47"/>
      <c r="C56" s="47"/>
      <c r="D56" s="47"/>
      <c r="F56" s="47"/>
    </row>
    <row r="58" spans="1:6" x14ac:dyDescent="0.25">
      <c r="B58" s="47"/>
      <c r="C58" s="47"/>
      <c r="D58" s="47"/>
      <c r="E58" s="47"/>
      <c r="F58" s="47"/>
    </row>
    <row r="60" spans="1:6" x14ac:dyDescent="0.25">
      <c r="B60" s="47"/>
      <c r="C60" s="47"/>
      <c r="D60" s="47"/>
      <c r="F60" s="47"/>
    </row>
    <row r="62" spans="1:6" ht="14" x14ac:dyDescent="0.3">
      <c r="A62" s="26"/>
    </row>
    <row r="68" spans="1:6" x14ac:dyDescent="0.25">
      <c r="B68" s="47"/>
      <c r="C68" s="47"/>
      <c r="D68" s="47"/>
    </row>
    <row r="71" spans="1:6" x14ac:dyDescent="0.25">
      <c r="B71" s="47"/>
      <c r="C71" s="47"/>
      <c r="D71" s="47"/>
      <c r="E71" s="47"/>
      <c r="F71" s="47"/>
    </row>
    <row r="75" spans="1:6" ht="14" x14ac:dyDescent="0.3">
      <c r="A75" s="26"/>
      <c r="B75" s="47"/>
      <c r="C75" s="47"/>
      <c r="F75" s="47"/>
    </row>
    <row r="78" spans="1:6" ht="14" x14ac:dyDescent="0.3">
      <c r="A78" s="26"/>
    </row>
    <row r="80" spans="1:6" x14ac:dyDescent="0.25">
      <c r="B80" s="47"/>
      <c r="C80" s="47"/>
      <c r="D80" s="47"/>
      <c r="E80" s="47"/>
      <c r="F80" s="47"/>
    </row>
    <row r="82" spans="1:6" x14ac:dyDescent="0.25">
      <c r="B82" s="47"/>
      <c r="C82" s="47"/>
      <c r="D82" s="47"/>
      <c r="E82" s="47"/>
      <c r="F82" s="47"/>
    </row>
    <row r="84" spans="1:6" ht="14" x14ac:dyDescent="0.3">
      <c r="A84" s="26"/>
      <c r="B84" s="47"/>
      <c r="C84" s="47"/>
      <c r="D84" s="47"/>
      <c r="E84" s="47"/>
      <c r="F84" s="47"/>
    </row>
  </sheetData>
  <mergeCells count="6">
    <mergeCell ref="A3:F3"/>
    <mergeCell ref="E6:F6"/>
    <mergeCell ref="A5:F5"/>
    <mergeCell ref="B7:F7"/>
    <mergeCell ref="A1:F1"/>
    <mergeCell ref="A2:F2"/>
  </mergeCells>
  <phoneticPr fontId="0" type="noConversion"/>
  <printOptions horizontalCentered="1"/>
  <pageMargins left="0.75" right="0.75" top="1" bottom="1" header="0.5" footer="0.5"/>
  <pageSetup scale="81" orientation="portrait" r:id="rId1"/>
  <headerFooter alignWithMargins="0"/>
  <rowBreaks count="1" manualBreakCount="1">
    <brk id="49" max="5"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D49"/>
  <sheetViews>
    <sheetView showGridLines="0" view="pageBreakPreview" topLeftCell="A10" zoomScale="80" zoomScaleSheetLayoutView="80" workbookViewId="0">
      <selection activeCell="F35" sqref="F35"/>
    </sheetView>
  </sheetViews>
  <sheetFormatPr defaultColWidth="9.1796875" defaultRowHeight="13.5" x14ac:dyDescent="0.25"/>
  <cols>
    <col min="1" max="1" width="54" style="27" customWidth="1"/>
    <col min="2" max="2" width="10.453125" style="27" customWidth="1"/>
    <col min="3" max="3" width="10" style="27" customWidth="1"/>
    <col min="4" max="4" width="10.81640625" style="27" customWidth="1"/>
    <col min="5" max="5" width="10" style="27" customWidth="1"/>
    <col min="6" max="6" width="10.54296875" style="27" customWidth="1"/>
    <col min="7" max="16384" width="9.1796875" style="27"/>
  </cols>
  <sheetData>
    <row r="1" spans="1:12" ht="22.5" x14ac:dyDescent="0.45">
      <c r="A1" s="201" t="str">
        <f>Pback!A1</f>
        <v>M/S TRIKUTA MEDICOS AND DIAGNOSTICS CENTRE</v>
      </c>
      <c r="B1" s="201"/>
      <c r="C1" s="201"/>
      <c r="D1" s="201"/>
      <c r="E1" s="201"/>
      <c r="F1" s="201"/>
    </row>
    <row r="2" spans="1:12" ht="17.5" x14ac:dyDescent="0.35">
      <c r="A2" s="187" t="str">
        <f>Pback!A2</f>
        <v>AIRPORT ROAD, GADI GARH, OPPOSITE DAYAL G MEDICOS, JAMMU</v>
      </c>
      <c r="B2" s="187"/>
      <c r="C2" s="187"/>
      <c r="D2" s="187"/>
      <c r="E2" s="187"/>
      <c r="F2" s="187"/>
    </row>
    <row r="3" spans="1:12" ht="14" x14ac:dyDescent="0.3">
      <c r="A3" s="45"/>
      <c r="B3" s="45"/>
      <c r="C3" s="45"/>
      <c r="D3" s="45"/>
      <c r="E3" s="45"/>
      <c r="F3" s="45"/>
      <c r="G3" s="43"/>
      <c r="H3" s="43"/>
    </row>
    <row r="5" spans="1:12" ht="14" x14ac:dyDescent="0.3">
      <c r="A5" s="184" t="s">
        <v>171</v>
      </c>
      <c r="B5" s="184"/>
      <c r="C5" s="184"/>
      <c r="D5" s="184"/>
      <c r="E5" s="184"/>
      <c r="F5" s="184"/>
      <c r="G5" s="43"/>
      <c r="H5" s="43"/>
    </row>
    <row r="6" spans="1:12" ht="14" x14ac:dyDescent="0.3">
      <c r="A6" s="26"/>
      <c r="B6" s="26"/>
      <c r="C6" s="26"/>
      <c r="D6" s="26"/>
      <c r="E6" s="190" t="s">
        <v>48</v>
      </c>
      <c r="F6" s="190"/>
      <c r="G6" s="26"/>
    </row>
    <row r="7" spans="1:12" ht="14" x14ac:dyDescent="0.3">
      <c r="A7" s="26" t="s">
        <v>25</v>
      </c>
      <c r="B7" s="182" t="s">
        <v>73</v>
      </c>
      <c r="C7" s="182"/>
      <c r="D7" s="182"/>
      <c r="E7" s="182"/>
      <c r="F7" s="182"/>
      <c r="G7" s="26"/>
    </row>
    <row r="8" spans="1:12" ht="14" x14ac:dyDescent="0.3">
      <c r="A8" s="26"/>
      <c r="B8" s="35" t="s">
        <v>49</v>
      </c>
      <c r="C8" s="35" t="s">
        <v>50</v>
      </c>
      <c r="D8" s="35" t="s">
        <v>51</v>
      </c>
      <c r="E8" s="35" t="s">
        <v>52</v>
      </c>
      <c r="F8" s="35" t="s">
        <v>53</v>
      </c>
      <c r="G8" s="26"/>
    </row>
    <row r="10" spans="1:12" x14ac:dyDescent="0.25">
      <c r="A10" s="27" t="s">
        <v>54</v>
      </c>
    </row>
    <row r="12" spans="1:12" x14ac:dyDescent="0.25">
      <c r="A12" s="27" t="s">
        <v>55</v>
      </c>
      <c r="B12" s="75">
        <f>Cost!B25</f>
        <v>0.18000000000000002</v>
      </c>
      <c r="C12" s="75">
        <f>B12</f>
        <v>0.18000000000000002</v>
      </c>
      <c r="D12" s="81">
        <f>C12</f>
        <v>0.18000000000000002</v>
      </c>
      <c r="E12" s="81">
        <f>D12</f>
        <v>0.18000000000000002</v>
      </c>
      <c r="F12" s="81">
        <f>E12</f>
        <v>0.18000000000000002</v>
      </c>
    </row>
    <row r="13" spans="1:12" x14ac:dyDescent="0.25">
      <c r="B13" s="81"/>
      <c r="C13" s="81"/>
      <c r="D13" s="81"/>
      <c r="E13" s="81"/>
      <c r="F13" s="81"/>
    </row>
    <row r="14" spans="1:12" x14ac:dyDescent="0.25">
      <c r="A14" s="27" t="s">
        <v>56</v>
      </c>
      <c r="B14" s="75">
        <f>PL!B45</f>
        <v>2.0811083399999992</v>
      </c>
      <c r="C14" s="75">
        <f>PL!C45</f>
        <v>4.6089075899999976</v>
      </c>
      <c r="D14" s="75">
        <f>PL!D45</f>
        <v>7.6301644199999963</v>
      </c>
      <c r="E14" s="75">
        <f>PL!E45</f>
        <v>11.197200464999996</v>
      </c>
      <c r="F14" s="75">
        <f>PL!F45</f>
        <v>10.81444368375</v>
      </c>
    </row>
    <row r="15" spans="1:12" x14ac:dyDescent="0.25">
      <c r="B15" s="81"/>
      <c r="C15" s="81"/>
      <c r="D15" s="81"/>
      <c r="E15" s="81"/>
      <c r="F15" s="81"/>
      <c r="J15" s="136">
        <f>B16+B18</f>
        <v>0.7615949999999998</v>
      </c>
      <c r="K15" s="136">
        <f>C16+C18</f>
        <v>-2.2324796999999998</v>
      </c>
      <c r="L15" s="136">
        <f>D16+D18</f>
        <v>-5.6046079999999998</v>
      </c>
    </row>
    <row r="16" spans="1:12" x14ac:dyDescent="0.25">
      <c r="A16" s="27" t="s">
        <v>57</v>
      </c>
      <c r="B16" s="75">
        <f>Intt!D11</f>
        <v>0.7615949999999998</v>
      </c>
      <c r="C16" s="81">
        <f>Intt!D13</f>
        <v>-2.2324796999999998</v>
      </c>
      <c r="D16" s="81">
        <f>Intt!D15</f>
        <v>-5.6046079999999998</v>
      </c>
      <c r="E16" s="81">
        <f>Intt!D17</f>
        <v>-9.4025260999999993</v>
      </c>
      <c r="F16" s="81">
        <f>Intt!D19</f>
        <v>0</v>
      </c>
      <c r="J16" s="136">
        <f>B12+B14</f>
        <v>2.2611083399999994</v>
      </c>
      <c r="K16" s="136">
        <f>C12+C14</f>
        <v>4.7889075899999973</v>
      </c>
      <c r="L16" s="136">
        <f>D12+D14</f>
        <v>7.810164419999996</v>
      </c>
    </row>
    <row r="17" spans="1:13" x14ac:dyDescent="0.25">
      <c r="B17" s="81"/>
      <c r="C17" s="81"/>
      <c r="D17" s="81"/>
      <c r="E17" s="81"/>
      <c r="F17" s="81"/>
      <c r="J17" s="27">
        <f>J15/J16</f>
        <v>0.33682375431864536</v>
      </c>
      <c r="K17" s="27">
        <f>K15/K16</f>
        <v>-0.46617723521367865</v>
      </c>
      <c r="L17" s="27">
        <f>L15/L16</f>
        <v>-0.71760435486452956</v>
      </c>
    </row>
    <row r="18" spans="1:13" x14ac:dyDescent="0.25">
      <c r="A18" s="27" t="s">
        <v>92</v>
      </c>
      <c r="B18" s="75">
        <f>Intt!B31</f>
        <v>0</v>
      </c>
      <c r="C18" s="81">
        <f>B18</f>
        <v>0</v>
      </c>
      <c r="D18" s="75">
        <f>C18</f>
        <v>0</v>
      </c>
      <c r="E18" s="75">
        <f>D18</f>
        <v>0</v>
      </c>
      <c r="F18" s="81">
        <f>E18</f>
        <v>0</v>
      </c>
    </row>
    <row r="19" spans="1:13" x14ac:dyDescent="0.25">
      <c r="B19" s="81"/>
      <c r="C19" s="81"/>
      <c r="D19" s="81"/>
      <c r="E19" s="81"/>
      <c r="F19" s="81"/>
    </row>
    <row r="20" spans="1:13" ht="14" x14ac:dyDescent="0.3">
      <c r="B20" s="144"/>
      <c r="C20" s="144"/>
      <c r="D20" s="144"/>
      <c r="E20" s="144"/>
      <c r="F20" s="144"/>
    </row>
    <row r="21" spans="1:13" ht="14.5" thickBot="1" x14ac:dyDescent="0.35">
      <c r="A21" s="35" t="s">
        <v>58</v>
      </c>
      <c r="B21" s="148">
        <f>SUM(B12:B19)</f>
        <v>3.0227033399999992</v>
      </c>
      <c r="C21" s="148">
        <f>SUM(C12:C19)</f>
        <v>2.5564278899999975</v>
      </c>
      <c r="D21" s="148">
        <f>SUM(D12:D19)</f>
        <v>2.2055564199999962</v>
      </c>
      <c r="E21" s="148">
        <f>SUM(E12:E19)</f>
        <v>1.9746743649999967</v>
      </c>
      <c r="F21" s="148">
        <f>SUM(F12:F19)</f>
        <v>10.994443683749999</v>
      </c>
      <c r="G21" s="26"/>
      <c r="I21" s="136">
        <f>B21-B40</f>
        <v>0</v>
      </c>
      <c r="J21" s="136">
        <f>C21-C40</f>
        <v>0</v>
      </c>
      <c r="K21" s="136">
        <f>D21-D40</f>
        <v>0</v>
      </c>
      <c r="L21" s="136">
        <f>E21-E40</f>
        <v>3.5527136788005009E-15</v>
      </c>
      <c r="M21" s="136">
        <f>F21-F40</f>
        <v>0</v>
      </c>
    </row>
    <row r="22" spans="1:13" ht="14" thickTop="1" x14ac:dyDescent="0.25">
      <c r="B22" s="81"/>
      <c r="C22" s="81"/>
      <c r="D22" s="81"/>
      <c r="E22" s="81"/>
      <c r="F22" s="81"/>
      <c r="J22" s="136">
        <f>J21-I21</f>
        <v>0</v>
      </c>
      <c r="K22" s="136">
        <f>K21-J21</f>
        <v>0</v>
      </c>
      <c r="L22" s="136">
        <f>L21-K21</f>
        <v>3.5527136788005009E-15</v>
      </c>
      <c r="M22" s="136">
        <f>M21-L21</f>
        <v>-3.5527136788005009E-15</v>
      </c>
    </row>
    <row r="23" spans="1:13" x14ac:dyDescent="0.25">
      <c r="A23" s="27" t="s">
        <v>59</v>
      </c>
      <c r="B23" s="81"/>
      <c r="C23" s="81"/>
      <c r="D23" s="81"/>
      <c r="E23" s="81"/>
      <c r="F23" s="81"/>
    </row>
    <row r="24" spans="1:13" x14ac:dyDescent="0.25">
      <c r="A24" s="27" t="s">
        <v>9</v>
      </c>
      <c r="B24" s="81"/>
      <c r="C24" s="81"/>
      <c r="D24" s="81"/>
      <c r="E24" s="81"/>
      <c r="F24" s="81"/>
    </row>
    <row r="25" spans="1:13" x14ac:dyDescent="0.25">
      <c r="A25" s="27" t="s">
        <v>60</v>
      </c>
      <c r="B25" s="81"/>
      <c r="C25" s="81"/>
      <c r="D25" s="81"/>
      <c r="E25" s="81"/>
      <c r="F25" s="81"/>
    </row>
    <row r="26" spans="1:13" x14ac:dyDescent="0.25">
      <c r="A26" s="27" t="s">
        <v>61</v>
      </c>
      <c r="B26" s="75">
        <f>Cost!B11+Cost!B13+Cost!B15</f>
        <v>3.6</v>
      </c>
      <c r="C26" s="81">
        <f>B26</f>
        <v>3.6</v>
      </c>
      <c r="D26" s="81">
        <f>C26</f>
        <v>3.6</v>
      </c>
      <c r="E26" s="81">
        <f>D26</f>
        <v>3.6</v>
      </c>
      <c r="F26" s="81">
        <f>E26-E28</f>
        <v>3.6</v>
      </c>
    </row>
    <row r="27" spans="1:13" hidden="1" x14ac:dyDescent="0.25">
      <c r="B27" s="75"/>
      <c r="C27" s="81"/>
      <c r="D27" s="81"/>
      <c r="E27" s="81"/>
      <c r="F27" s="81"/>
    </row>
    <row r="28" spans="1:13" hidden="1" x14ac:dyDescent="0.25">
      <c r="A28" s="27" t="s">
        <v>240</v>
      </c>
      <c r="B28" s="75">
        <v>0</v>
      </c>
      <c r="C28" s="81">
        <v>0</v>
      </c>
      <c r="D28" s="81">
        <v>0</v>
      </c>
      <c r="E28" s="81">
        <v>0</v>
      </c>
      <c r="F28" s="81">
        <v>0</v>
      </c>
      <c r="G28" s="27">
        <v>1</v>
      </c>
    </row>
    <row r="29" spans="1:13" x14ac:dyDescent="0.25">
      <c r="A29" s="27" t="s">
        <v>9</v>
      </c>
      <c r="B29" s="81"/>
      <c r="C29" s="81"/>
      <c r="D29" s="81"/>
      <c r="E29" s="81"/>
      <c r="F29" s="81"/>
    </row>
    <row r="30" spans="1:13" x14ac:dyDescent="0.25">
      <c r="A30" s="27" t="s">
        <v>62</v>
      </c>
      <c r="B30" s="149">
        <f>Dep!$E$15</f>
        <v>0.41000000000000003</v>
      </c>
      <c r="C30" s="149">
        <f>Dep!$E$17+B30</f>
        <v>0.77150000000000007</v>
      </c>
      <c r="D30" s="149">
        <f>Dep!$E$19+C30</f>
        <v>1.0904750000000001</v>
      </c>
      <c r="E30" s="149">
        <f>Dep!$E$21+D30</f>
        <v>1.3721337500000002</v>
      </c>
      <c r="F30" s="149">
        <f>Dep!$E$23+E30</f>
        <v>1.6210206875000002</v>
      </c>
    </row>
    <row r="31" spans="1:13" x14ac:dyDescent="0.25">
      <c r="A31" s="27" t="s">
        <v>151</v>
      </c>
      <c r="B31" s="81">
        <f>B26-B30</f>
        <v>3.19</v>
      </c>
      <c r="C31" s="81">
        <f>C26-C30</f>
        <v>2.8285</v>
      </c>
      <c r="D31" s="81">
        <f>D26-D30</f>
        <v>2.509525</v>
      </c>
      <c r="E31" s="81">
        <f>E26-E30-E28</f>
        <v>2.2278662499999999</v>
      </c>
      <c r="F31" s="81">
        <f>F26-F30</f>
        <v>1.9789793124999999</v>
      </c>
      <c r="J31" s="27">
        <v>11.95</v>
      </c>
      <c r="K31" s="136">
        <f>B33+B35+B37</f>
        <v>-0.16729666000000165</v>
      </c>
    </row>
    <row r="32" spans="1:13" x14ac:dyDescent="0.25">
      <c r="B32" s="81"/>
      <c r="C32" s="81"/>
      <c r="D32" s="81"/>
      <c r="E32" s="81"/>
      <c r="F32" s="81"/>
      <c r="K32" s="136">
        <f>2.5+0.9</f>
        <v>3.4</v>
      </c>
    </row>
    <row r="33" spans="1:12 16384:16384" x14ac:dyDescent="0.25">
      <c r="A33" s="27" t="s">
        <v>93</v>
      </c>
      <c r="B33" s="75">
        <f>WCAP!D10</f>
        <v>0</v>
      </c>
      <c r="C33" s="75">
        <f>PL!C14*60/360</f>
        <v>0</v>
      </c>
      <c r="D33" s="75">
        <f>PL!D14*60/360</f>
        <v>0</v>
      </c>
      <c r="E33" s="75">
        <f>PL!E14*60/360</f>
        <v>0</v>
      </c>
      <c r="F33" s="75">
        <f>PL!F14*60/360</f>
        <v>0</v>
      </c>
      <c r="K33" s="27">
        <f>K31/K32</f>
        <v>-4.9204900000000489E-2</v>
      </c>
    </row>
    <row r="34" spans="1:12 16384:16384" x14ac:dyDescent="0.25">
      <c r="A34" s="27" t="s">
        <v>9</v>
      </c>
      <c r="B34" s="81"/>
      <c r="C34" s="81"/>
      <c r="D34" s="81"/>
      <c r="E34" s="81"/>
      <c r="F34" s="81"/>
    </row>
    <row r="35" spans="1:12 16384:16384" x14ac:dyDescent="0.25">
      <c r="A35" s="138" t="s">
        <v>233</v>
      </c>
      <c r="B35" s="81">
        <f>WCAP!D12</f>
        <v>0</v>
      </c>
      <c r="C35" s="81">
        <f>B35</f>
        <v>0</v>
      </c>
      <c r="D35" s="81">
        <f>C35</f>
        <v>0</v>
      </c>
      <c r="E35" s="81">
        <f>D35</f>
        <v>0</v>
      </c>
      <c r="F35" s="81">
        <f>E35</f>
        <v>0</v>
      </c>
    </row>
    <row r="36" spans="1:12 16384:16384" x14ac:dyDescent="0.25">
      <c r="B36" s="81"/>
      <c r="C36" s="81"/>
      <c r="D36" s="81"/>
      <c r="E36" s="81"/>
      <c r="F36" s="81"/>
    </row>
    <row r="37" spans="1:12 16384:16384" x14ac:dyDescent="0.25">
      <c r="A37" s="27" t="s">
        <v>234</v>
      </c>
      <c r="B37" s="75">
        <f>CF!C48</f>
        <v>-0.16729666000000165</v>
      </c>
      <c r="C37" s="81">
        <f>CF!D48</f>
        <v>-0.2720721100000052</v>
      </c>
      <c r="D37" s="81">
        <f>CF!E48</f>
        <v>-0.30396858000000648</v>
      </c>
      <c r="E37" s="81">
        <f>CF!F48</f>
        <v>-0.25319188500000678</v>
      </c>
      <c r="F37" s="81">
        <f>CF!G48</f>
        <v>9.0154643712499958</v>
      </c>
    </row>
    <row r="38" spans="1:12 16384:16384" x14ac:dyDescent="0.25">
      <c r="B38" s="81"/>
      <c r="C38" s="81"/>
      <c r="D38" s="81"/>
      <c r="E38" s="81"/>
      <c r="F38" s="81"/>
    </row>
    <row r="39" spans="1:12 16384:16384" x14ac:dyDescent="0.25">
      <c r="B39" s="81"/>
      <c r="C39" s="81"/>
      <c r="D39" s="81"/>
      <c r="E39" s="81"/>
      <c r="F39" s="81"/>
    </row>
    <row r="40" spans="1:12 16384:16384" ht="14.5" thickBot="1" x14ac:dyDescent="0.35">
      <c r="A40" s="35" t="s">
        <v>63</v>
      </c>
      <c r="B40" s="148">
        <f>SUM(B31:B39)</f>
        <v>3.0227033399999983</v>
      </c>
      <c r="C40" s="148">
        <f>SUM(C31:C39)</f>
        <v>2.5564278899999948</v>
      </c>
      <c r="D40" s="148">
        <f>SUM(D31:D39)</f>
        <v>2.2055564199999935</v>
      </c>
      <c r="E40" s="148">
        <f>SUM(E31:E39)</f>
        <v>1.9746743649999932</v>
      </c>
      <c r="F40" s="148">
        <f>SUM(F31:F39)</f>
        <v>10.994443683749996</v>
      </c>
      <c r="I40" s="136">
        <f>C40-C21</f>
        <v>0</v>
      </c>
      <c r="J40" s="136">
        <f>D40-D21</f>
        <v>0</v>
      </c>
      <c r="K40" s="136">
        <f>E40-E21</f>
        <v>-3.5527136788005009E-15</v>
      </c>
      <c r="L40" s="136">
        <f>F40-F21</f>
        <v>0</v>
      </c>
    </row>
    <row r="41" spans="1:12 16384:16384" ht="14" thickTop="1" x14ac:dyDescent="0.25">
      <c r="B41" s="81"/>
      <c r="C41" s="81"/>
      <c r="D41" s="81"/>
      <c r="E41" s="81"/>
      <c r="F41" s="81"/>
    </row>
    <row r="42" spans="1:12 16384:16384" ht="14" x14ac:dyDescent="0.3">
      <c r="A42" s="26" t="s">
        <v>207</v>
      </c>
      <c r="B42" s="81">
        <f>SUM(B16:B18)/SUM(B12:B14)</f>
        <v>0.33682375431864536</v>
      </c>
      <c r="C42" s="81">
        <f>SUM(C16:C18)/SUM(C12:C14)</f>
        <v>-0.46617723521367865</v>
      </c>
      <c r="D42" s="81">
        <f>SUM(D16:D18)/SUM(D12:D14)</f>
        <v>-0.71760435486452956</v>
      </c>
      <c r="E42" s="81">
        <f>SUM(E16:E18)/SUM(E12:E14)</f>
        <v>-0.82643582917654101</v>
      </c>
      <c r="F42" s="81">
        <f>SUM(F16:F18)/SUM(F12:F14)</f>
        <v>0</v>
      </c>
      <c r="XFD42" s="81"/>
    </row>
    <row r="43" spans="1:12 16384:16384" x14ac:dyDescent="0.25">
      <c r="B43" s="81"/>
      <c r="C43" s="81"/>
      <c r="D43" s="81"/>
      <c r="E43" s="81"/>
      <c r="F43" s="81"/>
    </row>
    <row r="44" spans="1:12 16384:16384" ht="14" x14ac:dyDescent="0.3">
      <c r="A44" s="26" t="s">
        <v>208</v>
      </c>
      <c r="B44" s="144"/>
      <c r="C44" s="144"/>
      <c r="D44" s="144">
        <f>AVERAGE(B42:F42)</f>
        <v>-0.33467873298722078</v>
      </c>
      <c r="E44" s="81"/>
      <c r="F44" s="150"/>
    </row>
    <row r="45" spans="1:12 16384:16384" ht="14" x14ac:dyDescent="0.3">
      <c r="A45" s="26"/>
      <c r="B45" s="26"/>
      <c r="C45" s="26"/>
      <c r="D45" s="26"/>
      <c r="F45" s="35"/>
    </row>
    <row r="46" spans="1:12 16384:16384" ht="14" x14ac:dyDescent="0.3">
      <c r="A46" s="26"/>
      <c r="B46" s="80"/>
      <c r="C46" s="80"/>
      <c r="D46" s="26"/>
      <c r="F46" s="35"/>
    </row>
    <row r="47" spans="1:12 16384:16384" ht="14" x14ac:dyDescent="0.3">
      <c r="A47" s="26"/>
      <c r="B47" s="26"/>
      <c r="C47" s="26"/>
      <c r="D47" s="26"/>
      <c r="F47" s="35"/>
    </row>
    <row r="48" spans="1:12 16384:16384" ht="14" x14ac:dyDescent="0.3">
      <c r="A48" s="26"/>
      <c r="B48" s="26"/>
      <c r="C48" s="26"/>
      <c r="D48" s="26"/>
      <c r="F48" s="35"/>
    </row>
    <row r="49" spans="1:6" ht="14" x14ac:dyDescent="0.3">
      <c r="A49" s="26"/>
      <c r="B49" s="26"/>
      <c r="C49" s="26"/>
      <c r="D49" s="26"/>
      <c r="F49" s="35"/>
    </row>
  </sheetData>
  <mergeCells count="5">
    <mergeCell ref="A5:F5"/>
    <mergeCell ref="E6:F6"/>
    <mergeCell ref="B7:F7"/>
    <mergeCell ref="A1:F1"/>
    <mergeCell ref="A2:F2"/>
  </mergeCells>
  <phoneticPr fontId="0" type="noConversion"/>
  <printOptions horizontalCentered="1"/>
  <pageMargins left="0.75" right="0.75" top="1" bottom="1" header="0.5" footer="0.5"/>
  <pageSetup scale="81"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7"/>
  <sheetViews>
    <sheetView showGridLines="0" view="pageBreakPreview" topLeftCell="A30" zoomScaleSheetLayoutView="100" workbookViewId="0">
      <selection activeCell="E55" sqref="E55"/>
    </sheetView>
  </sheetViews>
  <sheetFormatPr defaultColWidth="9.1796875" defaultRowHeight="13.5" x14ac:dyDescent="0.25"/>
  <cols>
    <col min="1" max="1" width="56.54296875" style="27" bestFit="1" customWidth="1"/>
    <col min="2" max="2" width="3" style="27" customWidth="1"/>
    <col min="3" max="6" width="9.1796875" style="27"/>
    <col min="7" max="7" width="9.7265625" style="27" customWidth="1"/>
    <col min="8" max="16384" width="9.1796875" style="27"/>
  </cols>
  <sheetData>
    <row r="1" spans="1:8" ht="22.5" x14ac:dyDescent="0.45">
      <c r="A1" s="201" t="str">
        <f>PL!A1</f>
        <v>M/S TRIKUTA MEDICOS AND DIAGNOSTICS CENTRE</v>
      </c>
      <c r="B1" s="201"/>
      <c r="C1" s="201"/>
      <c r="D1" s="201"/>
      <c r="E1" s="201"/>
      <c r="F1" s="201"/>
      <c r="G1" s="201"/>
    </row>
    <row r="2" spans="1:8" ht="17.5" x14ac:dyDescent="0.35">
      <c r="A2" s="187" t="str">
        <f>PL!A2</f>
        <v>AIRPORT ROAD, GADI GARH, OPPOSITE DAYAL G MEDICOS, JAMMU</v>
      </c>
      <c r="B2" s="187"/>
      <c r="C2" s="187"/>
      <c r="D2" s="187"/>
      <c r="E2" s="187"/>
      <c r="F2" s="187"/>
      <c r="G2" s="187"/>
    </row>
    <row r="3" spans="1:8" ht="14" x14ac:dyDescent="0.3">
      <c r="A3" s="189"/>
      <c r="B3" s="189"/>
      <c r="C3" s="189"/>
      <c r="D3" s="189"/>
      <c r="E3" s="189"/>
      <c r="F3" s="189"/>
      <c r="G3" s="189"/>
      <c r="H3" s="43"/>
    </row>
    <row r="5" spans="1:8" ht="14" x14ac:dyDescent="0.3">
      <c r="A5" s="184" t="s">
        <v>170</v>
      </c>
      <c r="B5" s="184"/>
      <c r="C5" s="184"/>
      <c r="D5" s="184"/>
      <c r="E5" s="184"/>
      <c r="F5" s="184"/>
      <c r="G5" s="184"/>
      <c r="H5" s="43"/>
    </row>
    <row r="6" spans="1:8" ht="14" x14ac:dyDescent="0.3">
      <c r="A6" s="26"/>
      <c r="B6" s="26"/>
      <c r="C6" s="26"/>
      <c r="D6" s="26"/>
      <c r="E6" s="26"/>
      <c r="F6" s="190" t="s">
        <v>34</v>
      </c>
      <c r="G6" s="190"/>
    </row>
    <row r="7" spans="1:8" ht="14" x14ac:dyDescent="0.3">
      <c r="A7" s="26" t="s">
        <v>25</v>
      </c>
      <c r="B7" s="202" t="s">
        <v>26</v>
      </c>
      <c r="C7" s="202"/>
      <c r="D7" s="202"/>
      <c r="E7" s="202"/>
      <c r="F7" s="202"/>
      <c r="G7" s="202"/>
    </row>
    <row r="8" spans="1:8" ht="14" x14ac:dyDescent="0.3">
      <c r="A8" s="26"/>
      <c r="B8" s="26"/>
      <c r="C8" s="35" t="s">
        <v>27</v>
      </c>
      <c r="D8" s="35" t="s">
        <v>28</v>
      </c>
      <c r="E8" s="35" t="s">
        <v>29</v>
      </c>
      <c r="F8" s="35" t="s">
        <v>30</v>
      </c>
      <c r="G8" s="35" t="s">
        <v>31</v>
      </c>
    </row>
    <row r="9" spans="1:8" ht="14" x14ac:dyDescent="0.3">
      <c r="A9" s="26"/>
      <c r="B9" s="26"/>
      <c r="C9" s="26"/>
      <c r="D9" s="26"/>
      <c r="E9" s="26"/>
      <c r="F9" s="26"/>
      <c r="G9" s="26"/>
    </row>
    <row r="10" spans="1:8" x14ac:dyDescent="0.25">
      <c r="A10" s="27" t="s">
        <v>32</v>
      </c>
    </row>
    <row r="12" spans="1:8" x14ac:dyDescent="0.25">
      <c r="A12" s="27" t="s">
        <v>160</v>
      </c>
    </row>
    <row r="13" spans="1:8" x14ac:dyDescent="0.25">
      <c r="A13" s="27" t="s">
        <v>161</v>
      </c>
      <c r="B13" s="47"/>
      <c r="C13" s="75">
        <f>PL!B35+PL!B20+PL!B22</f>
        <v>8.8379999999999956</v>
      </c>
      <c r="D13" s="81">
        <f>PL!C35+PL!C20+PL!C22</f>
        <v>9.9912999999999936</v>
      </c>
      <c r="E13" s="81">
        <f>PL!D35+PL!D20+PL!D22</f>
        <v>11.258104999999993</v>
      </c>
      <c r="F13" s="81">
        <f>PL!E35+PL!E20+PL!E22</f>
        <v>12.651579250000001</v>
      </c>
      <c r="G13" s="81">
        <f>PL!F35+PL!F20+PL!F22</f>
        <v>14.186047362500009</v>
      </c>
    </row>
    <row r="14" spans="1:8" x14ac:dyDescent="0.25">
      <c r="C14" s="81"/>
      <c r="D14" s="81"/>
      <c r="E14" s="81"/>
      <c r="F14" s="81"/>
      <c r="G14" s="81"/>
    </row>
    <row r="15" spans="1:8" x14ac:dyDescent="0.25">
      <c r="A15" s="27" t="s">
        <v>162</v>
      </c>
      <c r="B15" s="47"/>
      <c r="C15" s="75">
        <f>PL!B30</f>
        <v>0.41000000000000003</v>
      </c>
      <c r="D15" s="81">
        <f>PL!C30</f>
        <v>0.36149999999999999</v>
      </c>
      <c r="E15" s="81">
        <f>PL!D30</f>
        <v>0.31897500000000001</v>
      </c>
      <c r="F15" s="81">
        <f>PL!E30</f>
        <v>0.28165875000000001</v>
      </c>
      <c r="G15" s="81">
        <f>PL!F30</f>
        <v>0.24888693750000002</v>
      </c>
    </row>
    <row r="16" spans="1:8" x14ac:dyDescent="0.25">
      <c r="C16" s="81"/>
      <c r="D16" s="81"/>
      <c r="E16" s="81"/>
      <c r="F16" s="81"/>
      <c r="G16" s="81"/>
    </row>
    <row r="17" spans="1:7" x14ac:dyDescent="0.25">
      <c r="A17" s="27" t="s">
        <v>163</v>
      </c>
      <c r="C17" s="75">
        <f>BS!B12</f>
        <v>0.18000000000000002</v>
      </c>
      <c r="D17" s="75">
        <f>BS!C12-BS!B12</f>
        <v>0</v>
      </c>
      <c r="E17" s="75">
        <f>BS!D12-BS!C12</f>
        <v>0</v>
      </c>
      <c r="F17" s="75">
        <f>BS!E12-BS!D12</f>
        <v>0</v>
      </c>
      <c r="G17" s="75">
        <f>BS!F12-BS!E12</f>
        <v>0</v>
      </c>
    </row>
    <row r="18" spans="1:7" x14ac:dyDescent="0.25">
      <c r="C18" s="81"/>
      <c r="D18" s="81"/>
      <c r="E18" s="81"/>
      <c r="F18" s="81"/>
      <c r="G18" s="81"/>
    </row>
    <row r="19" spans="1:7" x14ac:dyDescent="0.25">
      <c r="A19" s="27" t="s">
        <v>164</v>
      </c>
      <c r="B19" s="47"/>
      <c r="C19" s="75">
        <f>Cost!B27</f>
        <v>3.42</v>
      </c>
      <c r="D19" s="81">
        <v>0</v>
      </c>
      <c r="E19" s="81">
        <v>0</v>
      </c>
      <c r="F19" s="81">
        <v>0</v>
      </c>
      <c r="G19" s="81">
        <v>0</v>
      </c>
    </row>
    <row r="20" spans="1:7" x14ac:dyDescent="0.25">
      <c r="C20" s="81"/>
      <c r="D20" s="81"/>
      <c r="E20" s="81"/>
      <c r="F20" s="81"/>
      <c r="G20" s="81"/>
    </row>
    <row r="21" spans="1:7" x14ac:dyDescent="0.25">
      <c r="A21" s="27" t="s">
        <v>165</v>
      </c>
      <c r="C21" s="75">
        <f>BS!B18</f>
        <v>0</v>
      </c>
      <c r="D21" s="81">
        <f>BS!C18-BS!B18</f>
        <v>0</v>
      </c>
      <c r="E21" s="81">
        <f>BS!D18-BS!C18</f>
        <v>0</v>
      </c>
      <c r="F21" s="75">
        <f>BS!E18-BS!D18</f>
        <v>0</v>
      </c>
      <c r="G21" s="81">
        <f>BS!F18-BS!E18</f>
        <v>0</v>
      </c>
    </row>
    <row r="22" spans="1:7" x14ac:dyDescent="0.25">
      <c r="B22" s="47"/>
      <c r="C22" s="81"/>
      <c r="D22" s="81"/>
      <c r="E22" s="81"/>
      <c r="F22" s="81"/>
      <c r="G22" s="81"/>
    </row>
    <row r="23" spans="1:7" hidden="1" x14ac:dyDescent="0.25">
      <c r="A23" s="27" t="s">
        <v>241</v>
      </c>
      <c r="B23" s="47"/>
      <c r="C23" s="81">
        <v>0</v>
      </c>
      <c r="D23" s="81">
        <v>0</v>
      </c>
      <c r="E23" s="81">
        <v>0</v>
      </c>
      <c r="F23" s="81">
        <v>5</v>
      </c>
      <c r="G23" s="81">
        <v>0</v>
      </c>
    </row>
    <row r="24" spans="1:7" hidden="1" x14ac:dyDescent="0.25">
      <c r="B24" s="47"/>
      <c r="C24" s="81"/>
      <c r="D24" s="81"/>
      <c r="E24" s="81"/>
      <c r="F24" s="81"/>
      <c r="G24" s="81"/>
    </row>
    <row r="25" spans="1:7" ht="14" x14ac:dyDescent="0.3">
      <c r="A25" s="35" t="s">
        <v>35</v>
      </c>
      <c r="B25" s="45"/>
      <c r="C25" s="93">
        <f>SUM(C12:C21)</f>
        <v>12.847999999999995</v>
      </c>
      <c r="D25" s="93">
        <f>SUM(D12:D21)</f>
        <v>10.352799999999993</v>
      </c>
      <c r="E25" s="93">
        <f>SUM(E12:E21)</f>
        <v>11.577079999999993</v>
      </c>
      <c r="F25" s="93">
        <f>SUM(F12:F21)</f>
        <v>12.933238000000001</v>
      </c>
      <c r="G25" s="93">
        <f>SUM(G12:G21)</f>
        <v>14.434934300000009</v>
      </c>
    </row>
    <row r="26" spans="1:7" x14ac:dyDescent="0.25">
      <c r="B26" s="47"/>
      <c r="C26" s="47"/>
      <c r="D26" s="47"/>
      <c r="E26" s="47"/>
      <c r="F26" s="47"/>
      <c r="G26" s="47"/>
    </row>
    <row r="27" spans="1:7" x14ac:dyDescent="0.25">
      <c r="A27" s="27" t="s">
        <v>33</v>
      </c>
    </row>
    <row r="29" spans="1:7" x14ac:dyDescent="0.25">
      <c r="A29" s="27" t="s">
        <v>166</v>
      </c>
      <c r="C29" s="75">
        <f>Cost!B11+Cost!B13+Cost!B15</f>
        <v>3.6</v>
      </c>
      <c r="D29" s="81">
        <v>0</v>
      </c>
      <c r="E29" s="81">
        <v>0</v>
      </c>
      <c r="F29" s="81">
        <v>0</v>
      </c>
      <c r="G29" s="81">
        <v>0</v>
      </c>
    </row>
    <row r="30" spans="1:7" x14ac:dyDescent="0.25">
      <c r="A30" s="27" t="s">
        <v>167</v>
      </c>
      <c r="C30" s="81"/>
      <c r="D30" s="81"/>
      <c r="E30" s="81"/>
      <c r="F30" s="81"/>
      <c r="G30" s="81"/>
    </row>
    <row r="31" spans="1:7" x14ac:dyDescent="0.25">
      <c r="A31" s="27" t="s">
        <v>168</v>
      </c>
      <c r="B31" s="47"/>
      <c r="C31" s="75">
        <f>Intt!$C$11-Intt!E11</f>
        <v>2.6584050000000001</v>
      </c>
      <c r="D31" s="75">
        <f>Intt!$C$11-Intt!E13</f>
        <v>2.9940746999999996</v>
      </c>
      <c r="E31" s="75">
        <f>Intt!$C$11-Intt!E15</f>
        <v>3.3721283</v>
      </c>
      <c r="F31" s="75">
        <f>Intt!$C$11-Intt!E17</f>
        <v>3.7979181</v>
      </c>
      <c r="G31" s="75">
        <f>Intt!$C$11-Intt!E19</f>
        <v>-9.4025260999999993</v>
      </c>
    </row>
    <row r="32" spans="1:7" x14ac:dyDescent="0.25">
      <c r="A32" s="27" t="s">
        <v>167</v>
      </c>
      <c r="B32" s="74"/>
      <c r="C32" s="81"/>
      <c r="D32" s="81"/>
      <c r="E32" s="81"/>
      <c r="F32" s="81"/>
      <c r="G32" s="81"/>
    </row>
    <row r="33" spans="1:7" x14ac:dyDescent="0.25">
      <c r="A33" s="27" t="s">
        <v>169</v>
      </c>
      <c r="B33" s="74"/>
      <c r="C33" s="75">
        <f>BS!B33</f>
        <v>0</v>
      </c>
      <c r="D33" s="75">
        <f>BS!C33-BS!B33</f>
        <v>0</v>
      </c>
      <c r="E33" s="75">
        <f>BS!D33-BS!C33</f>
        <v>0</v>
      </c>
      <c r="F33" s="75">
        <f>BS!E33-BS!D33</f>
        <v>0</v>
      </c>
      <c r="G33" s="81">
        <f>BS!F33-BS!E33</f>
        <v>0</v>
      </c>
    </row>
    <row r="34" spans="1:7" x14ac:dyDescent="0.25">
      <c r="A34" s="27" t="s">
        <v>167</v>
      </c>
      <c r="B34" s="74"/>
      <c r="C34" s="81"/>
      <c r="D34" s="81"/>
      <c r="E34" s="81"/>
      <c r="F34" s="81"/>
      <c r="G34" s="81"/>
    </row>
    <row r="35" spans="1:7" x14ac:dyDescent="0.25">
      <c r="A35" s="27" t="s">
        <v>235</v>
      </c>
      <c r="B35" s="74"/>
      <c r="C35" s="75">
        <f>BS!B35</f>
        <v>0</v>
      </c>
      <c r="D35" s="75">
        <f>BS!C35-BS!B35</f>
        <v>0</v>
      </c>
      <c r="E35" s="75">
        <f>BS!D35-BS!C35</f>
        <v>0</v>
      </c>
      <c r="F35" s="75">
        <f>BS!E35-BS!D35</f>
        <v>0</v>
      </c>
      <c r="G35" s="75">
        <f>BS!F35-BS!E35</f>
        <v>0</v>
      </c>
    </row>
    <row r="36" spans="1:7" x14ac:dyDescent="0.25">
      <c r="B36" s="74"/>
      <c r="C36" s="81"/>
      <c r="D36" s="81"/>
      <c r="E36" s="81"/>
      <c r="F36" s="81"/>
      <c r="G36" s="81"/>
    </row>
    <row r="37" spans="1:7" x14ac:dyDescent="0.25">
      <c r="A37" s="27" t="s">
        <v>236</v>
      </c>
      <c r="C37" s="75">
        <f>PL!B20+PL!B22</f>
        <v>1.9009722000000002</v>
      </c>
      <c r="D37" s="81">
        <f>PL!C20+PL!C22</f>
        <v>1.5653025000000003</v>
      </c>
      <c r="E37" s="81">
        <f>PL!D20+PL!D22</f>
        <v>1.1872488999999999</v>
      </c>
      <c r="F37" s="81">
        <f>PL!E20+PL!E22</f>
        <v>0.76145910000000006</v>
      </c>
      <c r="G37" s="81">
        <f>PL!F20+PL!F22</f>
        <v>13.961903299999999</v>
      </c>
    </row>
    <row r="38" spans="1:7" x14ac:dyDescent="0.25">
      <c r="A38" s="27" t="s">
        <v>167</v>
      </c>
      <c r="C38" s="81"/>
      <c r="D38" s="81"/>
      <c r="E38" s="81"/>
      <c r="F38" s="81"/>
      <c r="G38" s="81"/>
    </row>
    <row r="39" spans="1:7" x14ac:dyDescent="0.25">
      <c r="A39" s="27" t="s">
        <v>237</v>
      </c>
      <c r="B39" s="47"/>
      <c r="C39" s="75">
        <f>PL!B37</f>
        <v>0</v>
      </c>
      <c r="D39" s="81">
        <f>PL!C37</f>
        <v>0</v>
      </c>
      <c r="E39" s="81">
        <f>PL!D37</f>
        <v>0</v>
      </c>
      <c r="F39" s="81">
        <f>PL!E37</f>
        <v>0</v>
      </c>
      <c r="G39" s="75">
        <f>PL!F37</f>
        <v>1.5</v>
      </c>
    </row>
    <row r="40" spans="1:7" x14ac:dyDescent="0.25">
      <c r="A40" s="27" t="s">
        <v>167</v>
      </c>
      <c r="B40" s="47"/>
      <c r="C40" s="81"/>
      <c r="D40" s="81"/>
      <c r="E40" s="81"/>
      <c r="F40" s="81"/>
      <c r="G40" s="81"/>
    </row>
    <row r="41" spans="1:7" x14ac:dyDescent="0.25">
      <c r="A41" s="27" t="s">
        <v>238</v>
      </c>
      <c r="B41" s="47"/>
      <c r="C41" s="75">
        <f>PL!B41</f>
        <v>4.8559194599999964</v>
      </c>
      <c r="D41" s="81">
        <f>PL!C41</f>
        <v>5.8981982499999956</v>
      </c>
      <c r="E41" s="81">
        <f>PL!D41</f>
        <v>7.0495992699999945</v>
      </c>
      <c r="F41" s="81">
        <f>PL!E41</f>
        <v>8.3230841050000013</v>
      </c>
      <c r="G41" s="81">
        <f>PL!F41</f>
        <v>-0.89309915624999325</v>
      </c>
    </row>
    <row r="42" spans="1:7" x14ac:dyDescent="0.25">
      <c r="C42" s="81"/>
      <c r="D42" s="81"/>
      <c r="E42" s="81"/>
      <c r="F42" s="81"/>
      <c r="G42" s="81"/>
    </row>
    <row r="43" spans="1:7" ht="14" x14ac:dyDescent="0.3">
      <c r="A43" s="35" t="s">
        <v>36</v>
      </c>
      <c r="B43" s="45"/>
      <c r="C43" s="93">
        <f>SUM(C27:C41)</f>
        <v>13.015296659999997</v>
      </c>
      <c r="D43" s="93">
        <f>SUM(D27:D41)</f>
        <v>10.457575449999997</v>
      </c>
      <c r="E43" s="93">
        <f>SUM(E27:E41)</f>
        <v>11.608976469999995</v>
      </c>
      <c r="F43" s="93">
        <f>SUM(F27:F41)</f>
        <v>12.882461305000001</v>
      </c>
      <c r="G43" s="93">
        <f>SUM(G27:G41)</f>
        <v>5.1662780437500064</v>
      </c>
    </row>
    <row r="46" spans="1:7" x14ac:dyDescent="0.25">
      <c r="A46" s="27" t="s">
        <v>37</v>
      </c>
      <c r="B46" s="47"/>
      <c r="C46" s="47">
        <f>B48</f>
        <v>0</v>
      </c>
      <c r="D46" s="47">
        <f>C48</f>
        <v>-0.16729666000000165</v>
      </c>
      <c r="E46" s="47">
        <f>D48</f>
        <v>-0.2720721100000052</v>
      </c>
      <c r="F46" s="47">
        <f>E48</f>
        <v>-0.30396858000000648</v>
      </c>
      <c r="G46" s="47">
        <f>F48</f>
        <v>-0.25319188500000678</v>
      </c>
    </row>
    <row r="47" spans="1:7" x14ac:dyDescent="0.25">
      <c r="A47" s="27" t="s">
        <v>38</v>
      </c>
      <c r="C47" s="47">
        <f>C25-C43</f>
        <v>-0.16729666000000165</v>
      </c>
      <c r="D47" s="47">
        <f>D25-D43</f>
        <v>-0.10477545000000354</v>
      </c>
      <c r="E47" s="47">
        <f>E25-E43</f>
        <v>-3.1896470000001287E-2</v>
      </c>
      <c r="F47" s="47">
        <f>F25-F43</f>
        <v>5.0776694999999705E-2</v>
      </c>
      <c r="G47" s="47">
        <f>G25-G43</f>
        <v>9.2686562562500026</v>
      </c>
    </row>
    <row r="48" spans="1:7" ht="14" x14ac:dyDescent="0.3">
      <c r="A48" s="26" t="s">
        <v>39</v>
      </c>
      <c r="B48" s="45"/>
      <c r="C48" s="82">
        <f>C46+C47</f>
        <v>-0.16729666000000165</v>
      </c>
      <c r="D48" s="82">
        <f>D46+D47</f>
        <v>-0.2720721100000052</v>
      </c>
      <c r="E48" s="82">
        <f>E46+E47</f>
        <v>-0.30396858000000648</v>
      </c>
      <c r="F48" s="82">
        <f>F46+F47</f>
        <v>-0.25319188500000678</v>
      </c>
      <c r="G48" s="82">
        <f>G46+G47</f>
        <v>9.0154643712499958</v>
      </c>
    </row>
    <row r="52" spans="1:7" ht="14" x14ac:dyDescent="0.3">
      <c r="A52" s="26"/>
      <c r="B52" s="80"/>
      <c r="C52" s="26"/>
      <c r="D52" s="26"/>
      <c r="E52" s="80"/>
      <c r="G52" s="35"/>
    </row>
    <row r="53" spans="1:7" ht="14" x14ac:dyDescent="0.3">
      <c r="A53" s="26"/>
      <c r="B53" s="26"/>
      <c r="C53" s="26"/>
      <c r="D53" s="26"/>
      <c r="E53" s="26"/>
      <c r="G53" s="35"/>
    </row>
    <row r="54" spans="1:7" ht="14" x14ac:dyDescent="0.3">
      <c r="A54" s="26"/>
      <c r="B54" s="80"/>
      <c r="C54" s="80"/>
      <c r="D54" s="26"/>
      <c r="E54" s="26"/>
      <c r="G54" s="35"/>
    </row>
    <row r="55" spans="1:7" ht="14" x14ac:dyDescent="0.3">
      <c r="A55" s="26"/>
      <c r="B55" s="26"/>
      <c r="C55" s="26"/>
      <c r="D55" s="26"/>
      <c r="E55" s="26"/>
      <c r="G55" s="35"/>
    </row>
    <row r="56" spans="1:7" ht="14" x14ac:dyDescent="0.3">
      <c r="A56" s="26"/>
      <c r="B56" s="26"/>
      <c r="C56" s="26"/>
      <c r="D56" s="26"/>
      <c r="E56" s="26"/>
      <c r="G56" s="35"/>
    </row>
    <row r="57" spans="1:7" ht="14" x14ac:dyDescent="0.3">
      <c r="A57" s="26"/>
      <c r="B57" s="26"/>
      <c r="C57" s="26"/>
      <c r="D57" s="26"/>
      <c r="E57" s="26"/>
      <c r="G57" s="35"/>
    </row>
  </sheetData>
  <mergeCells count="6">
    <mergeCell ref="B7:G7"/>
    <mergeCell ref="A3:G3"/>
    <mergeCell ref="A5:G5"/>
    <mergeCell ref="F6:G6"/>
    <mergeCell ref="A1:G1"/>
    <mergeCell ref="A2:G2"/>
  </mergeCells>
  <phoneticPr fontId="0" type="noConversion"/>
  <printOptions horizontalCentered="1"/>
  <pageMargins left="0.75" right="0.75" top="1" bottom="1" header="0.5" footer="0.5"/>
  <pageSetup scale="83"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4"/>
  <sheetViews>
    <sheetView showGridLines="0" view="pageBreakPreview" topLeftCell="A10" zoomScale="115" zoomScaleSheetLayoutView="115" workbookViewId="0">
      <selection activeCell="C25" sqref="C25"/>
    </sheetView>
  </sheetViews>
  <sheetFormatPr defaultColWidth="9.1796875" defaultRowHeight="13.5" x14ac:dyDescent="0.25"/>
  <cols>
    <col min="1" max="1" width="12.453125" style="27" customWidth="1"/>
    <col min="2" max="2" width="30.7265625" style="27" bestFit="1" customWidth="1"/>
    <col min="3" max="3" width="8.7265625" style="27" customWidth="1"/>
    <col min="4" max="4" width="16" style="27" bestFit="1" customWidth="1"/>
    <col min="5" max="5" width="23" style="27" customWidth="1"/>
    <col min="6" max="7" width="9.1796875" style="27"/>
    <col min="8" max="8" width="11.81640625" style="27" bestFit="1" customWidth="1"/>
    <col min="9" max="16384" width="9.1796875" style="27"/>
  </cols>
  <sheetData>
    <row r="1" spans="1:8" ht="48.75" customHeight="1" x14ac:dyDescent="0.45">
      <c r="A1" s="185" t="str">
        <f>CF!A1</f>
        <v>M/S TRIKUTA MEDICOS AND DIAGNOSTICS CENTRE</v>
      </c>
      <c r="B1" s="185"/>
      <c r="C1" s="185"/>
      <c r="D1" s="185"/>
      <c r="E1" s="185"/>
    </row>
    <row r="2" spans="1:8" ht="17.5" x14ac:dyDescent="0.35">
      <c r="A2" s="187" t="str">
        <f>CF!A2</f>
        <v>AIRPORT ROAD, GADI GARH, OPPOSITE DAYAL G MEDICOS, JAMMU</v>
      </c>
      <c r="B2" s="187"/>
      <c r="C2" s="187"/>
      <c r="D2" s="187"/>
      <c r="E2" s="187"/>
    </row>
    <row r="3" spans="1:8" ht="14" x14ac:dyDescent="0.3">
      <c r="A3" s="189"/>
      <c r="B3" s="189"/>
      <c r="C3" s="189"/>
      <c r="D3" s="189"/>
      <c r="E3" s="189"/>
      <c r="F3" s="43"/>
      <c r="G3" s="43"/>
      <c r="H3" s="43"/>
    </row>
    <row r="5" spans="1:8" ht="14" x14ac:dyDescent="0.3">
      <c r="A5" s="184" t="s">
        <v>40</v>
      </c>
      <c r="B5" s="184"/>
      <c r="C5" s="184"/>
      <c r="D5" s="184"/>
      <c r="E5" s="184"/>
      <c r="F5" s="43"/>
      <c r="G5" s="43"/>
      <c r="H5" s="43"/>
    </row>
    <row r="7" spans="1:8" ht="14" x14ac:dyDescent="0.3">
      <c r="A7" s="26"/>
      <c r="B7" s="26"/>
      <c r="D7" s="26"/>
      <c r="E7" s="35" t="s">
        <v>41</v>
      </c>
    </row>
    <row r="8" spans="1:8" ht="14" x14ac:dyDescent="0.3">
      <c r="A8" s="26"/>
      <c r="B8" s="26"/>
      <c r="C8" s="26"/>
      <c r="D8" s="26"/>
      <c r="E8" s="26"/>
    </row>
    <row r="9" spans="1:8" ht="14" x14ac:dyDescent="0.3">
      <c r="A9" s="26"/>
      <c r="B9" s="26"/>
      <c r="C9" s="26"/>
      <c r="D9" s="190" t="s">
        <v>42</v>
      </c>
      <c r="E9" s="190"/>
    </row>
    <row r="10" spans="1:8" ht="14" x14ac:dyDescent="0.3">
      <c r="A10" s="26"/>
      <c r="B10" s="26"/>
      <c r="C10" s="26"/>
      <c r="D10" s="26"/>
      <c r="E10" s="26"/>
    </row>
    <row r="11" spans="1:8" ht="14" x14ac:dyDescent="0.3">
      <c r="A11" s="35" t="s">
        <v>43</v>
      </c>
      <c r="B11" s="35" t="s">
        <v>0</v>
      </c>
      <c r="C11" s="35" t="s">
        <v>47</v>
      </c>
      <c r="D11" s="35" t="s">
        <v>44</v>
      </c>
      <c r="E11" s="35" t="s">
        <v>45</v>
      </c>
    </row>
    <row r="13" spans="1:8" x14ac:dyDescent="0.25">
      <c r="A13" s="27">
        <v>1</v>
      </c>
      <c r="B13" s="75">
        <f>PL!B39</f>
        <v>6.9370277999999956</v>
      </c>
      <c r="C13" s="75">
        <f>PL!B30</f>
        <v>0.41000000000000003</v>
      </c>
      <c r="D13" s="81">
        <f>B13+C13</f>
        <v>7.3470277999999958</v>
      </c>
      <c r="E13" s="81">
        <f>D13</f>
        <v>7.3470277999999958</v>
      </c>
      <c r="G13" s="47"/>
    </row>
    <row r="14" spans="1:8" x14ac:dyDescent="0.25">
      <c r="B14" s="81"/>
      <c r="C14" s="81"/>
      <c r="D14" s="81"/>
      <c r="E14" s="81"/>
    </row>
    <row r="15" spans="1:8" x14ac:dyDescent="0.25">
      <c r="A15" s="27">
        <v>2</v>
      </c>
      <c r="B15" s="75">
        <f>PL!C39</f>
        <v>8.425997499999994</v>
      </c>
      <c r="C15" s="81">
        <f>PL!C30</f>
        <v>0.36149999999999999</v>
      </c>
      <c r="D15" s="81">
        <f>B15+C15</f>
        <v>8.7874974999999935</v>
      </c>
      <c r="E15" s="81">
        <f>E13+D15</f>
        <v>16.134525299999989</v>
      </c>
    </row>
    <row r="16" spans="1:8" x14ac:dyDescent="0.25">
      <c r="B16" s="81"/>
      <c r="C16" s="81"/>
      <c r="D16" s="81"/>
      <c r="E16" s="81"/>
      <c r="G16" s="47">
        <f>Cost!B20</f>
        <v>3.6</v>
      </c>
      <c r="H16" s="71">
        <f>E17-E15</f>
        <v>10.389831099999991</v>
      </c>
    </row>
    <row r="17" spans="1:8" x14ac:dyDescent="0.25">
      <c r="A17" s="27">
        <v>3</v>
      </c>
      <c r="B17" s="75">
        <f>PL!D39</f>
        <v>10.070856099999993</v>
      </c>
      <c r="C17" s="81">
        <f>PL!D30</f>
        <v>0.31897500000000001</v>
      </c>
      <c r="D17" s="81">
        <f>B17+C17</f>
        <v>10.389831099999993</v>
      </c>
      <c r="E17" s="81">
        <f>E15+D17</f>
        <v>26.524356399999981</v>
      </c>
      <c r="G17" s="47">
        <f>G16-E15</f>
        <v>-12.53452529999999</v>
      </c>
      <c r="H17" s="74"/>
    </row>
    <row r="18" spans="1:8" x14ac:dyDescent="0.25">
      <c r="B18" s="81"/>
      <c r="C18" s="81"/>
      <c r="D18" s="81"/>
      <c r="E18" s="81"/>
      <c r="G18" s="71">
        <f>G17/H16</f>
        <v>-1.2064224316408763</v>
      </c>
    </row>
    <row r="19" spans="1:8" x14ac:dyDescent="0.25">
      <c r="A19" s="27">
        <v>4</v>
      </c>
      <c r="B19" s="75">
        <f>PL!E39</f>
        <v>11.890120150000001</v>
      </c>
      <c r="C19" s="81">
        <f>PL!E30</f>
        <v>0.28165875000000001</v>
      </c>
      <c r="D19" s="81">
        <f>B19+C19</f>
        <v>12.171778900000001</v>
      </c>
      <c r="E19" s="81">
        <f>E17+D19</f>
        <v>38.69613529999998</v>
      </c>
    </row>
    <row r="20" spans="1:8" x14ac:dyDescent="0.25">
      <c r="B20" s="81"/>
      <c r="C20" s="81"/>
      <c r="D20" s="81"/>
      <c r="E20" s="81"/>
    </row>
    <row r="21" spans="1:8" x14ac:dyDescent="0.25">
      <c r="A21" s="27">
        <v>5</v>
      </c>
      <c r="B21" s="75">
        <f>PL!F39</f>
        <v>-1.2758559374999905</v>
      </c>
      <c r="C21" s="81">
        <f>PL!F30</f>
        <v>0.24888693750000002</v>
      </c>
      <c r="D21" s="81">
        <f>B21+C21</f>
        <v>-1.0269689999999905</v>
      </c>
      <c r="E21" s="81">
        <f>E19+D21</f>
        <v>37.669166299999986</v>
      </c>
    </row>
    <row r="23" spans="1:8" x14ac:dyDescent="0.25">
      <c r="G23" s="47">
        <f>Cost!B20</f>
        <v>3.6</v>
      </c>
      <c r="H23" s="47">
        <f>E17-G23</f>
        <v>22.924356399999979</v>
      </c>
    </row>
    <row r="24" spans="1:8" ht="14" x14ac:dyDescent="0.3">
      <c r="A24" s="190" t="s">
        <v>46</v>
      </c>
      <c r="B24" s="190"/>
      <c r="C24" s="190" t="s">
        <v>260</v>
      </c>
      <c r="D24" s="190"/>
      <c r="E24" s="190"/>
      <c r="H24" s="94">
        <f>H23/(E17-E15)</f>
        <v>2.2064224316408763</v>
      </c>
    </row>
    <row r="28" spans="1:8" ht="14" x14ac:dyDescent="0.3">
      <c r="A28" s="26"/>
      <c r="B28" s="80"/>
      <c r="C28" s="26"/>
      <c r="D28" s="26"/>
      <c r="E28" s="35"/>
    </row>
    <row r="29" spans="1:8" ht="14" x14ac:dyDescent="0.3">
      <c r="A29" s="26"/>
      <c r="B29" s="26"/>
      <c r="C29" s="26"/>
      <c r="D29" s="26"/>
      <c r="E29" s="35"/>
    </row>
    <row r="30" spans="1:8" ht="14" x14ac:dyDescent="0.3">
      <c r="A30" s="26"/>
      <c r="B30" s="80"/>
      <c r="C30" s="80"/>
      <c r="D30" s="26"/>
      <c r="E30" s="35"/>
    </row>
    <row r="31" spans="1:8" ht="14" x14ac:dyDescent="0.3">
      <c r="A31" s="26"/>
      <c r="B31" s="26"/>
      <c r="C31" s="26"/>
      <c r="D31" s="26"/>
      <c r="E31" s="35"/>
    </row>
    <row r="32" spans="1:8" ht="14" x14ac:dyDescent="0.3">
      <c r="A32" s="26"/>
      <c r="B32" s="26"/>
      <c r="C32" s="79"/>
      <c r="D32" s="26"/>
      <c r="E32" s="35"/>
    </row>
    <row r="33" spans="1:5" ht="14" x14ac:dyDescent="0.3">
      <c r="A33" s="26"/>
      <c r="B33" s="26"/>
      <c r="C33" s="79"/>
      <c r="D33" s="26"/>
      <c r="E33" s="35"/>
    </row>
    <row r="34" spans="1:5" x14ac:dyDescent="0.25">
      <c r="C34" s="47"/>
    </row>
  </sheetData>
  <mergeCells count="7">
    <mergeCell ref="C24:E24"/>
    <mergeCell ref="A24:B24"/>
    <mergeCell ref="A1:E1"/>
    <mergeCell ref="A2:E2"/>
    <mergeCell ref="A5:E5"/>
    <mergeCell ref="A3:E3"/>
    <mergeCell ref="D9:E9"/>
  </mergeCells>
  <phoneticPr fontId="0" type="noConversion"/>
  <printOptions horizontalCentered="1"/>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38"/>
  <sheetViews>
    <sheetView showGridLines="0" view="pageBreakPreview" topLeftCell="A11" zoomScaleSheetLayoutView="100" workbookViewId="0">
      <selection activeCell="I5" sqref="I5"/>
    </sheetView>
  </sheetViews>
  <sheetFormatPr defaultColWidth="9.1796875" defaultRowHeight="12.5" x14ac:dyDescent="0.25"/>
  <cols>
    <col min="1" max="4" width="9.1796875" style="51"/>
    <col min="5" max="9" width="11.54296875" style="51" customWidth="1"/>
    <col min="10" max="16384" width="9.1796875" style="51"/>
  </cols>
  <sheetData>
    <row r="1" spans="1:16" ht="51" customHeight="1" x14ac:dyDescent="0.45">
      <c r="A1" s="185" t="str">
        <f>BS!A1</f>
        <v>M/S TRIKUTA MEDICOS AND DIAGNOSTICS CENTRE</v>
      </c>
      <c r="B1" s="185"/>
      <c r="C1" s="185"/>
      <c r="D1" s="185"/>
      <c r="E1" s="185"/>
      <c r="F1" s="185"/>
      <c r="G1" s="185"/>
      <c r="H1" s="185"/>
      <c r="I1" s="185"/>
    </row>
    <row r="2" spans="1:16" ht="17.5" x14ac:dyDescent="0.35">
      <c r="A2" s="187" t="str">
        <f>BS!A2</f>
        <v>AIRPORT ROAD, GADI GARH, OPPOSITE DAYAL G MEDICOS, JAMMU</v>
      </c>
      <c r="B2" s="187"/>
      <c r="C2" s="187"/>
      <c r="D2" s="187"/>
      <c r="E2" s="187"/>
      <c r="F2" s="187"/>
      <c r="G2" s="187"/>
      <c r="H2" s="187"/>
      <c r="I2" s="187"/>
    </row>
    <row r="3" spans="1:16" ht="15" x14ac:dyDescent="0.3">
      <c r="A3" s="95"/>
      <c r="B3" s="95"/>
      <c r="C3" s="95"/>
      <c r="D3" s="95"/>
      <c r="E3" s="95"/>
      <c r="F3" s="95"/>
      <c r="G3" s="95"/>
      <c r="H3" s="95"/>
      <c r="I3" s="95"/>
    </row>
    <row r="4" spans="1:16" ht="15" x14ac:dyDescent="0.3">
      <c r="A4" s="203" t="s">
        <v>103</v>
      </c>
      <c r="B4" s="203"/>
      <c r="C4" s="203"/>
      <c r="D4" s="203"/>
      <c r="E4" s="203"/>
      <c r="F4" s="203"/>
      <c r="G4" s="203"/>
      <c r="H4" s="203"/>
      <c r="I4" s="203"/>
    </row>
    <row r="5" spans="1:16" ht="16" x14ac:dyDescent="0.35">
      <c r="A5" s="96"/>
      <c r="B5" s="96"/>
      <c r="C5" s="96"/>
      <c r="D5" s="96"/>
      <c r="E5" s="96"/>
      <c r="F5" s="97"/>
      <c r="G5" s="97"/>
      <c r="H5" s="97"/>
      <c r="I5" s="98" t="s">
        <v>102</v>
      </c>
      <c r="N5" s="130">
        <v>445</v>
      </c>
      <c r="O5" s="130"/>
      <c r="P5" s="130"/>
    </row>
    <row r="6" spans="1:16" ht="16" x14ac:dyDescent="0.35">
      <c r="A6" s="99" t="s">
        <v>104</v>
      </c>
      <c r="B6" s="99"/>
      <c r="C6" s="100"/>
      <c r="D6" s="100"/>
      <c r="E6" s="101" t="s">
        <v>105</v>
      </c>
      <c r="F6" s="101" t="s">
        <v>106</v>
      </c>
      <c r="G6" s="101" t="s">
        <v>107</v>
      </c>
      <c r="H6" s="101" t="s">
        <v>108</v>
      </c>
      <c r="I6" s="101" t="s">
        <v>109</v>
      </c>
      <c r="N6" s="130"/>
      <c r="O6" s="130"/>
      <c r="P6" s="130"/>
    </row>
    <row r="7" spans="1:16" ht="16" x14ac:dyDescent="0.35">
      <c r="A7" s="102"/>
      <c r="B7" s="102"/>
      <c r="C7" s="102"/>
      <c r="D7" s="102"/>
      <c r="E7" s="102"/>
      <c r="F7" s="102"/>
      <c r="G7" s="102"/>
      <c r="H7" s="102"/>
      <c r="I7" s="102"/>
      <c r="N7" s="130"/>
      <c r="O7" s="130"/>
      <c r="P7" s="130"/>
    </row>
    <row r="8" spans="1:16" ht="16" x14ac:dyDescent="0.35">
      <c r="A8" s="103" t="s">
        <v>206</v>
      </c>
      <c r="B8" s="103"/>
      <c r="C8" s="103"/>
      <c r="D8" s="102"/>
      <c r="E8" s="102"/>
      <c r="F8" s="102"/>
      <c r="G8" s="102"/>
      <c r="H8" s="102"/>
      <c r="I8" s="102"/>
      <c r="N8" s="130"/>
      <c r="O8" s="130"/>
      <c r="P8" s="130"/>
    </row>
    <row r="9" spans="1:16" ht="16" x14ac:dyDescent="0.35">
      <c r="A9" s="102"/>
      <c r="B9" s="102"/>
      <c r="C9" s="102"/>
      <c r="D9" s="102"/>
      <c r="E9" s="102"/>
      <c r="F9" s="102"/>
      <c r="G9" s="102"/>
      <c r="H9" s="102"/>
      <c r="I9" s="102"/>
      <c r="N9" s="130"/>
      <c r="O9" s="130"/>
      <c r="P9" s="130"/>
    </row>
    <row r="10" spans="1:16" ht="16" x14ac:dyDescent="0.35">
      <c r="A10" s="102" t="s">
        <v>110</v>
      </c>
      <c r="B10" s="102"/>
      <c r="C10" s="102"/>
      <c r="D10" s="102"/>
      <c r="E10" s="104">
        <f>PL!B39</f>
        <v>6.9370277999999956</v>
      </c>
      <c r="F10" s="73">
        <f>PL!C39</f>
        <v>8.425997499999994</v>
      </c>
      <c r="G10" s="73">
        <f>PL!D39</f>
        <v>10.070856099999993</v>
      </c>
      <c r="H10" s="73">
        <f>PL!E39</f>
        <v>11.890120150000001</v>
      </c>
      <c r="I10" s="73">
        <f>PL!F39</f>
        <v>-1.2758559374999905</v>
      </c>
      <c r="J10" s="105"/>
      <c r="N10" s="130"/>
      <c r="O10" s="130"/>
      <c r="P10" s="130"/>
    </row>
    <row r="11" spans="1:16" ht="16" x14ac:dyDescent="0.35">
      <c r="A11" s="102"/>
      <c r="B11" s="102"/>
      <c r="C11" s="102"/>
      <c r="D11" s="102"/>
      <c r="E11" s="73"/>
      <c r="F11" s="73"/>
      <c r="G11" s="73"/>
      <c r="H11" s="73"/>
      <c r="I11" s="73"/>
      <c r="J11" s="105"/>
      <c r="N11" s="130"/>
      <c r="O11" s="130"/>
      <c r="P11" s="130"/>
    </row>
    <row r="12" spans="1:16" ht="16" x14ac:dyDescent="0.35">
      <c r="A12" s="102" t="s">
        <v>111</v>
      </c>
      <c r="B12" s="102"/>
      <c r="C12" s="102"/>
      <c r="D12" s="102"/>
      <c r="E12" s="104">
        <f>PL!B20+PL!B22</f>
        <v>1.9009722000000002</v>
      </c>
      <c r="F12" s="73">
        <f>PL!C20+PL!C22</f>
        <v>1.5653025000000003</v>
      </c>
      <c r="G12" s="73">
        <f>PL!D20+PL!D22</f>
        <v>1.1872488999999999</v>
      </c>
      <c r="H12" s="73">
        <f>PL!E20+PL!E22</f>
        <v>0.76145910000000006</v>
      </c>
      <c r="I12" s="104">
        <f>PL!F20+PL!F22</f>
        <v>13.961903299999999</v>
      </c>
      <c r="J12" s="105"/>
      <c r="N12" s="130"/>
      <c r="O12" s="130"/>
      <c r="P12" s="130"/>
    </row>
    <row r="13" spans="1:16" ht="16" x14ac:dyDescent="0.35">
      <c r="A13" s="102"/>
      <c r="B13" s="102"/>
      <c r="C13" s="102"/>
      <c r="D13" s="102"/>
      <c r="E13" s="73"/>
      <c r="F13" s="73"/>
      <c r="G13" s="73"/>
      <c r="H13" s="73"/>
      <c r="I13" s="73"/>
      <c r="J13" s="105"/>
      <c r="N13" s="130"/>
      <c r="O13" s="130"/>
      <c r="P13" s="130"/>
    </row>
    <row r="14" spans="1:16" ht="16" x14ac:dyDescent="0.35">
      <c r="A14" s="102" t="s">
        <v>112</v>
      </c>
      <c r="B14" s="102"/>
      <c r="C14" s="102"/>
      <c r="D14" s="102"/>
      <c r="E14" s="104">
        <f>PL!B30</f>
        <v>0.41000000000000003</v>
      </c>
      <c r="F14" s="73">
        <f>PL!C30</f>
        <v>0.36149999999999999</v>
      </c>
      <c r="G14" s="73">
        <f>PL!D30</f>
        <v>0.31897500000000001</v>
      </c>
      <c r="H14" s="73">
        <f>PL!E30</f>
        <v>0.28165875000000001</v>
      </c>
      <c r="I14" s="73">
        <f>PL!F30</f>
        <v>0.24888693750000002</v>
      </c>
      <c r="J14" s="105"/>
      <c r="N14" s="130"/>
      <c r="O14" s="130"/>
      <c r="P14" s="130"/>
    </row>
    <row r="15" spans="1:16" ht="16" x14ac:dyDescent="0.35">
      <c r="A15" s="102"/>
      <c r="B15" s="102"/>
      <c r="C15" s="102"/>
      <c r="D15" s="102"/>
      <c r="E15" s="73"/>
      <c r="F15" s="73"/>
      <c r="G15" s="73"/>
      <c r="H15" s="73"/>
      <c r="I15" s="73"/>
      <c r="J15" s="105"/>
      <c r="N15" s="130"/>
      <c r="O15" s="130"/>
      <c r="P15" s="130"/>
    </row>
    <row r="16" spans="1:16" ht="16" x14ac:dyDescent="0.35">
      <c r="A16" s="102"/>
      <c r="B16" s="102"/>
      <c r="C16" s="102"/>
      <c r="D16" s="102"/>
      <c r="E16" s="106">
        <f>SUM(E10:E14)</f>
        <v>9.2479999999999958</v>
      </c>
      <c r="F16" s="106">
        <f>SUM(F10:F14)</f>
        <v>10.352799999999993</v>
      </c>
      <c r="G16" s="106">
        <f>SUM(G10:G14)</f>
        <v>11.577079999999993</v>
      </c>
      <c r="H16" s="106">
        <f>SUM(H10:H14)</f>
        <v>12.933238000000001</v>
      </c>
      <c r="I16" s="106">
        <f>SUM(I10:I14)</f>
        <v>12.934934300000009</v>
      </c>
      <c r="J16" s="105"/>
      <c r="N16" s="130"/>
      <c r="O16" s="130"/>
      <c r="P16" s="130"/>
    </row>
    <row r="17" spans="1:16" ht="16" x14ac:dyDescent="0.35">
      <c r="A17" s="102"/>
      <c r="B17" s="102"/>
      <c r="C17" s="102"/>
      <c r="D17" s="102"/>
      <c r="E17" s="73"/>
      <c r="F17" s="73"/>
      <c r="G17" s="73"/>
      <c r="H17" s="73"/>
      <c r="I17" s="73"/>
      <c r="J17" s="105"/>
      <c r="N17" s="130"/>
      <c r="O17" s="130"/>
      <c r="P17" s="130"/>
    </row>
    <row r="18" spans="1:16" ht="16" x14ac:dyDescent="0.35">
      <c r="A18" s="103" t="s">
        <v>113</v>
      </c>
      <c r="B18" s="103"/>
      <c r="C18" s="103"/>
      <c r="D18" s="102"/>
      <c r="E18" s="73"/>
      <c r="F18" s="73"/>
      <c r="G18" s="73"/>
      <c r="H18" s="73"/>
      <c r="I18" s="73"/>
      <c r="J18" s="105"/>
      <c r="N18" s="130"/>
      <c r="O18" s="130"/>
      <c r="P18" s="130"/>
    </row>
    <row r="19" spans="1:16" ht="16" x14ac:dyDescent="0.35">
      <c r="A19" s="102"/>
      <c r="B19" s="102"/>
      <c r="C19" s="102"/>
      <c r="D19" s="102"/>
      <c r="E19" s="73"/>
      <c r="F19" s="73"/>
      <c r="G19" s="73"/>
      <c r="H19" s="73"/>
      <c r="I19" s="73"/>
      <c r="J19" s="105"/>
      <c r="N19" s="130"/>
      <c r="O19" s="130"/>
      <c r="P19" s="130"/>
    </row>
    <row r="20" spans="1:16" ht="16" x14ac:dyDescent="0.35">
      <c r="A20" s="102" t="s">
        <v>114</v>
      </c>
      <c r="B20" s="102"/>
      <c r="C20" s="102"/>
      <c r="D20" s="102"/>
      <c r="E20" s="104">
        <f>CF!C31</f>
        <v>2.6584050000000001</v>
      </c>
      <c r="F20" s="73">
        <f>CF!D31</f>
        <v>2.9940746999999996</v>
      </c>
      <c r="G20" s="73">
        <f>CF!E31</f>
        <v>3.3721283</v>
      </c>
      <c r="H20" s="73">
        <f>CF!F31</f>
        <v>3.7979181</v>
      </c>
      <c r="I20" s="73">
        <f>CF!G31</f>
        <v>-9.4025260999999993</v>
      </c>
      <c r="J20" s="105"/>
    </row>
    <row r="21" spans="1:16" ht="16" x14ac:dyDescent="0.35">
      <c r="A21" s="102"/>
      <c r="B21" s="102"/>
      <c r="C21" s="102"/>
      <c r="D21" s="102"/>
      <c r="E21" s="73"/>
      <c r="F21" s="73"/>
      <c r="G21" s="73"/>
      <c r="H21" s="73"/>
      <c r="I21" s="73"/>
      <c r="J21" s="105"/>
    </row>
    <row r="22" spans="1:16" ht="16" x14ac:dyDescent="0.35">
      <c r="A22" s="102" t="s">
        <v>111</v>
      </c>
      <c r="B22" s="102"/>
      <c r="C22" s="102"/>
      <c r="D22" s="102"/>
      <c r="E22" s="104">
        <f>E12</f>
        <v>1.9009722000000002</v>
      </c>
      <c r="F22" s="73">
        <f>F12</f>
        <v>1.5653025000000003</v>
      </c>
      <c r="G22" s="73">
        <f>G12</f>
        <v>1.1872488999999999</v>
      </c>
      <c r="H22" s="73">
        <f>H12</f>
        <v>0.76145910000000006</v>
      </c>
      <c r="I22" s="73">
        <f>I12</f>
        <v>13.961903299999999</v>
      </c>
      <c r="J22" s="105"/>
    </row>
    <row r="23" spans="1:16" ht="16" x14ac:dyDescent="0.35">
      <c r="A23" s="102"/>
      <c r="B23" s="102"/>
      <c r="C23" s="102"/>
      <c r="D23" s="102"/>
      <c r="E23" s="73"/>
      <c r="F23" s="73"/>
      <c r="G23" s="73"/>
      <c r="H23" s="73"/>
      <c r="I23" s="73"/>
      <c r="J23" s="105"/>
      <c r="L23" s="51">
        <v>1.1200000000000001</v>
      </c>
    </row>
    <row r="24" spans="1:16" ht="16" x14ac:dyDescent="0.35">
      <c r="A24" s="102"/>
      <c r="B24" s="102"/>
      <c r="C24" s="102"/>
      <c r="D24" s="102"/>
      <c r="E24" s="106">
        <f>SUM(E20:E22)</f>
        <v>4.5593772000000001</v>
      </c>
      <c r="F24" s="106">
        <f>SUM(F20:F22)</f>
        <v>4.5593772000000001</v>
      </c>
      <c r="G24" s="106">
        <f>SUM(G20:G22)</f>
        <v>4.5593772000000001</v>
      </c>
      <c r="H24" s="106">
        <f>SUM(H20:H22)</f>
        <v>4.5593772000000001</v>
      </c>
      <c r="I24" s="106">
        <f>SUM(I20:I22)</f>
        <v>4.5593772000000001</v>
      </c>
      <c r="J24" s="105"/>
    </row>
    <row r="25" spans="1:16" ht="16" x14ac:dyDescent="0.35">
      <c r="A25" s="102"/>
      <c r="B25" s="102"/>
      <c r="C25" s="102"/>
      <c r="D25" s="102"/>
      <c r="E25" s="73"/>
      <c r="F25" s="73"/>
      <c r="G25" s="73"/>
      <c r="H25" s="73"/>
      <c r="I25" s="73"/>
      <c r="J25" s="105"/>
    </row>
    <row r="26" spans="1:16" ht="16" x14ac:dyDescent="0.35">
      <c r="A26" s="103" t="s">
        <v>115</v>
      </c>
      <c r="B26" s="103"/>
      <c r="C26" s="103"/>
      <c r="D26" s="103"/>
      <c r="E26" s="73">
        <f>E16/E24</f>
        <v>2.0283472049647471</v>
      </c>
      <c r="F26" s="73">
        <f>F16/F24</f>
        <v>2.2706610016824214</v>
      </c>
      <c r="G26" s="73">
        <f>G16/G24</f>
        <v>2.5391801318829232</v>
      </c>
      <c r="H26" s="73">
        <f>H16/H24</f>
        <v>2.83662382660509</v>
      </c>
      <c r="I26" s="73">
        <f>I16/I24</f>
        <v>2.8369958730328362</v>
      </c>
      <c r="J26" s="105"/>
      <c r="L26" s="51" t="s">
        <v>239</v>
      </c>
    </row>
    <row r="27" spans="1:16" ht="16" x14ac:dyDescent="0.35">
      <c r="A27" s="103" t="s">
        <v>116</v>
      </c>
      <c r="B27" s="102"/>
      <c r="C27" s="102"/>
      <c r="D27" s="103"/>
      <c r="E27" s="73"/>
      <c r="F27" s="73"/>
      <c r="G27" s="73"/>
      <c r="H27" s="73"/>
      <c r="I27" s="107"/>
      <c r="J27" s="105"/>
    </row>
    <row r="28" spans="1:16" ht="16" x14ac:dyDescent="0.35">
      <c r="A28" s="103"/>
      <c r="B28" s="103"/>
      <c r="C28" s="103"/>
      <c r="D28" s="103"/>
      <c r="E28" s="73"/>
      <c r="F28" s="73"/>
      <c r="G28" s="73"/>
      <c r="H28" s="73"/>
      <c r="I28" s="107"/>
      <c r="J28" s="105"/>
    </row>
    <row r="29" spans="1:16" ht="16" x14ac:dyDescent="0.35">
      <c r="A29" s="103" t="s">
        <v>117</v>
      </c>
      <c r="B29" s="102"/>
      <c r="C29" s="102"/>
      <c r="D29" s="102"/>
      <c r="E29" s="73"/>
      <c r="F29" s="73"/>
      <c r="G29" s="73"/>
      <c r="H29" s="73"/>
      <c r="I29" s="73"/>
      <c r="J29" s="105"/>
    </row>
    <row r="30" spans="1:16" ht="16" x14ac:dyDescent="0.35">
      <c r="A30" s="103" t="s">
        <v>118</v>
      </c>
      <c r="B30" s="102"/>
      <c r="C30" s="102"/>
      <c r="D30" s="102"/>
      <c r="E30" s="73"/>
      <c r="F30" s="73"/>
      <c r="G30" s="108">
        <f>AVERAGE(E26:I26)</f>
        <v>2.5023616076336035</v>
      </c>
      <c r="H30" s="73"/>
      <c r="I30" s="105"/>
      <c r="J30" s="105"/>
    </row>
    <row r="31" spans="1:16" x14ac:dyDescent="0.25">
      <c r="E31" s="105"/>
      <c r="F31" s="105"/>
      <c r="G31" s="105"/>
      <c r="H31" s="105"/>
      <c r="I31" s="105"/>
      <c r="J31" s="105"/>
      <c r="K31" s="51" t="s">
        <v>9</v>
      </c>
    </row>
    <row r="32" spans="1:16" x14ac:dyDescent="0.25">
      <c r="K32" s="51" t="s">
        <v>193</v>
      </c>
    </row>
    <row r="33" spans="1:11" ht="14" x14ac:dyDescent="0.3">
      <c r="A33" s="26"/>
      <c r="B33" s="80"/>
      <c r="C33" s="26"/>
      <c r="D33" s="26"/>
      <c r="E33" s="27"/>
      <c r="I33" s="35"/>
      <c r="K33" s="51" t="s">
        <v>193</v>
      </c>
    </row>
    <row r="34" spans="1:11" ht="14" x14ac:dyDescent="0.3">
      <c r="A34" s="26"/>
      <c r="B34" s="26"/>
      <c r="C34" s="26"/>
      <c r="D34" s="26"/>
      <c r="E34" s="27"/>
      <c r="I34" s="35"/>
    </row>
    <row r="35" spans="1:11" ht="14" x14ac:dyDescent="0.3">
      <c r="A35" s="26"/>
      <c r="B35" s="80"/>
      <c r="C35" s="80"/>
      <c r="D35" s="26"/>
      <c r="E35" s="27"/>
      <c r="I35" s="35"/>
    </row>
    <row r="36" spans="1:11" ht="14" x14ac:dyDescent="0.3">
      <c r="A36" s="26"/>
      <c r="B36" s="26"/>
      <c r="C36" s="26"/>
      <c r="D36" s="26"/>
      <c r="E36" s="27"/>
      <c r="I36" s="35"/>
    </row>
    <row r="37" spans="1:11" ht="14" x14ac:dyDescent="0.3">
      <c r="A37" s="26"/>
      <c r="B37" s="26"/>
      <c r="C37" s="26"/>
      <c r="D37" s="26"/>
      <c r="E37" s="27"/>
      <c r="I37" s="35"/>
    </row>
    <row r="38" spans="1:11" ht="14" x14ac:dyDescent="0.3">
      <c r="A38" s="26"/>
      <c r="B38" s="26"/>
      <c r="C38" s="26"/>
      <c r="D38" s="26"/>
      <c r="E38" s="27"/>
      <c r="I38" s="35"/>
    </row>
  </sheetData>
  <mergeCells count="3">
    <mergeCell ref="A1:I1"/>
    <mergeCell ref="A2:I2"/>
    <mergeCell ref="A4:I4"/>
  </mergeCells>
  <printOptions horizontalCentered="1"/>
  <pageMargins left="0.7" right="0.7" top="0.75" bottom="0.75" header="0.3" footer="0.3"/>
  <pageSetup paperSize="9" scale="9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7"/>
  <sheetViews>
    <sheetView showGridLines="0" view="pageBreakPreview" topLeftCell="A72" zoomScale="70" zoomScaleSheetLayoutView="70" workbookViewId="0">
      <selection activeCell="C58" sqref="C58"/>
    </sheetView>
  </sheetViews>
  <sheetFormatPr defaultColWidth="9.1796875" defaultRowHeight="14" x14ac:dyDescent="0.3"/>
  <cols>
    <col min="1" max="1" width="3.453125" style="2" customWidth="1"/>
    <col min="2" max="2" width="38.7265625" style="2" customWidth="1"/>
    <col min="3" max="3" width="50.81640625" style="2" customWidth="1"/>
    <col min="4" max="4" width="3.1796875" style="2" customWidth="1"/>
    <col min="5" max="16384" width="9.1796875" style="2"/>
  </cols>
  <sheetData>
    <row r="1" spans="1:9" x14ac:dyDescent="0.3">
      <c r="A1" s="14"/>
      <c r="B1" s="15"/>
      <c r="C1" s="15"/>
      <c r="D1" s="16"/>
    </row>
    <row r="2" spans="1:9" x14ac:dyDescent="0.3">
      <c r="A2" s="17"/>
      <c r="D2" s="18"/>
    </row>
    <row r="3" spans="1:9" x14ac:dyDescent="0.3">
      <c r="A3" s="17"/>
      <c r="D3" s="18"/>
    </row>
    <row r="4" spans="1:9" x14ac:dyDescent="0.3">
      <c r="A4" s="17"/>
      <c r="D4" s="18"/>
    </row>
    <row r="5" spans="1:9" x14ac:dyDescent="0.3">
      <c r="A5" s="17"/>
      <c r="D5" s="18"/>
    </row>
    <row r="6" spans="1:9" ht="30" x14ac:dyDescent="0.6">
      <c r="A6" s="162" t="s">
        <v>69</v>
      </c>
      <c r="B6" s="163"/>
      <c r="C6" s="163"/>
      <c r="D6" s="164"/>
    </row>
    <row r="7" spans="1:9" x14ac:dyDescent="0.3">
      <c r="A7" s="19"/>
      <c r="D7" s="18"/>
    </row>
    <row r="8" spans="1:9" x14ac:dyDescent="0.3">
      <c r="A8" s="19"/>
      <c r="D8" s="18"/>
    </row>
    <row r="9" spans="1:9" ht="22.5" x14ac:dyDescent="0.45">
      <c r="A9" s="165" t="s">
        <v>127</v>
      </c>
      <c r="B9" s="166"/>
      <c r="C9" s="166"/>
      <c r="D9" s="167"/>
    </row>
    <row r="10" spans="1:9" ht="31.5" customHeight="1" x14ac:dyDescent="0.3">
      <c r="A10" s="19"/>
      <c r="D10" s="18"/>
    </row>
    <row r="11" spans="1:9" ht="0.75" customHeight="1" thickBot="1" x14ac:dyDescent="0.35">
      <c r="A11" s="19"/>
      <c r="D11" s="18"/>
    </row>
    <row r="12" spans="1:9" ht="116.25" customHeight="1" thickBot="1" x14ac:dyDescent="0.35">
      <c r="A12" s="159" t="str">
        <f>'Basic Details'!C3</f>
        <v>M/S TRIKUTA MEDICOS AND DIAGNOSTICS CENTRE</v>
      </c>
      <c r="B12" s="160"/>
      <c r="C12" s="160"/>
      <c r="D12" s="161"/>
      <c r="I12" s="2" t="s">
        <v>9</v>
      </c>
    </row>
    <row r="13" spans="1:9" x14ac:dyDescent="0.3">
      <c r="A13" s="157"/>
      <c r="B13" s="158"/>
      <c r="C13" s="158"/>
      <c r="D13" s="18"/>
    </row>
    <row r="14" spans="1:9" x14ac:dyDescent="0.3">
      <c r="A14" s="155" t="s">
        <v>228</v>
      </c>
      <c r="B14" s="156"/>
      <c r="C14" s="156"/>
      <c r="D14" s="18"/>
    </row>
    <row r="15" spans="1:9" x14ac:dyDescent="0.3">
      <c r="A15" s="19"/>
      <c r="D15" s="18"/>
    </row>
    <row r="16" spans="1:9" ht="21" customHeight="1" x14ac:dyDescent="0.35">
      <c r="A16" s="168" t="str">
        <f>'Basic Details'!C4</f>
        <v>AIRPORT ROAD, GADI GARH, OPPOSITE DAYAL G MEDICOS, JAMMU</v>
      </c>
      <c r="B16" s="169"/>
      <c r="C16" s="169"/>
      <c r="D16" s="170"/>
    </row>
    <row r="17" spans="1:4" x14ac:dyDescent="0.3">
      <c r="A17" s="19"/>
      <c r="D17" s="18"/>
    </row>
    <row r="18" spans="1:4" x14ac:dyDescent="0.3">
      <c r="A18" s="155"/>
      <c r="B18" s="156"/>
      <c r="C18" s="156"/>
      <c r="D18" s="18"/>
    </row>
    <row r="19" spans="1:4" ht="20" x14ac:dyDescent="0.4">
      <c r="A19" s="175" t="s">
        <v>128</v>
      </c>
      <c r="B19" s="176"/>
      <c r="C19" s="176"/>
      <c r="D19" s="180"/>
    </row>
    <row r="20" spans="1:4" x14ac:dyDescent="0.3">
      <c r="A20" s="155"/>
      <c r="B20" s="156"/>
      <c r="C20" s="156"/>
      <c r="D20" s="18"/>
    </row>
    <row r="21" spans="1:4" x14ac:dyDescent="0.3">
      <c r="A21" s="155"/>
      <c r="B21" s="156"/>
      <c r="C21" s="156"/>
      <c r="D21" s="18"/>
    </row>
    <row r="22" spans="1:4" ht="81" customHeight="1" x14ac:dyDescent="0.7">
      <c r="A22" s="177" t="str">
        <f>'Basic Details'!C5</f>
        <v>LABORATORY AND DIAGNOSTICS CENTRE</v>
      </c>
      <c r="B22" s="178"/>
      <c r="C22" s="178"/>
      <c r="D22" s="179"/>
    </row>
    <row r="23" spans="1:4" ht="33" customHeight="1" x14ac:dyDescent="0.4">
      <c r="A23" s="175"/>
      <c r="B23" s="176"/>
      <c r="C23" s="176"/>
      <c r="D23" s="18"/>
    </row>
    <row r="24" spans="1:4" x14ac:dyDescent="0.3">
      <c r="A24" s="19"/>
      <c r="D24" s="18"/>
    </row>
    <row r="25" spans="1:4" x14ac:dyDescent="0.3">
      <c r="A25" s="19"/>
      <c r="D25" s="18"/>
    </row>
    <row r="26" spans="1:4" x14ac:dyDescent="0.3">
      <c r="A26" s="19"/>
      <c r="D26" s="18"/>
    </row>
    <row r="27" spans="1:4" x14ac:dyDescent="0.3">
      <c r="A27" s="19"/>
      <c r="D27" s="18"/>
    </row>
    <row r="28" spans="1:4" ht="18" x14ac:dyDescent="0.35">
      <c r="A28" s="19"/>
      <c r="B28" s="134" t="s">
        <v>248</v>
      </c>
      <c r="C28" s="139" t="str">
        <f>"("&amp;'Basic Details'!C6&amp;")"</f>
        <v>(Bansh Manhas)</v>
      </c>
      <c r="D28" s="18"/>
    </row>
    <row r="29" spans="1:4" ht="18" x14ac:dyDescent="0.35">
      <c r="A29" s="19"/>
      <c r="B29" s="134" t="s">
        <v>229</v>
      </c>
      <c r="C29" s="137" t="s">
        <v>227</v>
      </c>
      <c r="D29" s="18"/>
    </row>
    <row r="30" spans="1:4" x14ac:dyDescent="0.3">
      <c r="A30" s="19"/>
      <c r="D30" s="18"/>
    </row>
    <row r="31" spans="1:4" ht="18" x14ac:dyDescent="0.35">
      <c r="A31" s="19"/>
      <c r="B31" s="134"/>
      <c r="D31" s="18"/>
    </row>
    <row r="32" spans="1:4" x14ac:dyDescent="0.3">
      <c r="A32" s="19"/>
      <c r="D32" s="18"/>
    </row>
    <row r="33" spans="1:4" ht="18" x14ac:dyDescent="0.35">
      <c r="A33" s="19"/>
      <c r="B33" s="134" t="s">
        <v>251</v>
      </c>
      <c r="D33" s="18"/>
    </row>
    <row r="34" spans="1:4" ht="18" x14ac:dyDescent="0.35">
      <c r="A34" s="19"/>
      <c r="B34" s="134" t="s">
        <v>230</v>
      </c>
      <c r="D34" s="18"/>
    </row>
    <row r="35" spans="1:4" ht="18" x14ac:dyDescent="0.35">
      <c r="A35" s="19"/>
      <c r="B35" s="134" t="s">
        <v>231</v>
      </c>
      <c r="D35" s="18"/>
    </row>
    <row r="36" spans="1:4" ht="18" x14ac:dyDescent="0.35">
      <c r="A36" s="19"/>
      <c r="B36" s="134"/>
      <c r="D36" s="18"/>
    </row>
    <row r="37" spans="1:4" ht="18" x14ac:dyDescent="0.35">
      <c r="A37" s="19"/>
      <c r="B37" s="134"/>
      <c r="D37" s="18"/>
    </row>
    <row r="38" spans="1:4" x14ac:dyDescent="0.3">
      <c r="A38" s="19"/>
      <c r="B38" s="174" t="s">
        <v>232</v>
      </c>
      <c r="C38" s="174"/>
      <c r="D38" s="174"/>
    </row>
    <row r="39" spans="1:4" x14ac:dyDescent="0.3">
      <c r="A39" s="19"/>
      <c r="B39" s="174"/>
      <c r="C39" s="174"/>
      <c r="D39" s="174"/>
    </row>
    <row r="40" spans="1:4" ht="14.5" thickBot="1" x14ac:dyDescent="0.35">
      <c r="A40" s="20"/>
      <c r="B40" s="13"/>
      <c r="C40" s="13"/>
      <c r="D40" s="21"/>
    </row>
    <row r="41" spans="1:4" ht="14.25" customHeight="1" thickBot="1" x14ac:dyDescent="0.35">
      <c r="A41" s="20"/>
      <c r="B41" s="13"/>
      <c r="C41" s="13"/>
      <c r="D41" s="21"/>
    </row>
    <row r="43" spans="1:4" ht="25" x14ac:dyDescent="0.5">
      <c r="A43" s="181" t="s">
        <v>65</v>
      </c>
      <c r="B43" s="181"/>
      <c r="C43" s="181"/>
      <c r="D43" s="181"/>
    </row>
    <row r="46" spans="1:4" ht="40.5" customHeight="1" x14ac:dyDescent="0.3">
      <c r="A46" s="22">
        <v>1</v>
      </c>
      <c r="B46" s="23" t="s">
        <v>194</v>
      </c>
      <c r="C46" s="24" t="str">
        <f>(A12)</f>
        <v>M/S TRIKUTA MEDICOS AND DIAGNOSTICS CENTRE</v>
      </c>
    </row>
    <row r="47" spans="1:4" x14ac:dyDescent="0.3">
      <c r="A47" s="25"/>
      <c r="B47" s="26"/>
      <c r="C47" s="26"/>
    </row>
    <row r="48" spans="1:4" x14ac:dyDescent="0.3">
      <c r="A48" s="22">
        <f>+MAX(A$46:A47)+1</f>
        <v>2</v>
      </c>
      <c r="B48" s="23" t="s">
        <v>196</v>
      </c>
      <c r="C48" s="24" t="str">
        <f>'Basic Details'!C6</f>
        <v>Bansh Manhas</v>
      </c>
    </row>
    <row r="49" spans="1:3" x14ac:dyDescent="0.3">
      <c r="A49" s="25"/>
      <c r="B49" s="26"/>
      <c r="C49" s="27"/>
    </row>
    <row r="50" spans="1:3" x14ac:dyDescent="0.3">
      <c r="A50" s="22">
        <f>+MAX(A$46:A49)+1</f>
        <v>3</v>
      </c>
      <c r="B50" s="23" t="s">
        <v>195</v>
      </c>
      <c r="C50" s="24" t="str">
        <f>'Basic Details'!C7</f>
        <v>Johan, udhumpur, J&amp;K, 182124</v>
      </c>
    </row>
    <row r="51" spans="1:3" x14ac:dyDescent="0.3">
      <c r="A51" s="27"/>
      <c r="B51" s="27"/>
      <c r="C51" s="27"/>
    </row>
    <row r="52" spans="1:3" x14ac:dyDescent="0.3">
      <c r="A52" s="25">
        <f>+MAX(A$46:A51)+1</f>
        <v>4</v>
      </c>
      <c r="B52" s="26" t="s">
        <v>68</v>
      </c>
      <c r="C52" s="27" t="s">
        <v>185</v>
      </c>
    </row>
    <row r="53" spans="1:3" x14ac:dyDescent="0.3">
      <c r="A53" s="25" t="s">
        <v>9</v>
      </c>
      <c r="B53" s="26"/>
      <c r="C53" s="27"/>
    </row>
    <row r="54" spans="1:3" ht="27" x14ac:dyDescent="0.3">
      <c r="A54" s="22">
        <f>+MAX(A$46:A53)+1</f>
        <v>5</v>
      </c>
      <c r="B54" s="23" t="s">
        <v>197</v>
      </c>
      <c r="C54" s="24" t="str">
        <f>'Basic Details'!C4</f>
        <v>AIRPORT ROAD, GADI GARH, OPPOSITE DAYAL G MEDICOS, JAMMU</v>
      </c>
    </row>
    <row r="55" spans="1:3" x14ac:dyDescent="0.3">
      <c r="A55" s="25"/>
      <c r="B55" s="26"/>
      <c r="C55" s="27"/>
    </row>
    <row r="56" spans="1:3" x14ac:dyDescent="0.3">
      <c r="A56" s="22">
        <f>+MAX(A$46:A55)+1</f>
        <v>6</v>
      </c>
      <c r="B56" s="23" t="s">
        <v>122</v>
      </c>
      <c r="C56" s="28" t="str">
        <f>PROPER(A22)</f>
        <v>Laboratory And Diagnostics Centre</v>
      </c>
    </row>
    <row r="57" spans="1:3" x14ac:dyDescent="0.3">
      <c r="A57" s="22"/>
      <c r="B57" s="23"/>
      <c r="C57" s="28" t="s">
        <v>9</v>
      </c>
    </row>
    <row r="58" spans="1:3" x14ac:dyDescent="0.3">
      <c r="A58" s="22">
        <f>+MAX(A$46:A57)+1</f>
        <v>7</v>
      </c>
      <c r="B58" s="23" t="s">
        <v>198</v>
      </c>
      <c r="C58" s="29">
        <f>C70</f>
        <v>3.6</v>
      </c>
    </row>
    <row r="59" spans="1:3" x14ac:dyDescent="0.3">
      <c r="A59" s="30"/>
      <c r="B59" s="23"/>
      <c r="C59" s="27"/>
    </row>
    <row r="60" spans="1:3" x14ac:dyDescent="0.3">
      <c r="A60" s="27"/>
      <c r="B60" s="31" t="s">
        <v>78</v>
      </c>
      <c r="C60" s="32" t="s">
        <v>199</v>
      </c>
    </row>
    <row r="61" spans="1:3" x14ac:dyDescent="0.3">
      <c r="A61" s="27"/>
      <c r="B61" s="31"/>
      <c r="C61" s="32"/>
    </row>
    <row r="62" spans="1:3" x14ac:dyDescent="0.3">
      <c r="A62" s="27"/>
      <c r="B62" s="27" t="str">
        <f>+Cost!A11</f>
        <v>1.0       Land &amp; Building</v>
      </c>
      <c r="C62" s="33">
        <f>+Cost!B11</f>
        <v>0</v>
      </c>
    </row>
    <row r="63" spans="1:3" x14ac:dyDescent="0.3">
      <c r="A63" s="27"/>
      <c r="B63" s="27"/>
      <c r="C63" s="33"/>
    </row>
    <row r="64" spans="1:3" x14ac:dyDescent="0.3">
      <c r="A64" s="27"/>
      <c r="B64" s="27" t="str">
        <f>+Cost!A13</f>
        <v>2.0       Plant &amp; Machinery</v>
      </c>
      <c r="C64" s="33">
        <f>+Cost!B13</f>
        <v>0</v>
      </c>
    </row>
    <row r="65" spans="1:3" x14ac:dyDescent="0.3">
      <c r="A65" s="27"/>
      <c r="B65" s="27"/>
      <c r="C65" s="33"/>
    </row>
    <row r="66" spans="1:3" x14ac:dyDescent="0.3">
      <c r="A66" s="27"/>
      <c r="B66" s="27" t="str">
        <f>+Cost!A15</f>
        <v>3.0       Furniture &amp; Fixtures &amp; Electric Equipments</v>
      </c>
      <c r="C66" s="33">
        <f>+Cost!B15</f>
        <v>3.6</v>
      </c>
    </row>
    <row r="67" spans="1:3" x14ac:dyDescent="0.3">
      <c r="A67" s="27"/>
      <c r="B67" s="27"/>
      <c r="C67" s="33"/>
    </row>
    <row r="68" spans="1:3" x14ac:dyDescent="0.3">
      <c r="A68" s="27"/>
      <c r="B68" s="27" t="str">
        <f>+Cost!A17</f>
        <v>4.0       Working Capital</v>
      </c>
      <c r="C68" s="33">
        <f>+Cost!B17</f>
        <v>0</v>
      </c>
    </row>
    <row r="69" spans="1:3" x14ac:dyDescent="0.3">
      <c r="A69" s="27"/>
      <c r="B69" s="27"/>
      <c r="C69" s="34"/>
    </row>
    <row r="70" spans="1:3" ht="14.5" thickBot="1" x14ac:dyDescent="0.35">
      <c r="A70" s="27"/>
      <c r="B70" s="35" t="str">
        <f>+Cost!A20</f>
        <v xml:space="preserve">                                                     Total:- ( A )</v>
      </c>
      <c r="C70" s="36">
        <f>SUM(C62:C68)</f>
        <v>3.6</v>
      </c>
    </row>
    <row r="71" spans="1:3" ht="14.5" thickTop="1" x14ac:dyDescent="0.3">
      <c r="A71" s="27"/>
      <c r="B71" s="27"/>
      <c r="C71" s="34"/>
    </row>
    <row r="72" spans="1:3" x14ac:dyDescent="0.3">
      <c r="A72" s="22">
        <f>+MAX(A$46:A71)+1</f>
        <v>8</v>
      </c>
      <c r="B72" s="23" t="str">
        <f>+PROPER(Cost!A23)</f>
        <v>Means Of Finance</v>
      </c>
      <c r="C72" s="34"/>
    </row>
    <row r="73" spans="1:3" x14ac:dyDescent="0.3">
      <c r="A73" s="30"/>
      <c r="B73" s="23"/>
      <c r="C73" s="34"/>
    </row>
    <row r="74" spans="1:3" x14ac:dyDescent="0.3">
      <c r="A74" s="27"/>
      <c r="B74" s="27" t="str">
        <f>+PROPER(Cost!A25)</f>
        <v>1.0       Promoter'S Contribution</v>
      </c>
      <c r="C74" s="33">
        <f>(Cost!B25)</f>
        <v>0.18000000000000002</v>
      </c>
    </row>
    <row r="75" spans="1:3" x14ac:dyDescent="0.3">
      <c r="A75" s="27"/>
      <c r="B75" s="27"/>
      <c r="C75" s="37"/>
    </row>
    <row r="76" spans="1:3" x14ac:dyDescent="0.3">
      <c r="A76" s="27"/>
      <c r="B76" s="27" t="str">
        <f>+PROPER(Cost!A27)</f>
        <v>2.0       Term Loan</v>
      </c>
      <c r="C76" s="33">
        <f>(Cost!B27)</f>
        <v>3.42</v>
      </c>
    </row>
    <row r="77" spans="1:3" x14ac:dyDescent="0.3">
      <c r="A77" s="27"/>
      <c r="B77" s="27"/>
      <c r="C77" s="37"/>
    </row>
    <row r="78" spans="1:3" x14ac:dyDescent="0.3">
      <c r="A78" s="27"/>
      <c r="B78" s="27" t="str">
        <f>+PROPER(Cost!A29)</f>
        <v>2.0       Working Capital Loan</v>
      </c>
      <c r="C78" s="33">
        <f>(Cost!B29)</f>
        <v>0</v>
      </c>
    </row>
    <row r="79" spans="1:3" x14ac:dyDescent="0.3">
      <c r="A79" s="27"/>
      <c r="B79" s="27"/>
      <c r="C79" s="34"/>
    </row>
    <row r="80" spans="1:3" ht="14.5" thickBot="1" x14ac:dyDescent="0.35">
      <c r="A80" s="27"/>
      <c r="B80" s="35" t="str">
        <f>+Cost!A31</f>
        <v xml:space="preserve">                                                     Total:- ( B )</v>
      </c>
      <c r="C80" s="36">
        <f>SUM(C74:C78)</f>
        <v>3.6</v>
      </c>
    </row>
    <row r="81" spans="1:3" ht="14.5" thickTop="1" x14ac:dyDescent="0.3">
      <c r="A81" s="27"/>
      <c r="B81" s="35"/>
      <c r="C81" s="38"/>
    </row>
    <row r="82" spans="1:3" x14ac:dyDescent="0.3">
      <c r="A82" s="22">
        <f>+MAX(A$46:A81)+1</f>
        <v>9</v>
      </c>
      <c r="B82" s="39" t="s">
        <v>200</v>
      </c>
      <c r="C82" s="40">
        <f>+COUNT(Intt!A11:A19)</f>
        <v>5</v>
      </c>
    </row>
    <row r="83" spans="1:3" x14ac:dyDescent="0.3">
      <c r="A83" s="27"/>
      <c r="B83" s="27"/>
      <c r="C83" s="34"/>
    </row>
    <row r="84" spans="1:3" x14ac:dyDescent="0.3">
      <c r="A84" s="22">
        <f>+MAX(A$46:A83)+1</f>
        <v>10</v>
      </c>
      <c r="B84" s="39" t="s">
        <v>201</v>
      </c>
      <c r="C84" s="41">
        <f>+Exp!B17</f>
        <v>8</v>
      </c>
    </row>
    <row r="85" spans="1:3" x14ac:dyDescent="0.3">
      <c r="A85" s="27"/>
      <c r="B85" s="27"/>
      <c r="C85" s="34"/>
    </row>
    <row r="86" spans="1:3" x14ac:dyDescent="0.3">
      <c r="A86" s="22">
        <f>+MAX(A$46:A85)+1</f>
        <v>11</v>
      </c>
      <c r="B86" s="39" t="s">
        <v>123</v>
      </c>
      <c r="C86" s="34" t="s">
        <v>124</v>
      </c>
    </row>
    <row r="87" spans="1:3" x14ac:dyDescent="0.3">
      <c r="A87" s="27"/>
      <c r="B87" s="27"/>
      <c r="C87" s="34"/>
    </row>
    <row r="88" spans="1:3" x14ac:dyDescent="0.3">
      <c r="A88" s="22">
        <f>+MAX(A$46:A87)+1</f>
        <v>12</v>
      </c>
      <c r="B88" s="39" t="s">
        <v>125</v>
      </c>
      <c r="C88" s="34">
        <v>300</v>
      </c>
    </row>
    <row r="89" spans="1:3" x14ac:dyDescent="0.3">
      <c r="A89" s="27"/>
      <c r="B89" s="27"/>
      <c r="C89" s="34"/>
    </row>
    <row r="90" spans="1:3" x14ac:dyDescent="0.3">
      <c r="A90" s="22">
        <f>+MAX(A$46:A89)+1</f>
        <v>13</v>
      </c>
      <c r="B90" s="39" t="str">
        <f>+PROPER(DSCR!A4)</f>
        <v xml:space="preserve">Debt Service  Coverage  Ratio  </v>
      </c>
      <c r="C90" s="42">
        <f>+DSCR!G30</f>
        <v>2.5023616076336035</v>
      </c>
    </row>
    <row r="91" spans="1:3" x14ac:dyDescent="0.3">
      <c r="A91" s="27"/>
      <c r="B91" s="27"/>
      <c r="C91" s="34"/>
    </row>
    <row r="92" spans="1:3" x14ac:dyDescent="0.3">
      <c r="A92" s="22">
        <f>+MAX(A$46:A91)+1</f>
        <v>14</v>
      </c>
      <c r="B92" s="39" t="s">
        <v>126</v>
      </c>
      <c r="C92" s="34" t="s">
        <v>247</v>
      </c>
    </row>
    <row r="93" spans="1:3" x14ac:dyDescent="0.3">
      <c r="A93" s="27"/>
      <c r="B93" s="27"/>
      <c r="C93" s="27"/>
    </row>
    <row r="94" spans="1:3" x14ac:dyDescent="0.3">
      <c r="A94" s="22">
        <f>+MAX(A$46:A93)+1</f>
        <v>15</v>
      </c>
      <c r="B94" s="26" t="s">
        <v>226</v>
      </c>
      <c r="C94" s="110">
        <f>Cost!B33/Cost!B31</f>
        <v>0.25</v>
      </c>
    </row>
    <row r="95" spans="1:3" x14ac:dyDescent="0.3">
      <c r="A95" s="22"/>
      <c r="B95" s="26"/>
      <c r="C95" s="110"/>
    </row>
    <row r="96" spans="1:3" ht="15.65" customHeight="1" x14ac:dyDescent="0.3">
      <c r="A96" s="25">
        <f>+MAX(A$46:A95)+1</f>
        <v>16</v>
      </c>
      <c r="B96" s="26" t="s">
        <v>6</v>
      </c>
      <c r="C96" s="110">
        <f>Cost!B25/Cost!B20</f>
        <v>0.05</v>
      </c>
    </row>
    <row r="97" spans="1:3" x14ac:dyDescent="0.3">
      <c r="A97" s="27"/>
      <c r="B97" s="27"/>
      <c r="C97" s="27"/>
    </row>
    <row r="98" spans="1:3" ht="14.25" customHeight="1" x14ac:dyDescent="0.3">
      <c r="A98" s="174" t="s">
        <v>232</v>
      </c>
      <c r="B98" s="174"/>
      <c r="C98" s="174"/>
    </row>
    <row r="99" spans="1:3" x14ac:dyDescent="0.3">
      <c r="A99" s="174"/>
      <c r="B99" s="174"/>
      <c r="C99" s="174"/>
    </row>
    <row r="100" spans="1:3" x14ac:dyDescent="0.3">
      <c r="A100" s="10"/>
      <c r="B100" s="10"/>
      <c r="C100" s="10"/>
    </row>
    <row r="101" spans="1:3" x14ac:dyDescent="0.3">
      <c r="A101" s="10"/>
      <c r="B101" s="10"/>
      <c r="C101" s="10"/>
    </row>
    <row r="102" spans="1:3" x14ac:dyDescent="0.3">
      <c r="A102" s="10"/>
      <c r="B102" s="10"/>
      <c r="C102" s="10"/>
    </row>
    <row r="103" spans="1:3" x14ac:dyDescent="0.3">
      <c r="A103" s="10"/>
      <c r="B103" s="10"/>
      <c r="C103" s="10"/>
    </row>
    <row r="104" spans="1:3" x14ac:dyDescent="0.3">
      <c r="A104" s="10"/>
      <c r="B104" s="10"/>
      <c r="C104" s="10"/>
    </row>
    <row r="105" spans="1:3" x14ac:dyDescent="0.3">
      <c r="A105" s="10"/>
      <c r="B105" s="10"/>
      <c r="C105" s="10"/>
    </row>
    <row r="106" spans="1:3" x14ac:dyDescent="0.3">
      <c r="A106" s="10"/>
      <c r="B106" s="10"/>
      <c r="C106" s="10"/>
    </row>
    <row r="107" spans="1:3" x14ac:dyDescent="0.3">
      <c r="A107" s="172"/>
      <c r="B107" s="172"/>
      <c r="C107" s="172"/>
    </row>
    <row r="108" spans="1:3" x14ac:dyDescent="0.3">
      <c r="A108" s="173"/>
      <c r="B108" s="173"/>
      <c r="C108" s="173"/>
    </row>
    <row r="110" spans="1:3" x14ac:dyDescent="0.3">
      <c r="A110" s="8"/>
      <c r="B110" s="1"/>
    </row>
    <row r="112" spans="1:3" x14ac:dyDescent="0.3">
      <c r="A112" s="171"/>
      <c r="B112" s="171"/>
      <c r="C112" s="7"/>
    </row>
    <row r="113" spans="1:3" x14ac:dyDescent="0.3">
      <c r="C113" s="7"/>
    </row>
    <row r="121" spans="1:3" x14ac:dyDescent="0.3">
      <c r="A121" s="1"/>
    </row>
    <row r="123" spans="1:3" x14ac:dyDescent="0.3">
      <c r="C123" s="4"/>
    </row>
    <row r="124" spans="1:3" x14ac:dyDescent="0.3">
      <c r="A124" s="8"/>
      <c r="B124" s="1"/>
    </row>
    <row r="125" spans="1:3" x14ac:dyDescent="0.3">
      <c r="A125" s="1"/>
    </row>
    <row r="126" spans="1:3" x14ac:dyDescent="0.3">
      <c r="A126" s="4"/>
    </row>
    <row r="127" spans="1:3" x14ac:dyDescent="0.3">
      <c r="A127" s="4"/>
    </row>
    <row r="128" spans="1:3" x14ac:dyDescent="0.3">
      <c r="A128" s="4"/>
      <c r="C128" s="5"/>
    </row>
    <row r="129" spans="1:3" x14ac:dyDescent="0.3">
      <c r="A129" s="4"/>
    </row>
    <row r="130" spans="1:3" x14ac:dyDescent="0.3">
      <c r="A130" s="4"/>
      <c r="C130" s="5"/>
    </row>
    <row r="131" spans="1:3" x14ac:dyDescent="0.3">
      <c r="A131" s="4"/>
    </row>
    <row r="132" spans="1:3" x14ac:dyDescent="0.3">
      <c r="A132" s="4"/>
    </row>
    <row r="133" spans="1:3" x14ac:dyDescent="0.3">
      <c r="A133" s="4"/>
    </row>
    <row r="134" spans="1:3" x14ac:dyDescent="0.3">
      <c r="A134" s="4"/>
    </row>
    <row r="135" spans="1:3" x14ac:dyDescent="0.3">
      <c r="A135" s="4"/>
    </row>
    <row r="136" spans="1:3" x14ac:dyDescent="0.3">
      <c r="A136" s="4"/>
    </row>
    <row r="137" spans="1:3" x14ac:dyDescent="0.3">
      <c r="A137" s="8"/>
    </row>
    <row r="138" spans="1:3" x14ac:dyDescent="0.3">
      <c r="A138" s="8"/>
      <c r="B138" s="1"/>
      <c r="C138" s="3"/>
    </row>
    <row r="139" spans="1:3" x14ac:dyDescent="0.3">
      <c r="A139" s="8"/>
    </row>
    <row r="140" spans="1:3" x14ac:dyDescent="0.3">
      <c r="A140" s="8"/>
      <c r="B140" s="1"/>
    </row>
    <row r="141" spans="1:3" x14ac:dyDescent="0.3">
      <c r="A141" s="8"/>
    </row>
    <row r="142" spans="1:3" x14ac:dyDescent="0.3">
      <c r="A142" s="4"/>
    </row>
    <row r="143" spans="1:3" x14ac:dyDescent="0.3">
      <c r="A143" s="4"/>
    </row>
    <row r="144" spans="1:3" x14ac:dyDescent="0.3">
      <c r="A144" s="4"/>
      <c r="C144" s="5"/>
    </row>
    <row r="145" spans="1:3" x14ac:dyDescent="0.3">
      <c r="A145" s="4"/>
    </row>
    <row r="146" spans="1:3" x14ac:dyDescent="0.3">
      <c r="A146" s="4"/>
      <c r="B146" s="1"/>
      <c r="C146" s="3"/>
    </row>
    <row r="147" spans="1:3" x14ac:dyDescent="0.3">
      <c r="A147" s="8"/>
    </row>
    <row r="148" spans="1:3" x14ac:dyDescent="0.3">
      <c r="A148" s="8"/>
    </row>
    <row r="149" spans="1:3" x14ac:dyDescent="0.3">
      <c r="A149" s="8"/>
    </row>
    <row r="150" spans="1:3" x14ac:dyDescent="0.3">
      <c r="A150" s="8"/>
      <c r="B150" s="1"/>
      <c r="C150" s="6"/>
    </row>
    <row r="151" spans="1:3" x14ac:dyDescent="0.3">
      <c r="A151" s="8"/>
      <c r="B151" s="1"/>
    </row>
    <row r="152" spans="1:3" x14ac:dyDescent="0.3">
      <c r="A152" s="8"/>
      <c r="B152" s="1"/>
    </row>
    <row r="153" spans="1:3" x14ac:dyDescent="0.3">
      <c r="A153" s="8"/>
      <c r="B153" s="1"/>
      <c r="C153" s="6"/>
    </row>
    <row r="154" spans="1:3" x14ac:dyDescent="0.3">
      <c r="A154" s="8"/>
      <c r="B154" s="1"/>
    </row>
    <row r="155" spans="1:3" x14ac:dyDescent="0.3">
      <c r="A155" s="8"/>
      <c r="B155" s="1"/>
      <c r="C155" s="7"/>
    </row>
    <row r="156" spans="1:3" x14ac:dyDescent="0.3">
      <c r="A156" s="8"/>
      <c r="B156" s="1"/>
    </row>
    <row r="157" spans="1:3" x14ac:dyDescent="0.3">
      <c r="A157" s="8"/>
      <c r="B157" s="1"/>
      <c r="C157" s="7"/>
    </row>
    <row r="158" spans="1:3" x14ac:dyDescent="0.3">
      <c r="A158" s="8"/>
      <c r="B158" s="1"/>
    </row>
    <row r="159" spans="1:3" x14ac:dyDescent="0.3">
      <c r="A159" s="8"/>
      <c r="B159" s="1"/>
    </row>
    <row r="160" spans="1:3" x14ac:dyDescent="0.3">
      <c r="A160" s="8"/>
      <c r="B160" s="1"/>
    </row>
    <row r="161" spans="1:3" x14ac:dyDescent="0.3">
      <c r="A161" s="8"/>
      <c r="B161" s="1"/>
    </row>
    <row r="162" spans="1:3" x14ac:dyDescent="0.3">
      <c r="A162" s="8"/>
      <c r="B162" s="1"/>
    </row>
    <row r="163" spans="1:3" x14ac:dyDescent="0.3">
      <c r="A163" s="8"/>
      <c r="B163" s="1"/>
    </row>
    <row r="164" spans="1:3" x14ac:dyDescent="0.3">
      <c r="A164" s="8"/>
      <c r="B164" s="1"/>
    </row>
    <row r="165" spans="1:3" x14ac:dyDescent="0.3">
      <c r="A165" s="8"/>
      <c r="B165" s="1"/>
    </row>
    <row r="166" spans="1:3" x14ac:dyDescent="0.3">
      <c r="A166" s="8"/>
      <c r="B166" s="1"/>
    </row>
    <row r="167" spans="1:3" x14ac:dyDescent="0.3">
      <c r="A167" s="8"/>
      <c r="B167" s="1"/>
    </row>
    <row r="168" spans="1:3" x14ac:dyDescent="0.3">
      <c r="A168" s="8"/>
      <c r="B168" s="1"/>
    </row>
    <row r="169" spans="1:3" x14ac:dyDescent="0.3">
      <c r="A169" s="8"/>
      <c r="B169" s="1"/>
    </row>
    <row r="170" spans="1:3" x14ac:dyDescent="0.3">
      <c r="A170" s="8"/>
      <c r="B170" s="1"/>
    </row>
    <row r="171" spans="1:3" x14ac:dyDescent="0.3">
      <c r="A171" s="8"/>
      <c r="B171" s="1"/>
    </row>
    <row r="172" spans="1:3" x14ac:dyDescent="0.3">
      <c r="A172" s="1"/>
    </row>
    <row r="176" spans="1:3" x14ac:dyDescent="0.3">
      <c r="A176" s="8"/>
      <c r="B176" s="1"/>
      <c r="C176" s="6"/>
    </row>
    <row r="177" spans="1:2" x14ac:dyDescent="0.3">
      <c r="A177" s="8"/>
      <c r="B177" s="1"/>
    </row>
    <row r="178" spans="1:2" x14ac:dyDescent="0.3">
      <c r="A178" s="8"/>
      <c r="B178" s="1"/>
    </row>
    <row r="179" spans="1:2" x14ac:dyDescent="0.3">
      <c r="A179" s="1"/>
      <c r="B179" s="1"/>
    </row>
    <row r="180" spans="1:2" x14ac:dyDescent="0.3">
      <c r="A180" s="1"/>
      <c r="B180" s="4"/>
    </row>
    <row r="181" spans="1:2" x14ac:dyDescent="0.3">
      <c r="A181" s="1"/>
      <c r="B181" s="4"/>
    </row>
    <row r="182" spans="1:2" x14ac:dyDescent="0.3">
      <c r="A182" s="1"/>
      <c r="B182" s="4"/>
    </row>
    <row r="183" spans="1:2" x14ac:dyDescent="0.3">
      <c r="A183" s="1"/>
      <c r="B183" s="4"/>
    </row>
    <row r="184" spans="1:2" x14ac:dyDescent="0.3">
      <c r="A184" s="1"/>
      <c r="B184" s="4"/>
    </row>
    <row r="185" spans="1:2" x14ac:dyDescent="0.3">
      <c r="A185" s="1"/>
      <c r="B185" s="4"/>
    </row>
    <row r="186" spans="1:2" x14ac:dyDescent="0.3">
      <c r="A186" s="1"/>
      <c r="B186" s="4"/>
    </row>
    <row r="187" spans="1:2" x14ac:dyDescent="0.3">
      <c r="A187" s="1"/>
      <c r="B187" s="4"/>
    </row>
    <row r="188" spans="1:2" x14ac:dyDescent="0.3">
      <c r="A188" s="1"/>
    </row>
    <row r="189" spans="1:2" x14ac:dyDescent="0.3">
      <c r="A189" s="1"/>
      <c r="B189" s="4"/>
    </row>
    <row r="190" spans="1:2" x14ac:dyDescent="0.3">
      <c r="A190" s="1"/>
      <c r="B190" s="4"/>
    </row>
    <row r="191" spans="1:2" x14ac:dyDescent="0.3">
      <c r="A191" s="1"/>
      <c r="B191" s="4"/>
    </row>
    <row r="192" spans="1:2" x14ac:dyDescent="0.3">
      <c r="A192" s="1"/>
      <c r="B192" s="4"/>
    </row>
    <row r="193" spans="1:2" x14ac:dyDescent="0.3">
      <c r="A193" s="1"/>
      <c r="B193" s="4"/>
    </row>
    <row r="194" spans="1:2" x14ac:dyDescent="0.3">
      <c r="A194" s="1"/>
    </row>
    <row r="195" spans="1:2" x14ac:dyDescent="0.3">
      <c r="A195" s="1"/>
    </row>
    <row r="196" spans="1:2" x14ac:dyDescent="0.3">
      <c r="A196" s="1"/>
      <c r="B196" s="4"/>
    </row>
    <row r="197" spans="1:2" x14ac:dyDescent="0.3">
      <c r="A197" s="1"/>
    </row>
  </sheetData>
  <mergeCells count="18">
    <mergeCell ref="A16:D16"/>
    <mergeCell ref="A112:B112"/>
    <mergeCell ref="A107:C107"/>
    <mergeCell ref="A108:C108"/>
    <mergeCell ref="A98:C99"/>
    <mergeCell ref="A23:C23"/>
    <mergeCell ref="A18:C18"/>
    <mergeCell ref="A20:C20"/>
    <mergeCell ref="A21:C21"/>
    <mergeCell ref="A22:D22"/>
    <mergeCell ref="A19:D19"/>
    <mergeCell ref="A43:D43"/>
    <mergeCell ref="B38:D39"/>
    <mergeCell ref="A14:C14"/>
    <mergeCell ref="A13:C13"/>
    <mergeCell ref="A12:D12"/>
    <mergeCell ref="A6:D6"/>
    <mergeCell ref="A9:D9"/>
  </mergeCells>
  <phoneticPr fontId="0" type="noConversion"/>
  <printOptions horizontalCentered="1" verticalCentered="1"/>
  <pageMargins left="0" right="0" top="0" bottom="0" header="0" footer="0"/>
  <pageSetup scale="80" fitToHeight="2" orientation="portrait" useFirstPageNumber="1" r:id="rId1"/>
  <headerFooter alignWithMargins="0"/>
  <rowBreaks count="2" manualBreakCount="2">
    <brk id="40" max="3" man="1"/>
    <brk id="96" max="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04"/>
  <sheetViews>
    <sheetView showGridLines="0" view="pageBreakPreview" zoomScale="82" zoomScaleNormal="115" zoomScaleSheetLayoutView="82" workbookViewId="0">
      <selection activeCell="A6" sqref="A6"/>
    </sheetView>
  </sheetViews>
  <sheetFormatPr defaultColWidth="9.1796875" defaultRowHeight="14" x14ac:dyDescent="0.3"/>
  <cols>
    <col min="1" max="1" width="105.26953125" style="2" customWidth="1"/>
    <col min="2" max="16384" width="9.1796875" style="2"/>
  </cols>
  <sheetData>
    <row r="1" spans="1:2" x14ac:dyDescent="0.3">
      <c r="A1" s="43" t="s">
        <v>70</v>
      </c>
      <c r="B1" s="27"/>
    </row>
    <row r="2" spans="1:2" ht="17.5" x14ac:dyDescent="0.35">
      <c r="A2" s="44"/>
      <c r="B2" s="27"/>
    </row>
    <row r="3" spans="1:2" ht="43.5" customHeight="1" x14ac:dyDescent="0.3">
      <c r="A3" s="49" t="str">
        <f>Phigh!C46&amp;" is a proprietorship concern promoted by"&amp;" "&amp;Phigh!C48&amp;" R/O "&amp;Phigh!C50&amp;"."</f>
        <v>M/S TRIKUTA MEDICOS AND DIAGNOSTICS CENTRE is a proprietorship concern promoted by Bansh Manhas R/O Johan, udhumpur, J&amp;K, 182124.</v>
      </c>
      <c r="B3" s="27"/>
    </row>
    <row r="4" spans="1:2" ht="15.75" customHeight="1" x14ac:dyDescent="0.3">
      <c r="A4" s="122"/>
      <c r="B4" s="27"/>
    </row>
    <row r="5" spans="1:2" x14ac:dyDescent="0.3">
      <c r="A5" s="45" t="s">
        <v>129</v>
      </c>
      <c r="B5" s="27"/>
    </row>
    <row r="6" spans="1:2" ht="27.5" x14ac:dyDescent="0.3">
      <c r="A6" s="46" t="str">
        <f>"Land size of "&amp;Land!C11&amp;" is "&amp;IF('Basic Details'!C8="rented","rented","owned")&amp;" by the proprietor for setting up the unit and details of which are enclosed in the report. Details in Annex - I."</f>
        <v>Land size of 1100 is rented by the proprietor for setting up the unit and details of which are enclosed in the report. Details in Annex - I.</v>
      </c>
      <c r="B6" s="27"/>
    </row>
    <row r="7" spans="1:2" x14ac:dyDescent="0.3">
      <c r="A7" s="47"/>
      <c r="B7" s="27"/>
    </row>
    <row r="8" spans="1:2" x14ac:dyDescent="0.3">
      <c r="A8" s="45" t="s">
        <v>204</v>
      </c>
      <c r="B8" s="27"/>
    </row>
    <row r="9" spans="1:2" ht="27.5" x14ac:dyDescent="0.3">
      <c r="A9" s="46" t="str">
        <f>"The detail are in Annex- II and the estimated cost of plant and machinery is Rs."&amp;+'PM-MFA'!E23&amp;" lakh. The Promoter have already confirmed with the suppliers and their procurement will not be a problem."</f>
        <v>The detail are in Annex- II and the estimated cost of plant and machinery is Rs.0 lakh. The Promoter have already confirmed with the suppliers and their procurement will not be a problem.</v>
      </c>
      <c r="B9" s="27"/>
    </row>
    <row r="10" spans="1:2" x14ac:dyDescent="0.3">
      <c r="A10" s="27"/>
      <c r="B10" s="27"/>
    </row>
    <row r="11" spans="1:2" x14ac:dyDescent="0.3">
      <c r="A11" s="48" t="s">
        <v>130</v>
      </c>
      <c r="B11" s="27"/>
    </row>
    <row r="12" spans="1:2" x14ac:dyDescent="0.3">
      <c r="A12" s="46" t="s">
        <v>172</v>
      </c>
      <c r="B12" s="27"/>
    </row>
    <row r="13" spans="1:2" x14ac:dyDescent="0.3">
      <c r="A13" s="27"/>
      <c r="B13" s="27"/>
    </row>
    <row r="14" spans="1:2" x14ac:dyDescent="0.3">
      <c r="A14" s="45" t="s">
        <v>131</v>
      </c>
      <c r="B14" s="27"/>
    </row>
    <row r="15" spans="1:2" ht="27.5" x14ac:dyDescent="0.3">
      <c r="A15" s="46" t="str">
        <f>"The details of Preliminary &amp; Pre -Operatives Expenses like Registration, Project Reports, Legal Charges, Insurance etc.are shown in Annex - IV and the estimated cost of Rs."&amp;'Pre Operative exp'!D17&amp;" lacs."</f>
        <v>The details of Preliminary &amp; Pre -Operatives Expenses like Registration, Project Reports, Legal Charges, Insurance etc.are shown in Annex - IV and the estimated cost of Rs.0.075 lacs.</v>
      </c>
      <c r="B15" s="27"/>
    </row>
    <row r="16" spans="1:2" x14ac:dyDescent="0.3">
      <c r="A16" s="27"/>
      <c r="B16" s="27"/>
    </row>
    <row r="17" spans="1:2" x14ac:dyDescent="0.3">
      <c r="A17" s="45" t="s">
        <v>132</v>
      </c>
      <c r="B17" s="27"/>
    </row>
    <row r="18" spans="1:2" ht="27" x14ac:dyDescent="0.3">
      <c r="A18" s="49" t="str">
        <f>"The Firm has a load of "&amp;Phigh!C92&amp;" with the electricity department which will be sufficient for the continuous operations of the unit."</f>
        <v>The Firm has a load of 4 KVA with the electricity department which will be sufficient for the continuous operations of the unit.</v>
      </c>
      <c r="B18" s="27"/>
    </row>
    <row r="19" spans="1:2" x14ac:dyDescent="0.3">
      <c r="A19" s="27"/>
      <c r="B19" s="27"/>
    </row>
    <row r="20" spans="1:2" x14ac:dyDescent="0.3">
      <c r="A20" s="45" t="s">
        <v>133</v>
      </c>
      <c r="B20" s="27"/>
    </row>
    <row r="21" spans="1:2" ht="42" customHeight="1" x14ac:dyDescent="0.3">
      <c r="A21" s="49" t="s">
        <v>216</v>
      </c>
      <c r="B21" s="27"/>
    </row>
    <row r="22" spans="1:2" x14ac:dyDescent="0.3">
      <c r="A22" s="27"/>
      <c r="B22" s="27"/>
    </row>
    <row r="23" spans="1:2" x14ac:dyDescent="0.3">
      <c r="A23" s="45" t="s">
        <v>134</v>
      </c>
      <c r="B23" s="27"/>
    </row>
    <row r="24" spans="1:2" x14ac:dyDescent="0.3">
      <c r="A24" s="50" t="s">
        <v>181</v>
      </c>
      <c r="B24" s="27"/>
    </row>
    <row r="25" spans="1:2" x14ac:dyDescent="0.3">
      <c r="A25" s="50"/>
      <c r="B25" s="27"/>
    </row>
    <row r="26" spans="1:2" x14ac:dyDescent="0.3">
      <c r="A26" s="45" t="s">
        <v>135</v>
      </c>
      <c r="B26" s="27"/>
    </row>
    <row r="27" spans="1:2" ht="41" x14ac:dyDescent="0.3">
      <c r="A27" s="46" t="s">
        <v>184</v>
      </c>
      <c r="B27" s="27"/>
    </row>
    <row r="28" spans="1:2" x14ac:dyDescent="0.3">
      <c r="A28" s="27"/>
      <c r="B28" s="27"/>
    </row>
    <row r="29" spans="1:2" x14ac:dyDescent="0.3">
      <c r="A29" s="27"/>
      <c r="B29" s="27"/>
    </row>
    <row r="32" spans="1:2" x14ac:dyDescent="0.3">
      <c r="A32" s="3"/>
    </row>
    <row r="49" spans="1:1" x14ac:dyDescent="0.3">
      <c r="A49" s="3"/>
    </row>
    <row r="60" spans="1:1" x14ac:dyDescent="0.3">
      <c r="A60" s="3"/>
    </row>
    <row r="84" spans="1:1" x14ac:dyDescent="0.3">
      <c r="A84" s="3"/>
    </row>
    <row r="105" spans="1:1" x14ac:dyDescent="0.3">
      <c r="A105" s="3"/>
    </row>
    <row r="126" spans="1:1" x14ac:dyDescent="0.3">
      <c r="A126" s="9"/>
    </row>
    <row r="132" spans="1:1" x14ac:dyDescent="0.3">
      <c r="A132" s="9"/>
    </row>
    <row r="147" spans="1:1" x14ac:dyDescent="0.3">
      <c r="A147" s="9"/>
    </row>
    <row r="153" spans="1:1" x14ac:dyDescent="0.3">
      <c r="A153" s="9"/>
    </row>
    <row r="161" spans="1:1" x14ac:dyDescent="0.3">
      <c r="A161" s="3"/>
    </row>
    <row r="185" ht="13.5" customHeight="1" x14ac:dyDescent="0.3"/>
    <row r="196" spans="1:1" x14ac:dyDescent="0.3">
      <c r="A196" s="3"/>
    </row>
    <row r="244" spans="1:1" x14ac:dyDescent="0.3">
      <c r="A244" s="3"/>
    </row>
    <row r="266" spans="1:1" x14ac:dyDescent="0.3">
      <c r="A266" s="3"/>
    </row>
    <row r="275" spans="1:1" x14ac:dyDescent="0.3">
      <c r="A275" s="3"/>
    </row>
    <row r="304" spans="1:1" x14ac:dyDescent="0.3">
      <c r="A304" s="3"/>
    </row>
  </sheetData>
  <phoneticPr fontId="0" type="noConversion"/>
  <printOptions horizontalCentered="1"/>
  <pageMargins left="0.7" right="0.7" top="0.75" bottom="0.75" header="0.3" footer="0.3"/>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3"/>
  <sheetViews>
    <sheetView showGridLines="0" view="pageBreakPreview" topLeftCell="A11" zoomScale="115" zoomScaleSheetLayoutView="115" workbookViewId="0">
      <selection activeCell="B12" sqref="B12"/>
    </sheetView>
  </sheetViews>
  <sheetFormatPr defaultRowHeight="12.5" x14ac:dyDescent="0.25"/>
  <cols>
    <col min="1" max="1" width="11.26953125" customWidth="1"/>
    <col min="2" max="2" width="28.81640625" customWidth="1"/>
    <col min="3" max="3" width="22.54296875" customWidth="1"/>
    <col min="4" max="4" width="20.1796875" customWidth="1"/>
  </cols>
  <sheetData>
    <row r="1" spans="1:4" ht="51.75" customHeight="1" x14ac:dyDescent="0.45">
      <c r="A1" s="185" t="str">
        <f>Phigh!C46</f>
        <v>M/S TRIKUTA MEDICOS AND DIAGNOSTICS CENTRE</v>
      </c>
      <c r="B1" s="185"/>
      <c r="C1" s="185"/>
      <c r="D1" s="185"/>
    </row>
    <row r="2" spans="1:4" ht="19.5" customHeight="1" x14ac:dyDescent="0.35">
      <c r="A2" s="186" t="str">
        <f>+Phigh!C54</f>
        <v>AIRPORT ROAD, GADI GARH, OPPOSITE DAYAL G MEDICOS, JAMMU</v>
      </c>
      <c r="B2" s="186"/>
      <c r="C2" s="186"/>
      <c r="D2" s="186"/>
    </row>
    <row r="3" spans="1:4" ht="14" x14ac:dyDescent="0.3">
      <c r="A3" s="45"/>
      <c r="B3" s="45"/>
      <c r="C3" s="45"/>
      <c r="D3" s="51"/>
    </row>
    <row r="4" spans="1:4" ht="13.5" x14ac:dyDescent="0.25">
      <c r="A4" s="27"/>
      <c r="B4" s="27"/>
      <c r="C4" s="27"/>
      <c r="D4" s="51"/>
    </row>
    <row r="5" spans="1:4" ht="14" x14ac:dyDescent="0.3">
      <c r="A5" s="184" t="s">
        <v>141</v>
      </c>
      <c r="B5" s="184"/>
      <c r="C5" s="184"/>
      <c r="D5" s="184"/>
    </row>
    <row r="6" spans="1:4" ht="14" x14ac:dyDescent="0.3">
      <c r="A6" s="51"/>
      <c r="B6" s="51"/>
      <c r="C6" s="52"/>
      <c r="D6" s="53" t="s">
        <v>136</v>
      </c>
    </row>
    <row r="7" spans="1:4" x14ac:dyDescent="0.25">
      <c r="A7" s="51"/>
      <c r="B7" s="51"/>
      <c r="C7" s="51"/>
      <c r="D7" s="51"/>
    </row>
    <row r="8" spans="1:4" x14ac:dyDescent="0.25">
      <c r="A8" s="51"/>
      <c r="B8" s="51"/>
      <c r="C8" s="51"/>
      <c r="D8" s="51"/>
    </row>
    <row r="9" spans="1:4" x14ac:dyDescent="0.25">
      <c r="A9" s="54" t="s">
        <v>94</v>
      </c>
      <c r="B9" s="54" t="s">
        <v>25</v>
      </c>
      <c r="C9" s="54" t="s">
        <v>137</v>
      </c>
      <c r="D9" s="54" t="s">
        <v>138</v>
      </c>
    </row>
    <row r="10" spans="1:4" x14ac:dyDescent="0.25">
      <c r="A10" s="51"/>
      <c r="B10" s="51"/>
      <c r="C10" s="51"/>
      <c r="D10" s="51"/>
    </row>
    <row r="11" spans="1:4" x14ac:dyDescent="0.25">
      <c r="A11" s="55">
        <v>1</v>
      </c>
      <c r="B11" s="132" t="str">
        <f>'Basic Details'!C8</f>
        <v>Rented</v>
      </c>
      <c r="C11" s="151">
        <f>'Basic Details'!C9</f>
        <v>1100</v>
      </c>
      <c r="D11" s="133" t="s">
        <v>202</v>
      </c>
    </row>
    <row r="12" spans="1:4" x14ac:dyDescent="0.25">
      <c r="A12" s="51"/>
      <c r="B12" s="51"/>
      <c r="C12" s="51"/>
      <c r="D12" s="51"/>
    </row>
    <row r="13" spans="1:4" ht="13" thickBot="1" x14ac:dyDescent="0.3">
      <c r="A13" s="51"/>
      <c r="B13" s="54" t="s">
        <v>142</v>
      </c>
      <c r="C13" s="51"/>
      <c r="D13" s="56" t="s">
        <v>202</v>
      </c>
    </row>
    <row r="14" spans="1:4" x14ac:dyDescent="0.25">
      <c r="A14" s="51"/>
      <c r="B14" s="54"/>
      <c r="C14" s="51"/>
      <c r="D14" s="57"/>
    </row>
    <row r="15" spans="1:4" x14ac:dyDescent="0.25">
      <c r="A15" s="51"/>
      <c r="B15" s="54"/>
      <c r="C15" s="51"/>
      <c r="D15" s="57"/>
    </row>
    <row r="16" spans="1:4" x14ac:dyDescent="0.25">
      <c r="A16" s="51"/>
      <c r="B16" s="51"/>
      <c r="C16" s="51"/>
      <c r="D16" s="51"/>
    </row>
    <row r="17" spans="1:4" x14ac:dyDescent="0.25">
      <c r="A17" s="51"/>
      <c r="B17" s="51"/>
      <c r="C17" s="51"/>
      <c r="D17" s="51"/>
    </row>
    <row r="18" spans="1:4" ht="14" x14ac:dyDescent="0.3">
      <c r="A18" s="184" t="s">
        <v>140</v>
      </c>
      <c r="B18" s="184"/>
      <c r="C18" s="184"/>
      <c r="D18" s="184"/>
    </row>
    <row r="19" spans="1:4" x14ac:dyDescent="0.25">
      <c r="A19" s="51"/>
      <c r="B19" s="51"/>
      <c r="C19" s="51"/>
      <c r="D19" s="51"/>
    </row>
    <row r="20" spans="1:4" x14ac:dyDescent="0.25">
      <c r="A20" s="51"/>
      <c r="B20" s="51"/>
      <c r="C20" s="51"/>
      <c r="D20" s="51"/>
    </row>
    <row r="21" spans="1:4" x14ac:dyDescent="0.25">
      <c r="A21" s="51"/>
      <c r="B21" s="51"/>
      <c r="C21" s="51"/>
      <c r="D21" s="51"/>
    </row>
    <row r="22" spans="1:4" x14ac:dyDescent="0.25">
      <c r="A22" s="54" t="s">
        <v>94</v>
      </c>
      <c r="B22" s="54" t="s">
        <v>25</v>
      </c>
      <c r="C22" s="54" t="s">
        <v>137</v>
      </c>
      <c r="D22" s="54" t="s">
        <v>138</v>
      </c>
    </row>
    <row r="23" spans="1:4" x14ac:dyDescent="0.25">
      <c r="A23" s="51"/>
      <c r="B23" s="51"/>
      <c r="C23" s="51"/>
      <c r="D23" s="51"/>
    </row>
    <row r="24" spans="1:4" x14ac:dyDescent="0.25">
      <c r="A24" s="55">
        <v>1</v>
      </c>
      <c r="B24" s="132" t="str">
        <f>B11</f>
        <v>Rented</v>
      </c>
      <c r="C24" s="151">
        <f>C11</f>
        <v>1100</v>
      </c>
      <c r="D24" s="58">
        <v>0</v>
      </c>
    </row>
    <row r="25" spans="1:4" x14ac:dyDescent="0.25">
      <c r="A25" s="51"/>
      <c r="B25" s="59"/>
      <c r="C25" s="51"/>
      <c r="D25" s="58"/>
    </row>
    <row r="26" spans="1:4" x14ac:dyDescent="0.25">
      <c r="A26" s="51"/>
      <c r="B26" s="59"/>
      <c r="C26" s="51"/>
      <c r="D26" s="58"/>
    </row>
    <row r="27" spans="1:4" x14ac:dyDescent="0.25">
      <c r="A27" s="51"/>
      <c r="B27" s="59"/>
      <c r="C27" s="51"/>
      <c r="D27" s="58"/>
    </row>
    <row r="28" spans="1:4" x14ac:dyDescent="0.25">
      <c r="A28" s="51"/>
      <c r="B28" s="59"/>
      <c r="C28" s="51"/>
      <c r="D28" s="58"/>
    </row>
    <row r="29" spans="1:4" ht="13" thickBot="1" x14ac:dyDescent="0.3">
      <c r="A29" s="51"/>
      <c r="B29" s="54" t="s">
        <v>142</v>
      </c>
      <c r="C29" s="51"/>
      <c r="D29" s="60">
        <f>SUM(D24:D28)</f>
        <v>0</v>
      </c>
    </row>
    <row r="30" spans="1:4" x14ac:dyDescent="0.25">
      <c r="A30" s="51"/>
      <c r="B30" s="51"/>
      <c r="C30" s="51"/>
      <c r="D30" s="51"/>
    </row>
    <row r="31" spans="1:4" x14ac:dyDescent="0.25">
      <c r="A31" s="51"/>
      <c r="B31" s="51"/>
      <c r="C31" s="61" t="s">
        <v>178</v>
      </c>
      <c r="D31" s="62">
        <f>D29/10^5</f>
        <v>0</v>
      </c>
    </row>
    <row r="32" spans="1:4" x14ac:dyDescent="0.25">
      <c r="A32" s="51"/>
      <c r="B32" s="51"/>
      <c r="C32" s="51"/>
      <c r="D32" s="51"/>
    </row>
    <row r="33" spans="1:5" x14ac:dyDescent="0.25">
      <c r="A33" s="51"/>
      <c r="B33" s="51"/>
      <c r="C33" s="51"/>
      <c r="D33" s="51"/>
    </row>
    <row r="34" spans="1:5" x14ac:dyDescent="0.25">
      <c r="A34" s="51"/>
      <c r="B34" s="51"/>
      <c r="C34" s="51"/>
      <c r="D34" s="51"/>
    </row>
    <row r="35" spans="1:5" ht="14" x14ac:dyDescent="0.3">
      <c r="A35" s="182"/>
      <c r="B35" s="182"/>
      <c r="C35" s="182"/>
      <c r="D35" s="182"/>
    </row>
    <row r="36" spans="1:5" ht="14" x14ac:dyDescent="0.3">
      <c r="A36" s="156"/>
      <c r="B36" s="156"/>
      <c r="C36" s="156"/>
      <c r="D36" s="156"/>
    </row>
    <row r="39" spans="1:5" ht="14" x14ac:dyDescent="0.3">
      <c r="A39" s="183"/>
      <c r="B39" s="183"/>
      <c r="C39" s="183"/>
      <c r="D39" s="183"/>
    </row>
    <row r="40" spans="1:5" ht="13" x14ac:dyDescent="0.3">
      <c r="D40" s="12"/>
    </row>
    <row r="43" spans="1:5" x14ac:dyDescent="0.25">
      <c r="C43" s="11"/>
      <c r="D43" s="11"/>
      <c r="E43" s="11"/>
    </row>
  </sheetData>
  <mergeCells count="7">
    <mergeCell ref="A35:D35"/>
    <mergeCell ref="A36:D36"/>
    <mergeCell ref="A39:D39"/>
    <mergeCell ref="A18:D18"/>
    <mergeCell ref="A1:D1"/>
    <mergeCell ref="A2:D2"/>
    <mergeCell ref="A5:D5"/>
  </mergeCells>
  <printOptions horizontalCentered="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9"/>
  <sheetViews>
    <sheetView showGridLines="0" view="pageBreakPreview" topLeftCell="A2" zoomScale="115" zoomScaleNormal="115" zoomScaleSheetLayoutView="100" workbookViewId="0">
      <selection activeCell="A10" sqref="A10"/>
    </sheetView>
  </sheetViews>
  <sheetFormatPr defaultColWidth="9.1796875" defaultRowHeight="13.5" x14ac:dyDescent="0.25"/>
  <cols>
    <col min="1" max="1" width="7.1796875" style="27" bestFit="1" customWidth="1"/>
    <col min="2" max="2" width="41.26953125" style="27" bestFit="1" customWidth="1"/>
    <col min="3" max="3" width="9.26953125" style="27" bestFit="1" customWidth="1"/>
    <col min="4" max="4" width="14.7265625" style="27" bestFit="1" customWidth="1"/>
    <col min="5" max="5" width="17.54296875" style="27" bestFit="1" customWidth="1"/>
    <col min="6" max="6" width="14.453125" style="27" bestFit="1" customWidth="1"/>
    <col min="7" max="7" width="15.1796875" style="27" bestFit="1" customWidth="1"/>
    <col min="8" max="8" width="12.453125" style="27" bestFit="1" customWidth="1"/>
    <col min="9" max="16384" width="9.1796875" style="27"/>
  </cols>
  <sheetData>
    <row r="1" spans="1:6" ht="51.75" customHeight="1" x14ac:dyDescent="0.45">
      <c r="A1" s="185" t="str">
        <f>Land!A1</f>
        <v>M/S TRIKUTA MEDICOS AND DIAGNOSTICS CENTRE</v>
      </c>
      <c r="B1" s="185"/>
      <c r="C1" s="185"/>
      <c r="D1" s="185"/>
      <c r="E1" s="185"/>
    </row>
    <row r="2" spans="1:6" ht="17.5" x14ac:dyDescent="0.35">
      <c r="A2" s="187" t="str">
        <f>Land!A2</f>
        <v>AIRPORT ROAD, GADI GARH, OPPOSITE DAYAL G MEDICOS, JAMMU</v>
      </c>
      <c r="B2" s="187"/>
      <c r="C2" s="187"/>
      <c r="D2" s="187"/>
      <c r="E2" s="187"/>
    </row>
    <row r="4" spans="1:6" ht="14" x14ac:dyDescent="0.3">
      <c r="A4" s="184" t="s">
        <v>145</v>
      </c>
      <c r="B4" s="184"/>
      <c r="C4" s="184"/>
      <c r="D4" s="184"/>
      <c r="E4" s="184"/>
    </row>
    <row r="5" spans="1:6" ht="14" x14ac:dyDescent="0.3">
      <c r="E5" s="63" t="s">
        <v>139</v>
      </c>
    </row>
    <row r="8" spans="1:6" ht="14" x14ac:dyDescent="0.3">
      <c r="A8" s="35" t="s">
        <v>94</v>
      </c>
      <c r="B8" s="64" t="s">
        <v>95</v>
      </c>
      <c r="C8" s="64" t="s">
        <v>143</v>
      </c>
      <c r="D8" s="64" t="s">
        <v>97</v>
      </c>
      <c r="E8" s="35" t="s">
        <v>98</v>
      </c>
    </row>
    <row r="9" spans="1:6" ht="14" x14ac:dyDescent="0.3">
      <c r="A9" s="35"/>
      <c r="B9" s="64"/>
      <c r="C9" s="64"/>
      <c r="D9" s="64"/>
      <c r="E9" s="35"/>
    </row>
    <row r="10" spans="1:6" x14ac:dyDescent="0.25">
      <c r="A10" s="109">
        <f>'Basic Details'!B19</f>
        <v>0</v>
      </c>
      <c r="B10" s="28">
        <f>'Basic Details'!C19</f>
        <v>0</v>
      </c>
      <c r="C10" s="68">
        <f>'Basic Details'!D19</f>
        <v>0</v>
      </c>
      <c r="D10" s="135">
        <f>'Basic Details'!E19</f>
        <v>0</v>
      </c>
      <c r="E10" s="123">
        <f>'Basic Details'!F19</f>
        <v>0</v>
      </c>
      <c r="F10" s="81"/>
    </row>
    <row r="11" spans="1:6" x14ac:dyDescent="0.25">
      <c r="A11" s="109">
        <f>'Basic Details'!B20</f>
        <v>0</v>
      </c>
      <c r="B11" s="28">
        <f>'Basic Details'!C20</f>
        <v>0</v>
      </c>
      <c r="C11" s="68">
        <f>'Basic Details'!D20</f>
        <v>0</v>
      </c>
      <c r="D11" s="135">
        <f>'Basic Details'!E20</f>
        <v>0</v>
      </c>
      <c r="E11" s="123">
        <f>'Basic Details'!F20</f>
        <v>0</v>
      </c>
      <c r="F11" s="81"/>
    </row>
    <row r="12" spans="1:6" x14ac:dyDescent="0.25">
      <c r="A12" s="109">
        <f>'Basic Details'!B21</f>
        <v>0</v>
      </c>
      <c r="B12" s="28">
        <f>'Basic Details'!C21</f>
        <v>0</v>
      </c>
      <c r="C12" s="68">
        <f>'Basic Details'!D21</f>
        <v>0</v>
      </c>
      <c r="D12" s="135">
        <f>'Basic Details'!E21</f>
        <v>0</v>
      </c>
      <c r="E12" s="123">
        <f>'Basic Details'!F21</f>
        <v>0</v>
      </c>
      <c r="F12" s="81"/>
    </row>
    <row r="13" spans="1:6" x14ac:dyDescent="0.25">
      <c r="A13" s="109">
        <f>'Basic Details'!B22</f>
        <v>0</v>
      </c>
      <c r="B13" s="28">
        <f>'Basic Details'!C22</f>
        <v>0</v>
      </c>
      <c r="C13" s="68">
        <f>'Basic Details'!D22</f>
        <v>0</v>
      </c>
      <c r="D13" s="135">
        <f>'Basic Details'!E22</f>
        <v>0</v>
      </c>
      <c r="E13" s="123">
        <f>'Basic Details'!F22</f>
        <v>0</v>
      </c>
      <c r="F13" s="81"/>
    </row>
    <row r="14" spans="1:6" x14ac:dyDescent="0.25">
      <c r="A14" s="109">
        <f>'Basic Details'!B23</f>
        <v>0</v>
      </c>
      <c r="B14" s="28">
        <f>'Basic Details'!C23</f>
        <v>0</v>
      </c>
      <c r="C14" s="68">
        <f>'Basic Details'!D23</f>
        <v>0</v>
      </c>
      <c r="D14" s="135">
        <f>'Basic Details'!E23</f>
        <v>0</v>
      </c>
      <c r="E14" s="123">
        <f>'Basic Details'!F23</f>
        <v>0</v>
      </c>
      <c r="F14" s="81"/>
    </row>
    <row r="15" spans="1:6" x14ac:dyDescent="0.25">
      <c r="A15" s="109">
        <f>'Basic Details'!B24</f>
        <v>0</v>
      </c>
      <c r="B15" s="28">
        <f>'Basic Details'!C24</f>
        <v>0</v>
      </c>
      <c r="C15" s="68">
        <f>'Basic Details'!D24</f>
        <v>0</v>
      </c>
      <c r="D15" s="135">
        <f>'Basic Details'!E24</f>
        <v>0</v>
      </c>
      <c r="E15" s="123">
        <f>'Basic Details'!F24</f>
        <v>0</v>
      </c>
      <c r="F15" s="81"/>
    </row>
    <row r="16" spans="1:6" x14ac:dyDescent="0.25">
      <c r="A16" s="109">
        <f>'Basic Details'!B25</f>
        <v>0</v>
      </c>
      <c r="B16" s="28">
        <f>'Basic Details'!C25</f>
        <v>0</v>
      </c>
      <c r="C16" s="68">
        <f>'Basic Details'!D25</f>
        <v>0</v>
      </c>
      <c r="D16" s="135">
        <f>'Basic Details'!E25</f>
        <v>0</v>
      </c>
      <c r="E16" s="123">
        <f>'Basic Details'!F25</f>
        <v>0</v>
      </c>
      <c r="F16" s="81"/>
    </row>
    <row r="17" spans="1:7" x14ac:dyDescent="0.25">
      <c r="A17" s="109">
        <f>'Basic Details'!B26</f>
        <v>0</v>
      </c>
      <c r="B17" s="28">
        <f>'Basic Details'!C26</f>
        <v>0</v>
      </c>
      <c r="C17" s="68">
        <f>'Basic Details'!D26</f>
        <v>0</v>
      </c>
      <c r="D17" s="135">
        <f>'Basic Details'!E26</f>
        <v>0</v>
      </c>
      <c r="E17" s="123">
        <f>'Basic Details'!F26</f>
        <v>0</v>
      </c>
      <c r="F17" s="81"/>
    </row>
    <row r="18" spans="1:7" x14ac:dyDescent="0.25">
      <c r="A18" s="109">
        <f>'Basic Details'!B27</f>
        <v>0</v>
      </c>
      <c r="B18" s="28">
        <f>'Basic Details'!C27</f>
        <v>0</v>
      </c>
      <c r="C18" s="68">
        <f>'Basic Details'!D27</f>
        <v>0</v>
      </c>
      <c r="D18" s="135">
        <f>'Basic Details'!E27</f>
        <v>0</v>
      </c>
      <c r="E18" s="123">
        <f>'Basic Details'!F27</f>
        <v>0</v>
      </c>
      <c r="F18" s="81"/>
    </row>
    <row r="19" spans="1:7" x14ac:dyDescent="0.25">
      <c r="A19" s="109">
        <f>'Basic Details'!B28</f>
        <v>0</v>
      </c>
      <c r="B19" s="28">
        <f>'Basic Details'!C28</f>
        <v>0</v>
      </c>
      <c r="C19" s="68">
        <f>'Basic Details'!D28</f>
        <v>0</v>
      </c>
      <c r="D19" s="135">
        <f>'Basic Details'!E28</f>
        <v>0</v>
      </c>
      <c r="E19" s="123">
        <f>'Basic Details'!F28</f>
        <v>0</v>
      </c>
      <c r="F19" s="81"/>
    </row>
    <row r="20" spans="1:7" x14ac:dyDescent="0.25">
      <c r="A20" s="109">
        <f>'Basic Details'!B29</f>
        <v>0</v>
      </c>
      <c r="B20" s="28">
        <f>'Basic Details'!C29</f>
        <v>0</v>
      </c>
      <c r="C20" s="68">
        <f>'Basic Details'!D29</f>
        <v>0</v>
      </c>
      <c r="D20" s="135">
        <f>'Basic Details'!E29</f>
        <v>0</v>
      </c>
      <c r="E20" s="123">
        <f>'Basic Details'!F29</f>
        <v>0</v>
      </c>
      <c r="F20" s="81"/>
    </row>
    <row r="21" spans="1:7" x14ac:dyDescent="0.25">
      <c r="A21" s="66"/>
      <c r="C21" s="68"/>
      <c r="D21" s="69"/>
      <c r="E21" s="67"/>
    </row>
    <row r="22" spans="1:7" ht="14.5" thickBot="1" x14ac:dyDescent="0.35">
      <c r="B22" s="26" t="s">
        <v>99</v>
      </c>
      <c r="E22" s="70">
        <f>SUM(E10:E21)</f>
        <v>0</v>
      </c>
    </row>
    <row r="23" spans="1:7" ht="14" x14ac:dyDescent="0.3">
      <c r="B23" s="72" t="s">
        <v>174</v>
      </c>
      <c r="D23" s="35" t="s">
        <v>75</v>
      </c>
      <c r="E23" s="62">
        <f>E22/10^5</f>
        <v>0</v>
      </c>
    </row>
    <row r="26" spans="1:7" ht="50.25" customHeight="1" x14ac:dyDescent="0.45">
      <c r="A26" s="185" t="str">
        <f>A1</f>
        <v>M/S TRIKUTA MEDICOS AND DIAGNOSTICS CENTRE</v>
      </c>
      <c r="B26" s="185"/>
      <c r="C26" s="185"/>
      <c r="D26" s="185"/>
      <c r="E26" s="185"/>
    </row>
    <row r="27" spans="1:7" ht="17.5" x14ac:dyDescent="0.35">
      <c r="A27" s="187" t="str">
        <f>A2</f>
        <v>AIRPORT ROAD, GADI GARH, OPPOSITE DAYAL G MEDICOS, JAMMU</v>
      </c>
      <c r="B27" s="187"/>
      <c r="C27" s="187"/>
      <c r="D27" s="187"/>
      <c r="E27" s="187"/>
    </row>
    <row r="28" spans="1:7" x14ac:dyDescent="0.25">
      <c r="G28" s="27">
        <f>190000+120000</f>
        <v>310000</v>
      </c>
    </row>
    <row r="31" spans="1:7" ht="14" x14ac:dyDescent="0.3">
      <c r="A31" s="184" t="s">
        <v>74</v>
      </c>
      <c r="B31" s="184"/>
      <c r="C31" s="184"/>
      <c r="D31" s="184"/>
      <c r="E31" s="184"/>
    </row>
    <row r="32" spans="1:7" ht="14" x14ac:dyDescent="0.3">
      <c r="E32" s="63" t="s">
        <v>144</v>
      </c>
    </row>
    <row r="34" spans="1:8" ht="14" x14ac:dyDescent="0.3">
      <c r="E34" s="35" t="s">
        <v>75</v>
      </c>
    </row>
    <row r="36" spans="1:8" x14ac:dyDescent="0.25">
      <c r="A36" s="74">
        <v>1</v>
      </c>
      <c r="B36" s="27" t="s">
        <v>254</v>
      </c>
      <c r="E36" s="131">
        <f>'Basic Details'!F37</f>
        <v>260000</v>
      </c>
    </row>
    <row r="37" spans="1:8" x14ac:dyDescent="0.25">
      <c r="A37" s="74"/>
      <c r="B37" s="141"/>
      <c r="E37" s="75"/>
    </row>
    <row r="38" spans="1:8" x14ac:dyDescent="0.25">
      <c r="A38" s="74"/>
      <c r="B38" s="72"/>
      <c r="E38" s="75"/>
      <c r="G38" s="27">
        <f>280000+170000+15000+10000+22000+70000</f>
        <v>567000</v>
      </c>
    </row>
    <row r="39" spans="1:8" x14ac:dyDescent="0.25">
      <c r="A39" s="74">
        <v>2</v>
      </c>
      <c r="B39" s="72" t="s">
        <v>192</v>
      </c>
      <c r="E39" s="75">
        <f>'Basic Details'!F40</f>
        <v>100000</v>
      </c>
      <c r="G39" s="27">
        <v>10000</v>
      </c>
      <c r="H39" s="27">
        <v>9596433606</v>
      </c>
    </row>
    <row r="40" spans="1:8" x14ac:dyDescent="0.25">
      <c r="A40" s="74"/>
    </row>
    <row r="41" spans="1:8" x14ac:dyDescent="0.25">
      <c r="A41" s="74"/>
      <c r="E41" s="75"/>
    </row>
    <row r="42" spans="1:8" ht="14.5" thickBot="1" x14ac:dyDescent="0.35">
      <c r="D42" s="35"/>
      <c r="E42" s="76">
        <f>SUM(E36:E39)</f>
        <v>360000</v>
      </c>
      <c r="F42" s="136">
        <f>E22+E42</f>
        <v>360000</v>
      </c>
      <c r="G42" s="136">
        <f>E42+E22</f>
        <v>360000</v>
      </c>
    </row>
    <row r="43" spans="1:8" ht="14" x14ac:dyDescent="0.3">
      <c r="D43" s="35" t="s">
        <v>75</v>
      </c>
      <c r="E43" s="62">
        <f>E42/10^5</f>
        <v>3.6</v>
      </c>
      <c r="F43" s="71"/>
    </row>
    <row r="44" spans="1:8" ht="16" x14ac:dyDescent="0.35">
      <c r="B44" s="26" t="s">
        <v>83</v>
      </c>
      <c r="G44" s="73">
        <f>2000000-F42</f>
        <v>1640000</v>
      </c>
    </row>
    <row r="45" spans="1:8" ht="14" x14ac:dyDescent="0.3">
      <c r="A45" s="26"/>
      <c r="B45" s="72" t="s">
        <v>174</v>
      </c>
      <c r="C45" s="26"/>
      <c r="D45" s="26"/>
      <c r="E45" s="26"/>
    </row>
    <row r="46" spans="1:8" ht="14" x14ac:dyDescent="0.3">
      <c r="A46" s="26"/>
      <c r="B46" s="77"/>
      <c r="C46" s="26"/>
      <c r="D46" s="26"/>
      <c r="E46" s="35"/>
    </row>
    <row r="47" spans="1:8" ht="14" x14ac:dyDescent="0.3">
      <c r="A47" s="26"/>
      <c r="B47" s="26"/>
      <c r="C47" s="26"/>
      <c r="D47" s="26"/>
      <c r="E47" s="35"/>
    </row>
    <row r="48" spans="1:8" ht="14" x14ac:dyDescent="0.3">
      <c r="B48" s="26"/>
    </row>
    <row r="49" spans="2:2" ht="14" x14ac:dyDescent="0.3">
      <c r="B49" s="26"/>
    </row>
    <row r="67" spans="6:6" ht="14" x14ac:dyDescent="0.3">
      <c r="F67" s="26"/>
    </row>
    <row r="68" spans="6:6" ht="14" x14ac:dyDescent="0.3">
      <c r="F68" s="26"/>
    </row>
    <row r="69" spans="6:6" ht="14" x14ac:dyDescent="0.3">
      <c r="F69" s="26"/>
    </row>
  </sheetData>
  <mergeCells count="6">
    <mergeCell ref="A4:E4"/>
    <mergeCell ref="A31:E31"/>
    <mergeCell ref="A1:E1"/>
    <mergeCell ref="A2:E2"/>
    <mergeCell ref="A26:E26"/>
    <mergeCell ref="A27:E27"/>
  </mergeCells>
  <phoneticPr fontId="0" type="noConversion"/>
  <printOptions horizontalCentered="1"/>
  <pageMargins left="0.75" right="0.75" top="1" bottom="1" header="0.5" footer="0.5"/>
  <pageSetup scale="89" orientation="portrait" r:id="rId1"/>
  <headerFooter alignWithMargins="0"/>
  <rowBreaks count="1" manualBreakCount="1">
    <brk id="45"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7"/>
  <sheetViews>
    <sheetView showGridLines="0" view="pageBreakPreview" zoomScale="85" zoomScaleSheetLayoutView="85" workbookViewId="0">
      <selection activeCell="A35" sqref="A35"/>
    </sheetView>
  </sheetViews>
  <sheetFormatPr defaultColWidth="9.1796875" defaultRowHeight="12.5" x14ac:dyDescent="0.25"/>
  <cols>
    <col min="1" max="1" width="7.1796875" style="51" bestFit="1" customWidth="1"/>
    <col min="2" max="2" width="41.26953125" style="51" bestFit="1" customWidth="1"/>
    <col min="3" max="3" width="9.26953125" style="51" bestFit="1" customWidth="1"/>
    <col min="4" max="5" width="16.81640625" style="51" bestFit="1" customWidth="1"/>
    <col min="6" max="16384" width="9.1796875" style="51"/>
  </cols>
  <sheetData>
    <row r="1" spans="1:7" ht="59.25" customHeight="1" x14ac:dyDescent="0.45">
      <c r="A1" s="185" t="str">
        <f>'PM-MFA'!A1:E1</f>
        <v>M/S TRIKUTA MEDICOS AND DIAGNOSTICS CENTRE</v>
      </c>
      <c r="B1" s="185"/>
      <c r="C1" s="185"/>
      <c r="D1" s="185"/>
      <c r="E1" s="185"/>
    </row>
    <row r="2" spans="1:7" ht="17.5" x14ac:dyDescent="0.35">
      <c r="A2" s="187" t="str">
        <f>'PM-MFA'!A2:E2</f>
        <v>AIRPORT ROAD, GADI GARH, OPPOSITE DAYAL G MEDICOS, JAMMU</v>
      </c>
      <c r="B2" s="187"/>
      <c r="C2" s="187"/>
      <c r="D2" s="187"/>
      <c r="E2" s="187"/>
    </row>
    <row r="3" spans="1:7" ht="13.5" x14ac:dyDescent="0.25">
      <c r="A3" s="27"/>
      <c r="B3" s="27"/>
      <c r="C3" s="27"/>
      <c r="D3" s="27"/>
      <c r="E3" s="27"/>
    </row>
    <row r="4" spans="1:7" ht="14" x14ac:dyDescent="0.3">
      <c r="A4" s="184" t="s">
        <v>147</v>
      </c>
      <c r="B4" s="184"/>
      <c r="C4" s="184"/>
      <c r="D4" s="184"/>
      <c r="E4" s="184"/>
      <c r="G4" s="51" t="s">
        <v>189</v>
      </c>
    </row>
    <row r="5" spans="1:7" ht="14" x14ac:dyDescent="0.3">
      <c r="A5" s="27"/>
      <c r="B5" s="27"/>
      <c r="C5" s="27"/>
      <c r="D5" s="27"/>
      <c r="E5" s="63" t="s">
        <v>146</v>
      </c>
    </row>
    <row r="6" spans="1:7" ht="14" x14ac:dyDescent="0.3">
      <c r="A6" s="27"/>
      <c r="B6" s="27"/>
      <c r="C6" s="27"/>
      <c r="D6" s="27"/>
      <c r="E6" s="63"/>
    </row>
    <row r="7" spans="1:7" ht="13.5" x14ac:dyDescent="0.25">
      <c r="A7" s="27"/>
      <c r="B7" s="27"/>
      <c r="C7" s="27"/>
      <c r="D7" s="27"/>
      <c r="E7" s="27"/>
    </row>
    <row r="8" spans="1:7" ht="13.5" x14ac:dyDescent="0.25">
      <c r="A8" s="27"/>
      <c r="B8" s="27"/>
      <c r="C8" s="27"/>
      <c r="D8" s="27"/>
      <c r="E8" s="27"/>
    </row>
    <row r="9" spans="1:7" ht="14" x14ac:dyDescent="0.3">
      <c r="A9" s="35" t="s">
        <v>94</v>
      </c>
      <c r="B9" s="64" t="s">
        <v>95</v>
      </c>
      <c r="C9" s="64" t="s">
        <v>96</v>
      </c>
      <c r="D9" s="64" t="s">
        <v>98</v>
      </c>
      <c r="E9" s="35"/>
    </row>
    <row r="10" spans="1:7" ht="13.5" x14ac:dyDescent="0.25">
      <c r="A10" s="65"/>
      <c r="B10" s="34"/>
      <c r="C10" s="34"/>
      <c r="D10" s="34"/>
      <c r="E10" s="34"/>
    </row>
    <row r="11" spans="1:7" ht="13.5" x14ac:dyDescent="0.25">
      <c r="A11" s="74">
        <v>1</v>
      </c>
      <c r="B11" s="27" t="s">
        <v>148</v>
      </c>
      <c r="C11" s="34">
        <v>1</v>
      </c>
      <c r="D11" s="78">
        <v>5000</v>
      </c>
      <c r="E11" s="69"/>
    </row>
    <row r="12" spans="1:7" ht="13.5" x14ac:dyDescent="0.25">
      <c r="A12" s="74">
        <v>2</v>
      </c>
      <c r="B12" s="27" t="s">
        <v>149</v>
      </c>
      <c r="C12" s="34">
        <v>1</v>
      </c>
      <c r="D12" s="78">
        <v>1500</v>
      </c>
      <c r="E12" s="69"/>
    </row>
    <row r="13" spans="1:7" ht="13.5" x14ac:dyDescent="0.25">
      <c r="A13" s="74">
        <v>3</v>
      </c>
      <c r="B13" s="27" t="s">
        <v>150</v>
      </c>
      <c r="C13" s="34">
        <v>1</v>
      </c>
      <c r="D13" s="78">
        <v>1000</v>
      </c>
      <c r="E13" s="69"/>
    </row>
    <row r="14" spans="1:7" ht="13.5" x14ac:dyDescent="0.25">
      <c r="A14" s="74"/>
      <c r="B14" s="27"/>
      <c r="C14" s="68"/>
      <c r="D14" s="78"/>
      <c r="E14" s="71"/>
    </row>
    <row r="15" spans="1:7" ht="13.5" x14ac:dyDescent="0.25">
      <c r="A15" s="27"/>
      <c r="B15" s="27"/>
      <c r="C15" s="27"/>
      <c r="D15" s="27"/>
      <c r="E15" s="27"/>
    </row>
    <row r="16" spans="1:7" ht="14.5" thickBot="1" x14ac:dyDescent="0.35">
      <c r="A16" s="27"/>
      <c r="B16" s="26" t="s">
        <v>99</v>
      </c>
      <c r="C16" s="27"/>
      <c r="D16" s="70">
        <f>SUM(D11:D14)</f>
        <v>7500</v>
      </c>
      <c r="E16" s="79"/>
    </row>
    <row r="17" spans="1:5" ht="14" x14ac:dyDescent="0.3">
      <c r="A17" s="27"/>
      <c r="B17" s="72"/>
      <c r="C17" s="35" t="s">
        <v>75</v>
      </c>
      <c r="D17" s="62">
        <f>D16/10^5</f>
        <v>7.4999999999999997E-2</v>
      </c>
      <c r="E17" s="62"/>
    </row>
  </sheetData>
  <mergeCells count="3">
    <mergeCell ref="A1:E1"/>
    <mergeCell ref="A2:E2"/>
    <mergeCell ref="A4:E4"/>
  </mergeCells>
  <printOptions horizontalCentered="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5"/>
  <sheetViews>
    <sheetView showGridLines="0" view="pageBreakPreview" zoomScaleSheetLayoutView="100" workbookViewId="0">
      <selection activeCell="D25" sqref="D25"/>
    </sheetView>
  </sheetViews>
  <sheetFormatPr defaultColWidth="9.1796875" defaultRowHeight="13.5" x14ac:dyDescent="0.25"/>
  <cols>
    <col min="1" max="1" width="44.7265625" style="27" customWidth="1"/>
    <col min="2" max="2" width="7.7265625" style="27" bestFit="1" customWidth="1"/>
    <col min="3" max="4" width="21.81640625" style="27" bestFit="1" customWidth="1"/>
    <col min="5" max="5" width="9.1796875" style="27"/>
    <col min="6" max="6" width="10.453125" style="27" bestFit="1" customWidth="1"/>
    <col min="7" max="16384" width="9.1796875" style="27"/>
  </cols>
  <sheetData>
    <row r="1" spans="1:4" ht="57" customHeight="1" x14ac:dyDescent="0.45">
      <c r="A1" s="185" t="str">
        <f>Intt!A1</f>
        <v>M/S TRIKUTA MEDICOS AND DIAGNOSTICS CENTRE</v>
      </c>
      <c r="B1" s="185"/>
      <c r="C1" s="185"/>
      <c r="D1" s="185"/>
    </row>
    <row r="2" spans="1:4" ht="17.5" x14ac:dyDescent="0.35">
      <c r="A2" s="187" t="str">
        <f>'Pre Operative exp'!A2:E2</f>
        <v>AIRPORT ROAD, GADI GARH, OPPOSITE DAYAL G MEDICOS, JAMMU</v>
      </c>
      <c r="B2" s="187"/>
      <c r="C2" s="187"/>
      <c r="D2" s="187"/>
    </row>
    <row r="4" spans="1:4" ht="14" x14ac:dyDescent="0.3">
      <c r="A4" s="184" t="s">
        <v>77</v>
      </c>
      <c r="B4" s="184"/>
      <c r="C4" s="184"/>
      <c r="D4" s="184"/>
    </row>
    <row r="5" spans="1:4" ht="14" x14ac:dyDescent="0.3">
      <c r="D5" s="63" t="s">
        <v>179</v>
      </c>
    </row>
    <row r="8" spans="1:4" ht="14" x14ac:dyDescent="0.3">
      <c r="A8" s="26" t="s">
        <v>78</v>
      </c>
      <c r="B8" s="26" t="s">
        <v>173</v>
      </c>
      <c r="C8" s="26" t="s">
        <v>79</v>
      </c>
      <c r="D8" s="26" t="s">
        <v>80</v>
      </c>
    </row>
    <row r="9" spans="1:4" ht="14" x14ac:dyDescent="0.3">
      <c r="A9" s="26"/>
      <c r="B9" s="26"/>
      <c r="C9" s="26" t="s">
        <v>81</v>
      </c>
      <c r="D9" s="26" t="s">
        <v>82</v>
      </c>
    </row>
    <row r="11" spans="1:4" x14ac:dyDescent="0.25">
      <c r="A11" s="27" t="s">
        <v>255</v>
      </c>
      <c r="B11" s="34">
        <v>1</v>
      </c>
      <c r="C11" s="34">
        <v>20000</v>
      </c>
      <c r="D11" s="33">
        <f>(B11*C11*12)/100000</f>
        <v>2.4</v>
      </c>
    </row>
    <row r="12" spans="1:4" x14ac:dyDescent="0.25">
      <c r="B12" s="34"/>
      <c r="C12" s="34"/>
      <c r="D12" s="34"/>
    </row>
    <row r="13" spans="1:4" x14ac:dyDescent="0.25">
      <c r="A13" s="27" t="s">
        <v>217</v>
      </c>
      <c r="B13" s="34">
        <v>5</v>
      </c>
      <c r="C13" s="34">
        <v>15000</v>
      </c>
      <c r="D13" s="33">
        <f>(B13*C13*12)/100000</f>
        <v>9</v>
      </c>
    </row>
    <row r="14" spans="1:4" x14ac:dyDescent="0.25">
      <c r="B14" s="34"/>
      <c r="C14" s="34"/>
      <c r="D14" s="34"/>
    </row>
    <row r="15" spans="1:4" x14ac:dyDescent="0.25">
      <c r="A15" s="27" t="s">
        <v>218</v>
      </c>
      <c r="B15" s="34">
        <v>2</v>
      </c>
      <c r="C15" s="34">
        <v>8000</v>
      </c>
      <c r="D15" s="33">
        <f>(B15*C15*12)/100000</f>
        <v>1.92</v>
      </c>
    </row>
    <row r="16" spans="1:4" x14ac:dyDescent="0.25">
      <c r="B16" s="34"/>
      <c r="C16" s="34"/>
      <c r="D16" s="33"/>
    </row>
    <row r="17" spans="1:6" ht="14" x14ac:dyDescent="0.3">
      <c r="A17" s="124" t="s">
        <v>83</v>
      </c>
      <c r="B17" s="125">
        <f>SUM(B11:B16)</f>
        <v>8</v>
      </c>
      <c r="C17" s="126"/>
      <c r="D17" s="127">
        <f>SUM( D11:D16)</f>
        <v>13.32</v>
      </c>
    </row>
    <row r="21" spans="1:6" x14ac:dyDescent="0.25">
      <c r="A21" s="27" t="s">
        <v>100</v>
      </c>
      <c r="D21" s="33">
        <v>0.2</v>
      </c>
    </row>
    <row r="22" spans="1:6" x14ac:dyDescent="0.25">
      <c r="D22" s="33"/>
    </row>
    <row r="23" spans="1:6" x14ac:dyDescent="0.25">
      <c r="A23" s="27" t="s">
        <v>101</v>
      </c>
      <c r="D23" s="33">
        <f>D17*0.1</f>
        <v>1.3320000000000001</v>
      </c>
    </row>
    <row r="24" spans="1:6" x14ac:dyDescent="0.25">
      <c r="D24" s="33"/>
    </row>
    <row r="25" spans="1:6" x14ac:dyDescent="0.25">
      <c r="A25" s="27" t="s">
        <v>256</v>
      </c>
      <c r="D25" s="33">
        <f>'Basic Details'!C10*12/100000</f>
        <v>3.6</v>
      </c>
    </row>
    <row r="26" spans="1:6" x14ac:dyDescent="0.25">
      <c r="D26" s="33"/>
    </row>
    <row r="27" spans="1:6" x14ac:dyDescent="0.25">
      <c r="A27" s="27" t="s">
        <v>187</v>
      </c>
      <c r="D27" s="33">
        <v>0.3</v>
      </c>
    </row>
    <row r="28" spans="1:6" x14ac:dyDescent="0.25">
      <c r="A28" s="27" t="s">
        <v>84</v>
      </c>
      <c r="D28" s="34"/>
      <c r="F28" s="81"/>
    </row>
    <row r="29" spans="1:6" x14ac:dyDescent="0.25">
      <c r="D29" s="33"/>
    </row>
    <row r="30" spans="1:6" x14ac:dyDescent="0.25">
      <c r="A30" s="27" t="s">
        <v>188</v>
      </c>
      <c r="D30" s="33">
        <v>0.5</v>
      </c>
    </row>
    <row r="31" spans="1:6" x14ac:dyDescent="0.25">
      <c r="A31" s="27" t="s">
        <v>85</v>
      </c>
      <c r="D31" s="34"/>
      <c r="F31" s="81"/>
    </row>
    <row r="32" spans="1:6" x14ac:dyDescent="0.25">
      <c r="D32" s="33"/>
    </row>
    <row r="33" spans="1:6" x14ac:dyDescent="0.25">
      <c r="A33" s="27" t="s">
        <v>205</v>
      </c>
      <c r="D33" s="33">
        <v>1</v>
      </c>
      <c r="F33" s="81"/>
    </row>
    <row r="34" spans="1:6" x14ac:dyDescent="0.25">
      <c r="D34" s="33"/>
    </row>
    <row r="35" spans="1:6" x14ac:dyDescent="0.25">
      <c r="A35" s="27" t="s">
        <v>244</v>
      </c>
      <c r="D35" s="33">
        <v>0.5</v>
      </c>
      <c r="F35" s="81"/>
    </row>
    <row r="36" spans="1:6" x14ac:dyDescent="0.25">
      <c r="D36" s="33"/>
    </row>
    <row r="37" spans="1:6" x14ac:dyDescent="0.25">
      <c r="D37" s="33"/>
    </row>
    <row r="38" spans="1:6" ht="17.25" customHeight="1" x14ac:dyDescent="0.3">
      <c r="A38" s="124" t="s">
        <v>76</v>
      </c>
      <c r="B38" s="128"/>
      <c r="C38" s="128"/>
      <c r="D38" s="129">
        <f>SUM(D17:D35)</f>
        <v>20.752000000000002</v>
      </c>
    </row>
    <row r="40" spans="1:6" ht="14" x14ac:dyDescent="0.3">
      <c r="A40" s="26"/>
      <c r="D40" s="83"/>
      <c r="F40" s="26"/>
    </row>
    <row r="41" spans="1:6" ht="14" x14ac:dyDescent="0.3">
      <c r="A41" s="26"/>
      <c r="D41" s="35"/>
      <c r="F41" s="26"/>
    </row>
    <row r="42" spans="1:6" ht="14" x14ac:dyDescent="0.3">
      <c r="A42" s="26"/>
      <c r="D42" s="26"/>
      <c r="F42" s="26"/>
    </row>
    <row r="43" spans="1:6" ht="14" x14ac:dyDescent="0.3">
      <c r="A43" s="26"/>
      <c r="D43" s="26"/>
      <c r="F43" s="26"/>
    </row>
    <row r="44" spans="1:6" ht="14" x14ac:dyDescent="0.3">
      <c r="A44" s="26"/>
      <c r="D44" s="35"/>
      <c r="F44" s="26"/>
    </row>
    <row r="45" spans="1:6" ht="14" x14ac:dyDescent="0.3">
      <c r="A45" s="26"/>
      <c r="D45" s="35"/>
      <c r="F45" s="26"/>
    </row>
  </sheetData>
  <mergeCells count="3">
    <mergeCell ref="A4:D4"/>
    <mergeCell ref="A1:D1"/>
    <mergeCell ref="A2:D2"/>
  </mergeCells>
  <phoneticPr fontId="0" type="noConversion"/>
  <printOptions horizontalCentered="1"/>
  <pageMargins left="0.75" right="0.75" top="1" bottom="1" header="0.5" footer="0.5"/>
  <pageSetup scale="92"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9"/>
  <sheetViews>
    <sheetView showGridLines="0" view="pageBreakPreview" topLeftCell="A5" zoomScaleSheetLayoutView="100" workbookViewId="0">
      <selection activeCell="E21" sqref="E21"/>
    </sheetView>
  </sheetViews>
  <sheetFormatPr defaultColWidth="9.1796875" defaultRowHeight="13.5" x14ac:dyDescent="0.25"/>
  <cols>
    <col min="1" max="1" width="34.26953125" style="27" customWidth="1"/>
    <col min="2" max="2" width="12.54296875" style="27" customWidth="1"/>
    <col min="3" max="3" width="15.453125" style="27" customWidth="1"/>
    <col min="4" max="4" width="21.81640625" style="27" bestFit="1" customWidth="1"/>
    <col min="5" max="5" width="17.7265625" style="27" bestFit="1" customWidth="1"/>
    <col min="6" max="16384" width="9.1796875" style="27"/>
  </cols>
  <sheetData>
    <row r="1" spans="1:8" ht="54" customHeight="1" x14ac:dyDescent="0.45">
      <c r="A1" s="185" t="str">
        <f>'PM-MFA'!A1</f>
        <v>M/S TRIKUTA MEDICOS AND DIAGNOSTICS CENTRE</v>
      </c>
      <c r="B1" s="185"/>
      <c r="C1" s="185"/>
      <c r="D1" s="185"/>
      <c r="E1" s="185"/>
    </row>
    <row r="2" spans="1:8" ht="24.75" customHeight="1" x14ac:dyDescent="0.35">
      <c r="A2" s="186" t="str">
        <f>'PM-MFA'!A2</f>
        <v>AIRPORT ROAD, GADI GARH, OPPOSITE DAYAL G MEDICOS, JAMMU</v>
      </c>
      <c r="B2" s="186"/>
      <c r="C2" s="186"/>
      <c r="D2" s="186"/>
      <c r="E2" s="186"/>
    </row>
    <row r="3" spans="1:8" ht="14" x14ac:dyDescent="0.3">
      <c r="A3" s="189"/>
      <c r="B3" s="189"/>
      <c r="C3" s="189"/>
      <c r="D3" s="189"/>
      <c r="E3" s="189"/>
      <c r="F3" s="43"/>
      <c r="G3" s="43"/>
      <c r="H3" s="43"/>
    </row>
    <row r="4" spans="1:8" ht="14" x14ac:dyDescent="0.3">
      <c r="E4" s="63" t="s">
        <v>180</v>
      </c>
    </row>
    <row r="5" spans="1:8" ht="14" x14ac:dyDescent="0.3">
      <c r="A5" s="184" t="s">
        <v>183</v>
      </c>
      <c r="B5" s="184"/>
      <c r="C5" s="184"/>
      <c r="D5" s="184"/>
      <c r="E5" s="184"/>
      <c r="F5" s="43"/>
      <c r="G5" s="43"/>
      <c r="H5" s="43"/>
    </row>
    <row r="6" spans="1:8" ht="14" x14ac:dyDescent="0.3">
      <c r="A6" s="26"/>
      <c r="B6" s="26"/>
      <c r="C6" s="190" t="s">
        <v>10</v>
      </c>
      <c r="D6" s="190"/>
      <c r="E6" s="190"/>
    </row>
    <row r="8" spans="1:8" ht="14" x14ac:dyDescent="0.3">
      <c r="A8" s="26" t="s">
        <v>11</v>
      </c>
      <c r="B8" s="64" t="s">
        <v>88</v>
      </c>
      <c r="C8" s="64" t="s">
        <v>175</v>
      </c>
      <c r="D8" s="188" t="s">
        <v>245</v>
      </c>
      <c r="E8" s="35" t="s">
        <v>12</v>
      </c>
    </row>
    <row r="9" spans="1:8" ht="14" x14ac:dyDescent="0.3">
      <c r="A9" s="64" t="s">
        <v>191</v>
      </c>
      <c r="B9" s="64" t="s">
        <v>89</v>
      </c>
      <c r="C9" s="64" t="s">
        <v>176</v>
      </c>
      <c r="D9" s="188"/>
      <c r="E9" s="35" t="s">
        <v>190</v>
      </c>
    </row>
    <row r="11" spans="1:8" x14ac:dyDescent="0.25">
      <c r="A11" s="72" t="s">
        <v>13</v>
      </c>
      <c r="B11" s="84">
        <v>0.15</v>
      </c>
      <c r="C11" s="84">
        <v>0.1</v>
      </c>
      <c r="D11" s="84">
        <v>0.15</v>
      </c>
    </row>
    <row r="12" spans="1:8" x14ac:dyDescent="0.25">
      <c r="H12" s="47">
        <f>B13-B15-B17-B19</f>
        <v>0</v>
      </c>
    </row>
    <row r="13" spans="1:8" x14ac:dyDescent="0.25">
      <c r="A13" s="27" t="s">
        <v>14</v>
      </c>
      <c r="B13" s="47">
        <f>Cost!B13</f>
        <v>0</v>
      </c>
      <c r="C13" s="47">
        <f>'PM-MFA'!E36/100000</f>
        <v>2.6</v>
      </c>
      <c r="D13" s="47">
        <f>'PM-MFA'!E39/100000</f>
        <v>1</v>
      </c>
      <c r="E13" s="47">
        <f>SUM(B13:C13)+D13</f>
        <v>3.6</v>
      </c>
      <c r="F13" s="47"/>
      <c r="H13" s="47">
        <f>H12-5</f>
        <v>-5</v>
      </c>
    </row>
    <row r="14" spans="1:8" x14ac:dyDescent="0.25">
      <c r="F14" s="47"/>
      <c r="H14" s="47">
        <f>H13*0.15</f>
        <v>-0.75</v>
      </c>
    </row>
    <row r="15" spans="1:8" x14ac:dyDescent="0.25">
      <c r="A15" s="27" t="s">
        <v>15</v>
      </c>
      <c r="B15" s="47">
        <f>B13*B11</f>
        <v>0</v>
      </c>
      <c r="C15" s="47">
        <f>C13*C11</f>
        <v>0.26</v>
      </c>
      <c r="D15" s="47">
        <f>D13*D11</f>
        <v>0.15</v>
      </c>
      <c r="E15" s="47">
        <f>SUM(B15:C15)+D15</f>
        <v>0.41000000000000003</v>
      </c>
    </row>
    <row r="16" spans="1:8" x14ac:dyDescent="0.25">
      <c r="B16" s="47"/>
      <c r="C16" s="47"/>
      <c r="D16" s="47"/>
      <c r="E16" s="47"/>
      <c r="F16" s="47"/>
      <c r="H16" s="47">
        <f>H13-H14</f>
        <v>-4.25</v>
      </c>
    </row>
    <row r="17" spans="1:8" x14ac:dyDescent="0.25">
      <c r="A17" s="27" t="s">
        <v>16</v>
      </c>
      <c r="B17" s="47">
        <f>(B13-B15)*B11</f>
        <v>0</v>
      </c>
      <c r="C17" s="47">
        <f>(C13-C15)*C11</f>
        <v>0.23399999999999999</v>
      </c>
      <c r="D17" s="47">
        <f>(D13-D15)*D11</f>
        <v>0.1275</v>
      </c>
      <c r="E17" s="47">
        <f>SUM(B17:C17)+D17</f>
        <v>0.36149999999999999</v>
      </c>
      <c r="H17" s="27">
        <f>H16*0.15</f>
        <v>-0.63749999999999996</v>
      </c>
    </row>
    <row r="18" spans="1:8" x14ac:dyDescent="0.25">
      <c r="B18" s="47"/>
      <c r="C18" s="47"/>
      <c r="D18" s="47"/>
      <c r="E18" s="47"/>
    </row>
    <row r="19" spans="1:8" x14ac:dyDescent="0.25">
      <c r="A19" s="27" t="s">
        <v>17</v>
      </c>
      <c r="B19" s="47">
        <f>(B13-B15-B17)*B11</f>
        <v>0</v>
      </c>
      <c r="C19" s="47">
        <f>(C13-C15-C17)*C11</f>
        <v>0.21060000000000001</v>
      </c>
      <c r="D19" s="47">
        <f>(D13-D15-D17)*D11</f>
        <v>0.10837499999999999</v>
      </c>
      <c r="E19" s="47">
        <f>SUM(B19:C19)+D19</f>
        <v>0.31897500000000001</v>
      </c>
    </row>
    <row r="20" spans="1:8" x14ac:dyDescent="0.25">
      <c r="B20" s="47"/>
      <c r="C20" s="47"/>
      <c r="D20" s="47"/>
      <c r="E20" s="47"/>
    </row>
    <row r="21" spans="1:8" x14ac:dyDescent="0.25">
      <c r="A21" s="27" t="s">
        <v>18</v>
      </c>
      <c r="B21" s="47">
        <f>(B13-B15-B17-B19)*B11</f>
        <v>0</v>
      </c>
      <c r="C21" s="47">
        <f>(C13-C15-C17-C19)*C11</f>
        <v>0.18954000000000001</v>
      </c>
      <c r="D21" s="47">
        <f>(D13-D15-D17-D19)*D11</f>
        <v>9.2118749999999985E-2</v>
      </c>
      <c r="E21" s="47">
        <f>SUM(B21:C21)+D21</f>
        <v>0.28165875000000001</v>
      </c>
    </row>
    <row r="22" spans="1:8" x14ac:dyDescent="0.25">
      <c r="B22" s="47"/>
      <c r="C22" s="47"/>
      <c r="D22" s="47"/>
      <c r="E22" s="47"/>
    </row>
    <row r="23" spans="1:8" x14ac:dyDescent="0.25">
      <c r="A23" s="27" t="s">
        <v>19</v>
      </c>
      <c r="B23" s="47">
        <f>(B13-B15-B17-B19-B21)*B11</f>
        <v>0</v>
      </c>
      <c r="C23" s="47">
        <f>(C13-C15-C17-C19-C21)*C11</f>
        <v>0.17058600000000002</v>
      </c>
      <c r="D23" s="47">
        <f>(D13-D15-D17-D19-D21)*D11</f>
        <v>7.8300937499999987E-2</v>
      </c>
      <c r="E23" s="47">
        <f>SUM(B23:C23)+D23</f>
        <v>0.24888693750000002</v>
      </c>
    </row>
    <row r="24" spans="1:8" x14ac:dyDescent="0.25">
      <c r="E24" s="47"/>
    </row>
    <row r="25" spans="1:8" ht="14" x14ac:dyDescent="0.3">
      <c r="G25" s="26"/>
    </row>
    <row r="26" spans="1:8" ht="14" x14ac:dyDescent="0.3">
      <c r="G26" s="26"/>
    </row>
    <row r="27" spans="1:8" ht="14" x14ac:dyDescent="0.3">
      <c r="A27" s="26"/>
      <c r="E27" s="83"/>
      <c r="F27" s="80"/>
      <c r="G27" s="26"/>
    </row>
    <row r="28" spans="1:8" ht="14" x14ac:dyDescent="0.3">
      <c r="A28" s="26"/>
      <c r="E28" s="35"/>
      <c r="F28" s="26"/>
      <c r="G28" s="26"/>
    </row>
    <row r="29" spans="1:8" ht="14" x14ac:dyDescent="0.3">
      <c r="A29" s="26"/>
      <c r="E29" s="26"/>
      <c r="F29" s="26"/>
      <c r="G29" s="26"/>
    </row>
    <row r="30" spans="1:8" ht="14" x14ac:dyDescent="0.3">
      <c r="A30" s="26"/>
      <c r="E30" s="26"/>
      <c r="F30" s="26"/>
      <c r="G30" s="26"/>
    </row>
    <row r="31" spans="1:8" ht="14" x14ac:dyDescent="0.3">
      <c r="A31" s="26"/>
      <c r="E31" s="35"/>
      <c r="F31" s="26"/>
    </row>
    <row r="32" spans="1:8" ht="14" x14ac:dyDescent="0.3">
      <c r="A32" s="26"/>
      <c r="E32" s="35"/>
      <c r="F32" s="26"/>
    </row>
    <row r="40" spans="2:4" x14ac:dyDescent="0.25">
      <c r="B40" s="47"/>
      <c r="C40" s="47"/>
      <c r="D40" s="47"/>
    </row>
    <row r="49" spans="1:4" ht="14" x14ac:dyDescent="0.3">
      <c r="A49" s="26"/>
      <c r="B49" s="45"/>
      <c r="C49" s="82"/>
      <c r="D49" s="82"/>
    </row>
  </sheetData>
  <mergeCells count="6">
    <mergeCell ref="D8:D9"/>
    <mergeCell ref="A5:E5"/>
    <mergeCell ref="A3:E3"/>
    <mergeCell ref="C6:E6"/>
    <mergeCell ref="A1:E1"/>
    <mergeCell ref="A2:E2"/>
  </mergeCells>
  <phoneticPr fontId="0" type="noConversion"/>
  <printOptions horizontalCentered="1"/>
  <pageMargins left="0.75" right="0.75" top="1" bottom="1" header="0.5" footer="0.5"/>
  <pageSetup scale="82"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7"/>
  <sheetViews>
    <sheetView view="pageBreakPreview" zoomScale="94" workbookViewId="0">
      <selection activeCell="C13" sqref="C13"/>
    </sheetView>
  </sheetViews>
  <sheetFormatPr defaultColWidth="9.1796875" defaultRowHeight="12.5" x14ac:dyDescent="0.25"/>
  <cols>
    <col min="1" max="1" width="7" style="111" bestFit="1" customWidth="1"/>
    <col min="2" max="2" width="37.1796875" style="111" customWidth="1"/>
    <col min="3" max="3" width="13.26953125" style="111" customWidth="1"/>
    <col min="4" max="4" width="14.54296875" style="111" customWidth="1"/>
    <col min="5" max="16384" width="9.1796875" style="111"/>
  </cols>
  <sheetData>
    <row r="1" spans="1:4" ht="60" customHeight="1" x14ac:dyDescent="0.35">
      <c r="A1" s="191" t="str">
        <f>Dep!A1</f>
        <v>M/S TRIKUTA MEDICOS AND DIAGNOSTICS CENTRE</v>
      </c>
      <c r="B1" s="191"/>
      <c r="C1" s="191"/>
      <c r="D1" s="191"/>
    </row>
    <row r="2" spans="1:4" ht="14" x14ac:dyDescent="0.3">
      <c r="A2" s="192" t="str">
        <f>Dep!A2</f>
        <v>AIRPORT ROAD, GADI GARH, OPPOSITE DAYAL G MEDICOS, JAMMU</v>
      </c>
      <c r="B2" s="192"/>
      <c r="C2" s="192"/>
      <c r="D2" s="192"/>
    </row>
    <row r="3" spans="1:4" ht="19.5" x14ac:dyDescent="0.35">
      <c r="A3" s="112"/>
      <c r="B3" s="112"/>
      <c r="C3" s="112"/>
      <c r="D3" s="112"/>
    </row>
    <row r="4" spans="1:4" ht="19.5" x14ac:dyDescent="0.35">
      <c r="A4" s="193" t="s">
        <v>219</v>
      </c>
      <c r="B4" s="193"/>
      <c r="C4" s="193"/>
      <c r="D4" s="193"/>
    </row>
    <row r="5" spans="1:4" ht="19.5" x14ac:dyDescent="0.35">
      <c r="A5" s="113"/>
      <c r="B5" s="113"/>
      <c r="C5" s="113"/>
      <c r="D5" s="113"/>
    </row>
    <row r="6" spans="1:4" ht="19.5" x14ac:dyDescent="0.35">
      <c r="A6" s="113"/>
      <c r="B6" s="113"/>
      <c r="C6" s="113"/>
      <c r="D6" s="195" t="s">
        <v>224</v>
      </c>
    </row>
    <row r="7" spans="1:4" ht="13.5" customHeight="1" x14ac:dyDescent="0.25">
      <c r="A7" s="194" t="s">
        <v>220</v>
      </c>
      <c r="B7" s="194" t="s">
        <v>25</v>
      </c>
      <c r="C7" s="194" t="s">
        <v>221</v>
      </c>
      <c r="D7" s="196"/>
    </row>
    <row r="8" spans="1:4" x14ac:dyDescent="0.25">
      <c r="A8" s="194"/>
      <c r="B8" s="194"/>
      <c r="C8" s="194"/>
      <c r="D8" s="114" t="s">
        <v>222</v>
      </c>
    </row>
    <row r="9" spans="1:4" x14ac:dyDescent="0.25">
      <c r="A9" s="115"/>
      <c r="B9" s="115"/>
      <c r="C9" s="115"/>
      <c r="D9" s="114"/>
    </row>
    <row r="10" spans="1:4" x14ac:dyDescent="0.25">
      <c r="A10" s="116">
        <v>1</v>
      </c>
      <c r="B10" s="117" t="s">
        <v>225</v>
      </c>
      <c r="C10" s="120">
        <v>0</v>
      </c>
      <c r="D10" s="119">
        <f>PL!B14*WCAP!C10/360</f>
        <v>0</v>
      </c>
    </row>
    <row r="11" spans="1:4" x14ac:dyDescent="0.25">
      <c r="A11" s="116"/>
      <c r="B11" s="117"/>
      <c r="C11" s="117"/>
      <c r="D11" s="117"/>
    </row>
    <row r="12" spans="1:4" x14ac:dyDescent="0.25">
      <c r="A12" s="116">
        <f>A10+1</f>
        <v>2</v>
      </c>
      <c r="B12" s="117" t="s">
        <v>223</v>
      </c>
      <c r="C12" s="120">
        <v>0</v>
      </c>
      <c r="D12" s="119">
        <f>PL!B11/360*WCAP!C12</f>
        <v>0</v>
      </c>
    </row>
    <row r="13" spans="1:4" x14ac:dyDescent="0.25">
      <c r="A13" s="116"/>
      <c r="B13" s="117"/>
      <c r="C13" s="117"/>
      <c r="D13" s="117"/>
    </row>
    <row r="14" spans="1:4" x14ac:dyDescent="0.25">
      <c r="A14" s="116"/>
      <c r="B14" s="117"/>
      <c r="C14" s="117"/>
      <c r="D14" s="117"/>
    </row>
    <row r="15" spans="1:4" x14ac:dyDescent="0.25">
      <c r="A15" s="116"/>
      <c r="B15" s="117"/>
      <c r="C15" s="118"/>
      <c r="D15" s="119"/>
    </row>
    <row r="16" spans="1:4" x14ac:dyDescent="0.25">
      <c r="A16" s="117"/>
      <c r="B16" s="117"/>
      <c r="C16" s="117"/>
      <c r="D16" s="117"/>
    </row>
    <row r="17" spans="1:4" x14ac:dyDescent="0.25">
      <c r="A17" s="117"/>
      <c r="B17" s="117"/>
      <c r="C17" s="117"/>
      <c r="D17" s="121">
        <f>SUM(D10:D14)</f>
        <v>0</v>
      </c>
    </row>
  </sheetData>
  <mergeCells count="7">
    <mergeCell ref="A1:D1"/>
    <mergeCell ref="A2:D2"/>
    <mergeCell ref="A4:D4"/>
    <mergeCell ref="A7:A8"/>
    <mergeCell ref="B7:B8"/>
    <mergeCell ref="C7:C8"/>
    <mergeCell ref="D6:D7"/>
  </mergeCells>
  <printOptions horizontalCentered="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12</vt:i4>
      </vt:variant>
    </vt:vector>
  </HeadingPairs>
  <TitlesOfParts>
    <vt:vector size="28" baseType="lpstr">
      <vt:lpstr>Basic Details</vt:lpstr>
      <vt:lpstr>Phigh</vt:lpstr>
      <vt:lpstr>Intro</vt:lpstr>
      <vt:lpstr>Land</vt:lpstr>
      <vt:lpstr>PM-MFA</vt:lpstr>
      <vt:lpstr>Pre Operative exp</vt:lpstr>
      <vt:lpstr>Exp</vt:lpstr>
      <vt:lpstr>Dep</vt:lpstr>
      <vt:lpstr>WCAP</vt:lpstr>
      <vt:lpstr>Cost</vt:lpstr>
      <vt:lpstr>Intt</vt:lpstr>
      <vt:lpstr>PL</vt:lpstr>
      <vt:lpstr>BS</vt:lpstr>
      <vt:lpstr>CF</vt:lpstr>
      <vt:lpstr>Pback</vt:lpstr>
      <vt:lpstr>DSCR</vt:lpstr>
      <vt:lpstr>BS!Print_Area</vt:lpstr>
      <vt:lpstr>Cost!Print_Area</vt:lpstr>
      <vt:lpstr>Dep!Print_Area</vt:lpstr>
      <vt:lpstr>DSCR!Print_Area</vt:lpstr>
      <vt:lpstr>Intro!Print_Area</vt:lpstr>
      <vt:lpstr>Intt!Print_Area</vt:lpstr>
      <vt:lpstr>Land!Print_Area</vt:lpstr>
      <vt:lpstr>Pback!Print_Area</vt:lpstr>
      <vt:lpstr>Phigh!Print_Area</vt:lpstr>
      <vt:lpstr>PL!Print_Area</vt:lpstr>
      <vt:lpstr>'PM-MFA'!Print_Area</vt:lpstr>
      <vt:lpstr>'Pre Operative exp'!Print_Area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 mehta</dc:creator>
  <cp:lastModifiedBy>lavish gupta</cp:lastModifiedBy>
  <cp:lastPrinted>2025-07-10T06:30:10Z</cp:lastPrinted>
  <dcterms:created xsi:type="dcterms:W3CDTF">2003-04-09T07:06:58Z</dcterms:created>
  <dcterms:modified xsi:type="dcterms:W3CDTF">2025-08-06T07:26:56Z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2023-06-25T11:02:08Z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036bcc65-75c0-49f5-9ccf-7cedd054be61</vt:lpwstr>
  </property>
  <property fmtid="{D5CDD505-2E9C-101B-9397-08002B2CF9AE}" pid="7" name="MSIP_Label_defa4170-0d19-0005-0004-bc88714345d2_ActionId">
    <vt:lpwstr>1bba8e29-a840-4ec5-8149-dc7c74d949ea</vt:lpwstr>
  </property>
  <property fmtid="{D5CDD505-2E9C-101B-9397-08002B2CF9AE}" pid="8" name="MSIP_Label_defa4170-0d19-0005-0004-bc88714345d2_ContentBits">
    <vt:lpwstr>0</vt:lpwstr>
  </property>
</Properties>
</file>