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3525FF59-B702-4655-996B-9B400FACBD8F}" xr6:coauthVersionLast="47" xr6:coauthVersionMax="47" xr10:uidLastSave="{00000000-0000-0000-0000-000000000000}"/>
  <bookViews>
    <workbookView xWindow="-108" yWindow="-108" windowWidth="30936" windowHeight="18696" activeTab="2" xr2:uid="{E759E1F6-1C1B-4BE3-821A-721E9C2E8930}"/>
  </bookViews>
  <sheets>
    <sheet name="Battery" sheetId="1" r:id="rId1"/>
    <sheet name="Load" sheetId="2" r:id="rId2"/>
    <sheet name="Model-HP35" sheetId="3" r:id="rId3"/>
    <sheet name="BQ21040" sheetId="8" r:id="rId4"/>
    <sheet name="Quiescent Current" sheetId="7" r:id="rId5"/>
    <sheet name="Sheet1" sheetId="9" r:id="rId6"/>
    <sheet name="TP4056" sheetId="5" r:id="rId7"/>
    <sheet name="TLV75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2" l="1"/>
  <c r="E54" i="2"/>
  <c r="E53" i="2"/>
  <c r="E52" i="2"/>
  <c r="F52" i="2"/>
  <c r="E51" i="2"/>
  <c r="F51" i="2"/>
  <c r="E50" i="2"/>
  <c r="F50" i="2"/>
  <c r="E49" i="2"/>
  <c r="F49" i="2"/>
  <c r="E48" i="2"/>
  <c r="F48" i="2"/>
  <c r="E47" i="2"/>
  <c r="F47" i="2"/>
  <c r="E46" i="2"/>
  <c r="F46" i="2"/>
  <c r="E45" i="2"/>
  <c r="F45" i="2"/>
  <c r="E39" i="2"/>
  <c r="F39" i="2"/>
  <c r="E38" i="2"/>
  <c r="F38" i="2"/>
  <c r="E44" i="2"/>
  <c r="F44" i="2"/>
  <c r="E43" i="2"/>
  <c r="F43" i="2"/>
  <c r="E42" i="2"/>
  <c r="F42" i="2"/>
  <c r="E41" i="2"/>
  <c r="F41" i="2"/>
  <c r="E40" i="2"/>
  <c r="F40" i="2"/>
  <c r="E37" i="2"/>
  <c r="F37" i="2"/>
  <c r="E36" i="2"/>
  <c r="F36" i="2"/>
  <c r="E35" i="2"/>
  <c r="F35" i="2"/>
  <c r="E34" i="2"/>
  <c r="F34" i="2"/>
  <c r="F13" i="2"/>
  <c r="F12" i="2"/>
  <c r="F11" i="2"/>
  <c r="F10" i="2"/>
  <c r="F9" i="2"/>
  <c r="F8" i="2"/>
  <c r="F7" i="2"/>
  <c r="F6" i="2"/>
  <c r="F5" i="2"/>
  <c r="F4" i="2"/>
  <c r="F3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14" i="2"/>
  <c r="E14" i="2"/>
  <c r="E13" i="2"/>
  <c r="E12" i="2"/>
  <c r="E11" i="2"/>
  <c r="E10" i="2"/>
  <c r="E9" i="2"/>
  <c r="E8" i="2"/>
  <c r="E7" i="2"/>
  <c r="E6" i="2"/>
  <c r="E5" i="2"/>
  <c r="E4" i="2"/>
  <c r="E3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15" i="2"/>
  <c r="C4" i="3"/>
  <c r="K4" i="7"/>
  <c r="L4" i="7" s="1"/>
  <c r="G4" i="7"/>
  <c r="H4" i="7" s="1"/>
  <c r="B27" i="7"/>
  <c r="B16" i="6"/>
  <c r="B17" i="6" s="1"/>
  <c r="B18" i="6" s="1"/>
  <c r="B19" i="6" s="1"/>
  <c r="B17" i="8"/>
  <c r="B18" i="8" s="1"/>
  <c r="B16" i="8"/>
  <c r="B10" i="8"/>
  <c r="B9" i="8"/>
  <c r="B8" i="8"/>
  <c r="B15" i="7"/>
  <c r="N3" i="3" s="1"/>
  <c r="B5" i="6"/>
  <c r="B12" i="6" s="1"/>
  <c r="D12" i="5"/>
  <c r="C12" i="5"/>
  <c r="D11" i="5"/>
  <c r="C11" i="5"/>
  <c r="B11" i="5"/>
  <c r="B12" i="5" s="1"/>
  <c r="D9" i="5"/>
  <c r="C9" i="5"/>
  <c r="B9" i="5"/>
  <c r="D8" i="5"/>
  <c r="C8" i="5"/>
  <c r="B8" i="5"/>
  <c r="D6" i="5"/>
  <c r="C6" i="5"/>
  <c r="B6" i="5"/>
  <c r="D4" i="5"/>
  <c r="C4" i="5"/>
  <c r="B4" i="5"/>
  <c r="D3" i="5"/>
  <c r="C3" i="5"/>
  <c r="B3" i="5"/>
  <c r="B41" i="1"/>
  <c r="B2" i="1"/>
  <c r="D4" i="3"/>
  <c r="E4" i="3" s="1" a="1"/>
  <c r="E4" i="3" s="1"/>
  <c r="F4" i="3" s="1"/>
  <c r="H4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G4" i="3" l="1"/>
  <c r="I13" i="7"/>
  <c r="I21" i="7"/>
  <c r="I11" i="7"/>
  <c r="I20" i="7"/>
  <c r="I12" i="7"/>
  <c r="I10" i="7"/>
  <c r="I19" i="7"/>
  <c r="I4" i="7"/>
  <c r="J4" i="7" s="1"/>
  <c r="G5" i="7" s="1"/>
  <c r="I24" i="7"/>
  <c r="I18" i="7"/>
  <c r="I28" i="7"/>
  <c r="I14" i="7"/>
  <c r="I8" i="7"/>
  <c r="I7" i="7"/>
  <c r="I16" i="7"/>
  <c r="I22" i="7"/>
  <c r="I17" i="7"/>
  <c r="I15" i="7"/>
  <c r="I5" i="7"/>
  <c r="I23" i="7"/>
  <c r="I9" i="7"/>
  <c r="I6" i="7"/>
  <c r="I29" i="7"/>
  <c r="I31" i="7"/>
  <c r="I30" i="7"/>
  <c r="I27" i="7"/>
  <c r="I26" i="7"/>
  <c r="I25" i="7"/>
  <c r="I4" i="3"/>
  <c r="C5" i="3" s="1"/>
  <c r="B19" i="7"/>
  <c r="B20" i="7" s="1"/>
  <c r="B21" i="7" s="1"/>
  <c r="B16" i="7"/>
  <c r="B6" i="6"/>
  <c r="H5" i="7" l="1"/>
  <c r="J5" i="7" s="1"/>
  <c r="G6" i="7"/>
  <c r="H6" i="7" s="1"/>
  <c r="J6" i="7" s="1"/>
  <c r="G7" i="7" s="1"/>
  <c r="H7" i="7" s="1"/>
  <c r="J7" i="7" s="1"/>
  <c r="G8" i="7" s="1"/>
  <c r="B22" i="7"/>
  <c r="B23" i="7" s="1"/>
  <c r="B24" i="7" s="1"/>
  <c r="M18" i="7"/>
  <c r="M34" i="7"/>
  <c r="M35" i="7"/>
  <c r="M4" i="7"/>
  <c r="N4" i="7" s="1"/>
  <c r="K5" i="7" s="1"/>
  <c r="M20" i="7"/>
  <c r="M36" i="7"/>
  <c r="M21" i="7"/>
  <c r="M19" i="7"/>
  <c r="M6" i="7"/>
  <c r="M22" i="7"/>
  <c r="M38" i="7"/>
  <c r="M8" i="7"/>
  <c r="M31" i="7"/>
  <c r="M33" i="7"/>
  <c r="M7" i="7"/>
  <c r="M23" i="7"/>
  <c r="M39" i="7"/>
  <c r="M24" i="7"/>
  <c r="M40" i="7"/>
  <c r="M5" i="7"/>
  <c r="M9" i="7"/>
  <c r="M25" i="7"/>
  <c r="M41" i="7"/>
  <c r="M26" i="7"/>
  <c r="M42" i="7"/>
  <c r="M17" i="7"/>
  <c r="M10" i="7"/>
  <c r="M11" i="7"/>
  <c r="M27" i="7"/>
  <c r="M43" i="7"/>
  <c r="M32" i="7"/>
  <c r="M12" i="7"/>
  <c r="M28" i="7"/>
  <c r="M44" i="7"/>
  <c r="M30" i="7"/>
  <c r="M13" i="7"/>
  <c r="M29" i="7"/>
  <c r="M45" i="7"/>
  <c r="M14" i="7"/>
  <c r="M46" i="7"/>
  <c r="M16" i="7"/>
  <c r="M37" i="7"/>
  <c r="M15" i="7"/>
  <c r="H8" i="7"/>
  <c r="J8" i="7" s="1"/>
  <c r="B5" i="3"/>
  <c r="D5" i="3" s="1"/>
  <c r="E5" i="3" s="1" a="1"/>
  <c r="E5" i="3" s="1"/>
  <c r="G9" i="7" l="1"/>
  <c r="L5" i="7"/>
  <c r="N5" i="7" s="1"/>
  <c r="K6" i="7" s="1"/>
  <c r="H9" i="7"/>
  <c r="J9" i="7" s="1"/>
  <c r="G10" i="7" s="1"/>
  <c r="F5" i="3"/>
  <c r="G5" i="3" s="1"/>
  <c r="L6" i="7" l="1"/>
  <c r="N6" i="7" s="1"/>
  <c r="K7" i="7" s="1"/>
  <c r="H5" i="3"/>
  <c r="H10" i="7"/>
  <c r="J10" i="7" s="1"/>
  <c r="G11" i="7" s="1"/>
  <c r="L7" i="7" l="1"/>
  <c r="N7" i="7" s="1"/>
  <c r="K8" i="7" s="1"/>
  <c r="H11" i="7"/>
  <c r="J11" i="7" s="1"/>
  <c r="G12" i="7" s="1"/>
  <c r="I5" i="3"/>
  <c r="C6" i="3" s="1"/>
  <c r="B6" i="3" s="1"/>
  <c r="D6" i="3" s="1"/>
  <c r="E6" i="3" s="1" a="1"/>
  <c r="E6" i="3" s="1"/>
  <c r="F6" i="3" s="1"/>
  <c r="G6" i="3" s="1"/>
  <c r="L8" i="7" l="1"/>
  <c r="N8" i="7" s="1"/>
  <c r="K9" i="7"/>
  <c r="L9" i="7" s="1"/>
  <c r="N9" i="7" s="1"/>
  <c r="K10" i="7" s="1"/>
  <c r="H6" i="3"/>
  <c r="H12" i="7"/>
  <c r="J12" i="7" s="1"/>
  <c r="G13" i="7" s="1"/>
  <c r="L10" i="7" l="1"/>
  <c r="N10" i="7" s="1"/>
  <c r="K11" i="7" s="1"/>
  <c r="I6" i="3"/>
  <c r="C7" i="3" s="1"/>
  <c r="B7" i="3" s="1"/>
  <c r="D7" i="3" s="1"/>
  <c r="E7" i="3" s="1" a="1"/>
  <c r="E7" i="3" s="1"/>
  <c r="F7" i="3" s="1"/>
  <c r="H13" i="7"/>
  <c r="J13" i="7" s="1"/>
  <c r="G14" i="7" s="1"/>
  <c r="H7" i="3" l="1"/>
  <c r="G7" i="3"/>
  <c r="L11" i="7"/>
  <c r="N11" i="7" s="1"/>
  <c r="K12" i="7" s="1"/>
  <c r="L12" i="7" s="1"/>
  <c r="N12" i="7" s="1"/>
  <c r="K13" i="7" s="1"/>
  <c r="L13" i="7" s="1"/>
  <c r="N13" i="7" s="1"/>
  <c r="K14" i="7" s="1"/>
  <c r="H14" i="7"/>
  <c r="J14" i="7" s="1"/>
  <c r="G15" i="7" s="1"/>
  <c r="I7" i="3"/>
  <c r="C8" i="3" s="1"/>
  <c r="B8" i="3" s="1"/>
  <c r="D8" i="3" s="1"/>
  <c r="E8" i="3" s="1" a="1"/>
  <c r="E8" i="3" s="1"/>
  <c r="F8" i="3" s="1"/>
  <c r="H8" i="3" l="1"/>
  <c r="G8" i="3"/>
  <c r="H15" i="7"/>
  <c r="J15" i="7" s="1"/>
  <c r="G16" i="7"/>
  <c r="L14" i="7"/>
  <c r="N14" i="7" s="1"/>
  <c r="K15" i="7"/>
  <c r="H16" i="7" l="1"/>
  <c r="J16" i="7" s="1"/>
  <c r="G17" i="7" s="1"/>
  <c r="H17" i="7" s="1"/>
  <c r="J17" i="7" s="1"/>
  <c r="G18" i="7" s="1"/>
  <c r="H18" i="7" s="1"/>
  <c r="J18" i="7" s="1"/>
  <c r="G19" i="7" s="1"/>
  <c r="L15" i="7"/>
  <c r="N15" i="7" s="1"/>
  <c r="K16" i="7"/>
  <c r="I8" i="3"/>
  <c r="C9" i="3" s="1"/>
  <c r="B9" i="3" s="1"/>
  <c r="D9" i="3" s="1"/>
  <c r="E9" i="3" s="1" a="1"/>
  <c r="E9" i="3" s="1"/>
  <c r="F9" i="3" s="1"/>
  <c r="H9" i="3" l="1"/>
  <c r="G9" i="3"/>
  <c r="H19" i="7"/>
  <c r="J19" i="7" s="1"/>
  <c r="G20" i="7"/>
  <c r="H20" i="7" s="1"/>
  <c r="J20" i="7" s="1"/>
  <c r="G21" i="7" s="1"/>
  <c r="L16" i="7"/>
  <c r="N16" i="7" s="1"/>
  <c r="K17" i="7" s="1"/>
  <c r="H21" i="7" l="1"/>
  <c r="J21" i="7" s="1"/>
  <c r="G22" i="7"/>
  <c r="H22" i="7" s="1"/>
  <c r="J22" i="7" s="1"/>
  <c r="G23" i="7" s="1"/>
  <c r="L17" i="7"/>
  <c r="N17" i="7" s="1"/>
  <c r="K18" i="7" s="1"/>
  <c r="I9" i="3"/>
  <c r="C10" i="3" s="1"/>
  <c r="B10" i="3" s="1"/>
  <c r="D10" i="3" s="1"/>
  <c r="E10" i="3" s="1" a="1"/>
  <c r="E10" i="3" s="1"/>
  <c r="F10" i="3" s="1"/>
  <c r="H10" i="3" l="1"/>
  <c r="G10" i="3"/>
  <c r="H23" i="7"/>
  <c r="J23" i="7" s="1"/>
  <c r="G24" i="7" s="1"/>
  <c r="L18" i="7"/>
  <c r="N18" i="7" s="1"/>
  <c r="K19" i="7" s="1"/>
  <c r="H24" i="7" l="1"/>
  <c r="J24" i="7" s="1"/>
  <c r="G25" i="7" s="1"/>
  <c r="L19" i="7"/>
  <c r="N19" i="7" s="1"/>
  <c r="K20" i="7" s="1"/>
  <c r="I10" i="3"/>
  <c r="C11" i="3" s="1"/>
  <c r="B11" i="3" s="1"/>
  <c r="D11" i="3" s="1"/>
  <c r="E11" i="3" s="1" a="1"/>
  <c r="E11" i="3" s="1"/>
  <c r="F11" i="3" s="1"/>
  <c r="H11" i="3" l="1"/>
  <c r="G11" i="3"/>
  <c r="H25" i="7"/>
  <c r="J25" i="7" s="1"/>
  <c r="G26" i="7"/>
  <c r="H26" i="7" s="1"/>
  <c r="J26" i="7" s="1"/>
  <c r="G27" i="7" s="1"/>
  <c r="L20" i="7"/>
  <c r="N20" i="7" s="1"/>
  <c r="K21" i="7" s="1"/>
  <c r="I11" i="3"/>
  <c r="C12" i="3" s="1"/>
  <c r="B12" i="3" s="1"/>
  <c r="D12" i="3" s="1"/>
  <c r="E12" i="3" s="1" a="1"/>
  <c r="E12" i="3" s="1"/>
  <c r="F12" i="3" s="1"/>
  <c r="H12" i="3" l="1"/>
  <c r="G12" i="3"/>
  <c r="H27" i="7"/>
  <c r="J27" i="7" s="1"/>
  <c r="G28" i="7"/>
  <c r="L21" i="7"/>
  <c r="N21" i="7" s="1"/>
  <c r="K22" i="7" s="1"/>
  <c r="I12" i="3"/>
  <c r="C13" i="3" s="1"/>
  <c r="B13" i="3" s="1"/>
  <c r="D13" i="3" s="1"/>
  <c r="E13" i="3" s="1" a="1"/>
  <c r="E13" i="3" s="1"/>
  <c r="H28" i="7" l="1"/>
  <c r="J28" i="7" s="1"/>
  <c r="G29" i="7" s="1"/>
  <c r="L22" i="7"/>
  <c r="N22" i="7" s="1"/>
  <c r="K23" i="7" s="1"/>
  <c r="F13" i="3"/>
  <c r="H13" i="3" l="1"/>
  <c r="G13" i="3"/>
  <c r="H29" i="7"/>
  <c r="J29" i="7" s="1"/>
  <c r="G30" i="7"/>
  <c r="L23" i="7"/>
  <c r="N23" i="7" s="1"/>
  <c r="K24" i="7"/>
  <c r="H30" i="7" l="1"/>
  <c r="J30" i="7" s="1"/>
  <c r="G31" i="7"/>
  <c r="H31" i="7" s="1"/>
  <c r="J31" i="7" s="1"/>
  <c r="L24" i="7"/>
  <c r="N24" i="7" s="1"/>
  <c r="K25" i="7" s="1"/>
  <c r="I13" i="3"/>
  <c r="C14" i="3" s="1"/>
  <c r="B14" i="3" s="1"/>
  <c r="D14" i="3" s="1"/>
  <c r="E14" i="3" s="1" a="1"/>
  <c r="E14" i="3" s="1"/>
  <c r="F14" i="3" s="1"/>
  <c r="H14" i="3" l="1"/>
  <c r="G14" i="3"/>
  <c r="L25" i="7"/>
  <c r="N25" i="7" s="1"/>
  <c r="K26" i="7" s="1"/>
  <c r="L26" i="7" l="1"/>
  <c r="N26" i="7" s="1"/>
  <c r="K27" i="7"/>
  <c r="I14" i="3"/>
  <c r="C15" i="3" s="1"/>
  <c r="B15" i="3" s="1"/>
  <c r="D15" i="3" s="1"/>
  <c r="E15" i="3" s="1" a="1"/>
  <c r="E15" i="3" s="1"/>
  <c r="F15" i="3" s="1"/>
  <c r="H15" i="3" l="1"/>
  <c r="G15" i="3"/>
  <c r="L27" i="7"/>
  <c r="N27" i="7" s="1"/>
  <c r="K28" i="7"/>
  <c r="I15" i="3"/>
  <c r="C16" i="3" s="1"/>
  <c r="B16" i="3" s="1"/>
  <c r="D16" i="3" s="1"/>
  <c r="E16" i="3" s="1" a="1"/>
  <c r="E16" i="3" s="1"/>
  <c r="L28" i="7" l="1"/>
  <c r="N28" i="7" s="1"/>
  <c r="K29" i="7"/>
  <c r="F16" i="3"/>
  <c r="H16" i="3" l="1"/>
  <c r="G16" i="3"/>
  <c r="L29" i="7"/>
  <c r="N29" i="7" s="1"/>
  <c r="K30" i="7" s="1"/>
  <c r="I16" i="3"/>
  <c r="C17" i="3" s="1"/>
  <c r="B17" i="3" s="1"/>
  <c r="D17" i="3" s="1"/>
  <c r="E17" i="3" s="1" a="1"/>
  <c r="E17" i="3" s="1"/>
  <c r="L30" i="7" l="1"/>
  <c r="N30" i="7" s="1"/>
  <c r="K31" i="7"/>
  <c r="F17" i="3"/>
  <c r="H17" i="3" l="1"/>
  <c r="G17" i="3"/>
  <c r="L31" i="7"/>
  <c r="N31" i="7" s="1"/>
  <c r="K32" i="7"/>
  <c r="L32" i="7" l="1"/>
  <c r="N32" i="7" s="1"/>
  <c r="K33" i="7"/>
  <c r="I17" i="3"/>
  <c r="C18" i="3" s="1"/>
  <c r="B18" i="3" s="1"/>
  <c r="D18" i="3" s="1"/>
  <c r="E18" i="3" s="1" a="1"/>
  <c r="E18" i="3" s="1"/>
  <c r="F18" i="3" s="1"/>
  <c r="H18" i="3" l="1"/>
  <c r="G18" i="3"/>
  <c r="L33" i="7"/>
  <c r="N33" i="7" s="1"/>
  <c r="K34" i="7" s="1"/>
  <c r="I18" i="3"/>
  <c r="C19" i="3" s="1"/>
  <c r="B19" i="3" s="1"/>
  <c r="D19" i="3" s="1"/>
  <c r="E19" i="3" s="1" a="1"/>
  <c r="E19" i="3" s="1"/>
  <c r="L34" i="7" l="1"/>
  <c r="N34" i="7" s="1"/>
  <c r="K35" i="7"/>
  <c r="F19" i="3"/>
  <c r="H19" i="3" l="1"/>
  <c r="G19" i="3"/>
  <c r="L35" i="7"/>
  <c r="N35" i="7" s="1"/>
  <c r="K36" i="7"/>
  <c r="L36" i="7" l="1"/>
  <c r="N36" i="7" s="1"/>
  <c r="K37" i="7" s="1"/>
  <c r="I19" i="3"/>
  <c r="C20" i="3" s="1"/>
  <c r="B20" i="3" s="1"/>
  <c r="D20" i="3" s="1"/>
  <c r="E20" i="3" s="1" a="1"/>
  <c r="E20" i="3" s="1"/>
  <c r="F20" i="3" s="1"/>
  <c r="H20" i="3" l="1"/>
  <c r="G20" i="3"/>
  <c r="L37" i="7"/>
  <c r="N37" i="7" s="1"/>
  <c r="K38" i="7" s="1"/>
  <c r="L38" i="7" l="1"/>
  <c r="N38" i="7" s="1"/>
  <c r="K39" i="7"/>
  <c r="I20" i="3"/>
  <c r="C21" i="3" s="1"/>
  <c r="B21" i="3" s="1"/>
  <c r="D21" i="3" s="1"/>
  <c r="E21" i="3" s="1" a="1"/>
  <c r="E21" i="3" s="1"/>
  <c r="F21" i="3" s="1"/>
  <c r="H21" i="3" l="1"/>
  <c r="G21" i="3"/>
  <c r="L39" i="7"/>
  <c r="N39" i="7" s="1"/>
  <c r="K40" i="7"/>
  <c r="L40" i="7" l="1"/>
  <c r="N40" i="7" s="1"/>
  <c r="K41" i="7"/>
  <c r="I21" i="3"/>
  <c r="C22" i="3" s="1"/>
  <c r="B22" i="3" s="1"/>
  <c r="D22" i="3" s="1"/>
  <c r="E22" i="3" s="1" a="1"/>
  <c r="E22" i="3" s="1"/>
  <c r="F22" i="3" s="1"/>
  <c r="H22" i="3" l="1"/>
  <c r="G22" i="3"/>
  <c r="L41" i="7"/>
  <c r="N41" i="7" s="1"/>
  <c r="K42" i="7" s="1"/>
  <c r="L42" i="7" l="1"/>
  <c r="N42" i="7" s="1"/>
  <c r="K43" i="7" s="1"/>
  <c r="I22" i="3"/>
  <c r="C23" i="3" s="1"/>
  <c r="B23" i="3" s="1"/>
  <c r="D23" i="3" s="1"/>
  <c r="E23" i="3" s="1" a="1"/>
  <c r="E23" i="3" s="1"/>
  <c r="F23" i="3" s="1"/>
  <c r="H23" i="3" l="1"/>
  <c r="G23" i="3"/>
  <c r="L43" i="7"/>
  <c r="N43" i="7" s="1"/>
  <c r="K44" i="7"/>
  <c r="I23" i="3"/>
  <c r="C24" i="3" s="1"/>
  <c r="B24" i="3" s="1"/>
  <c r="D24" i="3" s="1"/>
  <c r="E24" i="3" s="1" a="1"/>
  <c r="E24" i="3" s="1"/>
  <c r="L44" i="7" l="1"/>
  <c r="N44" i="7" s="1"/>
  <c r="K45" i="7"/>
  <c r="F24" i="3"/>
  <c r="H24" i="3" l="1"/>
  <c r="G24" i="3"/>
  <c r="L45" i="7"/>
  <c r="N45" i="7" s="1"/>
  <c r="K46" i="7" s="1"/>
  <c r="L46" i="7" s="1"/>
  <c r="N46" i="7" s="1"/>
  <c r="I24" i="3"/>
  <c r="C25" i="3" s="1"/>
  <c r="B25" i="3" s="1"/>
  <c r="D25" i="3" s="1"/>
  <c r="E25" i="3" s="1" a="1"/>
  <c r="E25" i="3" s="1"/>
  <c r="F25" i="3" l="1"/>
  <c r="H25" i="3" l="1"/>
  <c r="G25" i="3"/>
  <c r="I25" i="3"/>
  <c r="C26" i="3" s="1"/>
  <c r="B26" i="3" s="1"/>
  <c r="D26" i="3" s="1"/>
  <c r="E26" i="3" s="1" a="1"/>
  <c r="E26" i="3" s="1"/>
  <c r="F26" i="3" l="1"/>
  <c r="H26" i="3" l="1"/>
  <c r="G26" i="3"/>
  <c r="I26" i="3"/>
  <c r="C27" i="3" s="1"/>
  <c r="B27" i="3" s="1"/>
  <c r="D27" i="3" s="1"/>
  <c r="E27" i="3" s="1" a="1"/>
  <c r="E27" i="3" s="1"/>
  <c r="F27" i="3" l="1"/>
  <c r="H27" i="3" l="1"/>
  <c r="G27" i="3"/>
  <c r="I27" i="3"/>
  <c r="C28" i="3" s="1"/>
  <c r="B28" i="3" s="1"/>
  <c r="D28" i="3" s="1"/>
  <c r="E28" i="3" s="1" a="1"/>
  <c r="E28" i="3" s="1"/>
  <c r="F28" i="3" l="1"/>
  <c r="H28" i="3" l="1"/>
  <c r="G28" i="3"/>
  <c r="I28" i="3"/>
  <c r="C29" i="3" s="1"/>
  <c r="B29" i="3" s="1"/>
  <c r="D29" i="3" s="1"/>
  <c r="E29" i="3" s="1" a="1"/>
  <c r="E29" i="3" s="1"/>
  <c r="F29" i="3" l="1"/>
  <c r="H29" i="3" l="1"/>
  <c r="G29" i="3"/>
  <c r="I29" i="3"/>
  <c r="C30" i="3" s="1"/>
  <c r="B30" i="3" s="1"/>
  <c r="D30" i="3" s="1"/>
  <c r="E30" i="3" s="1" a="1"/>
  <c r="E30" i="3" s="1"/>
  <c r="F30" i="3" l="1"/>
  <c r="H30" i="3" l="1"/>
  <c r="G30" i="3"/>
  <c r="I30" i="3"/>
  <c r="C31" i="3" s="1"/>
  <c r="B31" i="3" s="1"/>
  <c r="D31" i="3" s="1"/>
  <c r="E31" i="3" s="1" a="1"/>
  <c r="E31" i="3" s="1"/>
  <c r="F31" i="3" l="1"/>
  <c r="H31" i="3" l="1"/>
  <c r="G31" i="3"/>
  <c r="I31" i="3"/>
  <c r="C32" i="3" s="1"/>
  <c r="B32" i="3" s="1"/>
  <c r="D32" i="3" s="1"/>
  <c r="E32" i="3" s="1" a="1"/>
  <c r="E32" i="3" s="1"/>
  <c r="F32" i="3" l="1"/>
  <c r="H32" i="3" l="1"/>
  <c r="G32" i="3"/>
  <c r="I32" i="3"/>
  <c r="C33" i="3" s="1"/>
  <c r="B33" i="3" s="1"/>
  <c r="D33" i="3" s="1"/>
  <c r="E33" i="3" s="1" a="1"/>
  <c r="E33" i="3" s="1"/>
  <c r="F33" i="3" l="1"/>
  <c r="H33" i="3" l="1"/>
  <c r="G33" i="3"/>
  <c r="I33" i="3" l="1"/>
  <c r="C34" i="3" s="1"/>
  <c r="B34" i="3" s="1"/>
  <c r="D34" i="3" s="1"/>
  <c r="E34" i="3" s="1" a="1"/>
  <c r="E34" i="3" s="1"/>
  <c r="F34" i="3" s="1"/>
  <c r="H34" i="3" l="1"/>
  <c r="G34" i="3"/>
  <c r="I34" i="3"/>
  <c r="C35" i="3" s="1"/>
  <c r="B35" i="3" s="1"/>
  <c r="D35" i="3" s="1"/>
  <c r="E35" i="3" s="1" a="1"/>
  <c r="E35" i="3" s="1"/>
  <c r="F35" i="3" l="1"/>
  <c r="H35" i="3" l="1"/>
  <c r="G35" i="3"/>
  <c r="I35" i="3"/>
  <c r="C36" i="3" s="1"/>
  <c r="B36" i="3" s="1"/>
  <c r="D36" i="3" s="1"/>
  <c r="E36" i="3" s="1" a="1"/>
  <c r="E36" i="3" s="1"/>
  <c r="F36" i="3" l="1"/>
  <c r="H36" i="3" l="1"/>
  <c r="G36" i="3"/>
  <c r="I36" i="3" l="1"/>
  <c r="C37" i="3" s="1"/>
  <c r="B37" i="3" s="1"/>
  <c r="D37" i="3" s="1"/>
  <c r="E37" i="3" s="1" a="1"/>
  <c r="E37" i="3" s="1"/>
  <c r="F37" i="3" s="1"/>
  <c r="H37" i="3" l="1"/>
  <c r="G37" i="3"/>
  <c r="I37" i="3"/>
  <c r="C38" i="3" s="1"/>
  <c r="B38" i="3" s="1"/>
  <c r="D38" i="3" s="1"/>
  <c r="E38" i="3" s="1" a="1"/>
  <c r="E38" i="3" s="1"/>
  <c r="F38" i="3" l="1"/>
  <c r="H38" i="3" l="1"/>
  <c r="G38" i="3"/>
  <c r="I38" i="3"/>
  <c r="C39" i="3" s="1"/>
  <c r="B39" i="3" s="1"/>
  <c r="D39" i="3" s="1"/>
  <c r="E39" i="3" s="1" a="1"/>
  <c r="E39" i="3" s="1"/>
  <c r="F39" i="3" l="1"/>
  <c r="H39" i="3" l="1"/>
  <c r="I39" i="3" s="1"/>
  <c r="C40" i="3" s="1"/>
  <c r="B40" i="3" s="1"/>
  <c r="D40" i="3" s="1"/>
  <c r="E40" i="3" s="1" a="1"/>
  <c r="E40" i="3" s="1"/>
  <c r="G39" i="3"/>
  <c r="F40" i="3" l="1"/>
  <c r="H40" i="3" l="1"/>
  <c r="G40" i="3"/>
  <c r="I40" i="3"/>
  <c r="C41" i="3" s="1"/>
  <c r="B41" i="3" s="1"/>
  <c r="D41" i="3" s="1"/>
  <c r="E41" i="3" s="1" a="1"/>
  <c r="E41" i="3" s="1"/>
  <c r="F41" i="3" l="1"/>
  <c r="H41" i="3" l="1"/>
  <c r="G41" i="3"/>
  <c r="I41" i="3"/>
  <c r="C42" i="3" s="1"/>
  <c r="B42" i="3" s="1"/>
  <c r="D42" i="3" s="1"/>
  <c r="E42" i="3" s="1" a="1"/>
  <c r="E42" i="3" s="1"/>
  <c r="F42" i="3" l="1"/>
  <c r="H42" i="3" l="1"/>
  <c r="G42" i="3"/>
  <c r="I42" i="3"/>
  <c r="C43" i="3" s="1"/>
  <c r="B43" i="3" s="1"/>
  <c r="D43" i="3" s="1"/>
  <c r="E43" i="3" s="1" a="1"/>
  <c r="E43" i="3" s="1"/>
  <c r="F43" i="3" l="1"/>
  <c r="H43" i="3" l="1"/>
  <c r="G43" i="3"/>
  <c r="I43" i="3"/>
  <c r="C44" i="3" s="1"/>
  <c r="B44" i="3" s="1"/>
  <c r="D44" i="3" s="1"/>
  <c r="E44" i="3" s="1" a="1"/>
  <c r="E44" i="3" s="1"/>
  <c r="F44" i="3" l="1"/>
  <c r="H44" i="3" l="1"/>
  <c r="G44" i="3"/>
  <c r="I44" i="3"/>
  <c r="C45" i="3" s="1"/>
  <c r="B45" i="3" s="1"/>
  <c r="D45" i="3" s="1"/>
  <c r="E45" i="3" s="1" a="1"/>
  <c r="E45" i="3" s="1"/>
  <c r="F45" i="3" l="1"/>
  <c r="H45" i="3" l="1"/>
  <c r="G45" i="3"/>
  <c r="I45" i="3"/>
  <c r="C46" i="3" s="1"/>
  <c r="B46" i="3" s="1"/>
  <c r="D46" i="3" s="1"/>
  <c r="E46" i="3" s="1" a="1"/>
  <c r="E46" i="3" s="1"/>
  <c r="F46" i="3" l="1"/>
  <c r="H46" i="3" l="1"/>
  <c r="G46" i="3"/>
  <c r="I46" i="3" l="1"/>
  <c r="C47" i="3" s="1"/>
  <c r="B47" i="3" s="1"/>
  <c r="D47" i="3" s="1"/>
  <c r="E47" i="3" s="1" a="1"/>
  <c r="E47" i="3" s="1"/>
  <c r="F47" i="3" s="1"/>
  <c r="H47" i="3" l="1"/>
  <c r="G47" i="3"/>
  <c r="I47" i="3"/>
  <c r="C48" i="3" s="1"/>
  <c r="B48" i="3" s="1"/>
  <c r="D48" i="3" s="1"/>
  <c r="E48" i="3" s="1" a="1"/>
  <c r="E48" i="3" s="1"/>
  <c r="F48" i="3" l="1"/>
  <c r="H48" i="3" l="1"/>
  <c r="G48" i="3"/>
  <c r="I48" i="3"/>
  <c r="C49" i="3" s="1"/>
  <c r="B49" i="3" s="1"/>
  <c r="D49" i="3" s="1"/>
  <c r="E49" i="3" s="1" a="1"/>
  <c r="E49" i="3" s="1"/>
  <c r="F49" i="3" l="1"/>
  <c r="H49" i="3" l="1"/>
  <c r="G49" i="3"/>
  <c r="I49" i="3"/>
  <c r="C50" i="3" s="1"/>
  <c r="B50" i="3" s="1"/>
  <c r="D50" i="3" s="1"/>
  <c r="E50" i="3" s="1" a="1"/>
  <c r="E50" i="3" s="1"/>
  <c r="F50" i="3" l="1"/>
  <c r="H50" i="3" l="1"/>
  <c r="G50" i="3"/>
  <c r="I50" i="3"/>
  <c r="C51" i="3" s="1"/>
  <c r="B51" i="3" s="1"/>
  <c r="D51" i="3" s="1"/>
  <c r="E51" i="3" s="1" a="1"/>
  <c r="E51" i="3" s="1"/>
  <c r="F51" i="3" l="1"/>
  <c r="H51" i="3" l="1"/>
  <c r="G51" i="3"/>
  <c r="I51" i="3"/>
  <c r="C52" i="3" s="1"/>
  <c r="B52" i="3" s="1"/>
  <c r="D52" i="3" s="1"/>
  <c r="E52" i="3" s="1" a="1"/>
  <c r="E52" i="3" s="1"/>
  <c r="F52" i="3" l="1"/>
  <c r="H52" i="3" l="1"/>
  <c r="G52" i="3"/>
  <c r="I52" i="3"/>
  <c r="C53" i="3" s="1"/>
  <c r="B53" i="3" s="1"/>
  <c r="D53" i="3" s="1"/>
  <c r="E53" i="3" s="1" a="1"/>
  <c r="E53" i="3" s="1"/>
  <c r="F53" i="3" l="1"/>
  <c r="H53" i="3" l="1"/>
  <c r="G53" i="3"/>
  <c r="I53" i="3"/>
  <c r="C54" i="3" s="1"/>
  <c r="B54" i="3" s="1"/>
  <c r="D54" i="3" s="1"/>
  <c r="E54" i="3" s="1" a="1"/>
  <c r="E54" i="3" s="1"/>
  <c r="F54" i="3" l="1"/>
  <c r="H54" i="3" l="1"/>
  <c r="G54" i="3"/>
  <c r="I54" i="3" l="1"/>
  <c r="C55" i="3" s="1"/>
  <c r="B55" i="3" s="1"/>
  <c r="D55" i="3" s="1"/>
  <c r="E55" i="3" s="1" a="1"/>
  <c r="E55" i="3" s="1"/>
  <c r="F55" i="3" s="1"/>
  <c r="H55" i="3" l="1"/>
  <c r="G55" i="3"/>
  <c r="I55" i="3"/>
  <c r="C56" i="3" s="1"/>
  <c r="B56" i="3" s="1"/>
  <c r="D56" i="3" s="1"/>
  <c r="E56" i="3" s="1" a="1"/>
  <c r="E56" i="3" s="1"/>
  <c r="F56" i="3" l="1"/>
  <c r="H56" i="3" l="1"/>
  <c r="G56" i="3"/>
  <c r="I56" i="3"/>
  <c r="C57" i="3" s="1"/>
  <c r="B57" i="3" s="1"/>
  <c r="D57" i="3" s="1"/>
  <c r="E57" i="3" s="1" a="1"/>
  <c r="E57" i="3" s="1"/>
  <c r="F57" i="3" l="1"/>
  <c r="H57" i="3" l="1"/>
  <c r="G57" i="3"/>
  <c r="I57" i="3"/>
  <c r="C58" i="3" s="1"/>
  <c r="B58" i="3" s="1"/>
  <c r="D58" i="3" s="1"/>
  <c r="E58" i="3" s="1" a="1"/>
  <c r="E58" i="3" s="1"/>
  <c r="F58" i="3" l="1"/>
  <c r="H58" i="3" l="1"/>
  <c r="G58" i="3"/>
  <c r="I58" i="3"/>
  <c r="C59" i="3" s="1"/>
  <c r="B59" i="3" s="1"/>
  <c r="D59" i="3" s="1"/>
  <c r="E59" i="3" s="1" a="1"/>
  <c r="E59" i="3" s="1"/>
  <c r="F59" i="3" l="1"/>
  <c r="H59" i="3" l="1"/>
  <c r="G59" i="3"/>
  <c r="I59" i="3"/>
  <c r="C60" i="3" s="1"/>
  <c r="B60" i="3" s="1"/>
  <c r="D60" i="3" s="1"/>
  <c r="E60" i="3" s="1" a="1"/>
  <c r="E60" i="3" s="1"/>
  <c r="F60" i="3" l="1"/>
  <c r="H60" i="3" l="1"/>
  <c r="G60" i="3"/>
  <c r="I60" i="3"/>
  <c r="C61" i="3" s="1"/>
  <c r="B61" i="3" s="1"/>
  <c r="D61" i="3" s="1"/>
  <c r="E61" i="3" s="1" a="1"/>
  <c r="E61" i="3" s="1"/>
  <c r="F61" i="3" l="1"/>
  <c r="H61" i="3" l="1"/>
  <c r="G61" i="3"/>
  <c r="I61" i="3"/>
  <c r="C62" i="3" s="1"/>
  <c r="B62" i="3" s="1"/>
  <c r="D62" i="3" s="1"/>
  <c r="E62" i="3" s="1" a="1"/>
  <c r="E62" i="3" s="1"/>
  <c r="F62" i="3" l="1"/>
  <c r="H62" i="3" l="1"/>
  <c r="G62" i="3"/>
  <c r="I62" i="3"/>
  <c r="C63" i="3" s="1"/>
  <c r="B63" i="3" s="1"/>
  <c r="D63" i="3" s="1"/>
  <c r="E63" i="3" s="1" a="1"/>
  <c r="E63" i="3" s="1"/>
  <c r="F63" i="3" l="1"/>
  <c r="H63" i="3" l="1"/>
  <c r="G63" i="3"/>
  <c r="I63" i="3"/>
  <c r="C64" i="3" s="1"/>
  <c r="B64" i="3" s="1"/>
  <c r="D64" i="3" s="1"/>
  <c r="E64" i="3" s="1" a="1"/>
  <c r="E64" i="3" s="1"/>
  <c r="F64" i="3" l="1"/>
  <c r="H64" i="3" l="1"/>
  <c r="G64" i="3"/>
  <c r="I64" i="3"/>
  <c r="C65" i="3" s="1"/>
  <c r="B65" i="3" s="1"/>
  <c r="D65" i="3" s="1"/>
  <c r="E65" i="3" s="1" a="1"/>
  <c r="E65" i="3" s="1"/>
  <c r="F65" i="3" l="1"/>
  <c r="H65" i="3" l="1"/>
  <c r="G65" i="3"/>
  <c r="I65" i="3"/>
  <c r="C66" i="3" s="1"/>
  <c r="B66" i="3" s="1"/>
  <c r="D66" i="3" s="1"/>
  <c r="E66" i="3" s="1" a="1"/>
  <c r="E66" i="3" s="1"/>
  <c r="F66" i="3" l="1"/>
  <c r="H66" i="3" l="1"/>
  <c r="G66" i="3"/>
  <c r="I66" i="3"/>
  <c r="C67" i="3" s="1"/>
  <c r="B67" i="3" s="1"/>
  <c r="D67" i="3" s="1"/>
  <c r="E67" i="3" s="1" a="1"/>
  <c r="E67" i="3" s="1"/>
  <c r="F67" i="3" l="1"/>
  <c r="H67" i="3" l="1"/>
  <c r="G67" i="3"/>
  <c r="I67" i="3"/>
  <c r="C68" i="3" s="1"/>
  <c r="B68" i="3" s="1"/>
  <c r="D68" i="3" s="1"/>
  <c r="E68" i="3" s="1" a="1"/>
  <c r="E68" i="3" s="1"/>
  <c r="F68" i="3" l="1"/>
  <c r="H68" i="3" l="1"/>
  <c r="G68" i="3"/>
  <c r="I68" i="3"/>
  <c r="C69" i="3" s="1"/>
  <c r="B69" i="3" s="1"/>
  <c r="D69" i="3" s="1"/>
  <c r="E69" i="3" s="1" a="1"/>
  <c r="E69" i="3" s="1"/>
  <c r="F69" i="3" l="1"/>
  <c r="H69" i="3" l="1"/>
  <c r="G69" i="3"/>
  <c r="I69" i="3"/>
  <c r="C70" i="3" s="1"/>
  <c r="B70" i="3" s="1"/>
  <c r="D70" i="3" s="1"/>
  <c r="E70" i="3" s="1" a="1"/>
  <c r="E70" i="3" s="1"/>
  <c r="F70" i="3" l="1"/>
  <c r="H70" i="3" l="1"/>
  <c r="G70" i="3"/>
  <c r="I70" i="3"/>
  <c r="C71" i="3" s="1"/>
  <c r="B71" i="3" s="1"/>
  <c r="D71" i="3" s="1"/>
  <c r="E71" i="3" s="1" a="1"/>
  <c r="E71" i="3" s="1"/>
  <c r="F71" i="3" l="1"/>
  <c r="H71" i="3" l="1"/>
  <c r="G71" i="3"/>
  <c r="I71" i="3"/>
  <c r="C72" i="3" s="1"/>
  <c r="B72" i="3" s="1"/>
  <c r="D72" i="3" s="1"/>
  <c r="E72" i="3" s="1" a="1"/>
  <c r="E72" i="3" s="1"/>
  <c r="F72" i="3" l="1"/>
  <c r="H72" i="3" l="1"/>
  <c r="G72" i="3"/>
  <c r="I72" i="3"/>
  <c r="C73" i="3" s="1"/>
  <c r="B73" i="3" s="1"/>
  <c r="D73" i="3" s="1"/>
  <c r="E73" i="3" s="1" a="1"/>
  <c r="E73" i="3" s="1"/>
  <c r="F73" i="3" l="1"/>
  <c r="H73" i="3" l="1"/>
  <c r="G73" i="3"/>
  <c r="I73" i="3"/>
  <c r="C74" i="3" s="1"/>
  <c r="B74" i="3" s="1"/>
  <c r="D74" i="3" s="1"/>
  <c r="E74" i="3" s="1" a="1"/>
  <c r="E74" i="3" s="1"/>
  <c r="F74" i="3" l="1"/>
  <c r="H74" i="3" l="1"/>
  <c r="G74" i="3"/>
  <c r="I74" i="3"/>
  <c r="C75" i="3" s="1"/>
  <c r="B75" i="3" s="1"/>
  <c r="D75" i="3" s="1"/>
  <c r="E75" i="3" s="1" a="1"/>
  <c r="E75" i="3" s="1"/>
  <c r="F75" i="3" l="1"/>
  <c r="H75" i="3" l="1"/>
  <c r="G75" i="3"/>
  <c r="I75" i="3" l="1"/>
  <c r="C76" i="3" s="1"/>
  <c r="B76" i="3" s="1"/>
  <c r="D76" i="3" s="1"/>
  <c r="E76" i="3" s="1" a="1"/>
  <c r="E76" i="3" s="1"/>
  <c r="F76" i="3" s="1"/>
  <c r="H76" i="3" l="1"/>
  <c r="G76" i="3"/>
  <c r="I76" i="3"/>
  <c r="C77" i="3" s="1"/>
  <c r="B77" i="3" s="1"/>
  <c r="D77" i="3" s="1"/>
  <c r="E77" i="3" s="1" a="1"/>
  <c r="E77" i="3" s="1"/>
  <c r="F77" i="3" l="1"/>
  <c r="H77" i="3" l="1"/>
  <c r="G77" i="3"/>
  <c r="I77" i="3"/>
  <c r="C78" i="3" s="1"/>
  <c r="B78" i="3" s="1"/>
  <c r="D78" i="3" s="1"/>
  <c r="E78" i="3" s="1" a="1"/>
  <c r="E78" i="3" s="1"/>
  <c r="F78" i="3" l="1"/>
  <c r="H78" i="3" l="1"/>
  <c r="G78" i="3"/>
  <c r="I78" i="3"/>
  <c r="C79" i="3" s="1"/>
  <c r="B79" i="3" s="1"/>
  <c r="D79" i="3" s="1"/>
  <c r="E79" i="3" s="1" a="1"/>
  <c r="E79" i="3" s="1"/>
  <c r="F79" i="3" l="1"/>
  <c r="H79" i="3" l="1"/>
  <c r="G79" i="3"/>
  <c r="I79" i="3" l="1"/>
  <c r="C80" i="3" s="1"/>
  <c r="B80" i="3" s="1"/>
  <c r="D80" i="3" s="1"/>
  <c r="E80" i="3" s="1" a="1"/>
  <c r="E80" i="3" s="1"/>
  <c r="F80" i="3" s="1"/>
  <c r="H80" i="3" l="1"/>
  <c r="G80" i="3"/>
  <c r="I80" i="3"/>
  <c r="C81" i="3" s="1"/>
  <c r="B81" i="3" s="1"/>
  <c r="D81" i="3" s="1"/>
  <c r="E81" i="3" s="1" a="1"/>
  <c r="E81" i="3" s="1"/>
  <c r="F81" i="3" l="1"/>
  <c r="H81" i="3" l="1"/>
  <c r="G81" i="3"/>
  <c r="I81" i="3"/>
  <c r="C82" i="3" s="1"/>
  <c r="B82" i="3" s="1"/>
  <c r="D82" i="3" s="1"/>
  <c r="E82" i="3" s="1" a="1"/>
  <c r="E82" i="3" s="1"/>
  <c r="F82" i="3" l="1"/>
  <c r="H82" i="3" l="1"/>
  <c r="G82" i="3"/>
  <c r="I82" i="3" l="1"/>
  <c r="C83" i="3" s="1"/>
  <c r="B83" i="3" s="1"/>
  <c r="D83" i="3" s="1"/>
  <c r="E83" i="3" s="1" a="1"/>
  <c r="E83" i="3" s="1"/>
  <c r="F83" i="3" s="1"/>
  <c r="H83" i="3" l="1"/>
  <c r="G83" i="3"/>
  <c r="I83" i="3"/>
  <c r="C84" i="3" s="1"/>
  <c r="B84" i="3" s="1"/>
  <c r="D84" i="3" s="1"/>
  <c r="E84" i="3" s="1" a="1"/>
  <c r="E84" i="3" s="1"/>
  <c r="F84" i="3" l="1"/>
  <c r="H84" i="3" l="1"/>
  <c r="G84" i="3"/>
  <c r="I84" i="3"/>
  <c r="C85" i="3" s="1"/>
  <c r="B85" i="3" s="1"/>
  <c r="D85" i="3" s="1"/>
  <c r="E85" i="3" s="1" a="1"/>
  <c r="E85" i="3" s="1"/>
  <c r="F85" i="3" l="1"/>
  <c r="H85" i="3" l="1"/>
  <c r="G85" i="3"/>
  <c r="I85" i="3"/>
  <c r="C86" i="3" s="1"/>
  <c r="B86" i="3" s="1"/>
  <c r="D86" i="3" s="1"/>
  <c r="E86" i="3" s="1" a="1"/>
  <c r="E86" i="3" s="1"/>
  <c r="F86" i="3" l="1"/>
  <c r="H86" i="3" l="1"/>
  <c r="G86" i="3"/>
  <c r="I86" i="3"/>
  <c r="C87" i="3" s="1"/>
  <c r="B87" i="3" s="1"/>
  <c r="D87" i="3" s="1"/>
  <c r="E87" i="3" s="1" a="1"/>
  <c r="E87" i="3" s="1"/>
  <c r="F87" i="3" l="1"/>
  <c r="H87" i="3" l="1"/>
  <c r="G87" i="3"/>
  <c r="I87" i="3"/>
  <c r="C88" i="3" s="1"/>
  <c r="B88" i="3" s="1"/>
  <c r="D88" i="3" s="1"/>
  <c r="E88" i="3" s="1" a="1"/>
  <c r="E88" i="3" s="1"/>
  <c r="F88" i="3" l="1"/>
  <c r="H88" i="3" l="1"/>
  <c r="G88" i="3"/>
  <c r="I88" i="3" l="1"/>
  <c r="C89" i="3" s="1"/>
  <c r="B89" i="3" s="1"/>
  <c r="D89" i="3" s="1"/>
  <c r="E89" i="3" s="1" a="1"/>
  <c r="E89" i="3" s="1"/>
  <c r="F89" i="3" s="1"/>
  <c r="H89" i="3" l="1"/>
  <c r="G89" i="3"/>
  <c r="I89" i="3"/>
  <c r="C90" i="3" s="1"/>
  <c r="B90" i="3" s="1"/>
  <c r="D90" i="3" s="1"/>
  <c r="E90" i="3" s="1" a="1"/>
  <c r="E90" i="3" s="1"/>
  <c r="F90" i="3" l="1"/>
  <c r="H90" i="3" l="1"/>
  <c r="G90" i="3"/>
  <c r="I90" i="3"/>
  <c r="C91" i="3" s="1"/>
  <c r="B91" i="3" s="1"/>
  <c r="D91" i="3" s="1"/>
  <c r="E91" i="3" s="1" a="1"/>
  <c r="E91" i="3" s="1"/>
  <c r="F91" i="3" l="1"/>
  <c r="H91" i="3" l="1"/>
  <c r="G91" i="3"/>
  <c r="I91" i="3"/>
  <c r="C92" i="3" s="1"/>
  <c r="B92" i="3" s="1"/>
  <c r="D92" i="3" s="1"/>
  <c r="E92" i="3" s="1" a="1"/>
  <c r="E92" i="3" s="1"/>
  <c r="F92" i="3" l="1"/>
  <c r="H92" i="3" l="1"/>
  <c r="G92" i="3"/>
  <c r="I92" i="3"/>
  <c r="C93" i="3" s="1"/>
  <c r="B93" i="3" s="1"/>
  <c r="D93" i="3" s="1"/>
  <c r="E93" i="3" s="1" a="1"/>
  <c r="E93" i="3" s="1"/>
  <c r="F93" i="3" l="1"/>
  <c r="H93" i="3" l="1"/>
  <c r="G93" i="3"/>
  <c r="I93" i="3"/>
  <c r="C94" i="3" s="1"/>
  <c r="B94" i="3" s="1"/>
  <c r="D94" i="3" s="1"/>
  <c r="E94" i="3" s="1" a="1"/>
  <c r="E94" i="3" s="1"/>
  <c r="F94" i="3" l="1"/>
  <c r="H94" i="3" l="1"/>
  <c r="G94" i="3"/>
  <c r="I94" i="3"/>
  <c r="C95" i="3" s="1"/>
  <c r="B95" i="3" s="1"/>
  <c r="D95" i="3" s="1"/>
  <c r="E95" i="3" s="1" a="1"/>
  <c r="E95" i="3" s="1"/>
  <c r="F95" i="3" l="1"/>
  <c r="H95" i="3" l="1"/>
  <c r="G95" i="3"/>
  <c r="I95" i="3"/>
  <c r="C96" i="3" s="1"/>
  <c r="B96" i="3" s="1"/>
  <c r="D96" i="3" s="1"/>
  <c r="E96" i="3" s="1" a="1"/>
  <c r="E96" i="3" s="1"/>
  <c r="F96" i="3" l="1"/>
  <c r="H96" i="3" l="1"/>
  <c r="G96" i="3"/>
  <c r="I96" i="3"/>
  <c r="C97" i="3" s="1"/>
  <c r="B97" i="3" s="1"/>
  <c r="D97" i="3" s="1"/>
  <c r="E97" i="3" s="1" a="1"/>
  <c r="E97" i="3" s="1"/>
  <c r="F97" i="3" l="1"/>
  <c r="H97" i="3" l="1"/>
  <c r="G97" i="3"/>
  <c r="I97" i="3"/>
  <c r="C98" i="3" s="1"/>
  <c r="B98" i="3" s="1"/>
  <c r="D98" i="3" s="1"/>
  <c r="E98" i="3" s="1" a="1"/>
  <c r="E98" i="3" s="1"/>
  <c r="F98" i="3" l="1"/>
  <c r="H98" i="3" l="1"/>
  <c r="G98" i="3"/>
  <c r="I98" i="3"/>
  <c r="C99" i="3" s="1"/>
  <c r="B99" i="3" s="1"/>
  <c r="D99" i="3" s="1"/>
  <c r="E99" i="3" s="1" a="1"/>
  <c r="E99" i="3" s="1"/>
  <c r="F99" i="3" l="1"/>
  <c r="H99" i="3" l="1"/>
  <c r="G99" i="3"/>
  <c r="I99" i="3"/>
  <c r="C100" i="3" s="1"/>
  <c r="B100" i="3" s="1"/>
  <c r="D100" i="3" s="1"/>
  <c r="E100" i="3" s="1" a="1"/>
  <c r="E100" i="3" s="1"/>
  <c r="F100" i="3" l="1"/>
  <c r="H100" i="3" l="1"/>
  <c r="G100" i="3"/>
  <c r="I100" i="3"/>
  <c r="C101" i="3" s="1"/>
  <c r="B101" i="3" s="1"/>
  <c r="D101" i="3" s="1"/>
  <c r="E101" i="3" s="1" a="1"/>
  <c r="E101" i="3" s="1"/>
  <c r="F101" i="3" l="1"/>
  <c r="H101" i="3" l="1"/>
  <c r="G101" i="3"/>
  <c r="I101" i="3"/>
  <c r="C102" i="3" s="1"/>
  <c r="B102" i="3" s="1"/>
  <c r="D102" i="3" s="1"/>
  <c r="E102" i="3" s="1" a="1"/>
  <c r="E102" i="3" s="1"/>
  <c r="F102" i="3" l="1"/>
  <c r="H102" i="3" l="1"/>
  <c r="G102" i="3"/>
  <c r="I102" i="3"/>
  <c r="C103" i="3" s="1"/>
  <c r="B103" i="3" s="1"/>
  <c r="D103" i="3" s="1"/>
  <c r="E103" i="3" s="1" a="1"/>
  <c r="E103" i="3" s="1"/>
  <c r="F103" i="3" l="1"/>
  <c r="H103" i="3" l="1"/>
  <c r="G103" i="3"/>
  <c r="I103" i="3"/>
  <c r="C104" i="3" s="1"/>
  <c r="B104" i="3" s="1"/>
  <c r="D104" i="3" s="1"/>
  <c r="E104" i="3" s="1" a="1"/>
  <c r="E104" i="3" s="1"/>
  <c r="F104" i="3" l="1"/>
  <c r="H104" i="3" l="1"/>
  <c r="G104" i="3"/>
  <c r="I104" i="3"/>
  <c r="C105" i="3" s="1"/>
  <c r="B105" i="3" s="1"/>
  <c r="D105" i="3" s="1"/>
  <c r="E105" i="3" s="1" a="1"/>
  <c r="E105" i="3" s="1"/>
  <c r="F105" i="3" l="1"/>
  <c r="H105" i="3" l="1"/>
  <c r="G105" i="3"/>
  <c r="I105" i="3"/>
  <c r="C106" i="3" s="1"/>
  <c r="B106" i="3" s="1"/>
  <c r="D106" i="3" s="1"/>
  <c r="E106" i="3" s="1" a="1"/>
  <c r="E106" i="3" s="1"/>
  <c r="F106" i="3" l="1"/>
  <c r="H106" i="3" l="1"/>
  <c r="G106" i="3"/>
  <c r="I106" i="3"/>
  <c r="C107" i="3" s="1"/>
  <c r="B107" i="3" s="1"/>
  <c r="D107" i="3" s="1"/>
  <c r="E107" i="3" s="1" a="1"/>
  <c r="E107" i="3" s="1"/>
  <c r="F107" i="3" l="1"/>
  <c r="H107" i="3" l="1"/>
  <c r="G107" i="3"/>
  <c r="I107" i="3"/>
  <c r="C108" i="3" s="1"/>
  <c r="B108" i="3" s="1"/>
  <c r="D108" i="3" s="1"/>
  <c r="E108" i="3" s="1" a="1"/>
  <c r="E108" i="3" s="1"/>
  <c r="F108" i="3" l="1"/>
  <c r="H108" i="3" l="1"/>
  <c r="G108" i="3"/>
  <c r="I108" i="3"/>
  <c r="C109" i="3" s="1"/>
  <c r="B109" i="3" s="1"/>
  <c r="D109" i="3" s="1"/>
  <c r="E109" i="3" s="1" a="1"/>
  <c r="E109" i="3" s="1"/>
  <c r="F109" i="3" l="1"/>
  <c r="H109" i="3" l="1"/>
  <c r="G109" i="3"/>
  <c r="I109" i="3"/>
  <c r="C110" i="3" s="1"/>
  <c r="B110" i="3" s="1"/>
  <c r="D110" i="3" s="1"/>
  <c r="E110" i="3" s="1" a="1"/>
  <c r="E110" i="3" s="1"/>
  <c r="F110" i="3" l="1"/>
  <c r="H110" i="3" l="1"/>
  <c r="G110" i="3"/>
  <c r="I110" i="3"/>
  <c r="C111" i="3" s="1"/>
  <c r="B111" i="3" s="1"/>
  <c r="D111" i="3" s="1"/>
  <c r="E111" i="3" s="1" a="1"/>
  <c r="E111" i="3" s="1"/>
  <c r="F111" i="3" l="1"/>
  <c r="H111" i="3" l="1"/>
  <c r="G111" i="3"/>
  <c r="I111" i="3"/>
  <c r="C112" i="3" s="1"/>
  <c r="B112" i="3" s="1"/>
  <c r="D112" i="3" s="1"/>
  <c r="E112" i="3" s="1" a="1"/>
  <c r="E112" i="3" s="1"/>
  <c r="F112" i="3" l="1"/>
  <c r="H112" i="3" l="1"/>
  <c r="G112" i="3"/>
  <c r="I112" i="3"/>
  <c r="C113" i="3" s="1"/>
  <c r="B113" i="3" s="1"/>
  <c r="D113" i="3" s="1"/>
  <c r="E113" i="3" s="1" a="1"/>
  <c r="E113" i="3" s="1"/>
  <c r="F113" i="3" l="1"/>
  <c r="H113" i="3" l="1"/>
  <c r="G113" i="3"/>
  <c r="I113" i="3"/>
  <c r="C114" i="3" s="1"/>
  <c r="B114" i="3" s="1"/>
  <c r="D114" i="3" s="1"/>
  <c r="E114" i="3" s="1" a="1"/>
  <c r="E114" i="3" s="1"/>
  <c r="F114" i="3" l="1"/>
  <c r="H114" i="3" l="1"/>
  <c r="G114" i="3"/>
  <c r="I114" i="3"/>
  <c r="C115" i="3" s="1"/>
  <c r="B115" i="3" s="1"/>
  <c r="D115" i="3" s="1"/>
  <c r="E115" i="3" s="1" a="1"/>
  <c r="E115" i="3" s="1"/>
  <c r="F115" i="3" l="1"/>
  <c r="H115" i="3" l="1"/>
  <c r="G115" i="3"/>
  <c r="I115" i="3"/>
  <c r="C116" i="3" s="1"/>
  <c r="B116" i="3" s="1"/>
  <c r="D116" i="3" s="1"/>
  <c r="E116" i="3" s="1" a="1"/>
  <c r="E116" i="3" s="1"/>
  <c r="F116" i="3" l="1"/>
  <c r="H116" i="3" l="1"/>
  <c r="G116" i="3"/>
  <c r="I116" i="3"/>
  <c r="C117" i="3" s="1"/>
  <c r="B117" i="3" s="1"/>
  <c r="D117" i="3" s="1"/>
  <c r="E117" i="3" s="1" a="1"/>
  <c r="E117" i="3" s="1"/>
  <c r="F117" i="3" l="1"/>
  <c r="H117" i="3" l="1"/>
  <c r="G117" i="3"/>
  <c r="I117" i="3"/>
  <c r="C118" i="3" s="1"/>
  <c r="B118" i="3" s="1"/>
  <c r="D118" i="3" s="1"/>
  <c r="E118" i="3" s="1" a="1"/>
  <c r="E118" i="3" s="1"/>
  <c r="F118" i="3" l="1"/>
  <c r="H118" i="3" l="1"/>
  <c r="G118" i="3"/>
  <c r="I118" i="3"/>
  <c r="C119" i="3" s="1"/>
  <c r="B119" i="3" s="1"/>
  <c r="D119" i="3" s="1"/>
  <c r="E119" i="3" s="1" a="1"/>
  <c r="E119" i="3" s="1"/>
  <c r="F119" i="3" l="1"/>
  <c r="H119" i="3" l="1"/>
  <c r="G119" i="3"/>
  <c r="I119" i="3"/>
  <c r="C120" i="3" s="1"/>
  <c r="B120" i="3" s="1"/>
  <c r="D120" i="3" s="1"/>
  <c r="E120" i="3" s="1" a="1"/>
  <c r="E120" i="3" s="1"/>
  <c r="F120" i="3" l="1"/>
  <c r="H120" i="3" l="1"/>
  <c r="G120" i="3"/>
  <c r="I120" i="3"/>
  <c r="C121" i="3" s="1"/>
  <c r="B121" i="3" s="1"/>
  <c r="D121" i="3" s="1"/>
  <c r="E121" i="3" s="1" a="1"/>
  <c r="E121" i="3" s="1"/>
  <c r="F121" i="3" l="1"/>
  <c r="H121" i="3" l="1"/>
  <c r="G121" i="3"/>
  <c r="I121" i="3"/>
  <c r="C122" i="3" s="1"/>
  <c r="B122" i="3" s="1"/>
  <c r="D122" i="3" s="1"/>
  <c r="E122" i="3" s="1" a="1"/>
  <c r="E122" i="3" s="1"/>
  <c r="F122" i="3" l="1"/>
  <c r="H122" i="3" l="1"/>
  <c r="G122" i="3"/>
  <c r="I122" i="3"/>
  <c r="C123" i="3" s="1"/>
  <c r="B123" i="3" s="1"/>
  <c r="D123" i="3" s="1"/>
  <c r="E123" i="3" s="1" a="1"/>
  <c r="E123" i="3" s="1"/>
  <c r="F123" i="3" l="1"/>
  <c r="H123" i="3" l="1"/>
  <c r="G123" i="3"/>
  <c r="I123" i="3"/>
  <c r="C124" i="3" s="1"/>
  <c r="B124" i="3" s="1"/>
  <c r="D124" i="3" s="1"/>
  <c r="E124" i="3" s="1" a="1"/>
  <c r="E124" i="3" s="1"/>
  <c r="F124" i="3" l="1"/>
  <c r="H124" i="3" l="1"/>
  <c r="G124" i="3"/>
  <c r="I124" i="3"/>
  <c r="C125" i="3" s="1"/>
  <c r="B125" i="3" s="1"/>
  <c r="D125" i="3" s="1"/>
  <c r="E125" i="3" s="1" a="1"/>
  <c r="E125" i="3" s="1"/>
  <c r="F125" i="3" l="1"/>
  <c r="H125" i="3" l="1"/>
  <c r="G125" i="3"/>
  <c r="I125" i="3" l="1"/>
  <c r="C126" i="3" s="1"/>
  <c r="B126" i="3" s="1"/>
  <c r="D126" i="3" s="1"/>
  <c r="E126" i="3" s="1" a="1"/>
  <c r="E126" i="3" s="1"/>
  <c r="F126" i="3" s="1"/>
  <c r="H126" i="3" l="1"/>
  <c r="G126" i="3"/>
  <c r="I126" i="3"/>
  <c r="C127" i="3" s="1"/>
  <c r="B127" i="3" s="1"/>
  <c r="D127" i="3" s="1"/>
  <c r="E127" i="3" s="1" a="1"/>
  <c r="E127" i="3" s="1"/>
  <c r="F127" i="3" l="1"/>
  <c r="H127" i="3" l="1"/>
  <c r="G127" i="3"/>
  <c r="I127" i="3"/>
  <c r="C128" i="3" s="1"/>
  <c r="B128" i="3" s="1"/>
  <c r="D128" i="3" s="1"/>
  <c r="E128" i="3" s="1" a="1"/>
  <c r="E128" i="3" s="1"/>
  <c r="F128" i="3" l="1"/>
  <c r="H128" i="3" l="1"/>
  <c r="G128" i="3"/>
  <c r="I128" i="3"/>
  <c r="C129" i="3" s="1"/>
  <c r="B129" i="3" s="1"/>
  <c r="D129" i="3" s="1"/>
  <c r="E129" i="3" s="1" a="1"/>
  <c r="E129" i="3" s="1"/>
  <c r="F129" i="3" l="1"/>
  <c r="H129" i="3" l="1"/>
  <c r="G129" i="3"/>
  <c r="I129" i="3"/>
  <c r="C130" i="3" s="1"/>
  <c r="B130" i="3" s="1"/>
  <c r="D130" i="3" s="1"/>
  <c r="E130" i="3" s="1" a="1"/>
  <c r="E130" i="3" s="1"/>
  <c r="F130" i="3" l="1"/>
  <c r="H130" i="3" l="1"/>
  <c r="G130" i="3"/>
  <c r="I130" i="3"/>
  <c r="C131" i="3" s="1"/>
  <c r="B131" i="3" s="1"/>
  <c r="D131" i="3" s="1"/>
  <c r="E131" i="3" s="1" a="1"/>
  <c r="E131" i="3" s="1"/>
  <c r="F131" i="3" l="1"/>
  <c r="H131" i="3" l="1"/>
  <c r="G131" i="3"/>
  <c r="I131" i="3"/>
  <c r="C132" i="3" s="1"/>
  <c r="B132" i="3" s="1"/>
  <c r="D132" i="3" s="1"/>
  <c r="E132" i="3" s="1" a="1"/>
  <c r="E132" i="3" s="1"/>
  <c r="F132" i="3" l="1"/>
  <c r="H132" i="3" l="1"/>
  <c r="G132" i="3"/>
  <c r="I132" i="3"/>
  <c r="C133" i="3" s="1"/>
  <c r="B133" i="3" s="1"/>
  <c r="D133" i="3" s="1"/>
  <c r="E133" i="3" s="1" a="1"/>
  <c r="E133" i="3" s="1"/>
  <c r="F133" i="3" l="1"/>
  <c r="H133" i="3" l="1"/>
  <c r="G133" i="3"/>
  <c r="I133" i="3"/>
  <c r="C134" i="3" s="1"/>
  <c r="B134" i="3" s="1"/>
  <c r="D134" i="3" s="1"/>
  <c r="E134" i="3" s="1" a="1"/>
  <c r="E134" i="3" s="1"/>
  <c r="F134" i="3" l="1"/>
  <c r="H134" i="3" l="1"/>
  <c r="G134" i="3"/>
  <c r="I134" i="3"/>
  <c r="C135" i="3" s="1"/>
  <c r="B135" i="3" s="1"/>
  <c r="D135" i="3" s="1"/>
  <c r="E135" i="3" s="1" a="1"/>
  <c r="E135" i="3" s="1"/>
  <c r="F135" i="3" l="1"/>
  <c r="H135" i="3" l="1"/>
  <c r="G135" i="3"/>
  <c r="I135" i="3"/>
  <c r="C136" i="3" s="1"/>
  <c r="B136" i="3" s="1"/>
  <c r="D136" i="3" s="1"/>
  <c r="E136" i="3" s="1" a="1"/>
  <c r="E136" i="3" s="1"/>
  <c r="F136" i="3" l="1"/>
  <c r="H136" i="3" l="1"/>
  <c r="G136" i="3"/>
  <c r="I136" i="3"/>
  <c r="C137" i="3" s="1"/>
  <c r="B137" i="3" s="1"/>
  <c r="D137" i="3" s="1"/>
  <c r="E137" i="3" s="1" a="1"/>
  <c r="E137" i="3" s="1"/>
  <c r="F137" i="3" l="1"/>
  <c r="H137" i="3" l="1"/>
  <c r="G137" i="3"/>
  <c r="I137" i="3"/>
  <c r="C138" i="3" s="1"/>
  <c r="B138" i="3" s="1"/>
  <c r="D138" i="3" s="1"/>
  <c r="E138" i="3" s="1" a="1"/>
  <c r="E138" i="3" s="1"/>
  <c r="F138" i="3" l="1"/>
  <c r="H138" i="3" l="1"/>
  <c r="G138" i="3"/>
  <c r="I138" i="3"/>
  <c r="C139" i="3" s="1"/>
  <c r="B139" i="3" s="1"/>
  <c r="D139" i="3" s="1"/>
  <c r="E139" i="3" s="1" a="1"/>
  <c r="E139" i="3" s="1"/>
  <c r="F139" i="3" l="1"/>
  <c r="H139" i="3" l="1"/>
  <c r="G139" i="3"/>
  <c r="I139" i="3"/>
  <c r="C140" i="3" s="1"/>
  <c r="B140" i="3" s="1"/>
  <c r="D140" i="3" s="1"/>
  <c r="E140" i="3" s="1" a="1"/>
  <c r="E140" i="3" s="1"/>
  <c r="F140" i="3" l="1"/>
  <c r="H140" i="3" l="1"/>
  <c r="G140" i="3"/>
  <c r="I140" i="3"/>
  <c r="C141" i="3" s="1"/>
  <c r="B141" i="3" s="1"/>
  <c r="D141" i="3" s="1"/>
  <c r="E141" i="3" s="1" a="1"/>
  <c r="E141" i="3" s="1"/>
  <c r="F141" i="3" l="1"/>
  <c r="H141" i="3" l="1"/>
  <c r="G141" i="3"/>
  <c r="I141" i="3"/>
  <c r="C142" i="3" s="1"/>
  <c r="B142" i="3" s="1"/>
  <c r="D142" i="3" s="1"/>
  <c r="E142" i="3" s="1" a="1"/>
  <c r="E142" i="3" s="1"/>
  <c r="F142" i="3" l="1"/>
  <c r="H142" i="3" l="1"/>
  <c r="I142" i="3" s="1"/>
  <c r="C143" i="3" s="1"/>
  <c r="B143" i="3" s="1"/>
  <c r="D143" i="3" s="1"/>
  <c r="E143" i="3" s="1" a="1"/>
  <c r="E143" i="3" s="1"/>
  <c r="G142" i="3"/>
  <c r="F143" i="3" l="1"/>
  <c r="H143" i="3" l="1"/>
  <c r="G143" i="3"/>
  <c r="I143" i="3"/>
  <c r="C144" i="3" s="1"/>
  <c r="B144" i="3" s="1"/>
  <c r="D144" i="3" s="1"/>
  <c r="E144" i="3" s="1" a="1"/>
  <c r="E144" i="3" s="1"/>
  <c r="F144" i="3" l="1"/>
  <c r="H144" i="3" l="1"/>
  <c r="G144" i="3"/>
  <c r="I144" i="3" l="1"/>
  <c r="C145" i="3" s="1"/>
  <c r="B145" i="3" s="1"/>
  <c r="D145" i="3" s="1"/>
  <c r="E145" i="3" s="1" a="1"/>
  <c r="E145" i="3" s="1"/>
  <c r="F145" i="3" s="1"/>
  <c r="H145" i="3" l="1"/>
  <c r="G145" i="3"/>
  <c r="I145" i="3"/>
  <c r="C146" i="3" s="1"/>
  <c r="B146" i="3" s="1"/>
  <c r="D146" i="3" s="1"/>
  <c r="E146" i="3" s="1" a="1"/>
  <c r="E146" i="3" s="1"/>
  <c r="F146" i="3" l="1"/>
  <c r="H146" i="3" l="1"/>
  <c r="G146" i="3"/>
  <c r="I146" i="3"/>
  <c r="C147" i="3" s="1"/>
  <c r="B147" i="3" s="1"/>
  <c r="D147" i="3" s="1"/>
  <c r="E147" i="3" s="1" a="1"/>
  <c r="E147" i="3" s="1"/>
  <c r="F147" i="3" l="1"/>
  <c r="H147" i="3" l="1"/>
  <c r="G147" i="3"/>
  <c r="I147" i="3"/>
  <c r="C148" i="3" s="1"/>
  <c r="B148" i="3" s="1"/>
  <c r="D148" i="3" s="1"/>
  <c r="E148" i="3" s="1" a="1"/>
  <c r="E148" i="3" s="1"/>
  <c r="F148" i="3" l="1"/>
  <c r="H148" i="3" l="1"/>
  <c r="G148" i="3"/>
  <c r="I148" i="3"/>
  <c r="C149" i="3" s="1"/>
  <c r="B149" i="3" s="1"/>
  <c r="D149" i="3" s="1"/>
  <c r="E149" i="3" s="1" a="1"/>
  <c r="E149" i="3" s="1"/>
  <c r="F149" i="3" l="1"/>
  <c r="H149" i="3" l="1"/>
  <c r="G149" i="3"/>
  <c r="I149" i="3"/>
  <c r="C150" i="3" s="1"/>
  <c r="B150" i="3" s="1"/>
  <c r="D150" i="3" s="1"/>
  <c r="E150" i="3" s="1" a="1"/>
  <c r="E150" i="3" s="1"/>
  <c r="F150" i="3" l="1"/>
  <c r="H150" i="3" l="1"/>
  <c r="G150" i="3"/>
  <c r="I150" i="3"/>
  <c r="C151" i="3" s="1"/>
  <c r="B151" i="3" s="1"/>
  <c r="D151" i="3" s="1"/>
  <c r="E151" i="3" s="1" a="1"/>
  <c r="E151" i="3" s="1"/>
  <c r="F151" i="3" l="1"/>
  <c r="H151" i="3" l="1"/>
  <c r="I151" i="3" s="1"/>
  <c r="C152" i="3" s="1"/>
  <c r="B152" i="3" s="1"/>
  <c r="D152" i="3" s="1"/>
  <c r="E152" i="3" s="1" a="1"/>
  <c r="E152" i="3" s="1"/>
  <c r="G151" i="3"/>
  <c r="F152" i="3" l="1"/>
  <c r="H152" i="3" l="1"/>
  <c r="G152" i="3"/>
  <c r="I152" i="3"/>
  <c r="C153" i="3" s="1"/>
  <c r="B153" i="3" s="1"/>
  <c r="D153" i="3" s="1"/>
  <c r="E153" i="3" s="1" a="1"/>
  <c r="E153" i="3" s="1"/>
  <c r="F153" i="3" l="1"/>
  <c r="H153" i="3" l="1"/>
  <c r="G153" i="3"/>
  <c r="I153" i="3"/>
  <c r="C154" i="3" s="1"/>
  <c r="B154" i="3" s="1"/>
  <c r="D154" i="3" s="1"/>
  <c r="E154" i="3" s="1" a="1"/>
  <c r="E154" i="3" s="1"/>
  <c r="F154" i="3" l="1"/>
  <c r="H154" i="3" l="1"/>
  <c r="G154" i="3"/>
  <c r="I154" i="3"/>
  <c r="C155" i="3" s="1"/>
  <c r="B155" i="3" s="1"/>
  <c r="D155" i="3" s="1"/>
  <c r="E155" i="3" s="1" a="1"/>
  <c r="E155" i="3" s="1"/>
  <c r="F155" i="3" l="1"/>
  <c r="H155" i="3" l="1"/>
  <c r="G155" i="3"/>
  <c r="I155" i="3"/>
  <c r="C156" i="3" s="1"/>
  <c r="B156" i="3" s="1"/>
  <c r="D156" i="3" s="1"/>
  <c r="E156" i="3" s="1" a="1"/>
  <c r="E156" i="3" s="1"/>
  <c r="F156" i="3" l="1"/>
  <c r="H156" i="3" l="1"/>
  <c r="G156" i="3"/>
  <c r="I156" i="3"/>
  <c r="C157" i="3" s="1"/>
  <c r="B157" i="3" s="1"/>
  <c r="D157" i="3" s="1"/>
  <c r="E157" i="3" s="1" a="1"/>
  <c r="E157" i="3" s="1"/>
  <c r="F157" i="3" l="1"/>
  <c r="H157" i="3" l="1"/>
  <c r="G157" i="3"/>
  <c r="I157" i="3"/>
  <c r="C158" i="3" s="1"/>
  <c r="B158" i="3" s="1"/>
  <c r="D158" i="3" s="1"/>
  <c r="E158" i="3" s="1" a="1"/>
  <c r="E158" i="3" s="1"/>
  <c r="F158" i="3" l="1"/>
  <c r="H158" i="3" l="1"/>
  <c r="G158" i="3"/>
  <c r="I158" i="3"/>
  <c r="C159" i="3" s="1"/>
  <c r="B159" i="3" s="1"/>
  <c r="D159" i="3" s="1"/>
  <c r="E159" i="3" s="1" a="1"/>
  <c r="E159" i="3" s="1"/>
  <c r="F159" i="3" l="1"/>
  <c r="H159" i="3" l="1"/>
  <c r="G159" i="3"/>
  <c r="I159" i="3"/>
  <c r="C160" i="3" s="1"/>
  <c r="B160" i="3" s="1"/>
  <c r="D160" i="3" s="1"/>
  <c r="E160" i="3" s="1" a="1"/>
  <c r="E160" i="3" s="1"/>
  <c r="F160" i="3" l="1"/>
  <c r="H160" i="3" l="1"/>
  <c r="G160" i="3"/>
  <c r="I160" i="3"/>
  <c r="C161" i="3" s="1"/>
  <c r="B161" i="3" s="1"/>
  <c r="D161" i="3" s="1"/>
  <c r="E161" i="3" s="1" a="1"/>
  <c r="E161" i="3" s="1"/>
  <c r="F161" i="3" l="1"/>
  <c r="H161" i="3" l="1"/>
  <c r="G161" i="3"/>
  <c r="I161" i="3"/>
  <c r="C162" i="3" s="1"/>
  <c r="B162" i="3" s="1"/>
  <c r="D162" i="3" s="1"/>
  <c r="E162" i="3" s="1" a="1"/>
  <c r="E162" i="3" s="1"/>
  <c r="F162" i="3" l="1"/>
  <c r="H162" i="3" l="1"/>
  <c r="G162" i="3"/>
  <c r="I162" i="3"/>
  <c r="C163" i="3" s="1"/>
  <c r="B163" i="3" s="1"/>
  <c r="D163" i="3" s="1"/>
  <c r="E163" i="3" s="1" a="1"/>
  <c r="E163" i="3" s="1"/>
  <c r="F163" i="3" l="1"/>
  <c r="H163" i="3" l="1"/>
  <c r="G163" i="3"/>
  <c r="I163" i="3"/>
  <c r="C164" i="3" s="1"/>
  <c r="B164" i="3" s="1"/>
  <c r="D164" i="3" s="1"/>
  <c r="E164" i="3" s="1" a="1"/>
  <c r="E164" i="3" s="1"/>
  <c r="F164" i="3" l="1"/>
  <c r="H164" i="3" l="1"/>
  <c r="G164" i="3"/>
  <c r="I164" i="3"/>
  <c r="C165" i="3" s="1"/>
  <c r="B165" i="3" s="1"/>
  <c r="D165" i="3" s="1"/>
  <c r="E165" i="3" s="1" a="1"/>
  <c r="E165" i="3" s="1"/>
  <c r="F165" i="3" l="1"/>
  <c r="H165" i="3" l="1"/>
  <c r="G165" i="3"/>
  <c r="I165" i="3"/>
  <c r="C166" i="3" s="1"/>
  <c r="B166" i="3" s="1"/>
  <c r="D166" i="3" s="1"/>
  <c r="E166" i="3" s="1" a="1"/>
  <c r="E166" i="3" s="1"/>
  <c r="F166" i="3" l="1"/>
  <c r="H166" i="3" l="1"/>
  <c r="G166" i="3"/>
  <c r="I166" i="3"/>
  <c r="C167" i="3" s="1"/>
  <c r="B167" i="3" s="1"/>
  <c r="D167" i="3" s="1"/>
  <c r="E167" i="3" s="1" a="1"/>
  <c r="E167" i="3" s="1"/>
  <c r="F167" i="3" l="1"/>
  <c r="H167" i="3" l="1"/>
  <c r="G167" i="3"/>
  <c r="I167" i="3"/>
  <c r="C168" i="3" s="1"/>
  <c r="B168" i="3" s="1"/>
  <c r="D168" i="3" s="1"/>
  <c r="E168" i="3" s="1" a="1"/>
  <c r="E168" i="3" s="1"/>
  <c r="F168" i="3" l="1"/>
  <c r="H168" i="3" l="1"/>
  <c r="G168" i="3"/>
  <c r="I168" i="3"/>
  <c r="C169" i="3" s="1"/>
  <c r="B169" i="3" s="1"/>
  <c r="D169" i="3" s="1"/>
  <c r="E169" i="3" s="1" a="1"/>
  <c r="E169" i="3" s="1"/>
  <c r="F169" i="3" l="1"/>
  <c r="H169" i="3" l="1"/>
  <c r="G169" i="3"/>
  <c r="I169" i="3"/>
  <c r="C170" i="3" s="1"/>
  <c r="B170" i="3" s="1"/>
  <c r="D170" i="3" s="1"/>
  <c r="E170" i="3" s="1" a="1"/>
  <c r="E170" i="3" s="1"/>
  <c r="F170" i="3" l="1"/>
  <c r="H170" i="3" l="1"/>
  <c r="G170" i="3"/>
  <c r="I170" i="3" l="1"/>
  <c r="C171" i="3" s="1"/>
  <c r="B171" i="3" s="1"/>
  <c r="D171" i="3" s="1"/>
  <c r="E171" i="3" s="1" a="1"/>
  <c r="E171" i="3" s="1"/>
  <c r="F171" i="3" s="1"/>
  <c r="H171" i="3" l="1"/>
  <c r="G171" i="3"/>
  <c r="I171" i="3" l="1"/>
  <c r="C172" i="3" s="1"/>
  <c r="B172" i="3" s="1"/>
  <c r="D172" i="3" s="1"/>
  <c r="E172" i="3" s="1" a="1"/>
  <c r="E172" i="3" s="1"/>
  <c r="F172" i="3" s="1"/>
  <c r="H172" i="3" l="1"/>
  <c r="G172" i="3"/>
  <c r="I172" i="3"/>
  <c r="C173" i="3" s="1"/>
  <c r="B173" i="3" s="1"/>
  <c r="D173" i="3" s="1"/>
  <c r="E173" i="3" s="1" a="1"/>
  <c r="E173" i="3" s="1"/>
  <c r="F173" i="3" l="1"/>
  <c r="H173" i="3" l="1"/>
  <c r="G173" i="3"/>
  <c r="I173" i="3"/>
  <c r="C174" i="3" s="1"/>
  <c r="B174" i="3" s="1"/>
  <c r="D174" i="3" s="1"/>
  <c r="E174" i="3" s="1" a="1"/>
  <c r="E174" i="3" s="1"/>
  <c r="F174" i="3" l="1"/>
  <c r="H174" i="3" l="1"/>
  <c r="G174" i="3"/>
  <c r="I174" i="3"/>
  <c r="C175" i="3" s="1"/>
  <c r="B175" i="3" s="1"/>
  <c r="D175" i="3" s="1"/>
  <c r="E175" i="3" s="1" a="1"/>
  <c r="E175" i="3" s="1"/>
  <c r="F175" i="3" l="1"/>
  <c r="H175" i="3" l="1"/>
  <c r="G175" i="3"/>
  <c r="I175" i="3"/>
  <c r="C176" i="3" s="1"/>
  <c r="B176" i="3" s="1"/>
  <c r="D176" i="3" s="1"/>
  <c r="E176" i="3" s="1" a="1"/>
  <c r="E176" i="3" s="1"/>
  <c r="F176" i="3" l="1"/>
  <c r="H176" i="3" l="1"/>
  <c r="G176" i="3"/>
  <c r="I176" i="3"/>
  <c r="C177" i="3" s="1"/>
  <c r="B177" i="3" s="1"/>
  <c r="D177" i="3" s="1"/>
  <c r="E177" i="3" s="1" a="1"/>
  <c r="E177" i="3" s="1"/>
  <c r="F177" i="3" l="1"/>
  <c r="H177" i="3" l="1"/>
  <c r="G177" i="3"/>
  <c r="I177" i="3"/>
  <c r="C178" i="3" s="1"/>
  <c r="B178" i="3" s="1"/>
  <c r="D178" i="3" s="1"/>
  <c r="E178" i="3" s="1" a="1"/>
  <c r="E178" i="3" s="1"/>
  <c r="F178" i="3" l="1"/>
  <c r="H178" i="3" l="1"/>
  <c r="G178" i="3"/>
  <c r="I178" i="3" l="1"/>
  <c r="C179" i="3" s="1"/>
  <c r="B179" i="3" s="1"/>
  <c r="D179" i="3" s="1"/>
  <c r="E179" i="3" s="1" a="1"/>
  <c r="E179" i="3" s="1"/>
  <c r="F179" i="3" s="1"/>
  <c r="H179" i="3" l="1"/>
  <c r="G179" i="3"/>
  <c r="I179" i="3"/>
  <c r="C180" i="3" s="1"/>
  <c r="B180" i="3" s="1"/>
  <c r="D180" i="3" s="1"/>
  <c r="E180" i="3" s="1" a="1"/>
  <c r="E180" i="3" s="1"/>
  <c r="F180" i="3" l="1"/>
  <c r="H180" i="3" l="1"/>
  <c r="G180" i="3"/>
  <c r="I180" i="3"/>
  <c r="C181" i="3" s="1"/>
  <c r="B181" i="3" s="1"/>
  <c r="D181" i="3" s="1"/>
  <c r="E181" i="3" s="1" a="1"/>
  <c r="E181" i="3" s="1"/>
  <c r="F181" i="3" l="1"/>
  <c r="H181" i="3" l="1"/>
  <c r="G181" i="3"/>
  <c r="I181" i="3"/>
  <c r="C182" i="3" s="1"/>
  <c r="B182" i="3" s="1"/>
  <c r="D182" i="3" s="1"/>
  <c r="E182" i="3" s="1" a="1"/>
  <c r="E182" i="3" s="1"/>
  <c r="F182" i="3" l="1"/>
  <c r="H182" i="3" l="1"/>
  <c r="G182" i="3"/>
  <c r="I182" i="3"/>
  <c r="C183" i="3" s="1"/>
  <c r="B183" i="3" s="1"/>
  <c r="D183" i="3" s="1"/>
  <c r="E183" i="3" s="1" a="1"/>
  <c r="E183" i="3" s="1"/>
  <c r="F183" i="3" l="1"/>
  <c r="H183" i="3" l="1"/>
  <c r="G183" i="3"/>
  <c r="I183" i="3"/>
  <c r="C184" i="3" s="1"/>
  <c r="B184" i="3" s="1"/>
  <c r="D184" i="3" s="1"/>
  <c r="E184" i="3" s="1" a="1"/>
  <c r="E184" i="3" s="1"/>
  <c r="F184" i="3" l="1"/>
  <c r="H184" i="3" l="1"/>
  <c r="G184" i="3"/>
  <c r="I184" i="3"/>
  <c r="C185" i="3" s="1"/>
  <c r="B185" i="3" l="1"/>
  <c r="D185" i="3" s="1"/>
  <c r="E185" i="3" s="1" a="1"/>
  <c r="E185" i="3" s="1"/>
  <c r="F185" i="3" s="1"/>
  <c r="G185" i="3" s="1"/>
  <c r="H185" i="3" l="1"/>
  <c r="I185" i="3" l="1"/>
  <c r="C186" i="3" s="1"/>
  <c r="B186" i="3" l="1"/>
  <c r="D186" i="3" s="1"/>
  <c r="E186" i="3" s="1" a="1"/>
  <c r="E186" i="3" s="1"/>
  <c r="F186" i="3" s="1"/>
  <c r="G186" i="3" s="1"/>
  <c r="H186" i="3" l="1"/>
  <c r="I186" i="3" l="1"/>
  <c r="C187" i="3" s="1"/>
  <c r="B187" i="3" l="1"/>
  <c r="D187" i="3" s="1"/>
  <c r="E187" i="3" s="1" a="1"/>
  <c r="E187" i="3" s="1"/>
  <c r="F187" i="3" s="1"/>
  <c r="G187" i="3" s="1"/>
  <c r="H187" i="3" l="1"/>
  <c r="I187" i="3" l="1"/>
  <c r="C188" i="3" s="1"/>
  <c r="B188" i="3" l="1"/>
  <c r="D188" i="3" s="1"/>
  <c r="E188" i="3" s="1" a="1"/>
  <c r="E188" i="3" s="1"/>
  <c r="F188" i="3" s="1"/>
  <c r="G188" i="3" s="1"/>
  <c r="H188" i="3" l="1"/>
  <c r="I188" i="3" l="1"/>
  <c r="C189" i="3" s="1"/>
  <c r="B189" i="3" l="1"/>
  <c r="D189" i="3" s="1"/>
  <c r="E189" i="3" s="1" a="1"/>
  <c r="E189" i="3" s="1"/>
  <c r="F189" i="3" s="1"/>
  <c r="G189" i="3" s="1"/>
  <c r="H189" i="3" l="1"/>
  <c r="I189" i="3" l="1"/>
  <c r="C190" i="3" s="1"/>
  <c r="B190" i="3" l="1"/>
  <c r="D190" i="3" s="1"/>
  <c r="E190" i="3" s="1" a="1"/>
  <c r="E190" i="3" s="1"/>
  <c r="F190" i="3" s="1"/>
  <c r="G190" i="3" s="1"/>
  <c r="H190" i="3" l="1"/>
  <c r="I190" i="3" l="1"/>
  <c r="C191" i="3" s="1"/>
  <c r="B191" i="3" l="1"/>
  <c r="D191" i="3" s="1"/>
  <c r="E191" i="3" s="1" a="1"/>
  <c r="E191" i="3" s="1"/>
  <c r="F191" i="3" s="1"/>
  <c r="G191" i="3" s="1"/>
  <c r="H191" i="3" l="1"/>
  <c r="I191" i="3" l="1"/>
  <c r="C192" i="3" s="1"/>
  <c r="B192" i="3" l="1"/>
  <c r="D192" i="3" s="1"/>
  <c r="E192" i="3" s="1" a="1"/>
  <c r="E192" i="3" s="1"/>
  <c r="F192" i="3" s="1"/>
  <c r="G192" i="3" s="1"/>
  <c r="H192" i="3" l="1"/>
  <c r="I192" i="3" l="1"/>
  <c r="C193" i="3" s="1"/>
  <c r="B193" i="3" l="1"/>
  <c r="D193" i="3" s="1"/>
  <c r="E193" i="3" s="1" a="1"/>
  <c r="E193" i="3" s="1"/>
  <c r="F193" i="3" s="1"/>
  <c r="G193" i="3" s="1"/>
  <c r="H193" i="3" l="1"/>
  <c r="I193" i="3" l="1"/>
  <c r="C194" i="3" s="1"/>
  <c r="B194" i="3" l="1"/>
  <c r="D194" i="3" s="1"/>
  <c r="E194" i="3" s="1" a="1"/>
  <c r="E194" i="3" s="1"/>
  <c r="F194" i="3" s="1"/>
  <c r="G194" i="3" s="1"/>
  <c r="H194" i="3" l="1"/>
  <c r="I194" i="3" l="1"/>
  <c r="C195" i="3" s="1"/>
  <c r="B195" i="3" l="1"/>
  <c r="D195" i="3" s="1"/>
  <c r="E195" i="3" s="1" a="1"/>
  <c r="E195" i="3" s="1"/>
  <c r="F195" i="3" s="1"/>
  <c r="G195" i="3" s="1"/>
  <c r="H195" i="3" l="1"/>
  <c r="I195" i="3" l="1"/>
  <c r="C196" i="3" s="1"/>
  <c r="B196" i="3" l="1"/>
  <c r="D196" i="3" s="1"/>
  <c r="E196" i="3" s="1" a="1"/>
  <c r="E196" i="3" s="1"/>
  <c r="F196" i="3" s="1"/>
  <c r="G196" i="3" s="1"/>
  <c r="H196" i="3" l="1"/>
  <c r="I196" i="3" l="1"/>
  <c r="C197" i="3" s="1"/>
  <c r="B197" i="3" l="1"/>
  <c r="D197" i="3" s="1"/>
  <c r="E197" i="3" s="1" a="1"/>
  <c r="E197" i="3" s="1"/>
  <c r="F197" i="3" s="1"/>
  <c r="G197" i="3" s="1"/>
  <c r="H197" i="3" l="1"/>
  <c r="I197" i="3" l="1"/>
  <c r="C198" i="3" s="1"/>
  <c r="B198" i="3" l="1"/>
  <c r="D198" i="3" s="1"/>
  <c r="E198" i="3" s="1" a="1"/>
  <c r="E198" i="3" s="1"/>
  <c r="F198" i="3" s="1"/>
  <c r="G198" i="3" s="1"/>
  <c r="H198" i="3" l="1"/>
  <c r="I198" i="3" l="1"/>
  <c r="C199" i="3" s="1"/>
  <c r="B199" i="3" l="1"/>
  <c r="D199" i="3" s="1"/>
  <c r="E199" i="3" s="1" a="1"/>
  <c r="E199" i="3" s="1"/>
  <c r="F199" i="3" s="1"/>
  <c r="G199" i="3" s="1"/>
  <c r="H199" i="3" l="1"/>
  <c r="I199" i="3" l="1"/>
  <c r="C200" i="3" s="1"/>
  <c r="B200" i="3" l="1"/>
  <c r="D200" i="3" s="1"/>
  <c r="E200" i="3" s="1" a="1"/>
  <c r="E200" i="3" s="1"/>
  <c r="F200" i="3" s="1"/>
  <c r="G200" i="3" s="1"/>
  <c r="H200" i="3" l="1"/>
  <c r="I200" i="3" l="1"/>
  <c r="C201" i="3" s="1"/>
  <c r="B201" i="3" l="1"/>
  <c r="D201" i="3" s="1"/>
  <c r="E201" i="3" s="1" a="1"/>
  <c r="E201" i="3" s="1"/>
  <c r="F201" i="3" s="1"/>
  <c r="G201" i="3" s="1"/>
  <c r="H201" i="3" l="1"/>
  <c r="I201" i="3" l="1"/>
  <c r="C202" i="3" s="1"/>
  <c r="B202" i="3" l="1"/>
  <c r="D202" i="3" s="1"/>
  <c r="E202" i="3" s="1" a="1"/>
  <c r="E202" i="3" s="1"/>
  <c r="F202" i="3" s="1"/>
  <c r="G202" i="3" s="1"/>
  <c r="H202" i="3" l="1"/>
  <c r="I202" i="3" l="1"/>
  <c r="C203" i="3" s="1"/>
  <c r="B203" i="3" l="1"/>
  <c r="D203" i="3" s="1"/>
  <c r="E203" i="3" s="1" a="1"/>
  <c r="E203" i="3" s="1"/>
  <c r="F203" i="3" s="1"/>
  <c r="G203" i="3" s="1"/>
  <c r="H203" i="3" l="1"/>
  <c r="I203" i="3" l="1"/>
  <c r="C204" i="3" s="1"/>
  <c r="B204" i="3" l="1"/>
  <c r="D204" i="3" s="1"/>
  <c r="E204" i="3" s="1" a="1"/>
  <c r="E204" i="3" s="1"/>
  <c r="F204" i="3" s="1"/>
  <c r="G204" i="3" s="1"/>
  <c r="H204" i="3" l="1"/>
  <c r="I204" i="3" l="1"/>
  <c r="C205" i="3" s="1"/>
  <c r="B205" i="3" l="1"/>
  <c r="D205" i="3" s="1"/>
  <c r="E205" i="3" s="1" a="1"/>
  <c r="E205" i="3" s="1"/>
  <c r="F205" i="3" s="1"/>
  <c r="G205" i="3" s="1"/>
  <c r="H205" i="3" l="1"/>
  <c r="I205" i="3" l="1"/>
  <c r="C206" i="3" s="1"/>
  <c r="B206" i="3" l="1"/>
  <c r="D206" i="3" s="1"/>
  <c r="E206" i="3" s="1" a="1"/>
  <c r="E206" i="3" s="1"/>
  <c r="F206" i="3" s="1"/>
  <c r="G206" i="3" s="1"/>
  <c r="H206" i="3" l="1"/>
  <c r="I206" i="3" l="1"/>
  <c r="C207" i="3" s="1"/>
  <c r="B207" i="3" l="1"/>
  <c r="D207" i="3" s="1"/>
  <c r="E207" i="3" s="1" a="1"/>
  <c r="E207" i="3" s="1"/>
  <c r="F207" i="3" s="1"/>
  <c r="G207" i="3" s="1"/>
  <c r="H207" i="3" l="1"/>
  <c r="I207" i="3" l="1"/>
  <c r="C208" i="3" s="1"/>
  <c r="B208" i="3" l="1"/>
  <c r="D208" i="3" s="1"/>
  <c r="E208" i="3" s="1" a="1"/>
  <c r="E208" i="3" s="1"/>
  <c r="F208" i="3" s="1"/>
  <c r="G208" i="3" s="1"/>
  <c r="H208" i="3" l="1"/>
  <c r="I208" i="3" l="1"/>
  <c r="C209" i="3" s="1"/>
  <c r="B209" i="3" l="1"/>
  <c r="D209" i="3" s="1"/>
  <c r="E209" i="3" s="1" a="1"/>
  <c r="E209" i="3" s="1"/>
  <c r="F209" i="3" s="1"/>
  <c r="G209" i="3" s="1"/>
  <c r="H209" i="3" l="1"/>
  <c r="I209" i="3" l="1"/>
  <c r="C210" i="3" s="1"/>
  <c r="B210" i="3" l="1"/>
  <c r="D210" i="3" s="1"/>
  <c r="E210" i="3" s="1" a="1"/>
  <c r="E210" i="3" s="1"/>
  <c r="F210" i="3" s="1"/>
  <c r="G210" i="3" s="1"/>
  <c r="H210" i="3" l="1"/>
  <c r="I210" i="3" l="1"/>
  <c r="C211" i="3" s="1"/>
  <c r="B211" i="3" l="1"/>
  <c r="D211" i="3" s="1"/>
  <c r="E211" i="3" s="1" a="1"/>
  <c r="E211" i="3" s="1"/>
  <c r="F211" i="3" s="1"/>
  <c r="G211" i="3" s="1"/>
  <c r="H211" i="3" l="1"/>
  <c r="I211" i="3" l="1"/>
  <c r="C212" i="3" s="1"/>
  <c r="B212" i="3" l="1"/>
  <c r="D212" i="3" s="1"/>
  <c r="E212" i="3" s="1" a="1"/>
  <c r="E212" i="3" s="1"/>
  <c r="F212" i="3" s="1"/>
  <c r="G212" i="3" s="1"/>
  <c r="H212" i="3" l="1"/>
  <c r="I212" i="3" l="1"/>
  <c r="C213" i="3" s="1"/>
  <c r="B213" i="3" l="1"/>
  <c r="D213" i="3" s="1"/>
  <c r="E213" i="3" s="1" a="1"/>
  <c r="E213" i="3" s="1"/>
  <c r="F213" i="3" s="1"/>
  <c r="G213" i="3" s="1"/>
  <c r="H213" i="3" l="1"/>
  <c r="I213" i="3" l="1"/>
  <c r="C214" i="3" s="1"/>
  <c r="B214" i="3" s="1"/>
  <c r="D214" i="3" s="1"/>
  <c r="E214" i="3" s="1" a="1"/>
  <c r="E214" i="3" s="1"/>
  <c r="F214" i="3" s="1"/>
  <c r="G214" i="3" s="1"/>
  <c r="H214" i="3" l="1"/>
  <c r="I214" i="3" l="1"/>
  <c r="C215" i="3" s="1"/>
  <c r="B215" i="3" l="1"/>
  <c r="D215" i="3" s="1"/>
  <c r="E215" i="3" s="1" a="1"/>
  <c r="E215" i="3" s="1"/>
  <c r="F215" i="3" s="1"/>
  <c r="G215" i="3" s="1"/>
  <c r="H215" i="3" l="1"/>
  <c r="I215" i="3" l="1"/>
  <c r="C216" i="3" s="1"/>
  <c r="B216" i="3" l="1"/>
  <c r="D216" i="3" s="1"/>
  <c r="E216" i="3" s="1" a="1"/>
  <c r="E216" i="3" s="1"/>
  <c r="F216" i="3" s="1"/>
  <c r="G216" i="3" s="1"/>
  <c r="H216" i="3" l="1"/>
  <c r="I216" i="3" l="1"/>
  <c r="C217" i="3" s="1"/>
  <c r="B217" i="3" l="1"/>
  <c r="D217" i="3" s="1"/>
  <c r="E217" i="3" s="1" a="1"/>
  <c r="E217" i="3" s="1"/>
  <c r="F217" i="3" s="1"/>
  <c r="G217" i="3" s="1"/>
  <c r="H217" i="3" l="1"/>
  <c r="I217" i="3" l="1"/>
  <c r="C218" i="3" s="1"/>
  <c r="B218" i="3" l="1"/>
  <c r="D218" i="3" s="1"/>
  <c r="E218" i="3" s="1" a="1"/>
  <c r="E218" i="3" s="1"/>
  <c r="F218" i="3" s="1"/>
  <c r="G218" i="3" s="1"/>
  <c r="H218" i="3" l="1"/>
  <c r="I218" i="3" l="1"/>
  <c r="C219" i="3" s="1"/>
  <c r="B219" i="3" l="1"/>
  <c r="D219" i="3" s="1"/>
  <c r="E219" i="3" s="1" a="1"/>
  <c r="E219" i="3" s="1"/>
  <c r="F219" i="3" s="1"/>
  <c r="G219" i="3" s="1"/>
  <c r="H219" i="3" l="1"/>
  <c r="I219" i="3" l="1"/>
  <c r="C220" i="3" s="1"/>
  <c r="B220" i="3" l="1"/>
  <c r="D220" i="3" s="1"/>
  <c r="E220" i="3" s="1" a="1"/>
  <c r="E220" i="3" s="1"/>
  <c r="F220" i="3" s="1"/>
  <c r="G220" i="3" s="1"/>
  <c r="H220" i="3" l="1"/>
  <c r="I220" i="3" l="1"/>
  <c r="C221" i="3" s="1"/>
  <c r="B221" i="3" l="1"/>
  <c r="D221" i="3" s="1"/>
  <c r="E221" i="3" s="1" a="1"/>
  <c r="E221" i="3" s="1"/>
  <c r="F221" i="3" s="1"/>
  <c r="G221" i="3" s="1"/>
  <c r="H221" i="3" l="1"/>
  <c r="I221" i="3" l="1"/>
  <c r="C222" i="3" s="1"/>
  <c r="B222" i="3" l="1"/>
  <c r="D222" i="3" s="1"/>
  <c r="E222" i="3" s="1" a="1"/>
  <c r="E222" i="3" s="1"/>
  <c r="F222" i="3" s="1"/>
  <c r="G222" i="3" s="1"/>
  <c r="H222" i="3" l="1"/>
  <c r="I222" i="3" l="1"/>
  <c r="C223" i="3" s="1"/>
  <c r="B223" i="3" l="1"/>
  <c r="D223" i="3" s="1"/>
  <c r="E223" i="3" s="1" a="1"/>
  <c r="E223" i="3" s="1"/>
  <c r="F223" i="3" s="1"/>
  <c r="G223" i="3" s="1"/>
  <c r="H223" i="3" l="1"/>
  <c r="I223" i="3" l="1"/>
  <c r="C224" i="3" s="1"/>
  <c r="B224" i="3" l="1"/>
  <c r="D224" i="3" s="1"/>
  <c r="E224" i="3" s="1" a="1"/>
  <c r="E224" i="3" s="1"/>
  <c r="F224" i="3" s="1"/>
  <c r="G224" i="3" s="1"/>
  <c r="H224" i="3" l="1"/>
  <c r="I224" i="3" l="1"/>
  <c r="C225" i="3" s="1"/>
  <c r="B225" i="3" l="1"/>
  <c r="D225" i="3" s="1"/>
  <c r="E225" i="3" s="1" a="1"/>
  <c r="E225" i="3" s="1"/>
  <c r="F225" i="3" s="1"/>
  <c r="G225" i="3" s="1"/>
  <c r="H225" i="3" l="1"/>
  <c r="I225" i="3" l="1"/>
  <c r="C226" i="3" s="1"/>
  <c r="B226" i="3" l="1"/>
  <c r="D226" i="3" s="1"/>
  <c r="E226" i="3" s="1" a="1"/>
  <c r="E226" i="3" s="1"/>
  <c r="F226" i="3" s="1"/>
  <c r="G226" i="3" s="1"/>
  <c r="H226" i="3" l="1"/>
  <c r="I226" i="3" l="1"/>
  <c r="C227" i="3" s="1"/>
  <c r="B227" i="3" l="1"/>
  <c r="D227" i="3" s="1"/>
  <c r="E227" i="3" s="1" a="1"/>
  <c r="E227" i="3" s="1"/>
  <c r="F227" i="3" s="1"/>
  <c r="G227" i="3" s="1"/>
  <c r="H227" i="3" l="1"/>
  <c r="I227" i="3" l="1"/>
  <c r="C228" i="3" s="1"/>
  <c r="B228" i="3" l="1"/>
  <c r="D228" i="3" s="1"/>
  <c r="E228" i="3" s="1" a="1"/>
  <c r="E228" i="3" s="1"/>
  <c r="F228" i="3" s="1"/>
  <c r="G228" i="3" s="1"/>
  <c r="H228" i="3" l="1"/>
  <c r="I228" i="3" l="1"/>
  <c r="C229" i="3" s="1"/>
  <c r="B229" i="3" l="1"/>
  <c r="D229" i="3" s="1"/>
  <c r="E229" i="3" s="1" a="1"/>
  <c r="E229" i="3" s="1"/>
  <c r="F229" i="3" s="1"/>
  <c r="G229" i="3" s="1"/>
  <c r="H229" i="3" l="1"/>
  <c r="I229" i="3" l="1"/>
  <c r="C230" i="3" s="1"/>
  <c r="B230" i="3" l="1"/>
  <c r="D230" i="3" s="1"/>
  <c r="E230" i="3" s="1" a="1"/>
  <c r="E230" i="3" s="1"/>
  <c r="F230" i="3" s="1"/>
  <c r="G230" i="3" s="1"/>
  <c r="H230" i="3" l="1"/>
  <c r="I230" i="3" l="1"/>
  <c r="C231" i="3" s="1"/>
  <c r="B231" i="3" l="1"/>
  <c r="D231" i="3" s="1"/>
  <c r="E231" i="3" s="1" a="1"/>
  <c r="E231" i="3" s="1"/>
  <c r="F231" i="3" s="1"/>
  <c r="G231" i="3" s="1"/>
  <c r="H231" i="3" l="1"/>
  <c r="I231" i="3" l="1"/>
  <c r="C232" i="3" s="1"/>
  <c r="B232" i="3" l="1"/>
  <c r="D232" i="3" s="1"/>
  <c r="E232" i="3" s="1" a="1"/>
  <c r="E232" i="3" s="1"/>
  <c r="F232" i="3" s="1"/>
  <c r="G232" i="3" s="1"/>
  <c r="H232" i="3" l="1"/>
  <c r="I232" i="3" l="1"/>
  <c r="C233" i="3" s="1"/>
  <c r="B233" i="3" l="1"/>
  <c r="D233" i="3" s="1"/>
  <c r="E233" i="3" s="1" a="1"/>
  <c r="E233" i="3" s="1"/>
  <c r="F233" i="3" s="1"/>
  <c r="G233" i="3" s="1"/>
  <c r="H233" i="3" l="1"/>
  <c r="I233" i="3" l="1"/>
  <c r="C234" i="3" s="1"/>
  <c r="B234" i="3" l="1"/>
  <c r="D234" i="3" s="1"/>
  <c r="E234" i="3" s="1" a="1"/>
  <c r="E234" i="3" s="1"/>
  <c r="F234" i="3" s="1"/>
  <c r="G234" i="3" s="1"/>
  <c r="H234" i="3" l="1"/>
  <c r="I234" i="3" l="1"/>
  <c r="C235" i="3" s="1"/>
  <c r="B235" i="3" l="1"/>
  <c r="D235" i="3" s="1"/>
  <c r="E235" i="3" s="1" a="1"/>
  <c r="E235" i="3" s="1"/>
  <c r="F235" i="3" s="1"/>
  <c r="G235" i="3" s="1"/>
  <c r="H235" i="3" l="1"/>
  <c r="I235" i="3" l="1"/>
  <c r="C236" i="3" s="1"/>
  <c r="B236" i="3" l="1"/>
  <c r="D236" i="3" s="1"/>
  <c r="E236" i="3" s="1" a="1"/>
  <c r="E236" i="3" s="1"/>
  <c r="F236" i="3" s="1"/>
  <c r="G236" i="3" s="1"/>
  <c r="H236" i="3" l="1"/>
  <c r="I236" i="3" l="1"/>
  <c r="C237" i="3" s="1"/>
  <c r="B237" i="3" l="1"/>
  <c r="D237" i="3" s="1"/>
  <c r="E237" i="3" s="1" a="1"/>
  <c r="E237" i="3" s="1"/>
  <c r="F237" i="3" s="1"/>
  <c r="G237" i="3" s="1"/>
  <c r="H237" i="3" l="1"/>
  <c r="I237" i="3" l="1"/>
  <c r="C238" i="3" s="1"/>
  <c r="B238" i="3" l="1"/>
  <c r="D238" i="3" s="1"/>
  <c r="E238" i="3" s="1" a="1"/>
  <c r="E238" i="3" s="1"/>
  <c r="F238" i="3" s="1"/>
  <c r="G238" i="3" s="1"/>
  <c r="H238" i="3" l="1"/>
  <c r="I238" i="3" l="1"/>
  <c r="C239" i="3" s="1"/>
  <c r="B239" i="3" l="1"/>
  <c r="D239" i="3" s="1"/>
  <c r="E239" i="3" s="1" a="1"/>
  <c r="E239" i="3" s="1"/>
  <c r="F239" i="3" s="1"/>
  <c r="G239" i="3" s="1"/>
  <c r="H239" i="3" l="1"/>
  <c r="I239" i="3" l="1"/>
  <c r="C240" i="3" s="1"/>
  <c r="B240" i="3" l="1"/>
  <c r="D240" i="3" s="1"/>
  <c r="E240" i="3" s="1" a="1"/>
  <c r="E240" i="3" s="1"/>
  <c r="F240" i="3" s="1"/>
  <c r="G240" i="3" s="1"/>
  <c r="H240" i="3" l="1"/>
  <c r="I240" i="3" l="1"/>
  <c r="C241" i="3" s="1"/>
  <c r="B241" i="3" l="1"/>
  <c r="D241" i="3" s="1"/>
  <c r="E241" i="3" s="1" a="1"/>
  <c r="E241" i="3" s="1"/>
  <c r="F241" i="3" s="1"/>
  <c r="G241" i="3" s="1"/>
  <c r="H241" i="3" l="1"/>
  <c r="I241" i="3" l="1"/>
  <c r="C242" i="3" s="1"/>
  <c r="B242" i="3" l="1"/>
  <c r="D242" i="3" s="1"/>
  <c r="E242" i="3" s="1" a="1"/>
  <c r="E242" i="3" s="1"/>
  <c r="F242" i="3" s="1"/>
  <c r="G242" i="3" s="1"/>
  <c r="H242" i="3" l="1"/>
  <c r="I242" i="3" l="1"/>
  <c r="C243" i="3" s="1"/>
  <c r="B243" i="3" l="1"/>
  <c r="D243" i="3" s="1"/>
  <c r="E243" i="3" s="1" a="1"/>
  <c r="E243" i="3" s="1"/>
  <c r="F243" i="3" s="1"/>
  <c r="G243" i="3" s="1"/>
  <c r="H243" i="3" l="1"/>
  <c r="I243" i="3" l="1"/>
  <c r="C244" i="3" s="1"/>
  <c r="B244" i="3" s="1"/>
  <c r="D244" i="3" s="1"/>
  <c r="E244" i="3" s="1" a="1"/>
  <c r="E244" i="3" s="1"/>
  <c r="F244" i="3" s="1"/>
  <c r="G244" i="3" s="1"/>
  <c r="H244" i="3" l="1"/>
  <c r="I244" i="3" l="1"/>
  <c r="C245" i="3" s="1"/>
  <c r="B245" i="3" l="1"/>
  <c r="D245" i="3" s="1"/>
  <c r="E245" i="3" s="1" a="1"/>
  <c r="E245" i="3" s="1"/>
  <c r="F245" i="3" s="1"/>
  <c r="G245" i="3" s="1"/>
  <c r="H245" i="3" l="1"/>
  <c r="I245" i="3" l="1"/>
  <c r="C246" i="3" s="1"/>
  <c r="B246" i="3" l="1"/>
  <c r="D246" i="3" s="1"/>
  <c r="E246" i="3" s="1" a="1"/>
  <c r="E246" i="3" s="1"/>
  <c r="F246" i="3" s="1"/>
  <c r="G246" i="3" s="1"/>
  <c r="H246" i="3" l="1"/>
  <c r="I246" i="3" l="1"/>
  <c r="C247" i="3" s="1"/>
  <c r="B247" i="3" l="1"/>
  <c r="D247" i="3" s="1"/>
  <c r="E247" i="3" s="1" a="1"/>
  <c r="E247" i="3" s="1"/>
  <c r="F247" i="3" s="1"/>
  <c r="G247" i="3" s="1"/>
  <c r="H247" i="3" l="1"/>
  <c r="I247" i="3" l="1"/>
  <c r="C248" i="3" s="1"/>
  <c r="B248" i="3" l="1"/>
  <c r="D248" i="3" s="1"/>
  <c r="E248" i="3" s="1" a="1"/>
  <c r="E248" i="3" s="1"/>
  <c r="F248" i="3" s="1"/>
  <c r="G248" i="3" s="1"/>
  <c r="H248" i="3" l="1"/>
  <c r="I248" i="3" l="1"/>
  <c r="C249" i="3" s="1"/>
  <c r="B249" i="3" l="1"/>
  <c r="D249" i="3" s="1"/>
  <c r="E249" i="3" s="1" a="1"/>
  <c r="E249" i="3" s="1"/>
  <c r="F249" i="3" s="1"/>
  <c r="G249" i="3" s="1"/>
  <c r="H249" i="3" l="1"/>
  <c r="I249" i="3" l="1"/>
  <c r="C250" i="3" s="1"/>
  <c r="B250" i="3" l="1"/>
  <c r="D250" i="3" s="1"/>
  <c r="E250" i="3" s="1" a="1"/>
  <c r="E250" i="3" s="1"/>
  <c r="F250" i="3" s="1"/>
  <c r="G250" i="3" s="1"/>
  <c r="H250" i="3" l="1"/>
  <c r="I250" i="3" l="1"/>
  <c r="C251" i="3" s="1"/>
  <c r="B251" i="3" s="1"/>
  <c r="D251" i="3" s="1"/>
  <c r="E251" i="3" s="1" a="1"/>
  <c r="E251" i="3" s="1"/>
  <c r="F251" i="3" s="1"/>
  <c r="G251" i="3" s="1"/>
  <c r="H251" i="3" l="1"/>
  <c r="O3" i="3"/>
  <c r="I25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<sst xmlns="http://schemas.openxmlformats.org/spreadsheetml/2006/main" count="316" uniqueCount="124">
  <si>
    <t>Capacity</t>
  </si>
  <si>
    <t>Voltage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</si>
  <si>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</si>
  <si>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</si>
  <si>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</si>
  <si>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</si>
  <si>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</si>
  <si>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</si>
  <si>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</si>
  <si>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</si>
  <si>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</si>
  <si>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</si>
  <si>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</si>
  <si>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</si>
  <si>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mA</t>
  </si>
  <si>
    <t>Loadrow</t>
  </si>
  <si>
    <t>Consumption</t>
  </si>
  <si>
    <t>Vreg</t>
  </si>
  <si>
    <t>Vdo</t>
  </si>
  <si>
    <t>T(0.)</t>
  </si>
  <si>
    <t>kOhm</t>
  </si>
  <si>
    <t>Vdiode</t>
  </si>
  <si>
    <t>Charge (ideal)</t>
  </si>
  <si>
    <t>Rprog (ideal)</t>
  </si>
  <si>
    <t>Rprog (close)</t>
  </si>
  <si>
    <t>Charge (real)</t>
  </si>
  <si>
    <t>Itarget HP</t>
  </si>
  <si>
    <t>Rprog (HP, ideal)</t>
  </si>
  <si>
    <t>Rprog2(HP,ideal)</t>
  </si>
  <si>
    <t>Rprog2(HP,close)</t>
  </si>
  <si>
    <t>Rprog(HP,real)</t>
  </si>
  <si>
    <t>Icharge HP</t>
  </si>
  <si>
    <t>Vref</t>
  </si>
  <si>
    <t>R4</t>
  </si>
  <si>
    <t>R5</t>
  </si>
  <si>
    <t>Vout</t>
  </si>
  <si>
    <t>Pd</t>
  </si>
  <si>
    <t>W</t>
  </si>
  <si>
    <t>Iout</t>
  </si>
  <si>
    <t>A</t>
  </si>
  <si>
    <t>Vin(max)</t>
  </si>
  <si>
    <t>Component</t>
  </si>
  <si>
    <t>Iq</t>
  </si>
  <si>
    <t>datasheet</t>
  </si>
  <si>
    <t>calc</t>
  </si>
  <si>
    <t>MAX40203</t>
  </si>
  <si>
    <t>With reg</t>
  </si>
  <si>
    <t>No reg</t>
  </si>
  <si>
    <t>Noreg</t>
  </si>
  <si>
    <t>Parameter</t>
  </si>
  <si>
    <t>Value</t>
  </si>
  <si>
    <t>Unit</t>
  </si>
  <si>
    <t>R1</t>
  </si>
  <si>
    <t>R8</t>
  </si>
  <si>
    <t>KISET(HC,min)</t>
  </si>
  <si>
    <t>KISET(HC,max)</t>
  </si>
  <si>
    <t>KISET(LC,min)</t>
  </si>
  <si>
    <t>KISET(LC,max)</t>
  </si>
  <si>
    <t>A*Ohm</t>
  </si>
  <si>
    <t>Imax</t>
  </si>
  <si>
    <t>Imin</t>
  </si>
  <si>
    <t>Inom</t>
  </si>
  <si>
    <t>Ifb</t>
  </si>
  <si>
    <t>Idiv</t>
  </si>
  <si>
    <t>uA</t>
  </si>
  <si>
    <t>IR4</t>
  </si>
  <si>
    <t>IR5</t>
  </si>
  <si>
    <t>VR4</t>
  </si>
  <si>
    <t>D1</t>
  </si>
  <si>
    <t>PROG circuit</t>
  </si>
  <si>
    <t>V_ISET = 0</t>
  </si>
  <si>
    <t>BQ21040</t>
  </si>
  <si>
    <t>TLV75801</t>
  </si>
  <si>
    <t>regulator FB</t>
  </si>
  <si>
    <t>TPS3808</t>
  </si>
  <si>
    <t>Battery capacity</t>
  </si>
  <si>
    <t>hours</t>
  </si>
  <si>
    <t>Time (reg)</t>
  </si>
  <si>
    <t>days</t>
  </si>
  <si>
    <t>years</t>
  </si>
  <si>
    <t>Time (no reg)</t>
  </si>
  <si>
    <t>datasheet (shutdown)</t>
  </si>
  <si>
    <t>D2</t>
  </si>
  <si>
    <t>Source/notes</t>
  </si>
  <si>
    <t>PMEG40T10ERX datasheet Ir (to ground via R9).</t>
  </si>
  <si>
    <t>datasheet (5.6V zener at 3.8V)</t>
  </si>
  <si>
    <t>LiPo self-discharge rate</t>
  </si>
  <si>
    <t>/month</t>
  </si>
  <si>
    <t>Month</t>
  </si>
  <si>
    <t>Self discharge</t>
  </si>
  <si>
    <t>Hours per month</t>
  </si>
  <si>
    <t>q discharge</t>
  </si>
  <si>
    <t>REGULATED</t>
  </si>
  <si>
    <t>NO REG</t>
  </si>
  <si>
    <t>total disch</t>
  </si>
  <si>
    <t>IGNORE SELF-DISCHARGE (5%/mo --&gt; .16%/day)</t>
  </si>
  <si>
    <t>t</t>
  </si>
  <si>
    <t>R5=100k</t>
  </si>
  <si>
    <t>R5=97.6k</t>
  </si>
  <si>
    <t>R5=95.3k</t>
  </si>
  <si>
    <t>DW01A</t>
  </si>
  <si>
    <t>datasheet - in battery pack</t>
  </si>
  <si>
    <t>FS8205A</t>
  </si>
  <si>
    <t>datasheet - 0V gate leakage current</t>
  </si>
  <si>
    <t>Device</t>
  </si>
  <si>
    <t>State</t>
  </si>
  <si>
    <t>0.</t>
  </si>
  <si>
    <t>Notes</t>
  </si>
  <si>
    <t>Current</t>
  </si>
  <si>
    <t>max digits</t>
  </si>
  <si>
    <t>HP35</t>
  </si>
  <si>
    <t>HP45</t>
  </si>
  <si>
    <t>0.00</t>
  </si>
  <si>
    <t>Input power</t>
  </si>
  <si>
    <t>mW</t>
  </si>
  <si>
    <t>Reg power 4.2V</t>
  </si>
  <si>
    <t>HP35 - more efficient from regulated supply</t>
  </si>
  <si>
    <t>HP45 - more efficient unregulated</t>
  </si>
  <si>
    <t>HP67</t>
  </si>
  <si>
    <t>Flickering/faulty</t>
  </si>
  <si>
    <t>Low batt (faint)</t>
  </si>
  <si>
    <t>HP67 - more efficient unregulated</t>
  </si>
  <si>
    <t>Output Voltage</t>
  </si>
  <si>
    <t>LINEAR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</si>
</sst>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HP35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08792650918635E-2"/>
                  <c:y val="0.17316468253968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Load!$C$7:$C$14</c:f>
              <c:numCache>
                <c:formatCode>General</c:formatCode>
                <c:ptCount val="8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</c:numCache>
            </c:numRef>
          </c:xVal>
          <c:yVal>
            <c:numRef>
              <c:f>Load!$D$7:$D$14</c:f>
              <c:numCache>
                <c:formatCode>General</c:formatCode>
                <c:ptCount val="8"/>
                <c:pt idx="0">
                  <c:v>84.4</c:v>
                </c:pt>
                <c:pt idx="1">
                  <c:v>87.6</c:v>
                </c:pt>
                <c:pt idx="2">
                  <c:v>89.1</c:v>
                </c:pt>
                <c:pt idx="3">
                  <c:v>91.3</c:v>
                </c:pt>
                <c:pt idx="4">
                  <c:v>93.6</c:v>
                </c:pt>
                <c:pt idx="5">
                  <c:v>95.9</c:v>
                </c:pt>
                <c:pt idx="6">
                  <c:v>98.2</c:v>
                </c:pt>
                <c:pt idx="7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HP45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178280839895013"/>
                  <c:y val="-7.2449928133983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Load!$D$27:$D$33</c:f>
              <c:numCache>
                <c:formatCode>General</c:formatCode>
                <c:ptCount val="7"/>
                <c:pt idx="0">
                  <c:v>103.7</c:v>
                </c:pt>
                <c:pt idx="1">
                  <c:v>102.9</c:v>
                </c:pt>
                <c:pt idx="2">
                  <c:v>102</c:v>
                </c:pt>
                <c:pt idx="3">
                  <c:v>101.6</c:v>
                </c:pt>
                <c:pt idx="4">
                  <c:v>101</c:v>
                </c:pt>
                <c:pt idx="5">
                  <c:v>100.6</c:v>
                </c:pt>
                <c:pt idx="6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9B-4961-BC88-B119E1D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HP67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178280839895013"/>
                  <c:y val="-7.2449928133983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Load!$D$46:$D$55</c:f>
              <c:numCache>
                <c:formatCode>General</c:formatCode>
                <c:ptCount val="10"/>
                <c:pt idx="0">
                  <c:v>153.19999999999999</c:v>
                </c:pt>
                <c:pt idx="1">
                  <c:v>150.69999999999999</c:v>
                </c:pt>
                <c:pt idx="2">
                  <c:v>148.9</c:v>
                </c:pt>
                <c:pt idx="3">
                  <c:v>147.19999999999999</c:v>
                </c:pt>
                <c:pt idx="4">
                  <c:v>145.1</c:v>
                </c:pt>
                <c:pt idx="5">
                  <c:v>143.80000000000001</c:v>
                </c:pt>
                <c:pt idx="6">
                  <c:v>142.4</c:v>
                </c:pt>
                <c:pt idx="7">
                  <c:v>141</c:v>
                </c:pt>
                <c:pt idx="8">
                  <c:v>140</c:v>
                </c:pt>
                <c:pt idx="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C0-4C73-8C5B-A1B9EA0C0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HP35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Load!$C$7:$C$15</c:f>
              <c:numCache>
                <c:formatCode>General</c:formatCode>
                <c:ptCount val="9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  <c:pt idx="8">
                  <c:v>4.29</c:v>
                </c:pt>
              </c:numCache>
            </c:numRef>
          </c:xVal>
          <c:yVal>
            <c:numRef>
              <c:f>Load!$E$7:$E$15</c:f>
              <c:numCache>
                <c:formatCode>General</c:formatCode>
                <c:ptCount val="9"/>
                <c:pt idx="0">
                  <c:v>296.24400000000003</c:v>
                </c:pt>
                <c:pt idx="1">
                  <c:v>315.36</c:v>
                </c:pt>
                <c:pt idx="2">
                  <c:v>329.67</c:v>
                </c:pt>
                <c:pt idx="3">
                  <c:v>346.94</c:v>
                </c:pt>
                <c:pt idx="4">
                  <c:v>365.03999999999996</c:v>
                </c:pt>
                <c:pt idx="5">
                  <c:v>382.64100000000002</c:v>
                </c:pt>
                <c:pt idx="6">
                  <c:v>401.63799999999998</c:v>
                </c:pt>
                <c:pt idx="7">
                  <c:v>420.25700000000001</c:v>
                </c:pt>
                <c:pt idx="8">
                  <c:v>438.86700000000002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A3-40C4-BCD8-11C842F010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Load!$C$7:$C$15</c:f>
              <c:numCache>
                <c:formatCode>General</c:formatCode>
                <c:ptCount val="9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  <c:pt idx="8">
                  <c:v>4.29</c:v>
                </c:pt>
              </c:numCache>
            </c:numRef>
          </c:xVal>
          <c:yVal>
            <c:numRef>
              <c:f>Load!$F$7:$F$15</c:f>
              <c:numCache>
                <c:formatCode>General</c:formatCode>
                <c:ptCount val="9"/>
                <c:pt idx="0">
                  <c:v>354.48</c:v>
                </c:pt>
                <c:pt idx="1">
                  <c:v>367.92</c:v>
                </c:pt>
                <c:pt idx="2">
                  <c:v>374.21999999999997</c:v>
                </c:pt>
                <c:pt idx="3">
                  <c:v>383.46</c:v>
                </c:pt>
                <c:pt idx="4">
                  <c:v>393.12</c:v>
                </c:pt>
                <c:pt idx="5">
                  <c:v>402.78000000000003</c:v>
                </c:pt>
                <c:pt idx="6">
                  <c:v>412.44000000000005</c:v>
                </c:pt>
                <c:pt idx="7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A3-40C4-BCD8-11C842F0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HP45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Load!$E$27:$E$33</c:f>
              <c:numCache>
                <c:formatCode>General</c:formatCode>
                <c:ptCount val="7"/>
                <c:pt idx="0">
                  <c:v>373.32</c:v>
                </c:pt>
                <c:pt idx="1">
                  <c:v>380.73</c:v>
                </c:pt>
                <c:pt idx="2">
                  <c:v>388.62</c:v>
                </c:pt>
                <c:pt idx="3">
                  <c:v>396.23999999999995</c:v>
                </c:pt>
                <c:pt idx="4">
                  <c:v>404</c:v>
                </c:pt>
                <c:pt idx="5">
                  <c:v>412.45999999999992</c:v>
                </c:pt>
                <c:pt idx="6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B-46BD-98C7-B06A776F330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Load!$F$27:$F$33</c:f>
              <c:numCache>
                <c:formatCode>General</c:formatCode>
                <c:ptCount val="7"/>
                <c:pt idx="0">
                  <c:v>435.54</c:v>
                </c:pt>
                <c:pt idx="1">
                  <c:v>432.18000000000006</c:v>
                </c:pt>
                <c:pt idx="2">
                  <c:v>428.40000000000003</c:v>
                </c:pt>
                <c:pt idx="3">
                  <c:v>426.71999999999997</c:v>
                </c:pt>
                <c:pt idx="4">
                  <c:v>424.20000000000005</c:v>
                </c:pt>
                <c:pt idx="5">
                  <c:v>422.52</c:v>
                </c:pt>
                <c:pt idx="6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4B-46BD-98C7-B06A776F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HP67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Load!$E$46:$E$55</c:f>
              <c:numCache>
                <c:formatCode>General</c:formatCode>
                <c:ptCount val="10"/>
                <c:pt idx="0">
                  <c:v>551.52</c:v>
                </c:pt>
                <c:pt idx="1">
                  <c:v>557.59</c:v>
                </c:pt>
                <c:pt idx="2">
                  <c:v>565.82000000000005</c:v>
                </c:pt>
                <c:pt idx="3">
                  <c:v>574.07999999999993</c:v>
                </c:pt>
                <c:pt idx="4">
                  <c:v>580.4</c:v>
                </c:pt>
                <c:pt idx="5">
                  <c:v>589.58000000000004</c:v>
                </c:pt>
                <c:pt idx="6">
                  <c:v>598.08000000000004</c:v>
                </c:pt>
                <c:pt idx="7">
                  <c:v>606.29999999999995</c:v>
                </c:pt>
                <c:pt idx="8">
                  <c:v>616</c:v>
                </c:pt>
                <c:pt idx="9">
                  <c:v>625.5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315-A4AB-EA41ABB8C0D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Load!$F$46:$F$55</c:f>
              <c:numCache>
                <c:formatCode>General</c:formatCode>
                <c:ptCount val="10"/>
                <c:pt idx="0">
                  <c:v>643.43999999999994</c:v>
                </c:pt>
                <c:pt idx="1">
                  <c:v>632.93999999999994</c:v>
                </c:pt>
                <c:pt idx="2">
                  <c:v>625.38</c:v>
                </c:pt>
                <c:pt idx="3">
                  <c:v>618.24</c:v>
                </c:pt>
                <c:pt idx="4">
                  <c:v>609.41999999999996</c:v>
                </c:pt>
                <c:pt idx="5">
                  <c:v>603.96</c:v>
                </c:pt>
                <c:pt idx="6">
                  <c:v>598.08000000000004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D7-4315-A4AB-EA41ABB8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 Performance (Regulated</a:t>
            </a:r>
            <a:r>
              <a:rPr lang="en-US" baseline="0"/>
              <a:t> @ </a:t>
            </a:r>
            <a:r>
              <a:rPr lang="en-US"/>
              <a:t>3.63V)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'Model-HP35'!$B$1:$B$3</c:f>
              <c:strCache>
                <c:ptCount val="3"/>
                <c:pt idx="0">
                  <c:v>LINEAR REGULATOR</c:v>
                </c:pt>
                <c:pt idx="1">
                  <c:v>Battery Capacity</c:v>
                </c:pt>
                <c:pt idx="2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'Model-HP35'!$B$4:$B$251</c:f>
              <c:numCache>
                <c:formatCode>General</c:formatCode>
                <c:ptCount val="248"/>
                <c:pt idx="0">
                  <c:v>100</c:v>
                </c:pt>
                <c:pt idx="1">
                  <c:v>99.564508500000002</c:v>
                </c:pt>
                <c:pt idx="2">
                  <c:v>99.12901699999999</c:v>
                </c:pt>
                <c:pt idx="3">
                  <c:v>98.693525500000007</c:v>
                </c:pt>
                <c:pt idx="4">
                  <c:v>98.258033999999995</c:v>
                </c:pt>
                <c:pt idx="5">
                  <c:v>97.822542499999997</c:v>
                </c:pt>
                <c:pt idx="6">
                  <c:v>97.387051</c:v>
                </c:pt>
                <c:pt idx="7">
                  <c:v>96.951559500000002</c:v>
                </c:pt>
                <c:pt idx="8">
                  <c:v>96.516068000000004</c:v>
                </c:pt>
                <c:pt idx="9">
                  <c:v>96.080576499999992</c:v>
                </c:pt>
                <c:pt idx="10">
                  <c:v>95.645084999999995</c:v>
                </c:pt>
                <c:pt idx="11">
                  <c:v>95.209593499999983</c:v>
                </c:pt>
                <c:pt idx="12">
                  <c:v>94.774101999999999</c:v>
                </c:pt>
                <c:pt idx="13">
                  <c:v>94.338610500000001</c:v>
                </c:pt>
                <c:pt idx="14">
                  <c:v>93.90311899999999</c:v>
                </c:pt>
                <c:pt idx="15">
                  <c:v>93.467627499999992</c:v>
                </c:pt>
                <c:pt idx="16">
                  <c:v>93.032135999999994</c:v>
                </c:pt>
                <c:pt idx="17">
                  <c:v>92.596644499999996</c:v>
                </c:pt>
                <c:pt idx="18">
                  <c:v>92.161152999999999</c:v>
                </c:pt>
                <c:pt idx="19">
                  <c:v>91.725661499999987</c:v>
                </c:pt>
                <c:pt idx="20">
                  <c:v>91.290169999999989</c:v>
                </c:pt>
                <c:pt idx="21">
                  <c:v>90.854678499999991</c:v>
                </c:pt>
                <c:pt idx="22">
                  <c:v>90.419186999999994</c:v>
                </c:pt>
                <c:pt idx="23">
                  <c:v>89.983695499999982</c:v>
                </c:pt>
                <c:pt idx="24">
                  <c:v>89.548203999999984</c:v>
                </c:pt>
                <c:pt idx="25">
                  <c:v>89.112712499999986</c:v>
                </c:pt>
                <c:pt idx="26">
                  <c:v>88.677220999999989</c:v>
                </c:pt>
                <c:pt idx="27">
                  <c:v>88.241729499999991</c:v>
                </c:pt>
                <c:pt idx="28">
                  <c:v>87.806237999999979</c:v>
                </c:pt>
                <c:pt idx="29">
                  <c:v>87.370746499999981</c:v>
                </c:pt>
                <c:pt idx="30">
                  <c:v>86.935254999999984</c:v>
                </c:pt>
                <c:pt idx="31">
                  <c:v>86.499763499999986</c:v>
                </c:pt>
                <c:pt idx="32">
                  <c:v>86.064271999999988</c:v>
                </c:pt>
                <c:pt idx="33">
                  <c:v>85.628780499999976</c:v>
                </c:pt>
                <c:pt idx="34">
                  <c:v>85.193288999999979</c:v>
                </c:pt>
                <c:pt idx="35">
                  <c:v>84.757797499999981</c:v>
                </c:pt>
                <c:pt idx="36">
                  <c:v>84.322305999999983</c:v>
                </c:pt>
                <c:pt idx="37">
                  <c:v>83.886814499999986</c:v>
                </c:pt>
                <c:pt idx="38">
                  <c:v>83.451322999999974</c:v>
                </c:pt>
                <c:pt idx="39">
                  <c:v>83.015831499999976</c:v>
                </c:pt>
                <c:pt idx="40">
                  <c:v>82.580339999999978</c:v>
                </c:pt>
                <c:pt idx="41">
                  <c:v>82.144848499999981</c:v>
                </c:pt>
                <c:pt idx="42">
                  <c:v>81.709356999999983</c:v>
                </c:pt>
                <c:pt idx="43">
                  <c:v>81.273865499999971</c:v>
                </c:pt>
                <c:pt idx="44">
                  <c:v>80.838373999999973</c:v>
                </c:pt>
                <c:pt idx="45">
                  <c:v>80.402882499999976</c:v>
                </c:pt>
                <c:pt idx="46">
                  <c:v>79.967390999999978</c:v>
                </c:pt>
                <c:pt idx="47">
                  <c:v>79.531899499999966</c:v>
                </c:pt>
                <c:pt idx="48">
                  <c:v>79.096407999999968</c:v>
                </c:pt>
                <c:pt idx="49">
                  <c:v>78.660916499999985</c:v>
                </c:pt>
                <c:pt idx="50">
                  <c:v>78.225424999999973</c:v>
                </c:pt>
                <c:pt idx="51">
                  <c:v>77.789933499999975</c:v>
                </c:pt>
                <c:pt idx="52">
                  <c:v>77.354441999999963</c:v>
                </c:pt>
                <c:pt idx="53">
                  <c:v>76.918950499999966</c:v>
                </c:pt>
                <c:pt idx="54">
                  <c:v>76.483458999999982</c:v>
                </c:pt>
                <c:pt idx="55">
                  <c:v>76.04796749999997</c:v>
                </c:pt>
                <c:pt idx="56">
                  <c:v>75.612475999999972</c:v>
                </c:pt>
                <c:pt idx="57">
                  <c:v>75.176984499999961</c:v>
                </c:pt>
                <c:pt idx="58">
                  <c:v>74.741492999999963</c:v>
                </c:pt>
                <c:pt idx="59">
                  <c:v>74.306001499999965</c:v>
                </c:pt>
                <c:pt idx="60">
                  <c:v>73.870509999999967</c:v>
                </c:pt>
                <c:pt idx="61">
                  <c:v>73.43501849999997</c:v>
                </c:pt>
                <c:pt idx="62">
                  <c:v>72.999526999999958</c:v>
                </c:pt>
                <c:pt idx="63">
                  <c:v>72.564035499999974</c:v>
                </c:pt>
                <c:pt idx="64">
                  <c:v>72.128543999999962</c:v>
                </c:pt>
                <c:pt idx="65">
                  <c:v>71.693052499999965</c:v>
                </c:pt>
                <c:pt idx="66">
                  <c:v>71.257560999999967</c:v>
                </c:pt>
                <c:pt idx="67">
                  <c:v>70.822069499999969</c:v>
                </c:pt>
                <c:pt idx="68">
                  <c:v>70.386577999999972</c:v>
                </c:pt>
                <c:pt idx="69">
                  <c:v>69.95108649999996</c:v>
                </c:pt>
                <c:pt idx="70">
                  <c:v>69.515594999999962</c:v>
                </c:pt>
                <c:pt idx="71">
                  <c:v>69.08010349999995</c:v>
                </c:pt>
                <c:pt idx="72">
                  <c:v>68.644611999999967</c:v>
                </c:pt>
                <c:pt idx="73">
                  <c:v>68.209120499999969</c:v>
                </c:pt>
                <c:pt idx="74">
                  <c:v>67.773628999999957</c:v>
                </c:pt>
                <c:pt idx="75">
                  <c:v>67.338137499999959</c:v>
                </c:pt>
                <c:pt idx="76">
                  <c:v>66.902645999999947</c:v>
                </c:pt>
                <c:pt idx="77">
                  <c:v>66.467154499999964</c:v>
                </c:pt>
                <c:pt idx="78">
                  <c:v>66.031662999999966</c:v>
                </c:pt>
                <c:pt idx="79">
                  <c:v>65.596171499999954</c:v>
                </c:pt>
                <c:pt idx="80">
                  <c:v>65.160679999999957</c:v>
                </c:pt>
                <c:pt idx="81">
                  <c:v>64.725188499999959</c:v>
                </c:pt>
                <c:pt idx="82">
                  <c:v>64.289696999999961</c:v>
                </c:pt>
                <c:pt idx="83">
                  <c:v>63.854205499999935</c:v>
                </c:pt>
                <c:pt idx="84">
                  <c:v>63.418713999999945</c:v>
                </c:pt>
                <c:pt idx="85">
                  <c:v>62.983222499999947</c:v>
                </c:pt>
                <c:pt idx="86">
                  <c:v>62.547730999999942</c:v>
                </c:pt>
                <c:pt idx="87">
                  <c:v>62.112239499999944</c:v>
                </c:pt>
                <c:pt idx="88">
                  <c:v>61.676747999999925</c:v>
                </c:pt>
                <c:pt idx="89">
                  <c:v>61.241256499999928</c:v>
                </c:pt>
                <c:pt idx="90">
                  <c:v>60.805764999999937</c:v>
                </c:pt>
                <c:pt idx="91">
                  <c:v>60.370273499999925</c:v>
                </c:pt>
                <c:pt idx="92">
                  <c:v>59.934781999999927</c:v>
                </c:pt>
                <c:pt idx="93">
                  <c:v>59.499290499999915</c:v>
                </c:pt>
                <c:pt idx="94">
                  <c:v>59.063798999999918</c:v>
                </c:pt>
                <c:pt idx="95">
                  <c:v>58.628307499999913</c:v>
                </c:pt>
                <c:pt idx="96">
                  <c:v>58.192815999999915</c:v>
                </c:pt>
                <c:pt idx="97">
                  <c:v>57.757324499999918</c:v>
                </c:pt>
                <c:pt idx="98">
                  <c:v>57.321832999999899</c:v>
                </c:pt>
                <c:pt idx="99">
                  <c:v>56.886341499999901</c:v>
                </c:pt>
                <c:pt idx="100">
                  <c:v>56.450849999999896</c:v>
                </c:pt>
                <c:pt idx="101">
                  <c:v>56.015358499999898</c:v>
                </c:pt>
                <c:pt idx="102">
                  <c:v>55.579866999999894</c:v>
                </c:pt>
                <c:pt idx="103">
                  <c:v>55.144375499999889</c:v>
                </c:pt>
                <c:pt idx="104">
                  <c:v>54.708883999999891</c:v>
                </c:pt>
                <c:pt idx="105">
                  <c:v>54.273392499999886</c:v>
                </c:pt>
                <c:pt idx="106">
                  <c:v>53.837900999999889</c:v>
                </c:pt>
                <c:pt idx="107">
                  <c:v>53.402409499999884</c:v>
                </c:pt>
                <c:pt idx="108">
                  <c:v>52.966917999999872</c:v>
                </c:pt>
                <c:pt idx="109">
                  <c:v>52.531426499999881</c:v>
                </c:pt>
                <c:pt idx="110">
                  <c:v>52.095934999999869</c:v>
                </c:pt>
                <c:pt idx="111">
                  <c:v>51.660443499999872</c:v>
                </c:pt>
                <c:pt idx="112">
                  <c:v>51.224951999999867</c:v>
                </c:pt>
                <c:pt idx="113">
                  <c:v>50.789460499999862</c:v>
                </c:pt>
                <c:pt idx="114">
                  <c:v>50.353968999999864</c:v>
                </c:pt>
                <c:pt idx="115">
                  <c:v>49.918477499999867</c:v>
                </c:pt>
                <c:pt idx="116">
                  <c:v>49.482985999999862</c:v>
                </c:pt>
                <c:pt idx="117">
                  <c:v>49.047494499999864</c:v>
                </c:pt>
                <c:pt idx="118">
                  <c:v>48.612002999999852</c:v>
                </c:pt>
                <c:pt idx="119">
                  <c:v>48.176511499999854</c:v>
                </c:pt>
                <c:pt idx="120">
                  <c:v>47.741019999999857</c:v>
                </c:pt>
                <c:pt idx="121">
                  <c:v>47.305528499999852</c:v>
                </c:pt>
                <c:pt idx="122">
                  <c:v>46.870036999999854</c:v>
                </c:pt>
                <c:pt idx="123">
                  <c:v>46.434545499999849</c:v>
                </c:pt>
                <c:pt idx="124">
                  <c:v>45.999053999999845</c:v>
                </c:pt>
                <c:pt idx="125">
                  <c:v>45.563562499999847</c:v>
                </c:pt>
                <c:pt idx="126">
                  <c:v>45.128070999999849</c:v>
                </c:pt>
                <c:pt idx="127">
                  <c:v>44.692579499999844</c:v>
                </c:pt>
                <c:pt idx="128">
                  <c:v>44.25708799999984</c:v>
                </c:pt>
                <c:pt idx="129">
                  <c:v>43.821596499999835</c:v>
                </c:pt>
                <c:pt idx="130">
                  <c:v>43.386104999999837</c:v>
                </c:pt>
                <c:pt idx="131">
                  <c:v>42.950613499999839</c:v>
                </c:pt>
                <c:pt idx="132">
                  <c:v>42.515121999999842</c:v>
                </c:pt>
                <c:pt idx="133">
                  <c:v>42.07963049999983</c:v>
                </c:pt>
                <c:pt idx="134">
                  <c:v>41.644138999999832</c:v>
                </c:pt>
                <c:pt idx="135">
                  <c:v>41.208647499999827</c:v>
                </c:pt>
                <c:pt idx="136">
                  <c:v>40.77315599999983</c:v>
                </c:pt>
                <c:pt idx="137">
                  <c:v>40.337664499999832</c:v>
                </c:pt>
                <c:pt idx="138">
                  <c:v>39.902172999999827</c:v>
                </c:pt>
                <c:pt idx="139">
                  <c:v>39.466681499999822</c:v>
                </c:pt>
                <c:pt idx="140">
                  <c:v>39.031189999999825</c:v>
                </c:pt>
                <c:pt idx="141">
                  <c:v>38.59569849999982</c:v>
                </c:pt>
                <c:pt idx="142">
                  <c:v>38.160206999999815</c:v>
                </c:pt>
                <c:pt idx="143">
                  <c:v>37.724715499999817</c:v>
                </c:pt>
                <c:pt idx="144">
                  <c:v>37.289223999999813</c:v>
                </c:pt>
                <c:pt idx="145">
                  <c:v>36.853732499999815</c:v>
                </c:pt>
                <c:pt idx="146">
                  <c:v>36.41824099999981</c:v>
                </c:pt>
                <c:pt idx="147">
                  <c:v>35.982749499999812</c:v>
                </c:pt>
                <c:pt idx="148">
                  <c:v>35.5472579999998</c:v>
                </c:pt>
                <c:pt idx="149">
                  <c:v>35.11176649999981</c:v>
                </c:pt>
                <c:pt idx="150">
                  <c:v>34.676274999999805</c:v>
                </c:pt>
                <c:pt idx="151">
                  <c:v>34.240783499999807</c:v>
                </c:pt>
                <c:pt idx="152">
                  <c:v>33.805291999999802</c:v>
                </c:pt>
                <c:pt idx="153">
                  <c:v>33.369800499999798</c:v>
                </c:pt>
                <c:pt idx="154">
                  <c:v>32.934308999999793</c:v>
                </c:pt>
                <c:pt idx="155">
                  <c:v>32.498817499999802</c:v>
                </c:pt>
                <c:pt idx="156">
                  <c:v>32.063325999999797</c:v>
                </c:pt>
                <c:pt idx="157">
                  <c:v>31.627834499999796</c:v>
                </c:pt>
                <c:pt idx="158">
                  <c:v>31.192342999999788</c:v>
                </c:pt>
                <c:pt idx="159">
                  <c:v>30.756851499999787</c:v>
                </c:pt>
                <c:pt idx="160">
                  <c:v>30.321359999999785</c:v>
                </c:pt>
                <c:pt idx="161">
                  <c:v>29.885868499999781</c:v>
                </c:pt>
                <c:pt idx="162">
                  <c:v>29.450376999999794</c:v>
                </c:pt>
                <c:pt idx="163">
                  <c:v>29.014885499999789</c:v>
                </c:pt>
                <c:pt idx="164">
                  <c:v>28.579393999999798</c:v>
                </c:pt>
                <c:pt idx="165">
                  <c:v>28.14390249999979</c:v>
                </c:pt>
                <c:pt idx="166">
                  <c:v>27.708410999999781</c:v>
                </c:pt>
                <c:pt idx="167">
                  <c:v>27.272919499999798</c:v>
                </c:pt>
                <c:pt idx="168">
                  <c:v>26.83742799999979</c:v>
                </c:pt>
                <c:pt idx="169">
                  <c:v>26.401936499999799</c:v>
                </c:pt>
                <c:pt idx="170">
                  <c:v>25.966444999999794</c:v>
                </c:pt>
                <c:pt idx="171">
                  <c:v>25.530953499999786</c:v>
                </c:pt>
                <c:pt idx="172">
                  <c:v>25.095461999999795</c:v>
                </c:pt>
                <c:pt idx="173">
                  <c:v>24.65997049999979</c:v>
                </c:pt>
                <c:pt idx="174">
                  <c:v>24.2244789999998</c:v>
                </c:pt>
                <c:pt idx="175">
                  <c:v>23.788987499999791</c:v>
                </c:pt>
                <c:pt idx="176">
                  <c:v>23.353495999999787</c:v>
                </c:pt>
                <c:pt idx="177">
                  <c:v>22.918004499999796</c:v>
                </c:pt>
                <c:pt idx="178">
                  <c:v>22.482512999999788</c:v>
                </c:pt>
                <c:pt idx="179">
                  <c:v>22.047021499999794</c:v>
                </c:pt>
                <c:pt idx="180">
                  <c:v>21.611529999999789</c:v>
                </c:pt>
                <c:pt idx="181">
                  <c:v>21.176038499999784</c:v>
                </c:pt>
                <c:pt idx="182">
                  <c:v>20.74054699999979</c:v>
                </c:pt>
                <c:pt idx="183">
                  <c:v>20.305055499999785</c:v>
                </c:pt>
                <c:pt idx="184">
                  <c:v>19.869563999999791</c:v>
                </c:pt>
                <c:pt idx="185">
                  <c:v>19.434072499999786</c:v>
                </c:pt>
                <c:pt idx="186">
                  <c:v>18.998580999999778</c:v>
                </c:pt>
                <c:pt idx="187">
                  <c:v>18.563089499999787</c:v>
                </c:pt>
                <c:pt idx="188">
                  <c:v>18.127597999999782</c:v>
                </c:pt>
                <c:pt idx="189">
                  <c:v>17.692106499999792</c:v>
                </c:pt>
                <c:pt idx="190">
                  <c:v>17.256614999999783</c:v>
                </c:pt>
                <c:pt idx="191">
                  <c:v>16.821123499999775</c:v>
                </c:pt>
                <c:pt idx="192">
                  <c:v>16.385631999999788</c:v>
                </c:pt>
                <c:pt idx="193">
                  <c:v>15.950879832489887</c:v>
                </c:pt>
                <c:pt idx="194">
                  <c:v>15.516217308231631</c:v>
                </c:pt>
                <c:pt idx="195">
                  <c:v>15.08164425538534</c:v>
                </c:pt>
                <c:pt idx="196">
                  <c:v>14.647160655534128</c:v>
                </c:pt>
                <c:pt idx="197">
                  <c:v>14.212767480498433</c:v>
                </c:pt>
                <c:pt idx="198">
                  <c:v>13.778463928223585</c:v>
                </c:pt>
                <c:pt idx="199">
                  <c:v>13.346360525357301</c:v>
                </c:pt>
                <c:pt idx="200">
                  <c:v>12.914370285026022</c:v>
                </c:pt>
                <c:pt idx="201">
                  <c:v>12.482494088390395</c:v>
                </c:pt>
                <c:pt idx="202">
                  <c:v>12.050731345372542</c:v>
                </c:pt>
                <c:pt idx="203">
                  <c:v>11.619082026167803</c:v>
                </c:pt>
                <c:pt idx="204">
                  <c:v>11.187548075459819</c:v>
                </c:pt>
                <c:pt idx="205">
                  <c:v>10.758171211087532</c:v>
                </c:pt>
                <c:pt idx="206">
                  <c:v>10.328997959823011</c:v>
                </c:pt>
                <c:pt idx="207">
                  <c:v>9.9000275391822825</c:v>
                </c:pt>
                <c:pt idx="208">
                  <c:v>9.4712630110695368</c:v>
                </c:pt>
                <c:pt idx="209">
                  <c:v>9.0427019714802803</c:v>
                </c:pt>
                <c:pt idx="210">
                  <c:v>8.6167598082541961</c:v>
                </c:pt>
                <c:pt idx="211">
                  <c:v>8.1911939471164796</c:v>
                </c:pt>
                <c:pt idx="212">
                  <c:v>7.7660037000083619</c:v>
                </c:pt>
                <c:pt idx="213">
                  <c:v>7.3411931361956437</c:v>
                </c:pt>
                <c:pt idx="214">
                  <c:v>6.9167589308159023</c:v>
                </c:pt>
                <c:pt idx="215">
                  <c:v>6.4952818268393884</c:v>
                </c:pt>
                <c:pt idx="216">
                  <c:v>6.0743765466612807</c:v>
                </c:pt>
                <c:pt idx="217">
                  <c:v>5.6540423144803782</c:v>
                </c:pt>
                <c:pt idx="218">
                  <c:v>5.2368792365310677</c:v>
                </c:pt>
                <c:pt idx="219">
                  <c:v>4.821021380569392</c:v>
                </c:pt>
                <c:pt idx="220">
                  <c:v>4.4064937264086854</c:v>
                </c:pt>
                <c:pt idx="221">
                  <c:v>3.9964292593978192</c:v>
                </c:pt>
                <c:pt idx="222">
                  <c:v>3.5921077849039582</c:v>
                </c:pt>
                <c:pt idx="223">
                  <c:v>3.1850418927072877</c:v>
                </c:pt>
                <c:pt idx="224">
                  <c:v>2.7731460376999686</c:v>
                </c:pt>
                <c:pt idx="225">
                  <c:v>2.3569592556240644</c:v>
                </c:pt>
                <c:pt idx="226">
                  <c:v>1.9549924111129551</c:v>
                </c:pt>
                <c:pt idx="227">
                  <c:v>1.5595396259241157</c:v>
                </c:pt>
                <c:pt idx="228">
                  <c:v>1.1627707044543321</c:v>
                </c:pt>
                <c:pt idx="229">
                  <c:v>0.77380819993442174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'Model-HP35'!$H$1:$H$3</c:f>
              <c:strCache>
                <c:ptCount val="3"/>
                <c:pt idx="0">
                  <c:v>LINEAR REGULATOR</c:v>
                </c:pt>
                <c:pt idx="1">
                  <c:v>Load current</c:v>
                </c:pt>
                <c:pt idx="2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'Model-HP35'!$H$4:$H$251</c:f>
              <c:numCache>
                <c:formatCode>General</c:formatCode>
                <c:ptCount val="248"/>
                <c:pt idx="0">
                  <c:v>87.098300000000009</c:v>
                </c:pt>
                <c:pt idx="1">
                  <c:v>87.098300000000009</c:v>
                </c:pt>
                <c:pt idx="2">
                  <c:v>87.098300000000009</c:v>
                </c:pt>
                <c:pt idx="3">
                  <c:v>87.098300000000009</c:v>
                </c:pt>
                <c:pt idx="4">
                  <c:v>87.098300000000009</c:v>
                </c:pt>
                <c:pt idx="5">
                  <c:v>87.098300000000009</c:v>
                </c:pt>
                <c:pt idx="6">
                  <c:v>87.098300000000009</c:v>
                </c:pt>
                <c:pt idx="7">
                  <c:v>87.098300000000009</c:v>
                </c:pt>
                <c:pt idx="8">
                  <c:v>87.098300000000009</c:v>
                </c:pt>
                <c:pt idx="9">
                  <c:v>87.098300000000009</c:v>
                </c:pt>
                <c:pt idx="10">
                  <c:v>87.098300000000009</c:v>
                </c:pt>
                <c:pt idx="11">
                  <c:v>87.098300000000009</c:v>
                </c:pt>
                <c:pt idx="12">
                  <c:v>87.098300000000009</c:v>
                </c:pt>
                <c:pt idx="13">
                  <c:v>87.098300000000009</c:v>
                </c:pt>
                <c:pt idx="14">
                  <c:v>87.098300000000009</c:v>
                </c:pt>
                <c:pt idx="15">
                  <c:v>87.098300000000009</c:v>
                </c:pt>
                <c:pt idx="16">
                  <c:v>87.098300000000009</c:v>
                </c:pt>
                <c:pt idx="17">
                  <c:v>87.098300000000009</c:v>
                </c:pt>
                <c:pt idx="18">
                  <c:v>87.098300000000009</c:v>
                </c:pt>
                <c:pt idx="19">
                  <c:v>87.098300000000009</c:v>
                </c:pt>
                <c:pt idx="20">
                  <c:v>87.098300000000009</c:v>
                </c:pt>
                <c:pt idx="21">
                  <c:v>87.098300000000009</c:v>
                </c:pt>
                <c:pt idx="22">
                  <c:v>87.098300000000009</c:v>
                </c:pt>
                <c:pt idx="23">
                  <c:v>87.098300000000009</c:v>
                </c:pt>
                <c:pt idx="24">
                  <c:v>87.098300000000009</c:v>
                </c:pt>
                <c:pt idx="25">
                  <c:v>87.098300000000009</c:v>
                </c:pt>
                <c:pt idx="26">
                  <c:v>87.098300000000009</c:v>
                </c:pt>
                <c:pt idx="27">
                  <c:v>87.098300000000009</c:v>
                </c:pt>
                <c:pt idx="28">
                  <c:v>87.098300000000009</c:v>
                </c:pt>
                <c:pt idx="29">
                  <c:v>87.098300000000009</c:v>
                </c:pt>
                <c:pt idx="30">
                  <c:v>87.098300000000009</c:v>
                </c:pt>
                <c:pt idx="31">
                  <c:v>87.098300000000009</c:v>
                </c:pt>
                <c:pt idx="32">
                  <c:v>87.098300000000009</c:v>
                </c:pt>
                <c:pt idx="33">
                  <c:v>87.098300000000009</c:v>
                </c:pt>
                <c:pt idx="34">
                  <c:v>87.098300000000009</c:v>
                </c:pt>
                <c:pt idx="35">
                  <c:v>87.098300000000009</c:v>
                </c:pt>
                <c:pt idx="36">
                  <c:v>87.098300000000009</c:v>
                </c:pt>
                <c:pt idx="37">
                  <c:v>87.098300000000009</c:v>
                </c:pt>
                <c:pt idx="38">
                  <c:v>87.098300000000009</c:v>
                </c:pt>
                <c:pt idx="39">
                  <c:v>87.098300000000009</c:v>
                </c:pt>
                <c:pt idx="40">
                  <c:v>87.098300000000009</c:v>
                </c:pt>
                <c:pt idx="41">
                  <c:v>87.098300000000009</c:v>
                </c:pt>
                <c:pt idx="42">
                  <c:v>87.098300000000009</c:v>
                </c:pt>
                <c:pt idx="43">
                  <c:v>87.098300000000009</c:v>
                </c:pt>
                <c:pt idx="44">
                  <c:v>87.098300000000009</c:v>
                </c:pt>
                <c:pt idx="45">
                  <c:v>87.098300000000009</c:v>
                </c:pt>
                <c:pt idx="46">
                  <c:v>87.098300000000009</c:v>
                </c:pt>
                <c:pt idx="47">
                  <c:v>87.098300000000009</c:v>
                </c:pt>
                <c:pt idx="48">
                  <c:v>87.098300000000009</c:v>
                </c:pt>
                <c:pt idx="49">
                  <c:v>87.098300000000009</c:v>
                </c:pt>
                <c:pt idx="50">
                  <c:v>87.098300000000009</c:v>
                </c:pt>
                <c:pt idx="51">
                  <c:v>87.098300000000009</c:v>
                </c:pt>
                <c:pt idx="52">
                  <c:v>87.098300000000009</c:v>
                </c:pt>
                <c:pt idx="53">
                  <c:v>87.098300000000009</c:v>
                </c:pt>
                <c:pt idx="54">
                  <c:v>87.098300000000009</c:v>
                </c:pt>
                <c:pt idx="55">
                  <c:v>87.098300000000009</c:v>
                </c:pt>
                <c:pt idx="56">
                  <c:v>87.098300000000009</c:v>
                </c:pt>
                <c:pt idx="57">
                  <c:v>87.098300000000009</c:v>
                </c:pt>
                <c:pt idx="58">
                  <c:v>87.098300000000009</c:v>
                </c:pt>
                <c:pt idx="59">
                  <c:v>87.098300000000009</c:v>
                </c:pt>
                <c:pt idx="60">
                  <c:v>87.098300000000009</c:v>
                </c:pt>
                <c:pt idx="61">
                  <c:v>87.098300000000009</c:v>
                </c:pt>
                <c:pt idx="62">
                  <c:v>87.098300000000009</c:v>
                </c:pt>
                <c:pt idx="63">
                  <c:v>87.098300000000009</c:v>
                </c:pt>
                <c:pt idx="64">
                  <c:v>87.098300000000009</c:v>
                </c:pt>
                <c:pt idx="65">
                  <c:v>87.098300000000009</c:v>
                </c:pt>
                <c:pt idx="66">
                  <c:v>87.098300000000009</c:v>
                </c:pt>
                <c:pt idx="67">
                  <c:v>87.098300000000009</c:v>
                </c:pt>
                <c:pt idx="68">
                  <c:v>87.098300000000009</c:v>
                </c:pt>
                <c:pt idx="69">
                  <c:v>87.098300000000009</c:v>
                </c:pt>
                <c:pt idx="70">
                  <c:v>87.098300000000009</c:v>
                </c:pt>
                <c:pt idx="71">
                  <c:v>87.098300000000009</c:v>
                </c:pt>
                <c:pt idx="72">
                  <c:v>87.098300000000009</c:v>
                </c:pt>
                <c:pt idx="73">
                  <c:v>87.098300000000009</c:v>
                </c:pt>
                <c:pt idx="74">
                  <c:v>87.098300000000009</c:v>
                </c:pt>
                <c:pt idx="75">
                  <c:v>87.098300000000009</c:v>
                </c:pt>
                <c:pt idx="76">
                  <c:v>87.098300000000009</c:v>
                </c:pt>
                <c:pt idx="77">
                  <c:v>87.098300000000009</c:v>
                </c:pt>
                <c:pt idx="78">
                  <c:v>87.098300000000009</c:v>
                </c:pt>
                <c:pt idx="79">
                  <c:v>87.098300000000009</c:v>
                </c:pt>
                <c:pt idx="80">
                  <c:v>87.098300000000009</c:v>
                </c:pt>
                <c:pt idx="81">
                  <c:v>87.098300000000009</c:v>
                </c:pt>
                <c:pt idx="82">
                  <c:v>87.098300000000009</c:v>
                </c:pt>
                <c:pt idx="83">
                  <c:v>87.098300000000009</c:v>
                </c:pt>
                <c:pt idx="84">
                  <c:v>87.098300000000009</c:v>
                </c:pt>
                <c:pt idx="85">
                  <c:v>87.098300000000009</c:v>
                </c:pt>
                <c:pt idx="86">
                  <c:v>87.098300000000009</c:v>
                </c:pt>
                <c:pt idx="87">
                  <c:v>87.098300000000009</c:v>
                </c:pt>
                <c:pt idx="88">
                  <c:v>87.098300000000009</c:v>
                </c:pt>
                <c:pt idx="89">
                  <c:v>87.098300000000009</c:v>
                </c:pt>
                <c:pt idx="90">
                  <c:v>87.098300000000009</c:v>
                </c:pt>
                <c:pt idx="91">
                  <c:v>87.098300000000009</c:v>
                </c:pt>
                <c:pt idx="92">
                  <c:v>87.098300000000009</c:v>
                </c:pt>
                <c:pt idx="93">
                  <c:v>87.098300000000009</c:v>
                </c:pt>
                <c:pt idx="94">
                  <c:v>87.098300000000009</c:v>
                </c:pt>
                <c:pt idx="95">
                  <c:v>87.098300000000009</c:v>
                </c:pt>
                <c:pt idx="96">
                  <c:v>87.098300000000009</c:v>
                </c:pt>
                <c:pt idx="97">
                  <c:v>87.098300000000009</c:v>
                </c:pt>
                <c:pt idx="98">
                  <c:v>87.098300000000009</c:v>
                </c:pt>
                <c:pt idx="99">
                  <c:v>87.098300000000009</c:v>
                </c:pt>
                <c:pt idx="100">
                  <c:v>87.098300000000009</c:v>
                </c:pt>
                <c:pt idx="101">
                  <c:v>87.098300000000009</c:v>
                </c:pt>
                <c:pt idx="102">
                  <c:v>87.098300000000009</c:v>
                </c:pt>
                <c:pt idx="103">
                  <c:v>87.098300000000009</c:v>
                </c:pt>
                <c:pt idx="104">
                  <c:v>87.098300000000009</c:v>
                </c:pt>
                <c:pt idx="105">
                  <c:v>87.098300000000009</c:v>
                </c:pt>
                <c:pt idx="106">
                  <c:v>87.098300000000009</c:v>
                </c:pt>
                <c:pt idx="107">
                  <c:v>87.098300000000009</c:v>
                </c:pt>
                <c:pt idx="108">
                  <c:v>87.098300000000009</c:v>
                </c:pt>
                <c:pt idx="109">
                  <c:v>87.098300000000009</c:v>
                </c:pt>
                <c:pt idx="110">
                  <c:v>87.098300000000009</c:v>
                </c:pt>
                <c:pt idx="111">
                  <c:v>87.098300000000009</c:v>
                </c:pt>
                <c:pt idx="112">
                  <c:v>87.098300000000009</c:v>
                </c:pt>
                <c:pt idx="113">
                  <c:v>87.098300000000009</c:v>
                </c:pt>
                <c:pt idx="114">
                  <c:v>87.098300000000009</c:v>
                </c:pt>
                <c:pt idx="115">
                  <c:v>87.098300000000009</c:v>
                </c:pt>
                <c:pt idx="116">
                  <c:v>87.098300000000009</c:v>
                </c:pt>
                <c:pt idx="117">
                  <c:v>87.098300000000009</c:v>
                </c:pt>
                <c:pt idx="118">
                  <c:v>87.098300000000009</c:v>
                </c:pt>
                <c:pt idx="119">
                  <c:v>87.098300000000009</c:v>
                </c:pt>
                <c:pt idx="120">
                  <c:v>87.098300000000009</c:v>
                </c:pt>
                <c:pt idx="121">
                  <c:v>87.098300000000009</c:v>
                </c:pt>
                <c:pt idx="122">
                  <c:v>87.098300000000009</c:v>
                </c:pt>
                <c:pt idx="123">
                  <c:v>87.098300000000009</c:v>
                </c:pt>
                <c:pt idx="124">
                  <c:v>87.098300000000009</c:v>
                </c:pt>
                <c:pt idx="125">
                  <c:v>87.098300000000009</c:v>
                </c:pt>
                <c:pt idx="126">
                  <c:v>87.098300000000009</c:v>
                </c:pt>
                <c:pt idx="127">
                  <c:v>87.098300000000009</c:v>
                </c:pt>
                <c:pt idx="128">
                  <c:v>87.098300000000009</c:v>
                </c:pt>
                <c:pt idx="129">
                  <c:v>87.098300000000009</c:v>
                </c:pt>
                <c:pt idx="130">
                  <c:v>87.098300000000009</c:v>
                </c:pt>
                <c:pt idx="131">
                  <c:v>87.098300000000009</c:v>
                </c:pt>
                <c:pt idx="132">
                  <c:v>87.098300000000009</c:v>
                </c:pt>
                <c:pt idx="133">
                  <c:v>87.098300000000009</c:v>
                </c:pt>
                <c:pt idx="134">
                  <c:v>87.098300000000009</c:v>
                </c:pt>
                <c:pt idx="135">
                  <c:v>87.098300000000009</c:v>
                </c:pt>
                <c:pt idx="136">
                  <c:v>87.098300000000009</c:v>
                </c:pt>
                <c:pt idx="137">
                  <c:v>87.098300000000009</c:v>
                </c:pt>
                <c:pt idx="138">
                  <c:v>87.098300000000009</c:v>
                </c:pt>
                <c:pt idx="139">
                  <c:v>87.098300000000009</c:v>
                </c:pt>
                <c:pt idx="140">
                  <c:v>87.098300000000009</c:v>
                </c:pt>
                <c:pt idx="141">
                  <c:v>87.098300000000009</c:v>
                </c:pt>
                <c:pt idx="142">
                  <c:v>87.098300000000009</c:v>
                </c:pt>
                <c:pt idx="143">
                  <c:v>87.098300000000009</c:v>
                </c:pt>
                <c:pt idx="144">
                  <c:v>87.098300000000009</c:v>
                </c:pt>
                <c:pt idx="145">
                  <c:v>87.098300000000009</c:v>
                </c:pt>
                <c:pt idx="146">
                  <c:v>87.098300000000009</c:v>
                </c:pt>
                <c:pt idx="147">
                  <c:v>87.098300000000009</c:v>
                </c:pt>
                <c:pt idx="148">
                  <c:v>87.098300000000009</c:v>
                </c:pt>
                <c:pt idx="149">
                  <c:v>87.098300000000009</c:v>
                </c:pt>
                <c:pt idx="150">
                  <c:v>87.098300000000009</c:v>
                </c:pt>
                <c:pt idx="151">
                  <c:v>87.098300000000009</c:v>
                </c:pt>
                <c:pt idx="152">
                  <c:v>87.098300000000009</c:v>
                </c:pt>
                <c:pt idx="153">
                  <c:v>87.098300000000009</c:v>
                </c:pt>
                <c:pt idx="154">
                  <c:v>87.098300000000009</c:v>
                </c:pt>
                <c:pt idx="155">
                  <c:v>87.098300000000009</c:v>
                </c:pt>
                <c:pt idx="156">
                  <c:v>87.098300000000009</c:v>
                </c:pt>
                <c:pt idx="157">
                  <c:v>87.098300000000009</c:v>
                </c:pt>
                <c:pt idx="158">
                  <c:v>87.098300000000009</c:v>
                </c:pt>
                <c:pt idx="159">
                  <c:v>87.098300000000009</c:v>
                </c:pt>
                <c:pt idx="160">
                  <c:v>87.098300000000009</c:v>
                </c:pt>
                <c:pt idx="161">
                  <c:v>87.098300000000009</c:v>
                </c:pt>
                <c:pt idx="162">
                  <c:v>87.098300000000009</c:v>
                </c:pt>
                <c:pt idx="163">
                  <c:v>87.098300000000009</c:v>
                </c:pt>
                <c:pt idx="164">
                  <c:v>87.098300000000009</c:v>
                </c:pt>
                <c:pt idx="165">
                  <c:v>87.098300000000009</c:v>
                </c:pt>
                <c:pt idx="166">
                  <c:v>87.098300000000009</c:v>
                </c:pt>
                <c:pt idx="167">
                  <c:v>87.098300000000009</c:v>
                </c:pt>
                <c:pt idx="168">
                  <c:v>87.098300000000009</c:v>
                </c:pt>
                <c:pt idx="169">
                  <c:v>87.098300000000009</c:v>
                </c:pt>
                <c:pt idx="170">
                  <c:v>87.098300000000009</c:v>
                </c:pt>
                <c:pt idx="171">
                  <c:v>87.098300000000009</c:v>
                </c:pt>
                <c:pt idx="172">
                  <c:v>87.098300000000009</c:v>
                </c:pt>
                <c:pt idx="173">
                  <c:v>87.098300000000009</c:v>
                </c:pt>
                <c:pt idx="174">
                  <c:v>87.098300000000009</c:v>
                </c:pt>
                <c:pt idx="175">
                  <c:v>87.098300000000009</c:v>
                </c:pt>
                <c:pt idx="176">
                  <c:v>87.098300000000009</c:v>
                </c:pt>
                <c:pt idx="177">
                  <c:v>87.098300000000009</c:v>
                </c:pt>
                <c:pt idx="178">
                  <c:v>87.098300000000009</c:v>
                </c:pt>
                <c:pt idx="179">
                  <c:v>87.098300000000009</c:v>
                </c:pt>
                <c:pt idx="180">
                  <c:v>87.098300000000009</c:v>
                </c:pt>
                <c:pt idx="181">
                  <c:v>87.098300000000009</c:v>
                </c:pt>
                <c:pt idx="182">
                  <c:v>87.098300000000009</c:v>
                </c:pt>
                <c:pt idx="183">
                  <c:v>87.098300000000009</c:v>
                </c:pt>
                <c:pt idx="184">
                  <c:v>87.098300000000009</c:v>
                </c:pt>
                <c:pt idx="185">
                  <c:v>87.098300000000009</c:v>
                </c:pt>
                <c:pt idx="186">
                  <c:v>87.098300000000009</c:v>
                </c:pt>
                <c:pt idx="187">
                  <c:v>87.098300000000009</c:v>
                </c:pt>
                <c:pt idx="188">
                  <c:v>87.098300000000009</c:v>
                </c:pt>
                <c:pt idx="189">
                  <c:v>87.098300000000009</c:v>
                </c:pt>
                <c:pt idx="190">
                  <c:v>87.098300000000009</c:v>
                </c:pt>
                <c:pt idx="191">
                  <c:v>87.098300000000009</c:v>
                </c:pt>
                <c:pt idx="192">
                  <c:v>86.950433501978637</c:v>
                </c:pt>
                <c:pt idx="193">
                  <c:v>86.932504851652666</c:v>
                </c:pt>
                <c:pt idx="194">
                  <c:v>86.914610569257476</c:v>
                </c:pt>
                <c:pt idx="195">
                  <c:v>86.896719970241065</c:v>
                </c:pt>
                <c:pt idx="196">
                  <c:v>86.87863500714046</c:v>
                </c:pt>
                <c:pt idx="197">
                  <c:v>86.860710454968228</c:v>
                </c:pt>
                <c:pt idx="198">
                  <c:v>86.420680573259048</c:v>
                </c:pt>
                <c:pt idx="199">
                  <c:v>86.398048066254759</c:v>
                </c:pt>
                <c:pt idx="200">
                  <c:v>86.375239327123978</c:v>
                </c:pt>
                <c:pt idx="201">
                  <c:v>86.352548603572544</c:v>
                </c:pt>
                <c:pt idx="202">
                  <c:v>86.329863840860568</c:v>
                </c:pt>
                <c:pt idx="203">
                  <c:v>86.306790141684459</c:v>
                </c:pt>
                <c:pt idx="204">
                  <c:v>85.875372874456076</c:v>
                </c:pt>
                <c:pt idx="205">
                  <c:v>85.834650252817283</c:v>
                </c:pt>
                <c:pt idx="206">
                  <c:v>85.794084128232939</c:v>
                </c:pt>
                <c:pt idx="207">
                  <c:v>85.752905622462492</c:v>
                </c:pt>
                <c:pt idx="208">
                  <c:v>85.712207917850236</c:v>
                </c:pt>
                <c:pt idx="209">
                  <c:v>85.188432645218541</c:v>
                </c:pt>
                <c:pt idx="210">
                  <c:v>85.113172227542208</c:v>
                </c:pt>
                <c:pt idx="211">
                  <c:v>85.038049421625175</c:v>
                </c:pt>
                <c:pt idx="212">
                  <c:v>84.96211276254256</c:v>
                </c:pt>
                <c:pt idx="213">
                  <c:v>84.886841075947132</c:v>
                </c:pt>
                <c:pt idx="214">
                  <c:v>84.295420795304722</c:v>
                </c:pt>
                <c:pt idx="215">
                  <c:v>84.181056035620315</c:v>
                </c:pt>
                <c:pt idx="216">
                  <c:v>84.066846436182288</c:v>
                </c:pt>
                <c:pt idx="217">
                  <c:v>83.432615589860958</c:v>
                </c:pt>
                <c:pt idx="218">
                  <c:v>83.171571192333843</c:v>
                </c:pt>
                <c:pt idx="219">
                  <c:v>82.905530832143143</c:v>
                </c:pt>
                <c:pt idx="220">
                  <c:v>82.012893402172111</c:v>
                </c:pt>
                <c:pt idx="221">
                  <c:v>80.864294898773949</c:v>
                </c:pt>
                <c:pt idx="222">
                  <c:v>81.413178439332995</c:v>
                </c:pt>
                <c:pt idx="223">
                  <c:v>82.379171001462595</c:v>
                </c:pt>
                <c:pt idx="224">
                  <c:v>83.237356415182646</c:v>
                </c:pt>
                <c:pt idx="225">
                  <c:v>80.393368902220729</c:v>
                </c:pt>
                <c:pt idx="226">
                  <c:v>79.090557037769543</c:v>
                </c:pt>
                <c:pt idx="227">
                  <c:v>79.353784293955613</c:v>
                </c:pt>
                <c:pt idx="228">
                  <c:v>77.792500903980937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'Model-HP35'!$E$1:$E$3</c:f>
              <c:strCache>
                <c:ptCount val="3"/>
                <c:pt idx="0">
                  <c:v>LINEAR REGULATOR</c:v>
                </c:pt>
                <c:pt idx="1">
                  <c:v>Battery Voltage</c:v>
                </c:pt>
                <c:pt idx="2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'Model-HP35'!$E$4:$E$251</c:f>
              <c:numCache>
                <c:formatCode>General</c:formatCode>
                <c:ptCount val="248"/>
                <c:pt idx="0">
                  <c:v>4.2</c:v>
                </c:pt>
                <c:pt idx="1">
                  <c:v>4.1577518456634364</c:v>
                </c:pt>
                <c:pt idx="2">
                  <c:v>4.1576698011207824</c:v>
                </c:pt>
                <c:pt idx="3">
                  <c:v>4.138960270672559</c:v>
                </c:pt>
                <c:pt idx="4">
                  <c:v>4.1388913977591493</c:v>
                </c:pt>
                <c:pt idx="5">
                  <c:v>4.1233348465133997</c:v>
                </c:pt>
                <c:pt idx="6">
                  <c:v>4.1233001035004948</c:v>
                </c:pt>
                <c:pt idx="7">
                  <c:v>4.1154846978957487</c:v>
                </c:pt>
                <c:pt idx="8">
                  <c:v>4.1154286939335085</c:v>
                </c:pt>
                <c:pt idx="9">
                  <c:v>4.1029616435786771</c:v>
                </c:pt>
                <c:pt idx="10">
                  <c:v>4.102876812617513</c:v>
                </c:pt>
                <c:pt idx="11">
                  <c:v>4.102791981656349</c:v>
                </c:pt>
                <c:pt idx="12">
                  <c:v>4.1027071506951849</c:v>
                </c:pt>
                <c:pt idx="13">
                  <c:v>4.0840563347234617</c:v>
                </c:pt>
                <c:pt idx="14">
                  <c:v>4.0838622434914384</c:v>
                </c:pt>
                <c:pt idx="15">
                  <c:v>4.0836681522594143</c:v>
                </c:pt>
                <c:pt idx="16">
                  <c:v>4.083474061027391</c:v>
                </c:pt>
                <c:pt idx="17">
                  <c:v>4.0832799697953668</c:v>
                </c:pt>
                <c:pt idx="18">
                  <c:v>4.0830858785633435</c:v>
                </c:pt>
                <c:pt idx="19">
                  <c:v>4.0828917873313193</c:v>
                </c:pt>
                <c:pt idx="20">
                  <c:v>4.082697696099296</c:v>
                </c:pt>
                <c:pt idx="21">
                  <c:v>4.0825036048672727</c:v>
                </c:pt>
                <c:pt idx="22">
                  <c:v>4.0418924773432687</c:v>
                </c:pt>
                <c:pt idx="23">
                  <c:v>4.0417423697101826</c:v>
                </c:pt>
                <c:pt idx="24">
                  <c:v>4.0415922620770965</c:v>
                </c:pt>
                <c:pt idx="25">
                  <c:v>4.0414421544440096</c:v>
                </c:pt>
                <c:pt idx="26">
                  <c:v>4.0412920468109235</c:v>
                </c:pt>
                <c:pt idx="27">
                  <c:v>4.0411419391778374</c:v>
                </c:pt>
                <c:pt idx="28">
                  <c:v>4.0409918315447513</c:v>
                </c:pt>
                <c:pt idx="29">
                  <c:v>4.0408417239116643</c:v>
                </c:pt>
                <c:pt idx="30">
                  <c:v>4.010557326684741</c:v>
                </c:pt>
                <c:pt idx="31">
                  <c:v>4.0103779472045664</c:v>
                </c:pt>
                <c:pt idx="32">
                  <c:v>4.010198567724391</c:v>
                </c:pt>
                <c:pt idx="33">
                  <c:v>4.0100191882442164</c:v>
                </c:pt>
                <c:pt idx="34">
                  <c:v>4.0098398087640419</c:v>
                </c:pt>
                <c:pt idx="35">
                  <c:v>4.0096604292838665</c:v>
                </c:pt>
                <c:pt idx="36">
                  <c:v>4.0094810498036919</c:v>
                </c:pt>
                <c:pt idx="37">
                  <c:v>4.0093016703235174</c:v>
                </c:pt>
                <c:pt idx="38">
                  <c:v>3.9746522520576586</c:v>
                </c:pt>
                <c:pt idx="39">
                  <c:v>3.974489494176074</c:v>
                </c:pt>
                <c:pt idx="40">
                  <c:v>3.9743267362944894</c:v>
                </c:pt>
                <c:pt idx="41">
                  <c:v>3.9741639784129048</c:v>
                </c:pt>
                <c:pt idx="42">
                  <c:v>3.9740012205313202</c:v>
                </c:pt>
                <c:pt idx="43">
                  <c:v>3.9738384626497356</c:v>
                </c:pt>
                <c:pt idx="44">
                  <c:v>3.9736757047681515</c:v>
                </c:pt>
                <c:pt idx="45">
                  <c:v>3.9735129468865669</c:v>
                </c:pt>
                <c:pt idx="46">
                  <c:v>3.9434509233955359</c:v>
                </c:pt>
                <c:pt idx="47">
                  <c:v>3.9432806194571599</c:v>
                </c:pt>
                <c:pt idx="48">
                  <c:v>3.9431103155187843</c:v>
                </c:pt>
                <c:pt idx="49">
                  <c:v>3.9429400115804083</c:v>
                </c:pt>
                <c:pt idx="50">
                  <c:v>3.9427697076420323</c:v>
                </c:pt>
                <c:pt idx="51">
                  <c:v>3.9425994037036562</c:v>
                </c:pt>
                <c:pt idx="52">
                  <c:v>3.9424290997652807</c:v>
                </c:pt>
                <c:pt idx="53">
                  <c:v>3.9422587958269046</c:v>
                </c:pt>
                <c:pt idx="54">
                  <c:v>3.9420884918885286</c:v>
                </c:pt>
                <c:pt idx="55">
                  <c:v>3.9419181879501526</c:v>
                </c:pt>
                <c:pt idx="56">
                  <c:v>3.9121673984550558</c:v>
                </c:pt>
                <c:pt idx="57">
                  <c:v>3.9119602499825126</c:v>
                </c:pt>
                <c:pt idx="58">
                  <c:v>3.9117531015099689</c:v>
                </c:pt>
                <c:pt idx="59">
                  <c:v>3.9115459530374252</c:v>
                </c:pt>
                <c:pt idx="60">
                  <c:v>3.911338804564882</c:v>
                </c:pt>
                <c:pt idx="61">
                  <c:v>3.9111316560923384</c:v>
                </c:pt>
                <c:pt idx="62">
                  <c:v>3.9109245076197952</c:v>
                </c:pt>
                <c:pt idx="63">
                  <c:v>3.9107173591472515</c:v>
                </c:pt>
                <c:pt idx="64">
                  <c:v>3.9105102106747078</c:v>
                </c:pt>
                <c:pt idx="65">
                  <c:v>3.9103030622021646</c:v>
                </c:pt>
                <c:pt idx="66">
                  <c:v>3.8761645046921878</c:v>
                </c:pt>
                <c:pt idx="67">
                  <c:v>3.8759830904295574</c:v>
                </c:pt>
                <c:pt idx="68">
                  <c:v>3.8758016761669274</c:v>
                </c:pt>
                <c:pt idx="69">
                  <c:v>3.875620261904297</c:v>
                </c:pt>
                <c:pt idx="70">
                  <c:v>3.8754388476416666</c:v>
                </c:pt>
                <c:pt idx="71">
                  <c:v>3.8752574333790362</c:v>
                </c:pt>
                <c:pt idx="72">
                  <c:v>3.8750760191164058</c:v>
                </c:pt>
                <c:pt idx="73">
                  <c:v>3.8748946048537753</c:v>
                </c:pt>
                <c:pt idx="74">
                  <c:v>3.8747131905911454</c:v>
                </c:pt>
                <c:pt idx="75">
                  <c:v>3.874531776328515</c:v>
                </c:pt>
                <c:pt idx="76">
                  <c:v>3.8743503620658846</c:v>
                </c:pt>
                <c:pt idx="77">
                  <c:v>3.8464473573974738</c:v>
                </c:pt>
                <c:pt idx="78">
                  <c:v>3.8462630938048989</c:v>
                </c:pt>
                <c:pt idx="79">
                  <c:v>3.8460788302123241</c:v>
                </c:pt>
                <c:pt idx="80">
                  <c:v>3.8458945666197493</c:v>
                </c:pt>
                <c:pt idx="81">
                  <c:v>3.8457103030271744</c:v>
                </c:pt>
                <c:pt idx="82">
                  <c:v>3.8455260394345996</c:v>
                </c:pt>
                <c:pt idx="83">
                  <c:v>3.8453417758420247</c:v>
                </c:pt>
                <c:pt idx="84">
                  <c:v>3.8451575122494499</c:v>
                </c:pt>
                <c:pt idx="85">
                  <c:v>3.8449732486568751</c:v>
                </c:pt>
                <c:pt idx="86">
                  <c:v>3.8447889850642998</c:v>
                </c:pt>
                <c:pt idx="87">
                  <c:v>3.8446047214717249</c:v>
                </c:pt>
                <c:pt idx="88">
                  <c:v>3.8444204578791501</c:v>
                </c:pt>
                <c:pt idx="89">
                  <c:v>3.8182945930378396</c:v>
                </c:pt>
                <c:pt idx="90">
                  <c:v>3.818105703483706</c:v>
                </c:pt>
                <c:pt idx="91">
                  <c:v>3.8179168139295725</c:v>
                </c:pt>
                <c:pt idx="92">
                  <c:v>3.8177279243754394</c:v>
                </c:pt>
                <c:pt idx="93">
                  <c:v>3.8175390348213059</c:v>
                </c:pt>
                <c:pt idx="94">
                  <c:v>3.8173501452671723</c:v>
                </c:pt>
                <c:pt idx="95">
                  <c:v>3.8171612557130388</c:v>
                </c:pt>
                <c:pt idx="96">
                  <c:v>3.8169723661589052</c:v>
                </c:pt>
                <c:pt idx="97">
                  <c:v>3.8167834766047721</c:v>
                </c:pt>
                <c:pt idx="98">
                  <c:v>3.8165945870506386</c:v>
                </c:pt>
                <c:pt idx="99">
                  <c:v>3.816405697496505</c:v>
                </c:pt>
                <c:pt idx="100">
                  <c:v>3.8162168079423715</c:v>
                </c:pt>
                <c:pt idx="101">
                  <c:v>3.816027918388238</c:v>
                </c:pt>
                <c:pt idx="102">
                  <c:v>3.7917112366332097</c:v>
                </c:pt>
                <c:pt idx="103">
                  <c:v>3.7915520632927042</c:v>
                </c:pt>
                <c:pt idx="104">
                  <c:v>3.7913928899521987</c:v>
                </c:pt>
                <c:pt idx="105">
                  <c:v>3.7912337166116932</c:v>
                </c:pt>
                <c:pt idx="106">
                  <c:v>3.7910745432711881</c:v>
                </c:pt>
                <c:pt idx="107">
                  <c:v>3.7909153699306826</c:v>
                </c:pt>
                <c:pt idx="108">
                  <c:v>3.790756196590177</c:v>
                </c:pt>
                <c:pt idx="109">
                  <c:v>3.7905970232496715</c:v>
                </c:pt>
                <c:pt idx="110">
                  <c:v>3.7904378499091664</c:v>
                </c:pt>
                <c:pt idx="111">
                  <c:v>3.7902786765686609</c:v>
                </c:pt>
                <c:pt idx="112">
                  <c:v>3.7901195032281554</c:v>
                </c:pt>
                <c:pt idx="113">
                  <c:v>3.7899603298876499</c:v>
                </c:pt>
                <c:pt idx="114">
                  <c:v>3.7898011565471448</c:v>
                </c:pt>
                <c:pt idx="115">
                  <c:v>3.7712606545659488</c:v>
                </c:pt>
                <c:pt idx="116">
                  <c:v>3.7710844356966007</c:v>
                </c:pt>
                <c:pt idx="117">
                  <c:v>3.7709082168272521</c:v>
                </c:pt>
                <c:pt idx="118">
                  <c:v>3.7707319979579035</c:v>
                </c:pt>
                <c:pt idx="119">
                  <c:v>3.7705557790885553</c:v>
                </c:pt>
                <c:pt idx="120">
                  <c:v>3.7703795602192067</c:v>
                </c:pt>
                <c:pt idx="121">
                  <c:v>3.7702033413498581</c:v>
                </c:pt>
                <c:pt idx="122">
                  <c:v>3.77002712248051</c:v>
                </c:pt>
                <c:pt idx="123">
                  <c:v>3.7698509036111614</c:v>
                </c:pt>
                <c:pt idx="124">
                  <c:v>3.7696746847418132</c:v>
                </c:pt>
                <c:pt idx="125">
                  <c:v>3.7694984658724646</c:v>
                </c:pt>
                <c:pt idx="126">
                  <c:v>3.769322247003116</c:v>
                </c:pt>
                <c:pt idx="127">
                  <c:v>3.7691460281337679</c:v>
                </c:pt>
                <c:pt idx="128">
                  <c:v>3.7689698092644193</c:v>
                </c:pt>
                <c:pt idx="129">
                  <c:v>3.7687935903950707</c:v>
                </c:pt>
                <c:pt idx="130">
                  <c:v>3.7509458725752176</c:v>
                </c:pt>
                <c:pt idx="131">
                  <c:v>3.750790020372424</c:v>
                </c:pt>
                <c:pt idx="132">
                  <c:v>3.7506341681696305</c:v>
                </c:pt>
                <c:pt idx="133">
                  <c:v>3.7504783159668373</c:v>
                </c:pt>
                <c:pt idx="134">
                  <c:v>3.7503224637640438</c:v>
                </c:pt>
                <c:pt idx="135">
                  <c:v>3.7501666115612502</c:v>
                </c:pt>
                <c:pt idx="136">
                  <c:v>3.7499336064944164</c:v>
                </c:pt>
                <c:pt idx="137">
                  <c:v>3.7497663100737322</c:v>
                </c:pt>
                <c:pt idx="138">
                  <c:v>3.7495986544098856</c:v>
                </c:pt>
                <c:pt idx="139">
                  <c:v>3.7494313168936033</c:v>
                </c:pt>
                <c:pt idx="140">
                  <c:v>3.7492639793773215</c:v>
                </c:pt>
                <c:pt idx="141">
                  <c:v>3.749093530734982</c:v>
                </c:pt>
                <c:pt idx="142">
                  <c:v>3.7489259282536262</c:v>
                </c:pt>
                <c:pt idx="143">
                  <c:v>3.748755041485397</c:v>
                </c:pt>
                <c:pt idx="144">
                  <c:v>3.7485872000016025</c:v>
                </c:pt>
                <c:pt idx="145">
                  <c:v>3.7484155854884094</c:v>
                </c:pt>
                <c:pt idx="146">
                  <c:v>3.7352591447627819</c:v>
                </c:pt>
                <c:pt idx="147">
                  <c:v>3.7350761785124869</c:v>
                </c:pt>
                <c:pt idx="148">
                  <c:v>3.7348934953976953</c:v>
                </c:pt>
                <c:pt idx="149">
                  <c:v>3.7347108122829042</c:v>
                </c:pt>
                <c:pt idx="150">
                  <c:v>3.7345265484801837</c:v>
                </c:pt>
                <c:pt idx="151">
                  <c:v>3.7343435412283288</c:v>
                </c:pt>
                <c:pt idx="152">
                  <c:v>3.7341586508066569</c:v>
                </c:pt>
                <c:pt idx="153">
                  <c:v>3.7339753697030633</c:v>
                </c:pt>
                <c:pt idx="154">
                  <c:v>3.7337894214918275</c:v>
                </c:pt>
                <c:pt idx="155">
                  <c:v>3.7336058399233489</c:v>
                </c:pt>
                <c:pt idx="156">
                  <c:v>3.7334222583548708</c:v>
                </c:pt>
                <c:pt idx="157">
                  <c:v>3.7332353014702142</c:v>
                </c:pt>
                <c:pt idx="158">
                  <c:v>3.7212463678780741</c:v>
                </c:pt>
                <c:pt idx="159">
                  <c:v>3.7209770795943089</c:v>
                </c:pt>
                <c:pt idx="160">
                  <c:v>3.7207079505129861</c:v>
                </c:pt>
                <c:pt idx="161">
                  <c:v>3.7204377051932114</c:v>
                </c:pt>
                <c:pt idx="162">
                  <c:v>3.7201682430624685</c:v>
                </c:pt>
                <c:pt idx="163">
                  <c:v>3.7198987809317257</c:v>
                </c:pt>
                <c:pt idx="164">
                  <c:v>3.719626908593304</c:v>
                </c:pt>
                <c:pt idx="165">
                  <c:v>3.7193570669961189</c:v>
                </c:pt>
                <c:pt idx="166">
                  <c:v>3.7190846836575124</c:v>
                </c:pt>
                <c:pt idx="167">
                  <c:v>3.7188145377173818</c:v>
                </c:pt>
                <c:pt idx="168">
                  <c:v>3.7185443917772512</c:v>
                </c:pt>
                <c:pt idx="169">
                  <c:v>3.7182742458371205</c:v>
                </c:pt>
                <c:pt idx="170">
                  <c:v>3.7040608759273832</c:v>
                </c:pt>
                <c:pt idx="171">
                  <c:v>3.7036048215662398</c:v>
                </c:pt>
                <c:pt idx="172">
                  <c:v>3.7031487672050964</c:v>
                </c:pt>
                <c:pt idx="173">
                  <c:v>3.7026912018287819</c:v>
                </c:pt>
                <c:pt idx="174">
                  <c:v>3.7022346693788242</c:v>
                </c:pt>
                <c:pt idx="175">
                  <c:v>3.7017753345149984</c:v>
                </c:pt>
                <c:pt idx="176">
                  <c:v>3.7013182590176052</c:v>
                </c:pt>
                <c:pt idx="177">
                  <c:v>3.7008577447942388</c:v>
                </c:pt>
                <c:pt idx="178">
                  <c:v>3.7004001890635618</c:v>
                </c:pt>
                <c:pt idx="179">
                  <c:v>3.6999426333328844</c:v>
                </c:pt>
                <c:pt idx="180">
                  <c:v>3.6994814928275801</c:v>
                </c:pt>
                <c:pt idx="181">
                  <c:v>3.6990235842832413</c:v>
                </c:pt>
                <c:pt idx="182">
                  <c:v>3.6803537998073481</c:v>
                </c:pt>
                <c:pt idx="183">
                  <c:v>3.6796808971815085</c:v>
                </c:pt>
                <c:pt idx="184">
                  <c:v>3.6790064821941351</c:v>
                </c:pt>
                <c:pt idx="185">
                  <c:v>3.67833296740038</c:v>
                </c:pt>
                <c:pt idx="186">
                  <c:v>3.6776558874491636</c:v>
                </c:pt>
                <c:pt idx="187">
                  <c:v>3.6769815751704411</c:v>
                </c:pt>
                <c:pt idx="188">
                  <c:v>3.6763072628917182</c:v>
                </c:pt>
                <c:pt idx="189">
                  <c:v>3.6756269788579652</c:v>
                </c:pt>
                <c:pt idx="190">
                  <c:v>3.6749518672011399</c:v>
                </c:pt>
                <c:pt idx="191">
                  <c:v>3.6742668285609517</c:v>
                </c:pt>
                <c:pt idx="192">
                  <c:v>3.6534572346008236</c:v>
                </c:pt>
                <c:pt idx="193">
                  <c:v>3.6526639314890552</c:v>
                </c:pt>
                <c:pt idx="194">
                  <c:v>3.6518721490821884</c:v>
                </c:pt>
                <c:pt idx="195">
                  <c:v>3.6510805296566833</c:v>
                </c:pt>
                <c:pt idx="196">
                  <c:v>3.6502803100504617</c:v>
                </c:pt>
                <c:pt idx="197">
                  <c:v>3.6494871882729294</c:v>
                </c:pt>
                <c:pt idx="198">
                  <c:v>3.6300168395247359</c:v>
                </c:pt>
                <c:pt idx="199">
                  <c:v>3.6290154011617139</c:v>
                </c:pt>
                <c:pt idx="200">
                  <c:v>3.6280061649169895</c:v>
                </c:pt>
                <c:pt idx="201">
                  <c:v>3.6270021506005539</c:v>
                </c:pt>
                <c:pt idx="202">
                  <c:v>3.6259984000380774</c:v>
                </c:pt>
                <c:pt idx="203">
                  <c:v>3.6249774398975414</c:v>
                </c:pt>
                <c:pt idx="204">
                  <c:v>3.6058881802856662</c:v>
                </c:pt>
                <c:pt idx="205">
                  <c:v>3.6040862943724452</c:v>
                </c:pt>
                <c:pt idx="206">
                  <c:v>3.6022913331076514</c:v>
                </c:pt>
                <c:pt idx="207">
                  <c:v>3.6004692753301981</c:v>
                </c:pt>
                <c:pt idx="208">
                  <c:v>3.5986684919402747</c:v>
                </c:pt>
                <c:pt idx="209">
                  <c:v>3.5754925949211733</c:v>
                </c:pt>
                <c:pt idx="210">
                  <c:v>3.5721624879443445</c:v>
                </c:pt>
                <c:pt idx="211">
                  <c:v>3.5688384699834139</c:v>
                </c:pt>
                <c:pt idx="212">
                  <c:v>3.5654784408204665</c:v>
                </c:pt>
                <c:pt idx="213">
                  <c:v>3.5621478352188984</c:v>
                </c:pt>
                <c:pt idx="214">
                  <c:v>3.5359787962524205</c:v>
                </c:pt>
                <c:pt idx="215">
                  <c:v>3.5309184086557655</c:v>
                </c:pt>
                <c:pt idx="216">
                  <c:v>3.5258648865567372</c:v>
                </c:pt>
                <c:pt idx="217">
                  <c:v>3.4978015747726077</c:v>
                </c:pt>
                <c:pt idx="218">
                  <c:v>3.4862509377138857</c:v>
                </c:pt>
                <c:pt idx="219">
                  <c:v>3.4744792403603153</c:v>
                </c:pt>
                <c:pt idx="220">
                  <c:v>3.434982008945668</c:v>
                </c:pt>
                <c:pt idx="221">
                  <c:v>3.3841590663174306</c:v>
                </c:pt>
                <c:pt idx="222">
                  <c:v>3.4084459486430521</c:v>
                </c:pt>
                <c:pt idx="223">
                  <c:v>3.4511889823656006</c:v>
                </c:pt>
                <c:pt idx="224">
                  <c:v>3.4891617882824169</c:v>
                </c:pt>
                <c:pt idx="225">
                  <c:v>3.3633216328416244</c:v>
                </c:pt>
                <c:pt idx="226">
                  <c:v>3.3056750901667931</c:v>
                </c:pt>
                <c:pt idx="227">
                  <c:v>3.3173223138918404</c:v>
                </c:pt>
                <c:pt idx="228">
                  <c:v>3.2482389780522527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'Model-HP35'!$F$1:$F$3</c:f>
              <c:strCache>
                <c:ptCount val="3"/>
                <c:pt idx="0">
                  <c:v>LINEAR REGULATOR</c:v>
                </c:pt>
                <c:pt idx="1">
                  <c:v>Output Voltage</c:v>
                </c:pt>
                <c:pt idx="2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'Model-HP35'!$F$4:$F$251</c:f>
              <c:numCache>
                <c:formatCode>General</c:formatCode>
                <c:ptCount val="248"/>
                <c:pt idx="0">
                  <c:v>3.605</c:v>
                </c:pt>
                <c:pt idx="1">
                  <c:v>3.605</c:v>
                </c:pt>
                <c:pt idx="2">
                  <c:v>3.605</c:v>
                </c:pt>
                <c:pt idx="3">
                  <c:v>3.605</c:v>
                </c:pt>
                <c:pt idx="4">
                  <c:v>3.605</c:v>
                </c:pt>
                <c:pt idx="5">
                  <c:v>3.605</c:v>
                </c:pt>
                <c:pt idx="6">
                  <c:v>3.605</c:v>
                </c:pt>
                <c:pt idx="7">
                  <c:v>3.605</c:v>
                </c:pt>
                <c:pt idx="8">
                  <c:v>3.605</c:v>
                </c:pt>
                <c:pt idx="9">
                  <c:v>3.605</c:v>
                </c:pt>
                <c:pt idx="10">
                  <c:v>3.605</c:v>
                </c:pt>
                <c:pt idx="11">
                  <c:v>3.605</c:v>
                </c:pt>
                <c:pt idx="12">
                  <c:v>3.605</c:v>
                </c:pt>
                <c:pt idx="13">
                  <c:v>3.605</c:v>
                </c:pt>
                <c:pt idx="14">
                  <c:v>3.605</c:v>
                </c:pt>
                <c:pt idx="15">
                  <c:v>3.605</c:v>
                </c:pt>
                <c:pt idx="16">
                  <c:v>3.605</c:v>
                </c:pt>
                <c:pt idx="17">
                  <c:v>3.605</c:v>
                </c:pt>
                <c:pt idx="18">
                  <c:v>3.605</c:v>
                </c:pt>
                <c:pt idx="19">
                  <c:v>3.605</c:v>
                </c:pt>
                <c:pt idx="20">
                  <c:v>3.605</c:v>
                </c:pt>
                <c:pt idx="21">
                  <c:v>3.605</c:v>
                </c:pt>
                <c:pt idx="22">
                  <c:v>3.605</c:v>
                </c:pt>
                <c:pt idx="23">
                  <c:v>3.605</c:v>
                </c:pt>
                <c:pt idx="24">
                  <c:v>3.605</c:v>
                </c:pt>
                <c:pt idx="25">
                  <c:v>3.605</c:v>
                </c:pt>
                <c:pt idx="26">
                  <c:v>3.605</c:v>
                </c:pt>
                <c:pt idx="27">
                  <c:v>3.605</c:v>
                </c:pt>
                <c:pt idx="28">
                  <c:v>3.605</c:v>
                </c:pt>
                <c:pt idx="29">
                  <c:v>3.605</c:v>
                </c:pt>
                <c:pt idx="30">
                  <c:v>3.605</c:v>
                </c:pt>
                <c:pt idx="31">
                  <c:v>3.605</c:v>
                </c:pt>
                <c:pt idx="32">
                  <c:v>3.605</c:v>
                </c:pt>
                <c:pt idx="33">
                  <c:v>3.605</c:v>
                </c:pt>
                <c:pt idx="34">
                  <c:v>3.605</c:v>
                </c:pt>
                <c:pt idx="35">
                  <c:v>3.605</c:v>
                </c:pt>
                <c:pt idx="36">
                  <c:v>3.605</c:v>
                </c:pt>
                <c:pt idx="37">
                  <c:v>3.605</c:v>
                </c:pt>
                <c:pt idx="38">
                  <c:v>3.605</c:v>
                </c:pt>
                <c:pt idx="39">
                  <c:v>3.605</c:v>
                </c:pt>
                <c:pt idx="40">
                  <c:v>3.605</c:v>
                </c:pt>
                <c:pt idx="41">
                  <c:v>3.605</c:v>
                </c:pt>
                <c:pt idx="42">
                  <c:v>3.605</c:v>
                </c:pt>
                <c:pt idx="43">
                  <c:v>3.605</c:v>
                </c:pt>
                <c:pt idx="44">
                  <c:v>3.605</c:v>
                </c:pt>
                <c:pt idx="45">
                  <c:v>3.605</c:v>
                </c:pt>
                <c:pt idx="46">
                  <c:v>3.605</c:v>
                </c:pt>
                <c:pt idx="47">
                  <c:v>3.605</c:v>
                </c:pt>
                <c:pt idx="48">
                  <c:v>3.605</c:v>
                </c:pt>
                <c:pt idx="49">
                  <c:v>3.605</c:v>
                </c:pt>
                <c:pt idx="50">
                  <c:v>3.605</c:v>
                </c:pt>
                <c:pt idx="51">
                  <c:v>3.605</c:v>
                </c:pt>
                <c:pt idx="52">
                  <c:v>3.605</c:v>
                </c:pt>
                <c:pt idx="53">
                  <c:v>3.605</c:v>
                </c:pt>
                <c:pt idx="54">
                  <c:v>3.605</c:v>
                </c:pt>
                <c:pt idx="55">
                  <c:v>3.605</c:v>
                </c:pt>
                <c:pt idx="56">
                  <c:v>3.605</c:v>
                </c:pt>
                <c:pt idx="57">
                  <c:v>3.605</c:v>
                </c:pt>
                <c:pt idx="58">
                  <c:v>3.605</c:v>
                </c:pt>
                <c:pt idx="59">
                  <c:v>3.605</c:v>
                </c:pt>
                <c:pt idx="60">
                  <c:v>3.605</c:v>
                </c:pt>
                <c:pt idx="61">
                  <c:v>3.605</c:v>
                </c:pt>
                <c:pt idx="62">
                  <c:v>3.605</c:v>
                </c:pt>
                <c:pt idx="63">
                  <c:v>3.605</c:v>
                </c:pt>
                <c:pt idx="64">
                  <c:v>3.605</c:v>
                </c:pt>
                <c:pt idx="65">
                  <c:v>3.605</c:v>
                </c:pt>
                <c:pt idx="66">
                  <c:v>3.605</c:v>
                </c:pt>
                <c:pt idx="67">
                  <c:v>3.605</c:v>
                </c:pt>
                <c:pt idx="68">
                  <c:v>3.605</c:v>
                </c:pt>
                <c:pt idx="69">
                  <c:v>3.605</c:v>
                </c:pt>
                <c:pt idx="70">
                  <c:v>3.605</c:v>
                </c:pt>
                <c:pt idx="71">
                  <c:v>3.605</c:v>
                </c:pt>
                <c:pt idx="72">
                  <c:v>3.605</c:v>
                </c:pt>
                <c:pt idx="73">
                  <c:v>3.605</c:v>
                </c:pt>
                <c:pt idx="74">
                  <c:v>3.605</c:v>
                </c:pt>
                <c:pt idx="75">
                  <c:v>3.605</c:v>
                </c:pt>
                <c:pt idx="76">
                  <c:v>3.605</c:v>
                </c:pt>
                <c:pt idx="77">
                  <c:v>3.605</c:v>
                </c:pt>
                <c:pt idx="78">
                  <c:v>3.605</c:v>
                </c:pt>
                <c:pt idx="79">
                  <c:v>3.605</c:v>
                </c:pt>
                <c:pt idx="80">
                  <c:v>3.605</c:v>
                </c:pt>
                <c:pt idx="81">
                  <c:v>3.605</c:v>
                </c:pt>
                <c:pt idx="82">
                  <c:v>3.605</c:v>
                </c:pt>
                <c:pt idx="83">
                  <c:v>3.605</c:v>
                </c:pt>
                <c:pt idx="84">
                  <c:v>3.605</c:v>
                </c:pt>
                <c:pt idx="85">
                  <c:v>3.605</c:v>
                </c:pt>
                <c:pt idx="86">
                  <c:v>3.605</c:v>
                </c:pt>
                <c:pt idx="87">
                  <c:v>3.605</c:v>
                </c:pt>
                <c:pt idx="88">
                  <c:v>3.605</c:v>
                </c:pt>
                <c:pt idx="89">
                  <c:v>3.605</c:v>
                </c:pt>
                <c:pt idx="90">
                  <c:v>3.605</c:v>
                </c:pt>
                <c:pt idx="91">
                  <c:v>3.605</c:v>
                </c:pt>
                <c:pt idx="92">
                  <c:v>3.605</c:v>
                </c:pt>
                <c:pt idx="93">
                  <c:v>3.605</c:v>
                </c:pt>
                <c:pt idx="94">
                  <c:v>3.605</c:v>
                </c:pt>
                <c:pt idx="95">
                  <c:v>3.605</c:v>
                </c:pt>
                <c:pt idx="96">
                  <c:v>3.605</c:v>
                </c:pt>
                <c:pt idx="97">
                  <c:v>3.605</c:v>
                </c:pt>
                <c:pt idx="98">
                  <c:v>3.605</c:v>
                </c:pt>
                <c:pt idx="99">
                  <c:v>3.605</c:v>
                </c:pt>
                <c:pt idx="100">
                  <c:v>3.605</c:v>
                </c:pt>
                <c:pt idx="101">
                  <c:v>3.605</c:v>
                </c:pt>
                <c:pt idx="102">
                  <c:v>3.605</c:v>
                </c:pt>
                <c:pt idx="103">
                  <c:v>3.605</c:v>
                </c:pt>
                <c:pt idx="104">
                  <c:v>3.605</c:v>
                </c:pt>
                <c:pt idx="105">
                  <c:v>3.605</c:v>
                </c:pt>
                <c:pt idx="106">
                  <c:v>3.605</c:v>
                </c:pt>
                <c:pt idx="107">
                  <c:v>3.605</c:v>
                </c:pt>
                <c:pt idx="108">
                  <c:v>3.605</c:v>
                </c:pt>
                <c:pt idx="109">
                  <c:v>3.605</c:v>
                </c:pt>
                <c:pt idx="110">
                  <c:v>3.605</c:v>
                </c:pt>
                <c:pt idx="111">
                  <c:v>3.605</c:v>
                </c:pt>
                <c:pt idx="112">
                  <c:v>3.605</c:v>
                </c:pt>
                <c:pt idx="113">
                  <c:v>3.605</c:v>
                </c:pt>
                <c:pt idx="114">
                  <c:v>3.605</c:v>
                </c:pt>
                <c:pt idx="115">
                  <c:v>3.605</c:v>
                </c:pt>
                <c:pt idx="116">
                  <c:v>3.605</c:v>
                </c:pt>
                <c:pt idx="117">
                  <c:v>3.605</c:v>
                </c:pt>
                <c:pt idx="118">
                  <c:v>3.605</c:v>
                </c:pt>
                <c:pt idx="119">
                  <c:v>3.605</c:v>
                </c:pt>
                <c:pt idx="120">
                  <c:v>3.605</c:v>
                </c:pt>
                <c:pt idx="121">
                  <c:v>3.605</c:v>
                </c:pt>
                <c:pt idx="122">
                  <c:v>3.605</c:v>
                </c:pt>
                <c:pt idx="123">
                  <c:v>3.605</c:v>
                </c:pt>
                <c:pt idx="124">
                  <c:v>3.605</c:v>
                </c:pt>
                <c:pt idx="125">
                  <c:v>3.605</c:v>
                </c:pt>
                <c:pt idx="126">
                  <c:v>3.605</c:v>
                </c:pt>
                <c:pt idx="127">
                  <c:v>3.605</c:v>
                </c:pt>
                <c:pt idx="128">
                  <c:v>3.605</c:v>
                </c:pt>
                <c:pt idx="129">
                  <c:v>3.605</c:v>
                </c:pt>
                <c:pt idx="130">
                  <c:v>3.605</c:v>
                </c:pt>
                <c:pt idx="131">
                  <c:v>3.605</c:v>
                </c:pt>
                <c:pt idx="132">
                  <c:v>3.605</c:v>
                </c:pt>
                <c:pt idx="133">
                  <c:v>3.605</c:v>
                </c:pt>
                <c:pt idx="134">
                  <c:v>3.605</c:v>
                </c:pt>
                <c:pt idx="135">
                  <c:v>3.605</c:v>
                </c:pt>
                <c:pt idx="136">
                  <c:v>3.605</c:v>
                </c:pt>
                <c:pt idx="137">
                  <c:v>3.605</c:v>
                </c:pt>
                <c:pt idx="138">
                  <c:v>3.605</c:v>
                </c:pt>
                <c:pt idx="139">
                  <c:v>3.605</c:v>
                </c:pt>
                <c:pt idx="140">
                  <c:v>3.605</c:v>
                </c:pt>
                <c:pt idx="141">
                  <c:v>3.605</c:v>
                </c:pt>
                <c:pt idx="142">
                  <c:v>3.605</c:v>
                </c:pt>
                <c:pt idx="143">
                  <c:v>3.605</c:v>
                </c:pt>
                <c:pt idx="144">
                  <c:v>3.605</c:v>
                </c:pt>
                <c:pt idx="145">
                  <c:v>3.605</c:v>
                </c:pt>
                <c:pt idx="146">
                  <c:v>3.605</c:v>
                </c:pt>
                <c:pt idx="147">
                  <c:v>3.605</c:v>
                </c:pt>
                <c:pt idx="148">
                  <c:v>3.605</c:v>
                </c:pt>
                <c:pt idx="149">
                  <c:v>3.605</c:v>
                </c:pt>
                <c:pt idx="150">
                  <c:v>3.605</c:v>
                </c:pt>
                <c:pt idx="151">
                  <c:v>3.605</c:v>
                </c:pt>
                <c:pt idx="152">
                  <c:v>3.605</c:v>
                </c:pt>
                <c:pt idx="153">
                  <c:v>3.605</c:v>
                </c:pt>
                <c:pt idx="154">
                  <c:v>3.605</c:v>
                </c:pt>
                <c:pt idx="155">
                  <c:v>3.605</c:v>
                </c:pt>
                <c:pt idx="156">
                  <c:v>3.605</c:v>
                </c:pt>
                <c:pt idx="157">
                  <c:v>3.605</c:v>
                </c:pt>
                <c:pt idx="158">
                  <c:v>3.605</c:v>
                </c:pt>
                <c:pt idx="159">
                  <c:v>3.605</c:v>
                </c:pt>
                <c:pt idx="160">
                  <c:v>3.605</c:v>
                </c:pt>
                <c:pt idx="161">
                  <c:v>3.605</c:v>
                </c:pt>
                <c:pt idx="162">
                  <c:v>3.605</c:v>
                </c:pt>
                <c:pt idx="163">
                  <c:v>3.605</c:v>
                </c:pt>
                <c:pt idx="164">
                  <c:v>3.605</c:v>
                </c:pt>
                <c:pt idx="165">
                  <c:v>3.605</c:v>
                </c:pt>
                <c:pt idx="166">
                  <c:v>3.605</c:v>
                </c:pt>
                <c:pt idx="167">
                  <c:v>3.605</c:v>
                </c:pt>
                <c:pt idx="168">
                  <c:v>3.605</c:v>
                </c:pt>
                <c:pt idx="169">
                  <c:v>3.605</c:v>
                </c:pt>
                <c:pt idx="170">
                  <c:v>3.605</c:v>
                </c:pt>
                <c:pt idx="171">
                  <c:v>3.605</c:v>
                </c:pt>
                <c:pt idx="172">
                  <c:v>3.605</c:v>
                </c:pt>
                <c:pt idx="173">
                  <c:v>3.605</c:v>
                </c:pt>
                <c:pt idx="174">
                  <c:v>3.605</c:v>
                </c:pt>
                <c:pt idx="175">
                  <c:v>3.605</c:v>
                </c:pt>
                <c:pt idx="176">
                  <c:v>3.605</c:v>
                </c:pt>
                <c:pt idx="177">
                  <c:v>3.605</c:v>
                </c:pt>
                <c:pt idx="178">
                  <c:v>3.605</c:v>
                </c:pt>
                <c:pt idx="179">
                  <c:v>3.605</c:v>
                </c:pt>
                <c:pt idx="180">
                  <c:v>3.605</c:v>
                </c:pt>
                <c:pt idx="181">
                  <c:v>3.605</c:v>
                </c:pt>
                <c:pt idx="182">
                  <c:v>3.605</c:v>
                </c:pt>
                <c:pt idx="183">
                  <c:v>3.605</c:v>
                </c:pt>
                <c:pt idx="184">
                  <c:v>3.605</c:v>
                </c:pt>
                <c:pt idx="185">
                  <c:v>3.605</c:v>
                </c:pt>
                <c:pt idx="186">
                  <c:v>3.605</c:v>
                </c:pt>
                <c:pt idx="187">
                  <c:v>3.605</c:v>
                </c:pt>
                <c:pt idx="188">
                  <c:v>3.605</c:v>
                </c:pt>
                <c:pt idx="189">
                  <c:v>3.605</c:v>
                </c:pt>
                <c:pt idx="190">
                  <c:v>3.605</c:v>
                </c:pt>
                <c:pt idx="191">
                  <c:v>3.605</c:v>
                </c:pt>
                <c:pt idx="192">
                  <c:v>3.5984572346008239</c:v>
                </c:pt>
                <c:pt idx="193">
                  <c:v>3.5976639314890555</c:v>
                </c:pt>
                <c:pt idx="194">
                  <c:v>3.5968721490821887</c:v>
                </c:pt>
                <c:pt idx="195">
                  <c:v>3.5960805296566836</c:v>
                </c:pt>
                <c:pt idx="196">
                  <c:v>3.595280310050462</c:v>
                </c:pt>
                <c:pt idx="197">
                  <c:v>3.5944871882729297</c:v>
                </c:pt>
                <c:pt idx="198">
                  <c:v>3.5750168395247361</c:v>
                </c:pt>
                <c:pt idx="199">
                  <c:v>3.5740154011617142</c:v>
                </c:pt>
                <c:pt idx="200">
                  <c:v>3.5730061649169897</c:v>
                </c:pt>
                <c:pt idx="201">
                  <c:v>3.5720021506005541</c:v>
                </c:pt>
                <c:pt idx="202">
                  <c:v>3.5709984000380777</c:v>
                </c:pt>
                <c:pt idx="203">
                  <c:v>3.5699774398975417</c:v>
                </c:pt>
                <c:pt idx="204">
                  <c:v>3.5508881802856664</c:v>
                </c:pt>
                <c:pt idx="205">
                  <c:v>3.5490862943724455</c:v>
                </c:pt>
                <c:pt idx="206">
                  <c:v>3.5472913331076517</c:v>
                </c:pt>
                <c:pt idx="207">
                  <c:v>3.5454692753301984</c:v>
                </c:pt>
                <c:pt idx="208">
                  <c:v>3.543668491940275</c:v>
                </c:pt>
                <c:pt idx="209">
                  <c:v>3.5204925949211736</c:v>
                </c:pt>
                <c:pt idx="210">
                  <c:v>3.5171624879443448</c:v>
                </c:pt>
                <c:pt idx="211">
                  <c:v>3.5138384699834142</c:v>
                </c:pt>
                <c:pt idx="212">
                  <c:v>3.5104784408204668</c:v>
                </c:pt>
                <c:pt idx="213">
                  <c:v>3.5071478352188987</c:v>
                </c:pt>
                <c:pt idx="214">
                  <c:v>3.4809787962524208</c:v>
                </c:pt>
                <c:pt idx="215">
                  <c:v>3.4759184086557657</c:v>
                </c:pt>
                <c:pt idx="216">
                  <c:v>3.4708648865567375</c:v>
                </c:pt>
                <c:pt idx="217">
                  <c:v>3.442801574772608</c:v>
                </c:pt>
                <c:pt idx="218">
                  <c:v>3.431250937713886</c:v>
                </c:pt>
                <c:pt idx="219">
                  <c:v>3.4194792403603156</c:v>
                </c:pt>
                <c:pt idx="220">
                  <c:v>3.3799820089456682</c:v>
                </c:pt>
                <c:pt idx="221">
                  <c:v>3.3291590663174309</c:v>
                </c:pt>
                <c:pt idx="222">
                  <c:v>3.3534459486430523</c:v>
                </c:pt>
                <c:pt idx="223">
                  <c:v>3.3961889823656009</c:v>
                </c:pt>
                <c:pt idx="224">
                  <c:v>3.4341617882824171</c:v>
                </c:pt>
                <c:pt idx="225">
                  <c:v>3.3083216328416247</c:v>
                </c:pt>
                <c:pt idx="226">
                  <c:v>3.2506750901667933</c:v>
                </c:pt>
                <c:pt idx="227">
                  <c:v>3.2623223138918407</c:v>
                </c:pt>
                <c:pt idx="228">
                  <c:v>3.193238978052253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  <c:majorUnit val="2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596265</xdr:colOff>
      <xdr:row>3</xdr:row>
      <xdr:rowOff>112395</xdr:rowOff>
    </xdr:from>
    <xdr:to>
      <xdr:col>21</xdr:col>
      <xdr:colOff>291465</xdr:colOff>
      <xdr:row>17</xdr:row>
      <xdr:rowOff>112395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601980</xdr:colOff>
      <xdr:row>18</xdr:row>
      <xdr:rowOff>144780</xdr:rowOff>
    </xdr:from>
    <xdr:to>
      <xdr:col>21</xdr:col>
      <xdr:colOff>297180</xdr:colOff>
      <xdr:row>32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2B3E14-B40C-41C7-A9F7-30AD45431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34</xdr:row>
      <xdr:rowOff>15240</xdr:rowOff>
    </xdr:from>
    <xdr:to>
      <xdr:col>21</xdr:col>
      <xdr:colOff>312420</xdr:colOff>
      <xdr:row>48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71DADD-49C1-483B-A0FD-2DA0337B5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467895</xdr:colOff>
      <xdr:row>3</xdr:row>
      <xdr:rowOff>120315</xdr:rowOff>
    </xdr:from>
    <xdr:to>
      <xdr:col>29</xdr:col>
      <xdr:colOff>163095</xdr:colOff>
      <xdr:row>17</xdr:row>
      <xdr:rowOff>120315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844BC3-32DE-4029-A7A5-86FB248E4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521368</xdr:colOff>
      <xdr:row>19</xdr:row>
      <xdr:rowOff>53474</xdr:rowOff>
    </xdr:from>
    <xdr:to>
      <xdr:col>29</xdr:col>
      <xdr:colOff>216568</xdr:colOff>
      <xdr:row>33</xdr:row>
      <xdr:rowOff>53473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BCF9540-7BF4-4FEB-852F-ABCB4EE58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574842</xdr:colOff>
      <xdr:row>34</xdr:row>
      <xdr:rowOff>13369</xdr:rowOff>
    </xdr:from>
    <xdr:to>
      <xdr:col>29</xdr:col>
      <xdr:colOff>270042</xdr:colOff>
      <xdr:row>48</xdr:row>
      <xdr:rowOff>13368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56C2E9-C298-4BFE-A649-DB57288D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504377</xdr:colOff>
      <xdr:row>21</xdr:row>
      <xdr:rowOff>161477</xdr:rowOff>
    </xdr:from>
    <xdr:to>
      <xdr:col>23</xdr:col>
      <xdr:colOff>351977</xdr:colOff>
      <xdr:row>43</xdr:row>
      <xdr:rowOff>49082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E37" sqref="E37"/>
    </sheetView>
  </sheetViews>
  <sheetFormatPr defaultRowHeight="14.4" x14ac:dyDescent="0.3"/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I55"/>
  <sheetViews>
    <sheetView zoomScale="103" zoomScaleNormal="57" workbookViewId="0">
      <selection activeCell="N15" sqref="N15"/>
    </sheetView>
  </sheetViews>
  <sheetFormatPr defaultRowHeight="14.4" x14ac:dyDescent="0.3"/>
  <cols>
    <col min="2" max="2" width="10.6640625" customWidth="1"/>
    <col min="4" max="4" width="10.77734375" bestFit="1" customWidth="1"/>
    <col min="5" max="5" width="12" customWidth="1"/>
    <col min="6" max="6" width="13.44140625" customWidth="1"/>
  </cols>
  <sheetData>
    <row r="1" spans="1:9" s="1" customFormat="1" x14ac:dyDescent="0.3">
      <c r="A1" s="1" t="s">
        <v>104</v>
      </c>
      <c r="B1" s="1" t="s">
        <v>105</v>
      </c>
      <c r="C1" s="1" t="s">
        <v>1</v>
      </c>
      <c r="D1" s="1" t="s">
        <v>108</v>
      </c>
      <c r="E1" s="1" t="s">
        <v>113</v>
      </c>
      <c r="F1" s="1" t="s">
        <v>115</v>
      </c>
      <c r="G1" s="1" t="s">
        <v>107</v>
      </c>
    </row>
    <row r="2" spans="1:9" s="1" customFormat="1" x14ac:dyDescent="0.3">
      <c r="C2" s="1" t="s">
        <v>11</v>
      </c>
      <c r="D2" s="1" t="s">
        <v>14</v>
      </c>
      <c r="E2" s="1" t="s">
        <v>114</v>
      </c>
      <c r="F2" s="1" t="s">
        <v>114</v>
      </c>
    </row>
    <row r="3" spans="1:9" x14ac:dyDescent="0.3">
      <c r="A3" t="s">
        <v>110</v>
      </c>
      <c r="B3" s="7" t="s">
        <v>106</v>
      </c>
      <c r="C3">
        <v>3.22</v>
      </c>
      <c r="D3">
        <v>75.7</v>
      </c>
      <c r="E3">
        <f t="shared" ref="E3:E15" si="0">C3*D3</f>
        <v>243.75400000000002</v>
      </c>
      <c r="F3">
        <f t="shared" ref="F3:F14" si="1">4.2*D3</f>
        <v>317.94</v>
      </c>
      <c r="G3" t="s">
        <v>2</v>
      </c>
      <c r="I3" t="s">
        <v>116</v>
      </c>
    </row>
    <row r="4" spans="1:9" x14ac:dyDescent="0.3">
      <c r="A4" t="s">
        <v>110</v>
      </c>
      <c r="B4" s="7" t="s">
        <v>106</v>
      </c>
      <c r="C4">
        <v>3.31</v>
      </c>
      <c r="D4">
        <v>83</v>
      </c>
      <c r="E4">
        <f t="shared" si="0"/>
        <v>274.73</v>
      </c>
      <c r="F4">
        <f t="shared" si="1"/>
        <v>348.6</v>
      </c>
      <c r="G4" t="s">
        <v>3</v>
      </c>
    </row>
    <row r="5" spans="1:9" x14ac:dyDescent="0.3">
      <c r="A5" t="s">
        <v>110</v>
      </c>
      <c r="B5" s="7" t="s">
        <v>106</v>
      </c>
      <c r="C5">
        <v>3.41</v>
      </c>
      <c r="D5">
        <v>85.3</v>
      </c>
      <c r="E5">
        <f t="shared" si="0"/>
        <v>290.87299999999999</v>
      </c>
      <c r="F5">
        <f t="shared" si="1"/>
        <v>358.26</v>
      </c>
      <c r="G5" t="s">
        <v>3</v>
      </c>
    </row>
    <row r="6" spans="1:9" x14ac:dyDescent="0.3">
      <c r="A6" t="s">
        <v>110</v>
      </c>
      <c r="B6" s="7" t="s">
        <v>106</v>
      </c>
      <c r="C6">
        <v>3.46</v>
      </c>
      <c r="D6">
        <v>86.4</v>
      </c>
      <c r="E6">
        <f t="shared" si="0"/>
        <v>298.94400000000002</v>
      </c>
      <c r="F6">
        <f t="shared" si="1"/>
        <v>362.88000000000005</v>
      </c>
      <c r="G6" t="s">
        <v>3</v>
      </c>
    </row>
    <row r="7" spans="1:9" x14ac:dyDescent="0.3">
      <c r="A7" t="s">
        <v>110</v>
      </c>
      <c r="B7" s="7" t="s">
        <v>106</v>
      </c>
      <c r="C7">
        <v>3.51</v>
      </c>
      <c r="D7">
        <v>84.4</v>
      </c>
      <c r="E7">
        <f t="shared" si="0"/>
        <v>296.24400000000003</v>
      </c>
      <c r="F7">
        <f t="shared" si="1"/>
        <v>354.48</v>
      </c>
    </row>
    <row r="8" spans="1:9" x14ac:dyDescent="0.3">
      <c r="A8" t="s">
        <v>110</v>
      </c>
      <c r="B8" s="7" t="s">
        <v>106</v>
      </c>
      <c r="C8">
        <v>3.6</v>
      </c>
      <c r="D8">
        <v>87.6</v>
      </c>
      <c r="E8">
        <f t="shared" si="0"/>
        <v>315.36</v>
      </c>
      <c r="F8">
        <f t="shared" si="1"/>
        <v>367.92</v>
      </c>
    </row>
    <row r="9" spans="1:9" x14ac:dyDescent="0.3">
      <c r="A9" t="s">
        <v>110</v>
      </c>
      <c r="B9" s="7" t="s">
        <v>106</v>
      </c>
      <c r="C9">
        <v>3.7</v>
      </c>
      <c r="D9">
        <v>89.1</v>
      </c>
      <c r="E9">
        <f t="shared" si="0"/>
        <v>329.67</v>
      </c>
      <c r="F9">
        <f t="shared" si="1"/>
        <v>374.21999999999997</v>
      </c>
    </row>
    <row r="10" spans="1:9" x14ac:dyDescent="0.3">
      <c r="A10" t="s">
        <v>110</v>
      </c>
      <c r="B10" s="7" t="s">
        <v>106</v>
      </c>
      <c r="C10">
        <v>3.8</v>
      </c>
      <c r="D10">
        <v>91.3</v>
      </c>
      <c r="E10">
        <f t="shared" si="0"/>
        <v>346.94</v>
      </c>
      <c r="F10">
        <f t="shared" si="1"/>
        <v>383.46</v>
      </c>
    </row>
    <row r="11" spans="1:9" x14ac:dyDescent="0.3">
      <c r="A11" t="s">
        <v>110</v>
      </c>
      <c r="B11" s="7" t="s">
        <v>106</v>
      </c>
      <c r="C11">
        <v>3.9</v>
      </c>
      <c r="D11">
        <v>93.6</v>
      </c>
      <c r="E11">
        <f t="shared" si="0"/>
        <v>365.03999999999996</v>
      </c>
      <c r="F11">
        <f t="shared" si="1"/>
        <v>393.12</v>
      </c>
    </row>
    <row r="12" spans="1:9" x14ac:dyDescent="0.3">
      <c r="A12" t="s">
        <v>110</v>
      </c>
      <c r="B12" s="7" t="s">
        <v>106</v>
      </c>
      <c r="C12">
        <v>3.99</v>
      </c>
      <c r="D12">
        <v>95.9</v>
      </c>
      <c r="E12">
        <f t="shared" si="0"/>
        <v>382.64100000000002</v>
      </c>
      <c r="F12">
        <f t="shared" si="1"/>
        <v>402.78000000000003</v>
      </c>
    </row>
    <row r="13" spans="1:9" x14ac:dyDescent="0.3">
      <c r="A13" t="s">
        <v>110</v>
      </c>
      <c r="B13" s="7" t="s">
        <v>106</v>
      </c>
      <c r="C13">
        <v>4.09</v>
      </c>
      <c r="D13">
        <v>98.2</v>
      </c>
      <c r="E13">
        <f t="shared" si="0"/>
        <v>401.63799999999998</v>
      </c>
      <c r="F13">
        <f t="shared" si="1"/>
        <v>412.44000000000005</v>
      </c>
    </row>
    <row r="14" spans="1:9" x14ac:dyDescent="0.3">
      <c r="A14" t="s">
        <v>110</v>
      </c>
      <c r="B14" s="7" t="s">
        <v>106</v>
      </c>
      <c r="C14">
        <v>4.1900000000000004</v>
      </c>
      <c r="D14">
        <v>100.3</v>
      </c>
      <c r="E14">
        <f t="shared" si="0"/>
        <v>420.25700000000001</v>
      </c>
      <c r="F14">
        <f t="shared" si="1"/>
        <v>421.26</v>
      </c>
    </row>
    <row r="15" spans="1:9" x14ac:dyDescent="0.3">
      <c r="A15" t="s">
        <v>110</v>
      </c>
      <c r="B15" s="7" t="s">
        <v>106</v>
      </c>
      <c r="C15">
        <v>4.29</v>
      </c>
      <c r="D15">
        <v>102.3</v>
      </c>
      <c r="E15">
        <f t="shared" si="0"/>
        <v>438.86700000000002</v>
      </c>
    </row>
    <row r="16" spans="1:9" x14ac:dyDescent="0.3">
      <c r="A16" t="s">
        <v>110</v>
      </c>
      <c r="B16" t="s">
        <v>109</v>
      </c>
      <c r="C16">
        <v>3.51</v>
      </c>
      <c r="D16">
        <v>117.8</v>
      </c>
      <c r="E16">
        <f t="shared" ref="E16:E55" si="2">C16*D16</f>
        <v>413.47799999999995</v>
      </c>
      <c r="F16">
        <f t="shared" ref="F16:F52" si="3">4.2*D16</f>
        <v>494.76</v>
      </c>
    </row>
    <row r="17" spans="1:9" x14ac:dyDescent="0.3">
      <c r="A17" t="s">
        <v>110</v>
      </c>
      <c r="B17" t="s">
        <v>109</v>
      </c>
      <c r="C17">
        <v>3.56</v>
      </c>
      <c r="D17">
        <v>119.8</v>
      </c>
      <c r="E17">
        <f t="shared" si="2"/>
        <v>426.488</v>
      </c>
      <c r="F17">
        <f t="shared" si="3"/>
        <v>503.16</v>
      </c>
    </row>
    <row r="18" spans="1:9" x14ac:dyDescent="0.3">
      <c r="A18" t="s">
        <v>110</v>
      </c>
      <c r="B18" t="s">
        <v>109</v>
      </c>
      <c r="C18">
        <v>3.66</v>
      </c>
      <c r="D18">
        <v>123.3</v>
      </c>
      <c r="E18">
        <f t="shared" si="2"/>
        <v>451.27800000000002</v>
      </c>
      <c r="F18">
        <f t="shared" si="3"/>
        <v>517.86</v>
      </c>
    </row>
    <row r="19" spans="1:9" x14ac:dyDescent="0.3">
      <c r="A19" t="s">
        <v>110</v>
      </c>
      <c r="B19" t="s">
        <v>109</v>
      </c>
      <c r="C19">
        <v>3.76</v>
      </c>
      <c r="D19">
        <v>126.6</v>
      </c>
      <c r="E19">
        <f t="shared" si="2"/>
        <v>476.01599999999996</v>
      </c>
      <c r="F19">
        <f t="shared" si="3"/>
        <v>531.72</v>
      </c>
    </row>
    <row r="20" spans="1:9" x14ac:dyDescent="0.3">
      <c r="A20" t="s">
        <v>110</v>
      </c>
      <c r="B20" t="s">
        <v>109</v>
      </c>
      <c r="C20">
        <v>3.85</v>
      </c>
      <c r="D20">
        <v>130</v>
      </c>
      <c r="E20">
        <f t="shared" si="2"/>
        <v>500.5</v>
      </c>
      <c r="F20">
        <f t="shared" si="3"/>
        <v>546</v>
      </c>
    </row>
    <row r="21" spans="1:9" x14ac:dyDescent="0.3">
      <c r="A21" t="s">
        <v>110</v>
      </c>
      <c r="B21" t="s">
        <v>109</v>
      </c>
      <c r="C21">
        <v>3.95</v>
      </c>
      <c r="D21">
        <v>133.4</v>
      </c>
      <c r="E21">
        <f t="shared" si="2"/>
        <v>526.93000000000006</v>
      </c>
      <c r="F21">
        <f t="shared" si="3"/>
        <v>560.28000000000009</v>
      </c>
    </row>
    <row r="22" spans="1:9" x14ac:dyDescent="0.3">
      <c r="A22" t="s">
        <v>110</v>
      </c>
      <c r="B22" t="s">
        <v>109</v>
      </c>
      <c r="C22">
        <v>4.04</v>
      </c>
      <c r="D22">
        <v>136.69999999999999</v>
      </c>
      <c r="E22">
        <f t="shared" si="2"/>
        <v>552.26799999999992</v>
      </c>
      <c r="F22">
        <f t="shared" si="3"/>
        <v>574.14</v>
      </c>
    </row>
    <row r="23" spans="1:9" x14ac:dyDescent="0.3">
      <c r="A23" t="s">
        <v>110</v>
      </c>
      <c r="B23" t="s">
        <v>109</v>
      </c>
      <c r="C23">
        <v>4.1399999999999997</v>
      </c>
      <c r="D23">
        <v>140.1</v>
      </c>
      <c r="E23">
        <f t="shared" si="2"/>
        <v>580.0139999999999</v>
      </c>
      <c r="F23">
        <f t="shared" si="3"/>
        <v>588.41999999999996</v>
      </c>
    </row>
    <row r="24" spans="1:9" x14ac:dyDescent="0.3">
      <c r="A24" t="s">
        <v>110</v>
      </c>
      <c r="B24" t="s">
        <v>109</v>
      </c>
      <c r="C24">
        <v>4.21</v>
      </c>
      <c r="D24">
        <v>142.30000000000001</v>
      </c>
      <c r="E24">
        <f t="shared" si="2"/>
        <v>599.08300000000008</v>
      </c>
      <c r="F24">
        <f t="shared" si="3"/>
        <v>597.66000000000008</v>
      </c>
    </row>
    <row r="25" spans="1:9" x14ac:dyDescent="0.3">
      <c r="A25" t="s">
        <v>111</v>
      </c>
      <c r="B25" s="7" t="s">
        <v>112</v>
      </c>
      <c r="C25">
        <v>3.3</v>
      </c>
      <c r="D25">
        <v>99.9</v>
      </c>
      <c r="E25">
        <f t="shared" si="2"/>
        <v>329.67</v>
      </c>
      <c r="F25">
        <f t="shared" si="3"/>
        <v>419.58000000000004</v>
      </c>
      <c r="G25" t="s">
        <v>2</v>
      </c>
      <c r="I25" t="s">
        <v>117</v>
      </c>
    </row>
    <row r="26" spans="1:9" x14ac:dyDescent="0.3">
      <c r="A26" t="s">
        <v>111</v>
      </c>
      <c r="B26" s="7" t="s">
        <v>112</v>
      </c>
      <c r="C26">
        <v>3.53</v>
      </c>
      <c r="D26">
        <v>104.7</v>
      </c>
      <c r="E26">
        <f t="shared" si="2"/>
        <v>369.59100000000001</v>
      </c>
      <c r="F26">
        <f t="shared" si="3"/>
        <v>439.74</v>
      </c>
      <c r="G26" t="s">
        <v>3</v>
      </c>
    </row>
    <row r="27" spans="1:9" x14ac:dyDescent="0.3">
      <c r="A27" t="s">
        <v>111</v>
      </c>
      <c r="B27" s="7" t="s">
        <v>112</v>
      </c>
      <c r="C27">
        <v>3.6</v>
      </c>
      <c r="D27">
        <v>103.7</v>
      </c>
      <c r="E27">
        <f t="shared" si="2"/>
        <v>373.32</v>
      </c>
      <c r="F27">
        <f t="shared" si="3"/>
        <v>435.54</v>
      </c>
    </row>
    <row r="28" spans="1:9" x14ac:dyDescent="0.3">
      <c r="A28" t="s">
        <v>111</v>
      </c>
      <c r="B28" s="7" t="s">
        <v>112</v>
      </c>
      <c r="C28">
        <v>3.7</v>
      </c>
      <c r="D28">
        <v>102.9</v>
      </c>
      <c r="E28">
        <f t="shared" si="2"/>
        <v>380.73</v>
      </c>
      <c r="F28">
        <f t="shared" si="3"/>
        <v>432.18000000000006</v>
      </c>
    </row>
    <row r="29" spans="1:9" x14ac:dyDescent="0.3">
      <c r="A29" t="s">
        <v>111</v>
      </c>
      <c r="B29" s="7" t="s">
        <v>112</v>
      </c>
      <c r="C29">
        <v>3.81</v>
      </c>
      <c r="D29">
        <v>102</v>
      </c>
      <c r="E29">
        <f t="shared" si="2"/>
        <v>388.62</v>
      </c>
      <c r="F29">
        <f t="shared" si="3"/>
        <v>428.40000000000003</v>
      </c>
    </row>
    <row r="30" spans="1:9" x14ac:dyDescent="0.3">
      <c r="A30" t="s">
        <v>111</v>
      </c>
      <c r="B30" s="7" t="s">
        <v>112</v>
      </c>
      <c r="C30">
        <v>3.9</v>
      </c>
      <c r="D30">
        <v>101.6</v>
      </c>
      <c r="E30">
        <f t="shared" si="2"/>
        <v>396.23999999999995</v>
      </c>
      <c r="F30">
        <f t="shared" si="3"/>
        <v>426.71999999999997</v>
      </c>
    </row>
    <row r="31" spans="1:9" x14ac:dyDescent="0.3">
      <c r="A31" t="s">
        <v>111</v>
      </c>
      <c r="B31" s="7" t="s">
        <v>112</v>
      </c>
      <c r="C31">
        <v>4</v>
      </c>
      <c r="D31">
        <v>101</v>
      </c>
      <c r="E31">
        <f t="shared" si="2"/>
        <v>404</v>
      </c>
      <c r="F31">
        <f t="shared" si="3"/>
        <v>424.20000000000005</v>
      </c>
    </row>
    <row r="32" spans="1:9" x14ac:dyDescent="0.3">
      <c r="A32" t="s">
        <v>111</v>
      </c>
      <c r="B32" s="7" t="s">
        <v>112</v>
      </c>
      <c r="C32">
        <v>4.0999999999999996</v>
      </c>
      <c r="D32">
        <v>100.6</v>
      </c>
      <c r="E32">
        <f t="shared" si="2"/>
        <v>412.45999999999992</v>
      </c>
      <c r="F32">
        <f t="shared" si="3"/>
        <v>422.52</v>
      </c>
    </row>
    <row r="33" spans="1:9" x14ac:dyDescent="0.3">
      <c r="A33" t="s">
        <v>111</v>
      </c>
      <c r="B33" s="7" t="s">
        <v>112</v>
      </c>
      <c r="C33">
        <v>4.2</v>
      </c>
      <c r="D33">
        <v>100.3</v>
      </c>
      <c r="E33">
        <f t="shared" si="2"/>
        <v>421.26</v>
      </c>
      <c r="F33">
        <f t="shared" si="3"/>
        <v>421.26</v>
      </c>
    </row>
    <row r="34" spans="1:9" x14ac:dyDescent="0.3">
      <c r="A34" t="s">
        <v>111</v>
      </c>
      <c r="B34" t="s">
        <v>109</v>
      </c>
      <c r="C34">
        <v>3.61</v>
      </c>
      <c r="D34">
        <v>134.6</v>
      </c>
      <c r="E34">
        <f t="shared" si="2"/>
        <v>485.90599999999995</v>
      </c>
      <c r="F34">
        <f t="shared" si="3"/>
        <v>565.32000000000005</v>
      </c>
    </row>
    <row r="35" spans="1:9" x14ac:dyDescent="0.3">
      <c r="A35" t="s">
        <v>111</v>
      </c>
      <c r="B35" t="s">
        <v>109</v>
      </c>
      <c r="C35">
        <v>3.8</v>
      </c>
      <c r="D35">
        <v>135.1</v>
      </c>
      <c r="E35">
        <f t="shared" si="2"/>
        <v>513.38</v>
      </c>
      <c r="F35">
        <f t="shared" si="3"/>
        <v>567.41999999999996</v>
      </c>
    </row>
    <row r="36" spans="1:9" x14ac:dyDescent="0.3">
      <c r="A36" t="s">
        <v>111</v>
      </c>
      <c r="B36" t="s">
        <v>109</v>
      </c>
      <c r="C36">
        <v>4</v>
      </c>
      <c r="D36">
        <v>136.1</v>
      </c>
      <c r="E36">
        <f t="shared" si="2"/>
        <v>544.4</v>
      </c>
      <c r="F36">
        <f t="shared" si="3"/>
        <v>571.62</v>
      </c>
    </row>
    <row r="37" spans="1:9" x14ac:dyDescent="0.3">
      <c r="A37" t="s">
        <v>111</v>
      </c>
      <c r="B37" t="s">
        <v>109</v>
      </c>
      <c r="C37">
        <v>4.2</v>
      </c>
      <c r="D37">
        <v>137.4</v>
      </c>
      <c r="E37">
        <f t="shared" si="2"/>
        <v>577.08000000000004</v>
      </c>
      <c r="F37">
        <f t="shared" si="3"/>
        <v>577.08000000000004</v>
      </c>
    </row>
    <row r="38" spans="1:9" x14ac:dyDescent="0.3">
      <c r="A38" t="s">
        <v>118</v>
      </c>
      <c r="B38" s="7" t="s">
        <v>112</v>
      </c>
      <c r="C38">
        <v>2.8</v>
      </c>
      <c r="D38">
        <v>146.19999999999999</v>
      </c>
      <c r="E38">
        <f t="shared" si="2"/>
        <v>409.35999999999996</v>
      </c>
      <c r="F38">
        <f t="shared" si="3"/>
        <v>614.04</v>
      </c>
      <c r="G38" t="s">
        <v>119</v>
      </c>
      <c r="I38" t="s">
        <v>121</v>
      </c>
    </row>
    <row r="39" spans="1:9" x14ac:dyDescent="0.3">
      <c r="A39" t="s">
        <v>118</v>
      </c>
      <c r="B39" s="7" t="s">
        <v>112</v>
      </c>
      <c r="C39">
        <v>2.9</v>
      </c>
      <c r="D39">
        <v>155.6</v>
      </c>
      <c r="E39">
        <f t="shared" si="2"/>
        <v>451.23999999999995</v>
      </c>
      <c r="F39">
        <f t="shared" si="3"/>
        <v>653.52</v>
      </c>
      <c r="G39" t="s">
        <v>3</v>
      </c>
    </row>
    <row r="40" spans="1:9" x14ac:dyDescent="0.3">
      <c r="A40" t="s">
        <v>118</v>
      </c>
      <c r="B40" s="7" t="s">
        <v>112</v>
      </c>
      <c r="C40">
        <v>3</v>
      </c>
      <c r="D40">
        <v>162.19999999999999</v>
      </c>
      <c r="E40">
        <f t="shared" si="2"/>
        <v>486.59999999999997</v>
      </c>
      <c r="F40">
        <f t="shared" si="3"/>
        <v>681.24</v>
      </c>
      <c r="G40" t="s">
        <v>3</v>
      </c>
    </row>
    <row r="41" spans="1:9" x14ac:dyDescent="0.3">
      <c r="A41" t="s">
        <v>118</v>
      </c>
      <c r="B41" t="s">
        <v>112</v>
      </c>
      <c r="C41">
        <v>3.1</v>
      </c>
      <c r="D41">
        <v>165.8</v>
      </c>
      <c r="E41">
        <f t="shared" si="2"/>
        <v>513.98</v>
      </c>
      <c r="F41">
        <f t="shared" si="3"/>
        <v>696.36000000000013</v>
      </c>
      <c r="G41" t="s">
        <v>3</v>
      </c>
    </row>
    <row r="42" spans="1:9" x14ac:dyDescent="0.3">
      <c r="A42" t="s">
        <v>118</v>
      </c>
      <c r="B42" t="s">
        <v>112</v>
      </c>
      <c r="C42">
        <v>3.2</v>
      </c>
      <c r="D42">
        <v>165.9</v>
      </c>
      <c r="E42">
        <f t="shared" si="2"/>
        <v>530.88</v>
      </c>
      <c r="F42">
        <f t="shared" si="3"/>
        <v>696.78000000000009</v>
      </c>
      <c r="G42" t="s">
        <v>3</v>
      </c>
    </row>
    <row r="43" spans="1:9" x14ac:dyDescent="0.3">
      <c r="A43" t="s">
        <v>118</v>
      </c>
      <c r="B43" t="s">
        <v>112</v>
      </c>
      <c r="C43">
        <v>3.3</v>
      </c>
      <c r="D43">
        <v>163.9</v>
      </c>
      <c r="E43">
        <f t="shared" si="2"/>
        <v>540.87</v>
      </c>
      <c r="F43">
        <f t="shared" si="3"/>
        <v>688.38000000000011</v>
      </c>
      <c r="G43" t="s">
        <v>3</v>
      </c>
    </row>
    <row r="44" spans="1:9" x14ac:dyDescent="0.3">
      <c r="A44" t="s">
        <v>118</v>
      </c>
      <c r="B44" t="s">
        <v>112</v>
      </c>
      <c r="C44">
        <v>3.4</v>
      </c>
      <c r="D44">
        <v>161.5</v>
      </c>
      <c r="E44">
        <f t="shared" si="2"/>
        <v>549.1</v>
      </c>
      <c r="F44">
        <f t="shared" si="3"/>
        <v>678.30000000000007</v>
      </c>
      <c r="G44" t="s">
        <v>3</v>
      </c>
    </row>
    <row r="45" spans="1:9" x14ac:dyDescent="0.3">
      <c r="A45" t="s">
        <v>118</v>
      </c>
      <c r="B45" t="s">
        <v>112</v>
      </c>
      <c r="C45">
        <v>3.5</v>
      </c>
      <c r="D45">
        <v>159.1</v>
      </c>
      <c r="E45">
        <f t="shared" si="2"/>
        <v>556.85</v>
      </c>
      <c r="F45">
        <f t="shared" si="3"/>
        <v>668.22</v>
      </c>
      <c r="G45" t="s">
        <v>3</v>
      </c>
    </row>
    <row r="46" spans="1:9" x14ac:dyDescent="0.3">
      <c r="A46" t="s">
        <v>118</v>
      </c>
      <c r="B46" t="s">
        <v>112</v>
      </c>
      <c r="C46">
        <v>3.6</v>
      </c>
      <c r="D46">
        <v>153.19999999999999</v>
      </c>
      <c r="E46">
        <f t="shared" si="2"/>
        <v>551.52</v>
      </c>
      <c r="F46">
        <f t="shared" si="3"/>
        <v>643.43999999999994</v>
      </c>
      <c r="G46" t="s">
        <v>120</v>
      </c>
    </row>
    <row r="47" spans="1:9" x14ac:dyDescent="0.3">
      <c r="A47" t="s">
        <v>118</v>
      </c>
      <c r="B47" t="s">
        <v>112</v>
      </c>
      <c r="C47">
        <v>3.7</v>
      </c>
      <c r="D47">
        <v>150.69999999999999</v>
      </c>
      <c r="E47">
        <f t="shared" si="2"/>
        <v>557.59</v>
      </c>
      <c r="F47">
        <f t="shared" si="3"/>
        <v>632.93999999999994</v>
      </c>
    </row>
    <row r="48" spans="1:9" x14ac:dyDescent="0.3">
      <c r="A48" t="s">
        <v>118</v>
      </c>
      <c r="B48" t="s">
        <v>112</v>
      </c>
      <c r="C48">
        <v>3.8</v>
      </c>
      <c r="D48">
        <v>148.9</v>
      </c>
      <c r="E48">
        <f t="shared" si="2"/>
        <v>565.82000000000005</v>
      </c>
      <c r="F48">
        <f t="shared" si="3"/>
        <v>625.38</v>
      </c>
    </row>
    <row r="49" spans="1:6" x14ac:dyDescent="0.3">
      <c r="A49" t="s">
        <v>118</v>
      </c>
      <c r="B49" t="s">
        <v>112</v>
      </c>
      <c r="C49">
        <v>3.9</v>
      </c>
      <c r="D49">
        <v>147.19999999999999</v>
      </c>
      <c r="E49">
        <f t="shared" si="2"/>
        <v>574.07999999999993</v>
      </c>
      <c r="F49">
        <f t="shared" si="3"/>
        <v>618.24</v>
      </c>
    </row>
    <row r="50" spans="1:6" x14ac:dyDescent="0.3">
      <c r="A50" t="s">
        <v>118</v>
      </c>
      <c r="B50" t="s">
        <v>112</v>
      </c>
      <c r="C50">
        <v>4</v>
      </c>
      <c r="D50">
        <v>145.1</v>
      </c>
      <c r="E50">
        <f t="shared" si="2"/>
        <v>580.4</v>
      </c>
      <c r="F50">
        <f t="shared" si="3"/>
        <v>609.41999999999996</v>
      </c>
    </row>
    <row r="51" spans="1:6" x14ac:dyDescent="0.3">
      <c r="A51" t="s">
        <v>118</v>
      </c>
      <c r="B51" t="s">
        <v>112</v>
      </c>
      <c r="C51">
        <v>4.0999999999999996</v>
      </c>
      <c r="D51">
        <v>143.80000000000001</v>
      </c>
      <c r="E51">
        <f t="shared" si="2"/>
        <v>589.58000000000004</v>
      </c>
      <c r="F51">
        <f t="shared" si="3"/>
        <v>603.96</v>
      </c>
    </row>
    <row r="52" spans="1:6" x14ac:dyDescent="0.3">
      <c r="A52" t="s">
        <v>118</v>
      </c>
      <c r="B52" t="s">
        <v>112</v>
      </c>
      <c r="C52">
        <v>4.2</v>
      </c>
      <c r="D52">
        <v>142.4</v>
      </c>
      <c r="E52">
        <f t="shared" si="2"/>
        <v>598.08000000000004</v>
      </c>
      <c r="F52">
        <f t="shared" si="3"/>
        <v>598.08000000000004</v>
      </c>
    </row>
    <row r="53" spans="1:6" x14ac:dyDescent="0.3">
      <c r="A53" t="s">
        <v>118</v>
      </c>
      <c r="B53" t="s">
        <v>112</v>
      </c>
      <c r="C53">
        <v>4.3</v>
      </c>
      <c r="D53">
        <v>141</v>
      </c>
      <c r="E53">
        <f t="shared" si="2"/>
        <v>606.29999999999995</v>
      </c>
    </row>
    <row r="54" spans="1:6" x14ac:dyDescent="0.3">
      <c r="A54" t="s">
        <v>118</v>
      </c>
      <c r="B54" t="s">
        <v>112</v>
      </c>
      <c r="C54">
        <v>4.4000000000000004</v>
      </c>
      <c r="D54">
        <v>140</v>
      </c>
      <c r="E54">
        <f t="shared" si="2"/>
        <v>616</v>
      </c>
    </row>
    <row r="55" spans="1:6" x14ac:dyDescent="0.3">
      <c r="A55" t="s">
        <v>118</v>
      </c>
      <c r="B55" t="s">
        <v>112</v>
      </c>
      <c r="C55">
        <v>4.5</v>
      </c>
      <c r="D55">
        <v>139</v>
      </c>
      <c r="E55">
        <f t="shared" si="2"/>
        <v>625.5</v>
      </c>
    </row>
  </sheetData>
  <sortState xmlns:xlrd2="http://schemas.microsoft.com/office/spreadsheetml/2017/richdata2" ref="C3:G15">
    <sortCondition ref="C3:C1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T251"/>
  <sheetViews>
    <sheetView tabSelected="1" zoomScale="115" zoomScaleNormal="115" workbookViewId="0">
      <selection activeCell="H10" sqref="H10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</cols>
  <sheetData>
    <row r="1" spans="1:20" s="1" customFormat="1" x14ac:dyDescent="0.3">
      <c r="A1" s="1" t="s">
        <v>4</v>
      </c>
      <c r="B1" s="1" t="s">
        <v>123</v>
      </c>
      <c r="K1" s="1" t="s">
        <v>17</v>
      </c>
      <c r="L1" s="1" t="s">
        <v>18</v>
      </c>
      <c r="M1" s="1" t="s">
        <v>21</v>
      </c>
      <c r="N1" s="1" t="s">
        <v>42</v>
      </c>
      <c r="O1" s="1" t="s">
        <v>96</v>
      </c>
      <c r="Q1" s="1" t="s">
        <v>17</v>
      </c>
      <c r="R1" s="1" t="s">
        <v>19</v>
      </c>
      <c r="T1" s="1" t="s">
        <v>95</v>
      </c>
    </row>
    <row r="2" spans="1:20" s="1" customFormat="1" x14ac:dyDescent="0.3">
      <c r="B2" s="1" t="s">
        <v>5</v>
      </c>
      <c r="C2" s="1" t="s">
        <v>5</v>
      </c>
      <c r="D2" s="1" t="s">
        <v>13</v>
      </c>
      <c r="E2" s="1" t="s">
        <v>10</v>
      </c>
      <c r="F2" s="1" t="s">
        <v>122</v>
      </c>
      <c r="G2" s="1" t="s">
        <v>15</v>
      </c>
      <c r="H2" s="1" t="s">
        <v>9</v>
      </c>
      <c r="I2" s="1" t="s">
        <v>16</v>
      </c>
      <c r="K2" s="1" t="s">
        <v>11</v>
      </c>
      <c r="L2" s="1" t="s">
        <v>11</v>
      </c>
      <c r="M2" s="1" t="s">
        <v>11</v>
      </c>
      <c r="N2" s="1" t="s">
        <v>64</v>
      </c>
    </row>
    <row r="3" spans="1:20" s="1" customFormat="1" x14ac:dyDescent="0.3">
      <c r="A3" s="1" t="s">
        <v>8</v>
      </c>
      <c r="B3" s="1" t="s">
        <v>6</v>
      </c>
      <c r="C3" s="1" t="s">
        <v>7</v>
      </c>
      <c r="E3" s="1" t="s">
        <v>11</v>
      </c>
      <c r="F3" s="1" t="s">
        <v>11</v>
      </c>
      <c r="H3" s="1" t="s">
        <v>14</v>
      </c>
      <c r="I3" s="1" t="s">
        <v>7</v>
      </c>
      <c r="K3" s="6">
        <v>3.63</v>
      </c>
      <c r="L3" s="5">
        <v>0.03</v>
      </c>
      <c r="M3">
        <v>2.5000000000000001E-2</v>
      </c>
      <c r="N3" s="4">
        <f>'Quiescent Current'!B15</f>
        <v>55</v>
      </c>
      <c r="O3" s="4">
        <f>_xlfn.XLOOKUP(3.5,F:F,A:A,0,1)</f>
        <v>21.3000000000001</v>
      </c>
      <c r="Q3" s="1" t="s">
        <v>11</v>
      </c>
      <c r="R3" s="1" t="s">
        <v>8</v>
      </c>
    </row>
    <row r="4" spans="1:20" x14ac:dyDescent="0.3">
      <c r="A4">
        <v>0</v>
      </c>
      <c r="B4">
        <v>100</v>
      </c>
      <c r="C4">
        <f>B4*2000/100</f>
        <v>2000</v>
      </c>
      <c r="D4">
        <f>MATCH(B4,Battery!B:B,-1)</f>
        <v>2</v>
      </c>
      <c r="E4" cm="1">
        <f t="array" ref="E4">INDEX(Battery!C:C,D4+1)+(INDEX(Battery!C:C,D4)-INDEX(Battery!C:C,D4+1))/(INDEX(Battery!B:B,D4)-INDEX(Battery!C:C,B4+1))*(B4-INDEX(Battery!C:C,B4+1))</f>
        <v>4.2</v>
      </c>
      <c r="F4">
        <f>MIN($K$3,E4-$L$3)-$M$3</f>
        <v>3.605</v>
      </c>
      <c r="G4">
        <f>MATCH(F4,Load!C$3:C$15,1)</f>
        <v>6</v>
      </c>
      <c r="H4">
        <f xml:space="preserve"> 22.6* F4+ 5.5703+$N$3*0.001</f>
        <v>87.098300000000009</v>
      </c>
      <c r="I4">
        <f t="shared" ref="I4:I35" si="0">H4*(A5-A4)</f>
        <v>8.709830000000002</v>
      </c>
      <c r="Q4">
        <v>4</v>
      </c>
      <c r="R4">
        <v>20.5</v>
      </c>
    </row>
    <row r="5" spans="1:20" x14ac:dyDescent="0.3">
      <c r="A5">
        <v>0.1</v>
      </c>
      <c r="B5">
        <f>C5/C$4*100</f>
        <v>99.564508500000002</v>
      </c>
      <c r="C5">
        <f t="shared" ref="C5:C36" si="1">C4-I4</f>
        <v>1991.29017</v>
      </c>
      <c r="D5">
        <f>MATCH(B5,Battery!B:B,-1)</f>
        <v>4</v>
      </c>
      <c r="E5" cm="1">
        <f t="array" ref="E5">INDEX(Battery!C:C,D5+1)+(INDEX(Battery!C:C,D5)-INDEX(Battery!C:C,D5+1))/(INDEX(Battery!B:B,D5)-INDEX(Battery!C:C,B5+1))*(B5-INDEX(Battery!C:C,B5+1))</f>
        <v>4.1577518456634364</v>
      </c>
      <c r="F5">
        <f>MIN($K$3,E5-$L$3)-$M$3</f>
        <v>3.605</v>
      </c>
      <c r="G5">
        <f>MATCH(F5,Load!C$3:C$15,1)</f>
        <v>6</v>
      </c>
      <c r="H5">
        <f xml:space="preserve"> 22.6* F5+ 5.5703+$N$3*0.001</f>
        <v>87.098300000000009</v>
      </c>
      <c r="I5">
        <f t="shared" si="0"/>
        <v>8.709830000000002</v>
      </c>
      <c r="Q5">
        <v>3.9</v>
      </c>
      <c r="R5">
        <v>20.6</v>
      </c>
    </row>
    <row r="6" spans="1:20" x14ac:dyDescent="0.3">
      <c r="A6">
        <v>0.2</v>
      </c>
      <c r="B6">
        <f t="shared" ref="B6:B184" si="2">C6/C$4*100</f>
        <v>99.12901699999999</v>
      </c>
      <c r="C6">
        <f t="shared" si="1"/>
        <v>1982.58034</v>
      </c>
      <c r="D6">
        <f>MATCH(B6,Battery!B:B,-1)</f>
        <v>4</v>
      </c>
      <c r="E6" cm="1">
        <f t="array" ref="E6">INDEX(Battery!C:C,D6+1)+(INDEX(Battery!C:C,D6)-INDEX(Battery!C:C,D6+1))/(INDEX(Battery!B:B,D6)-INDEX(Battery!C:C,B6+1))*(B6-INDEX(Battery!C:C,B6+1))</f>
        <v>4.1576698011207824</v>
      </c>
      <c r="F6">
        <f>MIN($K$3,E6-$L$3)-$M$3</f>
        <v>3.605</v>
      </c>
      <c r="G6">
        <f>MATCH(F6,Load!C$3:C$15,1)</f>
        <v>6</v>
      </c>
      <c r="H6">
        <f xml:space="preserve"> 22.6* F6+ 5.5703+$N$3*0.001</f>
        <v>87.098300000000009</v>
      </c>
      <c r="I6">
        <f t="shared" si="0"/>
        <v>8.7098299999999984</v>
      </c>
      <c r="Q6">
        <v>3.8</v>
      </c>
      <c r="R6">
        <v>20.7</v>
      </c>
    </row>
    <row r="7" spans="1:20" x14ac:dyDescent="0.3">
      <c r="A7">
        <v>0.3</v>
      </c>
      <c r="B7">
        <f t="shared" si="2"/>
        <v>98.693525500000007</v>
      </c>
      <c r="C7">
        <f t="shared" si="1"/>
        <v>1973.87051</v>
      </c>
      <c r="D7">
        <f>MATCH(B7,Battery!B:B,-1)</f>
        <v>5</v>
      </c>
      <c r="E7" cm="1">
        <f t="array" ref="E7">INDEX(Battery!C:C,D7+1)+(INDEX(Battery!C:C,D7)-INDEX(Battery!C:C,D7+1))/(INDEX(Battery!B:B,D7)-INDEX(Battery!C:C,B7+1))*(B7-INDEX(Battery!C:C,B7+1))</f>
        <v>4.138960270672559</v>
      </c>
      <c r="F7">
        <f>MIN($K$3,E7-$L$3)-$M$3</f>
        <v>3.605</v>
      </c>
      <c r="G7">
        <f>MATCH(F7,Load!C$3:C$15,1)</f>
        <v>6</v>
      </c>
      <c r="H7">
        <f xml:space="preserve"> 22.6* F7+ 5.5703+$N$3*0.001</f>
        <v>87.098300000000009</v>
      </c>
      <c r="I7">
        <f t="shared" si="0"/>
        <v>8.7098300000000037</v>
      </c>
      <c r="Q7">
        <v>3.7</v>
      </c>
      <c r="R7">
        <v>21</v>
      </c>
    </row>
    <row r="8" spans="1:20" x14ac:dyDescent="0.3">
      <c r="A8">
        <v>0.4</v>
      </c>
      <c r="B8">
        <f t="shared" si="2"/>
        <v>98.258033999999995</v>
      </c>
      <c r="C8">
        <f t="shared" si="1"/>
        <v>1965.16068</v>
      </c>
      <c r="D8">
        <f>MATCH(B8,Battery!B:B,-1)</f>
        <v>5</v>
      </c>
      <c r="E8" cm="1">
        <f t="array" ref="E8">INDEX(Battery!C:C,D8+1)+(INDEX(Battery!C:C,D8)-INDEX(Battery!C:C,D8+1))/(INDEX(Battery!B:B,D8)-INDEX(Battery!C:C,B8+1))*(B8-INDEX(Battery!C:C,B8+1))</f>
        <v>4.1388913977591493</v>
      </c>
      <c r="F8">
        <f>MIN($K$3,E8-$L$3)-$M$3</f>
        <v>3.605</v>
      </c>
      <c r="G8">
        <f>MATCH(F8,Load!C$3:C$15,1)</f>
        <v>6</v>
      </c>
      <c r="H8">
        <f xml:space="preserve"> 22.6* F8+ 5.5703+$N$3*0.001</f>
        <v>87.098300000000009</v>
      </c>
      <c r="I8">
        <f t="shared" si="0"/>
        <v>8.7098299999999984</v>
      </c>
      <c r="Q8">
        <v>3.6</v>
      </c>
      <c r="R8">
        <v>21.5</v>
      </c>
    </row>
    <row r="9" spans="1:20" x14ac:dyDescent="0.3">
      <c r="A9">
        <v>0.5</v>
      </c>
      <c r="B9">
        <f t="shared" si="2"/>
        <v>97.822542499999997</v>
      </c>
      <c r="C9">
        <f t="shared" si="1"/>
        <v>1956.4508499999999</v>
      </c>
      <c r="D9">
        <f>MATCH(B9,Battery!B:B,-1)</f>
        <v>6</v>
      </c>
      <c r="E9" cm="1">
        <f t="array" ref="E9">INDEX(Battery!C:C,D9+1)+(INDEX(Battery!C:C,D9)-INDEX(Battery!C:C,D9+1))/(INDEX(Battery!B:B,D9)-INDEX(Battery!C:C,B9+1))*(B9-INDEX(Battery!C:C,B9+1))</f>
        <v>4.1233348465133997</v>
      </c>
      <c r="F9">
        <f>MIN($K$3,E9-$L$3)-$M$3</f>
        <v>3.605</v>
      </c>
      <c r="G9">
        <f>MATCH(F9,Load!C$3:C$15,1)</f>
        <v>6</v>
      </c>
      <c r="H9">
        <f xml:space="preserve"> 22.6* F9+ 5.5703+$N$3*0.001</f>
        <v>87.098300000000009</v>
      </c>
      <c r="I9">
        <f t="shared" si="0"/>
        <v>8.7098299999999984</v>
      </c>
      <c r="Q9">
        <v>3.55</v>
      </c>
      <c r="R9">
        <v>21.8</v>
      </c>
    </row>
    <row r="10" spans="1:20" x14ac:dyDescent="0.3">
      <c r="A10">
        <v>0.6</v>
      </c>
      <c r="B10">
        <f t="shared" si="2"/>
        <v>97.387051</v>
      </c>
      <c r="C10">
        <f t="shared" si="1"/>
        <v>1947.7410199999999</v>
      </c>
      <c r="D10">
        <f>MATCH(B10,Battery!B:B,-1)</f>
        <v>6</v>
      </c>
      <c r="E10" cm="1">
        <f t="array" ref="E10">INDEX(Battery!C:C,D10+1)+(INDEX(Battery!C:C,D10)-INDEX(Battery!C:C,D10+1))/(INDEX(Battery!B:B,D10)-INDEX(Battery!C:C,B10+1))*(B10-INDEX(Battery!C:C,B10+1))</f>
        <v>4.1233001035004948</v>
      </c>
      <c r="F10">
        <f>MIN($K$3,E10-$L$3)-$M$3</f>
        <v>3.605</v>
      </c>
      <c r="G10">
        <f>MATCH(F10,Load!C$3:C$15,1)</f>
        <v>6</v>
      </c>
      <c r="H10">
        <f xml:space="preserve"> 22.6* F10+ 5.5703+$N$3*0.001</f>
        <v>87.098300000000009</v>
      </c>
      <c r="I10">
        <f t="shared" si="0"/>
        <v>8.7098299999999984</v>
      </c>
    </row>
    <row r="11" spans="1:20" x14ac:dyDescent="0.3">
      <c r="A11">
        <v>0.7</v>
      </c>
      <c r="B11">
        <f t="shared" si="2"/>
        <v>96.951559500000002</v>
      </c>
      <c r="C11">
        <f t="shared" si="1"/>
        <v>1939.0311899999999</v>
      </c>
      <c r="D11">
        <f>MATCH(B11,Battery!B:B,-1)</f>
        <v>7</v>
      </c>
      <c r="E11" cm="1">
        <f t="array" ref="E11">INDEX(Battery!C:C,D11+1)+(INDEX(Battery!C:C,D11)-INDEX(Battery!C:C,D11+1))/(INDEX(Battery!B:B,D11)-INDEX(Battery!C:C,B11+1))*(B11-INDEX(Battery!C:C,B11+1))</f>
        <v>4.1154846978957487</v>
      </c>
      <c r="F11">
        <f>MIN($K$3,E11-$L$3)-$M$3</f>
        <v>3.605</v>
      </c>
      <c r="G11">
        <f>MATCH(F11,Load!C$3:C$15,1)</f>
        <v>6</v>
      </c>
      <c r="H11">
        <f xml:space="preserve"> 22.6* F11+ 5.5703+$N$3*0.001</f>
        <v>87.098300000000009</v>
      </c>
      <c r="I11">
        <f t="shared" si="0"/>
        <v>8.7098300000000091</v>
      </c>
      <c r="P11" s="1" t="s">
        <v>97</v>
      </c>
      <c r="Q11" s="1">
        <v>3.63</v>
      </c>
      <c r="R11" s="1">
        <v>21.3</v>
      </c>
    </row>
    <row r="12" spans="1:20" x14ac:dyDescent="0.3">
      <c r="A12">
        <v>0.8</v>
      </c>
      <c r="B12">
        <f t="shared" si="2"/>
        <v>96.516068000000004</v>
      </c>
      <c r="C12">
        <f t="shared" si="1"/>
        <v>1930.3213599999999</v>
      </c>
      <c r="D12">
        <f>MATCH(B12,Battery!B:B,-1)</f>
        <v>7</v>
      </c>
      <c r="E12" cm="1">
        <f t="array" ref="E12">INDEX(Battery!C:C,D12+1)+(INDEX(Battery!C:C,D12)-INDEX(Battery!C:C,D12+1))/(INDEX(Battery!B:B,D12)-INDEX(Battery!C:C,B12+1))*(B12-INDEX(Battery!C:C,B12+1))</f>
        <v>4.1154286939335085</v>
      </c>
      <c r="F12">
        <f>MIN($K$3,E12-$L$3)-$M$3</f>
        <v>3.605</v>
      </c>
      <c r="G12">
        <f>MATCH(F12,Load!C$3:C$15,1)</f>
        <v>6</v>
      </c>
      <c r="H12">
        <f xml:space="preserve"> 22.6* F12+ 5.5703+$N$3*0.001</f>
        <v>87.098300000000009</v>
      </c>
      <c r="I12">
        <f t="shared" si="0"/>
        <v>8.7098299999999984</v>
      </c>
      <c r="P12" t="s">
        <v>98</v>
      </c>
      <c r="Q12">
        <v>3.7</v>
      </c>
      <c r="R12">
        <v>21</v>
      </c>
    </row>
    <row r="13" spans="1:20" x14ac:dyDescent="0.3">
      <c r="A13">
        <v>0.9</v>
      </c>
      <c r="B13">
        <f t="shared" si="2"/>
        <v>96.080576499999992</v>
      </c>
      <c r="C13">
        <f t="shared" si="1"/>
        <v>1921.6115299999999</v>
      </c>
      <c r="D13">
        <f>MATCH(B13,Battery!B:B,-1)</f>
        <v>8</v>
      </c>
      <c r="E13" cm="1">
        <f t="array" ref="E13">INDEX(Battery!C:C,D13+1)+(INDEX(Battery!C:C,D13)-INDEX(Battery!C:C,D13+1))/(INDEX(Battery!B:B,D13)-INDEX(Battery!C:C,B13+1))*(B13-INDEX(Battery!C:C,B13+1))</f>
        <v>4.1029616435786771</v>
      </c>
      <c r="F13">
        <f>MIN($K$3,E13-$L$3)-$M$3</f>
        <v>3.605</v>
      </c>
      <c r="G13">
        <f>MATCH(F13,Load!C$3:C$15,1)</f>
        <v>6</v>
      </c>
      <c r="H13">
        <f xml:space="preserve"> 22.6* F13+ 5.5703+$N$3*0.001</f>
        <v>87.098300000000009</v>
      </c>
      <c r="I13">
        <f t="shared" si="0"/>
        <v>8.7098299999999984</v>
      </c>
      <c r="P13" t="s">
        <v>99</v>
      </c>
      <c r="Q13">
        <v>3.78</v>
      </c>
      <c r="R13">
        <v>20.8</v>
      </c>
    </row>
    <row r="14" spans="1:20" x14ac:dyDescent="0.3">
      <c r="A14">
        <v>1</v>
      </c>
      <c r="B14">
        <f t="shared" si="2"/>
        <v>95.645084999999995</v>
      </c>
      <c r="C14">
        <f t="shared" si="1"/>
        <v>1912.9016999999999</v>
      </c>
      <c r="D14">
        <f>MATCH(B14,Battery!B:B,-1)</f>
        <v>8</v>
      </c>
      <c r="E14" cm="1">
        <f t="array" ref="E14">INDEX(Battery!C:C,D14+1)+(INDEX(Battery!C:C,D14)-INDEX(Battery!C:C,D14+1))/(INDEX(Battery!B:B,D14)-INDEX(Battery!C:C,B14+1))*(B14-INDEX(Battery!C:C,B14+1))</f>
        <v>4.102876812617513</v>
      </c>
      <c r="F14">
        <f>MIN($K$3,E14-$L$3)-$M$3</f>
        <v>3.605</v>
      </c>
      <c r="G14">
        <f>MATCH(F14,Load!C$3:C$15,1)</f>
        <v>6</v>
      </c>
      <c r="H14">
        <f xml:space="preserve"> 22.6* F14+ 5.5703+$N$3*0.001</f>
        <v>87.098300000000009</v>
      </c>
      <c r="I14">
        <f t="shared" si="0"/>
        <v>8.7098300000000091</v>
      </c>
      <c r="Q14" s="1"/>
      <c r="R14" s="1"/>
    </row>
    <row r="15" spans="1:20" x14ac:dyDescent="0.3">
      <c r="A15">
        <v>1.1000000000000001</v>
      </c>
      <c r="B15">
        <f t="shared" si="2"/>
        <v>95.209593499999983</v>
      </c>
      <c r="C15">
        <f t="shared" si="1"/>
        <v>1904.1918699999999</v>
      </c>
      <c r="D15">
        <f>MATCH(B15,Battery!B:B,-1)</f>
        <v>8</v>
      </c>
      <c r="E15" cm="1">
        <f t="array" ref="E15">INDEX(Battery!C:C,D15+1)+(INDEX(Battery!C:C,D15)-INDEX(Battery!C:C,D15+1))/(INDEX(Battery!B:B,D15)-INDEX(Battery!C:C,B15+1))*(B15-INDEX(Battery!C:C,B15+1))</f>
        <v>4.102791981656349</v>
      </c>
      <c r="F15">
        <f>MIN($K$3,E15-$L$3)-$M$3</f>
        <v>3.605</v>
      </c>
      <c r="G15">
        <f>MATCH(F15,Load!C$3:C$15,1)</f>
        <v>6</v>
      </c>
      <c r="H15">
        <f xml:space="preserve"> 22.6* F15+ 5.5703+$N$3*0.001</f>
        <v>87.098300000000009</v>
      </c>
      <c r="I15">
        <f t="shared" si="0"/>
        <v>8.7098299999999895</v>
      </c>
    </row>
    <row r="16" spans="1:20" x14ac:dyDescent="0.3">
      <c r="A16">
        <v>1.2</v>
      </c>
      <c r="B16">
        <f t="shared" si="2"/>
        <v>94.774101999999999</v>
      </c>
      <c r="C16">
        <f t="shared" si="1"/>
        <v>1895.4820399999999</v>
      </c>
      <c r="D16">
        <f>MATCH(B16,Battery!B:B,-1)</f>
        <v>8</v>
      </c>
      <c r="E16" cm="1">
        <f t="array" ref="E16">INDEX(Battery!C:C,D16+1)+(INDEX(Battery!C:C,D16)-INDEX(Battery!C:C,D16+1))/(INDEX(Battery!B:B,D16)-INDEX(Battery!C:C,B16+1))*(B16-INDEX(Battery!C:C,B16+1))</f>
        <v>4.1027071506951849</v>
      </c>
      <c r="F16">
        <f>MIN($K$3,E16-$L$3)-$M$3</f>
        <v>3.605</v>
      </c>
      <c r="G16">
        <f>MATCH(F16,Load!C$3:C$15,1)</f>
        <v>6</v>
      </c>
      <c r="H16">
        <f xml:space="preserve"> 22.6* F16+ 5.5703+$N$3*0.001</f>
        <v>87.098300000000009</v>
      </c>
      <c r="I16">
        <f t="shared" si="0"/>
        <v>8.7098300000000091</v>
      </c>
      <c r="Q16" t="s">
        <v>48</v>
      </c>
      <c r="R16">
        <v>20.5</v>
      </c>
    </row>
    <row r="17" spans="1:18" x14ac:dyDescent="0.3">
      <c r="A17">
        <v>1.3</v>
      </c>
      <c r="B17">
        <f t="shared" si="2"/>
        <v>94.338610500000001</v>
      </c>
      <c r="C17">
        <f t="shared" si="1"/>
        <v>1886.7722099999999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4.0840563347234617</v>
      </c>
      <c r="F17">
        <f>MIN($K$3,E17-$L$3)-$M$3</f>
        <v>3.605</v>
      </c>
      <c r="G17">
        <f>MATCH(F17,Load!C$3:C$15,1)</f>
        <v>6</v>
      </c>
      <c r="H17">
        <f xml:space="preserve"> 22.6* F17+ 5.5703+$N$3*0.001</f>
        <v>87.098300000000009</v>
      </c>
      <c r="I17">
        <f t="shared" si="0"/>
        <v>8.7098299999999895</v>
      </c>
    </row>
    <row r="18" spans="1:18" x14ac:dyDescent="0.3">
      <c r="A18">
        <v>1.4</v>
      </c>
      <c r="B18">
        <f t="shared" si="2"/>
        <v>93.90311899999999</v>
      </c>
      <c r="C18">
        <f t="shared" si="1"/>
        <v>1878.0623799999998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4.0838622434914384</v>
      </c>
      <c r="F18">
        <f>MIN($K$3,E18-$L$3)-$M$3</f>
        <v>3.605</v>
      </c>
      <c r="G18">
        <f>MATCH(F18,Load!C$3:C$15,1)</f>
        <v>6</v>
      </c>
      <c r="H18">
        <f xml:space="preserve"> 22.6* F18+ 5.5703+$N$3*0.001</f>
        <v>87.098300000000009</v>
      </c>
      <c r="I18">
        <f t="shared" si="0"/>
        <v>8.7098300000000091</v>
      </c>
      <c r="Q18" s="1"/>
      <c r="R18" s="1"/>
    </row>
    <row r="19" spans="1:18" x14ac:dyDescent="0.3">
      <c r="A19">
        <v>1.5</v>
      </c>
      <c r="B19">
        <f t="shared" si="2"/>
        <v>93.467627499999992</v>
      </c>
      <c r="C19">
        <f t="shared" si="1"/>
        <v>1869.3525499999998</v>
      </c>
      <c r="D19">
        <f>MATCH(B19,Battery!B:B,-1)</f>
        <v>9</v>
      </c>
      <c r="E19" cm="1">
        <f t="array" ref="E19">INDEX(Battery!C:C,D19+1)+(INDEX(Battery!C:C,D19)-INDEX(Battery!C:C,D19+1))/(INDEX(Battery!B:B,D19)-INDEX(Battery!C:C,B19+1))*(B19-INDEX(Battery!C:C,B19+1))</f>
        <v>4.0836681522594143</v>
      </c>
      <c r="F19">
        <f>MIN($K$3,E19-$L$3)-$M$3</f>
        <v>3.605</v>
      </c>
      <c r="G19">
        <f>MATCH(F19,Load!C$3:C$15,1)</f>
        <v>6</v>
      </c>
      <c r="H19">
        <f xml:space="preserve"> 22.6* F19+ 5.5703+$N$3*0.001</f>
        <v>87.098300000000009</v>
      </c>
      <c r="I19">
        <f t="shared" si="0"/>
        <v>8.7098300000000091</v>
      </c>
    </row>
    <row r="20" spans="1:18" x14ac:dyDescent="0.3">
      <c r="A20">
        <v>1.6</v>
      </c>
      <c r="B20">
        <f t="shared" si="2"/>
        <v>93.032135999999994</v>
      </c>
      <c r="C20">
        <f t="shared" si="1"/>
        <v>1860.6427199999998</v>
      </c>
      <c r="D20">
        <f>MATCH(B20,Battery!B:B,-1)</f>
        <v>9</v>
      </c>
      <c r="E20" cm="1">
        <f t="array" ref="E20">INDEX(Battery!C:C,D20+1)+(INDEX(Battery!C:C,D20)-INDEX(Battery!C:C,D20+1))/(INDEX(Battery!B:B,D20)-INDEX(Battery!C:C,B20+1))*(B20-INDEX(Battery!C:C,B20+1))</f>
        <v>4.083474061027391</v>
      </c>
      <c r="F20">
        <f>MIN($K$3,E20-$L$3)-$M$3</f>
        <v>3.605</v>
      </c>
      <c r="G20">
        <f>MATCH(F20,Load!C$3:C$15,1)</f>
        <v>6</v>
      </c>
      <c r="H20">
        <f xml:space="preserve"> 22.6* F20+ 5.5703+$N$3*0.001</f>
        <v>87.098300000000009</v>
      </c>
      <c r="I20">
        <f t="shared" si="0"/>
        <v>8.7098299999999895</v>
      </c>
    </row>
    <row r="21" spans="1:18" x14ac:dyDescent="0.3">
      <c r="A21">
        <v>1.7</v>
      </c>
      <c r="B21">
        <f t="shared" si="2"/>
        <v>92.596644499999996</v>
      </c>
      <c r="C21">
        <f t="shared" si="1"/>
        <v>1851.9328899999998</v>
      </c>
      <c r="D21">
        <f>MATCH(B21,Battery!B:B,-1)</f>
        <v>9</v>
      </c>
      <c r="E21" cm="1">
        <f t="array" ref="E21">INDEX(Battery!C:C,D21+1)+(INDEX(Battery!C:C,D21)-INDEX(Battery!C:C,D21+1))/(INDEX(Battery!B:B,D21)-INDEX(Battery!C:C,B21+1))*(B21-INDEX(Battery!C:C,B21+1))</f>
        <v>4.0832799697953668</v>
      </c>
      <c r="F21">
        <f>MIN($K$3,E21-$L$3)-$M$3</f>
        <v>3.605</v>
      </c>
      <c r="G21">
        <f>MATCH(F21,Load!C$3:C$15,1)</f>
        <v>6</v>
      </c>
      <c r="H21">
        <f xml:space="preserve"> 22.6* F21+ 5.5703+$N$3*0.001</f>
        <v>87.098300000000009</v>
      </c>
      <c r="I21">
        <f t="shared" si="0"/>
        <v>8.7098300000000091</v>
      </c>
    </row>
    <row r="22" spans="1:18" x14ac:dyDescent="0.3">
      <c r="A22">
        <v>1.8</v>
      </c>
      <c r="B22">
        <f t="shared" si="2"/>
        <v>92.161152999999999</v>
      </c>
      <c r="C22">
        <f t="shared" si="1"/>
        <v>1843.2230599999998</v>
      </c>
      <c r="D22">
        <f>MATCH(B22,Battery!B:B,-1)</f>
        <v>9</v>
      </c>
      <c r="E22" cm="1">
        <f t="array" ref="E22">INDEX(Battery!C:C,D22+1)+(INDEX(Battery!C:C,D22)-INDEX(Battery!C:C,D22+1))/(INDEX(Battery!B:B,D22)-INDEX(Battery!C:C,B22+1))*(B22-INDEX(Battery!C:C,B22+1))</f>
        <v>4.0830858785633435</v>
      </c>
      <c r="F22">
        <f>MIN($K$3,E22-$L$3)-$M$3</f>
        <v>3.605</v>
      </c>
      <c r="G22">
        <f>MATCH(F22,Load!C$3:C$15,1)</f>
        <v>6</v>
      </c>
      <c r="H22">
        <f xml:space="preserve"> 22.6* F22+ 5.5703+$N$3*0.001</f>
        <v>87.098300000000009</v>
      </c>
      <c r="I22">
        <f t="shared" si="0"/>
        <v>8.7098299999999895</v>
      </c>
    </row>
    <row r="23" spans="1:18" x14ac:dyDescent="0.3">
      <c r="A23">
        <v>1.9</v>
      </c>
      <c r="B23">
        <f t="shared" si="2"/>
        <v>91.725661499999987</v>
      </c>
      <c r="C23">
        <f t="shared" si="1"/>
        <v>1834.5132299999998</v>
      </c>
      <c r="D23">
        <f>MATCH(B23,Battery!B:B,-1)</f>
        <v>9</v>
      </c>
      <c r="E23" cm="1">
        <f t="array" ref="E23">INDEX(Battery!C:C,D23+1)+(INDEX(Battery!C:C,D23)-INDEX(Battery!C:C,D23+1))/(INDEX(Battery!B:B,D23)-INDEX(Battery!C:C,B23+1))*(B23-INDEX(Battery!C:C,B23+1))</f>
        <v>4.0828917873313193</v>
      </c>
      <c r="F23">
        <f>MIN($K$3,E23-$L$3)-$M$3</f>
        <v>3.605</v>
      </c>
      <c r="G23">
        <f>MATCH(F23,Load!C$3:C$15,1)</f>
        <v>6</v>
      </c>
      <c r="H23">
        <f xml:space="preserve"> 22.6* F23+ 5.5703+$N$3*0.001</f>
        <v>87.098300000000009</v>
      </c>
      <c r="I23">
        <f t="shared" si="0"/>
        <v>8.7098300000000091</v>
      </c>
    </row>
    <row r="24" spans="1:18" x14ac:dyDescent="0.3">
      <c r="A24">
        <v>2</v>
      </c>
      <c r="B24">
        <f t="shared" si="2"/>
        <v>91.290169999999989</v>
      </c>
      <c r="C24">
        <f t="shared" si="1"/>
        <v>1825.8033999999998</v>
      </c>
      <c r="D24">
        <f>MATCH(B24,Battery!B:B,-1)</f>
        <v>9</v>
      </c>
      <c r="E24" cm="1">
        <f t="array" ref="E24">INDEX(Battery!C:C,D24+1)+(INDEX(Battery!C:C,D24)-INDEX(Battery!C:C,D24+1))/(INDEX(Battery!B:B,D24)-INDEX(Battery!C:C,B24+1))*(B24-INDEX(Battery!C:C,B24+1))</f>
        <v>4.082697696099296</v>
      </c>
      <c r="F24">
        <f>MIN($K$3,E24-$L$3)-$M$3</f>
        <v>3.605</v>
      </c>
      <c r="G24">
        <f>MATCH(F24,Load!C$3:C$15,1)</f>
        <v>6</v>
      </c>
      <c r="H24">
        <f xml:space="preserve"> 22.6* F24+ 5.5703+$N$3*0.001</f>
        <v>87.098300000000009</v>
      </c>
      <c r="I24">
        <f t="shared" si="0"/>
        <v>8.7098300000000091</v>
      </c>
    </row>
    <row r="25" spans="1:18" x14ac:dyDescent="0.3">
      <c r="A25">
        <v>2.1</v>
      </c>
      <c r="B25">
        <f t="shared" si="2"/>
        <v>90.854678499999991</v>
      </c>
      <c r="C25">
        <f t="shared" si="1"/>
        <v>1817.0935699999998</v>
      </c>
      <c r="D25">
        <f>MATCH(B25,Battery!B:B,-1)</f>
        <v>9</v>
      </c>
      <c r="E25" cm="1">
        <f t="array" ref="E25">INDEX(Battery!C:C,D25+1)+(INDEX(Battery!C:C,D25)-INDEX(Battery!C:C,D25+1))/(INDEX(Battery!B:B,D25)-INDEX(Battery!C:C,B25+1))*(B25-INDEX(Battery!C:C,B25+1))</f>
        <v>4.0825036048672727</v>
      </c>
      <c r="F25">
        <f>MIN($K$3,E25-$L$3)-$M$3</f>
        <v>3.605</v>
      </c>
      <c r="G25">
        <f>MATCH(F25,Load!C$3:C$15,1)</f>
        <v>6</v>
      </c>
      <c r="H25">
        <f xml:space="preserve"> 22.6* F25+ 5.5703+$N$3*0.001</f>
        <v>87.098300000000009</v>
      </c>
      <c r="I25">
        <f t="shared" si="0"/>
        <v>8.7098300000000091</v>
      </c>
    </row>
    <row r="26" spans="1:18" x14ac:dyDescent="0.3">
      <c r="A26">
        <v>2.2000000000000002</v>
      </c>
      <c r="B26">
        <f t="shared" si="2"/>
        <v>90.419186999999994</v>
      </c>
      <c r="C26">
        <f t="shared" si="1"/>
        <v>1808.3837399999998</v>
      </c>
      <c r="D26">
        <f>MATCH(B26,Battery!B:B,-1)</f>
        <v>10</v>
      </c>
      <c r="E26" cm="1">
        <f t="array" ref="E26">INDEX(Battery!C:C,D26+1)+(INDEX(Battery!C:C,D26)-INDEX(Battery!C:C,D26+1))/(INDEX(Battery!B:B,D26)-INDEX(Battery!C:C,B26+1))*(B26-INDEX(Battery!C:C,B26+1))</f>
        <v>4.0418924773432687</v>
      </c>
      <c r="F26">
        <f>MIN($K$3,E26-$L$3)-$M$3</f>
        <v>3.605</v>
      </c>
      <c r="G26">
        <f>MATCH(F26,Load!C$3:C$15,1)</f>
        <v>6</v>
      </c>
      <c r="H26">
        <f xml:space="preserve"> 22.6* F26+ 5.5703+$N$3*0.001</f>
        <v>87.098300000000009</v>
      </c>
      <c r="I26">
        <f t="shared" si="0"/>
        <v>8.70982999999997</v>
      </c>
    </row>
    <row r="27" spans="1:18" x14ac:dyDescent="0.3">
      <c r="A27">
        <v>2.2999999999999998</v>
      </c>
      <c r="B27">
        <f t="shared" si="2"/>
        <v>89.983695499999982</v>
      </c>
      <c r="C27">
        <f t="shared" si="1"/>
        <v>1799.6739099999998</v>
      </c>
      <c r="D27">
        <f>MATCH(B27,Battery!B:B,-1)</f>
        <v>10</v>
      </c>
      <c r="E27" cm="1">
        <f t="array" ref="E27">INDEX(Battery!C:C,D27+1)+(INDEX(Battery!C:C,D27)-INDEX(Battery!C:C,D27+1))/(INDEX(Battery!B:B,D27)-INDEX(Battery!C:C,B27+1))*(B27-INDEX(Battery!C:C,B27+1))</f>
        <v>4.0417423697101826</v>
      </c>
      <c r="F27">
        <f>MIN($K$3,E27-$L$3)-$M$3</f>
        <v>3.605</v>
      </c>
      <c r="G27">
        <f>MATCH(F27,Load!C$3:C$15,1)</f>
        <v>6</v>
      </c>
      <c r="H27">
        <f xml:space="preserve"> 22.6* F27+ 5.5703+$N$3*0.001</f>
        <v>87.098300000000009</v>
      </c>
      <c r="I27">
        <f t="shared" si="0"/>
        <v>8.7098300000000091</v>
      </c>
    </row>
    <row r="28" spans="1:18" x14ac:dyDescent="0.3">
      <c r="A28">
        <v>2.4</v>
      </c>
      <c r="B28">
        <f t="shared" si="2"/>
        <v>89.548203999999984</v>
      </c>
      <c r="C28">
        <f t="shared" si="1"/>
        <v>1790.9640799999997</v>
      </c>
      <c r="D28">
        <f>MATCH(B28,Battery!B:B,-1)</f>
        <v>10</v>
      </c>
      <c r="E28" cm="1">
        <f t="array" ref="E28">INDEX(Battery!C:C,D28+1)+(INDEX(Battery!C:C,D28)-INDEX(Battery!C:C,D28+1))/(INDEX(Battery!B:B,D28)-INDEX(Battery!C:C,B28+1))*(B28-INDEX(Battery!C:C,B28+1))</f>
        <v>4.0415922620770965</v>
      </c>
      <c r="F28">
        <f>MIN($K$3,E28-$L$3)-$M$3</f>
        <v>3.605</v>
      </c>
      <c r="G28">
        <f>MATCH(F28,Load!C$3:C$15,1)</f>
        <v>6</v>
      </c>
      <c r="H28">
        <f xml:space="preserve"> 22.6* F28+ 5.5703+$N$3*0.001</f>
        <v>87.098300000000009</v>
      </c>
      <c r="I28">
        <f t="shared" si="0"/>
        <v>8.7098300000000091</v>
      </c>
    </row>
    <row r="29" spans="1:18" x14ac:dyDescent="0.3">
      <c r="A29">
        <v>2.5</v>
      </c>
      <c r="B29">
        <f>C29/C$4*100</f>
        <v>89.112712499999986</v>
      </c>
      <c r="C29">
        <f t="shared" si="1"/>
        <v>1782.2542499999997</v>
      </c>
      <c r="D29">
        <f>MATCH(B29,Battery!B:B,-1)</f>
        <v>10</v>
      </c>
      <c r="E29" cm="1">
        <f t="array" ref="E29">INDEX(Battery!C:C,D29+1)+(INDEX(Battery!C:C,D29)-INDEX(Battery!C:C,D29+1))/(INDEX(Battery!B:B,D29)-INDEX(Battery!C:C,B29+1))*(B29-INDEX(Battery!C:C,B29+1))</f>
        <v>4.0414421544440096</v>
      </c>
      <c r="F29">
        <f>MIN($K$3,E29-$L$3)-$M$3</f>
        <v>3.605</v>
      </c>
      <c r="G29">
        <f>MATCH(F29,Load!C$3:C$15,1)</f>
        <v>6</v>
      </c>
      <c r="H29">
        <f xml:space="preserve"> 22.6* F29+ 5.5703+$N$3*0.001</f>
        <v>87.098300000000009</v>
      </c>
      <c r="I29">
        <f t="shared" si="0"/>
        <v>8.7098300000000091</v>
      </c>
    </row>
    <row r="30" spans="1:18" x14ac:dyDescent="0.3">
      <c r="A30">
        <v>2.6</v>
      </c>
      <c r="B30">
        <f t="shared" si="2"/>
        <v>88.677220999999989</v>
      </c>
      <c r="C30">
        <f t="shared" si="1"/>
        <v>1773.5444199999997</v>
      </c>
      <c r="D30">
        <f>MATCH(B30,Battery!B:B,-1)</f>
        <v>10</v>
      </c>
      <c r="E30" cm="1">
        <f t="array" ref="E30">INDEX(Battery!C:C,D30+1)+(INDEX(Battery!C:C,D30)-INDEX(Battery!C:C,D30+1))/(INDEX(Battery!B:B,D30)-INDEX(Battery!C:C,B30+1))*(B30-INDEX(Battery!C:C,B30+1))</f>
        <v>4.0412920468109235</v>
      </c>
      <c r="F30">
        <f>MIN($K$3,E30-$L$3)-$M$3</f>
        <v>3.605</v>
      </c>
      <c r="G30">
        <f>MATCH(F30,Load!C$3:C$15,1)</f>
        <v>6</v>
      </c>
      <c r="H30">
        <f xml:space="preserve"> 22.6* F30+ 5.5703+$N$3*0.001</f>
        <v>87.098300000000009</v>
      </c>
      <c r="I30">
        <f t="shared" si="0"/>
        <v>8.7098300000000091</v>
      </c>
    </row>
    <row r="31" spans="1:18" x14ac:dyDescent="0.3">
      <c r="A31">
        <v>2.7</v>
      </c>
      <c r="B31">
        <f t="shared" si="2"/>
        <v>88.241729499999991</v>
      </c>
      <c r="C31">
        <f t="shared" si="1"/>
        <v>1764.8345899999997</v>
      </c>
      <c r="D31">
        <f>MATCH(B31,Battery!B:B,-1)</f>
        <v>10</v>
      </c>
      <c r="E31" cm="1">
        <f t="array" ref="E31">INDEX(Battery!C:C,D31+1)+(INDEX(Battery!C:C,D31)-INDEX(Battery!C:C,D31+1))/(INDEX(Battery!B:B,D31)-INDEX(Battery!C:C,B31+1))*(B31-INDEX(Battery!C:C,B31+1))</f>
        <v>4.0411419391778374</v>
      </c>
      <c r="F31">
        <f>MIN($K$3,E31-$L$3)-$M$3</f>
        <v>3.605</v>
      </c>
      <c r="G31">
        <f>MATCH(F31,Load!C$3:C$15,1)</f>
        <v>6</v>
      </c>
      <c r="H31">
        <f xml:space="preserve"> 22.6* F31+ 5.5703+$N$3*0.001</f>
        <v>87.098300000000009</v>
      </c>
      <c r="I31">
        <f t="shared" si="0"/>
        <v>8.70982999999997</v>
      </c>
    </row>
    <row r="32" spans="1:18" x14ac:dyDescent="0.3">
      <c r="A32">
        <v>2.8</v>
      </c>
      <c r="B32">
        <f t="shared" si="2"/>
        <v>87.806237999999979</v>
      </c>
      <c r="C32">
        <f t="shared" si="1"/>
        <v>1756.1247599999997</v>
      </c>
      <c r="D32">
        <f>MATCH(B32,Battery!B:B,-1)</f>
        <v>10</v>
      </c>
      <c r="E32" cm="1">
        <f t="array" ref="E32">INDEX(Battery!C:C,D32+1)+(INDEX(Battery!C:C,D32)-INDEX(Battery!C:C,D32+1))/(INDEX(Battery!B:B,D32)-INDEX(Battery!C:C,B32+1))*(B32-INDEX(Battery!C:C,B32+1))</f>
        <v>4.0409918315447513</v>
      </c>
      <c r="F32">
        <f>MIN($K$3,E32-$L$3)-$M$3</f>
        <v>3.605</v>
      </c>
      <c r="G32">
        <f>MATCH(F32,Load!C$3:C$15,1)</f>
        <v>6</v>
      </c>
      <c r="H32">
        <f xml:space="preserve"> 22.6* F32+ 5.5703+$N$3*0.001</f>
        <v>87.098300000000009</v>
      </c>
      <c r="I32">
        <f t="shared" si="0"/>
        <v>8.7098300000000091</v>
      </c>
    </row>
    <row r="33" spans="1:9" x14ac:dyDescent="0.3">
      <c r="A33">
        <v>2.9</v>
      </c>
      <c r="B33">
        <f t="shared" si="2"/>
        <v>87.370746499999981</v>
      </c>
      <c r="C33">
        <f t="shared" si="1"/>
        <v>1747.4149299999997</v>
      </c>
      <c r="D33">
        <f>MATCH(B33,Battery!B:B,-1)</f>
        <v>10</v>
      </c>
      <c r="E33" cm="1">
        <f t="array" ref="E33">INDEX(Battery!C:C,D33+1)+(INDEX(Battery!C:C,D33)-INDEX(Battery!C:C,D33+1))/(INDEX(Battery!B:B,D33)-INDEX(Battery!C:C,B33+1))*(B33-INDEX(Battery!C:C,B33+1))</f>
        <v>4.0408417239116643</v>
      </c>
      <c r="F33">
        <f>MIN($K$3,E33-$L$3)-$M$3</f>
        <v>3.605</v>
      </c>
      <c r="G33">
        <f>MATCH(F33,Load!C$3:C$15,1)</f>
        <v>6</v>
      </c>
      <c r="H33">
        <f xml:space="preserve"> 22.6* F33+ 5.5703+$N$3*0.001</f>
        <v>87.098300000000009</v>
      </c>
      <c r="I33">
        <f t="shared" si="0"/>
        <v>8.7098300000000091</v>
      </c>
    </row>
    <row r="34" spans="1:9" x14ac:dyDescent="0.3">
      <c r="A34">
        <v>3</v>
      </c>
      <c r="B34">
        <f t="shared" si="2"/>
        <v>86.935254999999984</v>
      </c>
      <c r="C34">
        <f t="shared" si="1"/>
        <v>1738.7050999999997</v>
      </c>
      <c r="D34">
        <f>MATCH(B34,Battery!B:B,-1)</f>
        <v>11</v>
      </c>
      <c r="E34" cm="1">
        <f t="array" ref="E34">INDEX(Battery!C:C,D34+1)+(INDEX(Battery!C:C,D34)-INDEX(Battery!C:C,D34+1))/(INDEX(Battery!B:B,D34)-INDEX(Battery!C:C,B34+1))*(B34-INDEX(Battery!C:C,B34+1))</f>
        <v>4.010557326684741</v>
      </c>
      <c r="F34">
        <f>MIN($K$3,E34-$L$3)-$M$3</f>
        <v>3.605</v>
      </c>
      <c r="G34">
        <f>MATCH(F34,Load!C$3:C$15,1)</f>
        <v>6</v>
      </c>
      <c r="H34">
        <f xml:space="preserve"> 22.6* F34+ 5.5703+$N$3*0.001</f>
        <v>87.098300000000009</v>
      </c>
      <c r="I34">
        <f t="shared" si="0"/>
        <v>8.7098300000000091</v>
      </c>
    </row>
    <row r="35" spans="1:9" x14ac:dyDescent="0.3">
      <c r="A35">
        <v>3.1</v>
      </c>
      <c r="B35">
        <f>C35/C$4*100</f>
        <v>86.499763499999986</v>
      </c>
      <c r="C35">
        <f t="shared" si="1"/>
        <v>1729.9952699999997</v>
      </c>
      <c r="D35">
        <f>MATCH(B35,Battery!B:B,-1)</f>
        <v>11</v>
      </c>
      <c r="E35" cm="1">
        <f t="array" ref="E35">INDEX(Battery!C:C,D35+1)+(INDEX(Battery!C:C,D35)-INDEX(Battery!C:C,D35+1))/(INDEX(Battery!B:B,D35)-INDEX(Battery!C:C,B35+1))*(B35-INDEX(Battery!C:C,B35+1))</f>
        <v>4.0103779472045664</v>
      </c>
      <c r="F35">
        <f>MIN($K$3,E35-$L$3)-$M$3</f>
        <v>3.605</v>
      </c>
      <c r="G35">
        <f>MATCH(F35,Load!C$3:C$15,1)</f>
        <v>6</v>
      </c>
      <c r="H35">
        <f xml:space="preserve"> 22.6* F35+ 5.5703+$N$3*0.001</f>
        <v>87.098300000000009</v>
      </c>
      <c r="I35">
        <f t="shared" si="0"/>
        <v>8.7098300000000091</v>
      </c>
    </row>
    <row r="36" spans="1:9" x14ac:dyDescent="0.3">
      <c r="A36">
        <v>3.2</v>
      </c>
      <c r="B36">
        <f t="shared" si="2"/>
        <v>86.064271999999988</v>
      </c>
      <c r="C36">
        <f t="shared" si="1"/>
        <v>1721.2854399999997</v>
      </c>
      <c r="D36">
        <f>MATCH(B36,Battery!B:B,-1)</f>
        <v>11</v>
      </c>
      <c r="E36" cm="1">
        <f t="array" ref="E36">INDEX(Battery!C:C,D36+1)+(INDEX(Battery!C:C,D36)-INDEX(Battery!C:C,D36+1))/(INDEX(Battery!B:B,D36)-INDEX(Battery!C:C,B36+1))*(B36-INDEX(Battery!C:C,B36+1))</f>
        <v>4.010198567724391</v>
      </c>
      <c r="F36">
        <f>MIN($K$3,E36-$L$3)-$M$3</f>
        <v>3.605</v>
      </c>
      <c r="G36">
        <f>MATCH(F36,Load!C$3:C$15,1)</f>
        <v>6</v>
      </c>
      <c r="H36">
        <f xml:space="preserve"> 22.6* F36+ 5.5703+$N$3*0.001</f>
        <v>87.098300000000009</v>
      </c>
      <c r="I36">
        <f t="shared" ref="I36:I67" si="3">H36*(A37-A36)</f>
        <v>8.70982999999997</v>
      </c>
    </row>
    <row r="37" spans="1:9" x14ac:dyDescent="0.3">
      <c r="A37">
        <v>3.3</v>
      </c>
      <c r="B37">
        <f t="shared" si="2"/>
        <v>85.628780499999976</v>
      </c>
      <c r="C37">
        <f t="shared" ref="C37:C68" si="4">C36-I36</f>
        <v>1712.5756099999996</v>
      </c>
      <c r="D37">
        <f>MATCH(B37,Battery!B:B,-1)</f>
        <v>11</v>
      </c>
      <c r="E37" cm="1">
        <f t="array" ref="E37">INDEX(Battery!C:C,D37+1)+(INDEX(Battery!C:C,D37)-INDEX(Battery!C:C,D37+1))/(INDEX(Battery!B:B,D37)-INDEX(Battery!C:C,B37+1))*(B37-INDEX(Battery!C:C,B37+1))</f>
        <v>4.0100191882442164</v>
      </c>
      <c r="F37">
        <f>MIN($K$3,E37-$L$3)-$M$3</f>
        <v>3.605</v>
      </c>
      <c r="G37">
        <f>MATCH(F37,Load!C$3:C$15,1)</f>
        <v>6</v>
      </c>
      <c r="H37">
        <f xml:space="preserve"> 22.6* F37+ 5.5703+$N$3*0.001</f>
        <v>87.098300000000009</v>
      </c>
      <c r="I37">
        <f t="shared" si="3"/>
        <v>8.7098300000000091</v>
      </c>
    </row>
    <row r="38" spans="1:9" x14ac:dyDescent="0.3">
      <c r="A38">
        <v>3.4</v>
      </c>
      <c r="B38">
        <f t="shared" si="2"/>
        <v>85.193288999999979</v>
      </c>
      <c r="C38">
        <f t="shared" si="4"/>
        <v>1703.8657799999996</v>
      </c>
      <c r="D38">
        <f>MATCH(B38,Battery!B:B,-1)</f>
        <v>11</v>
      </c>
      <c r="E38" cm="1">
        <f t="array" ref="E38">INDEX(Battery!C:C,D38+1)+(INDEX(Battery!C:C,D38)-INDEX(Battery!C:C,D38+1))/(INDEX(Battery!B:B,D38)-INDEX(Battery!C:C,B38+1))*(B38-INDEX(Battery!C:C,B38+1))</f>
        <v>4.0098398087640419</v>
      </c>
      <c r="F38">
        <f>MIN($K$3,E38-$L$3)-$M$3</f>
        <v>3.605</v>
      </c>
      <c r="G38">
        <f>MATCH(F38,Load!C$3:C$15,1)</f>
        <v>6</v>
      </c>
      <c r="H38">
        <f xml:space="preserve"> 22.6* F38+ 5.5703+$N$3*0.001</f>
        <v>87.098300000000009</v>
      </c>
      <c r="I38">
        <f t="shared" si="3"/>
        <v>8.7098300000000091</v>
      </c>
    </row>
    <row r="39" spans="1:9" x14ac:dyDescent="0.3">
      <c r="A39">
        <v>3.5</v>
      </c>
      <c r="B39">
        <f t="shared" si="2"/>
        <v>84.757797499999981</v>
      </c>
      <c r="C39">
        <f t="shared" si="4"/>
        <v>1695.1559499999996</v>
      </c>
      <c r="D39">
        <f>MATCH(B39,Battery!B:B,-1)</f>
        <v>11</v>
      </c>
      <c r="E39" cm="1">
        <f t="array" ref="E39">INDEX(Battery!C:C,D39+1)+(INDEX(Battery!C:C,D39)-INDEX(Battery!C:C,D39+1))/(INDEX(Battery!B:B,D39)-INDEX(Battery!C:C,B39+1))*(B39-INDEX(Battery!C:C,B39+1))</f>
        <v>4.0096604292838665</v>
      </c>
      <c r="F39">
        <f>MIN($K$3,E39-$L$3)-$M$3</f>
        <v>3.605</v>
      </c>
      <c r="G39">
        <f>MATCH(F39,Load!C$3:C$15,1)</f>
        <v>6</v>
      </c>
      <c r="H39">
        <f xml:space="preserve"> 22.6* F39+ 5.5703+$N$3*0.001</f>
        <v>87.098300000000009</v>
      </c>
      <c r="I39">
        <f t="shared" si="3"/>
        <v>8.7098300000000091</v>
      </c>
    </row>
    <row r="40" spans="1:9" x14ac:dyDescent="0.3">
      <c r="A40">
        <v>3.6</v>
      </c>
      <c r="B40">
        <f t="shared" si="2"/>
        <v>84.322305999999983</v>
      </c>
      <c r="C40">
        <f t="shared" si="4"/>
        <v>1686.4461199999996</v>
      </c>
      <c r="D40">
        <f>MATCH(B40,Battery!B:B,-1)</f>
        <v>11</v>
      </c>
      <c r="E40" cm="1">
        <f t="array" ref="E40">INDEX(Battery!C:C,D40+1)+(INDEX(Battery!C:C,D40)-INDEX(Battery!C:C,D40+1))/(INDEX(Battery!B:B,D40)-INDEX(Battery!C:C,B40+1))*(B40-INDEX(Battery!C:C,B40+1))</f>
        <v>4.0094810498036919</v>
      </c>
      <c r="F40">
        <f>MIN($K$3,E40-$L$3)-$M$3</f>
        <v>3.605</v>
      </c>
      <c r="G40">
        <f>MATCH(F40,Load!C$3:C$15,1)</f>
        <v>6</v>
      </c>
      <c r="H40">
        <f xml:space="preserve"> 22.6* F40+ 5.5703+$N$3*0.001</f>
        <v>87.098300000000009</v>
      </c>
      <c r="I40">
        <f t="shared" si="3"/>
        <v>8.7098300000000091</v>
      </c>
    </row>
    <row r="41" spans="1:9" x14ac:dyDescent="0.3">
      <c r="A41">
        <v>3.7</v>
      </c>
      <c r="B41">
        <f t="shared" si="2"/>
        <v>83.886814499999986</v>
      </c>
      <c r="C41">
        <f t="shared" si="4"/>
        <v>1677.7362899999996</v>
      </c>
      <c r="D41">
        <f>MATCH(B41,Battery!B:B,-1)</f>
        <v>11</v>
      </c>
      <c r="E41" cm="1">
        <f t="array" ref="E41">INDEX(Battery!C:C,D41+1)+(INDEX(Battery!C:C,D41)-INDEX(Battery!C:C,D41+1))/(INDEX(Battery!B:B,D41)-INDEX(Battery!C:C,B41+1))*(B41-INDEX(Battery!C:C,B41+1))</f>
        <v>4.0093016703235174</v>
      </c>
      <c r="F41">
        <f>MIN($K$3,E41-$L$3)-$M$3</f>
        <v>3.605</v>
      </c>
      <c r="G41">
        <f>MATCH(F41,Load!C$3:C$15,1)</f>
        <v>6</v>
      </c>
      <c r="H41">
        <f xml:space="preserve"> 22.6* F41+ 5.5703+$N$3*0.001</f>
        <v>87.098300000000009</v>
      </c>
      <c r="I41">
        <f t="shared" si="3"/>
        <v>8.70982999999997</v>
      </c>
    </row>
    <row r="42" spans="1:9" x14ac:dyDescent="0.3">
      <c r="A42">
        <v>3.8</v>
      </c>
      <c r="B42">
        <f t="shared" si="2"/>
        <v>83.451322999999974</v>
      </c>
      <c r="C42">
        <f t="shared" si="4"/>
        <v>1669.0264599999996</v>
      </c>
      <c r="D42">
        <f>MATCH(B42,Battery!B:B,-1)</f>
        <v>12</v>
      </c>
      <c r="E42" cm="1">
        <f t="array" ref="E42">INDEX(Battery!C:C,D42+1)+(INDEX(Battery!C:C,D42)-INDEX(Battery!C:C,D42+1))/(INDEX(Battery!B:B,D42)-INDEX(Battery!C:C,B42+1))*(B42-INDEX(Battery!C:C,B42+1))</f>
        <v>3.9746522520576586</v>
      </c>
      <c r="F42">
        <f>MIN($K$3,E42-$L$3)-$M$3</f>
        <v>3.605</v>
      </c>
      <c r="G42">
        <f>MATCH(F42,Load!C$3:C$15,1)</f>
        <v>6</v>
      </c>
      <c r="H42">
        <f xml:space="preserve"> 22.6* F42+ 5.5703+$N$3*0.001</f>
        <v>87.098300000000009</v>
      </c>
      <c r="I42">
        <f t="shared" si="3"/>
        <v>8.7098300000000091</v>
      </c>
    </row>
    <row r="43" spans="1:9" x14ac:dyDescent="0.3">
      <c r="A43">
        <v>3.9</v>
      </c>
      <c r="B43">
        <f t="shared" si="2"/>
        <v>83.015831499999976</v>
      </c>
      <c r="C43">
        <f t="shared" si="4"/>
        <v>1660.3166299999996</v>
      </c>
      <c r="D43">
        <f>MATCH(B43,Battery!B:B,-1)</f>
        <v>12</v>
      </c>
      <c r="E43" cm="1">
        <f t="array" ref="E43">INDEX(Battery!C:C,D43+1)+(INDEX(Battery!C:C,D43)-INDEX(Battery!C:C,D43+1))/(INDEX(Battery!B:B,D43)-INDEX(Battery!C:C,B43+1))*(B43-INDEX(Battery!C:C,B43+1))</f>
        <v>3.974489494176074</v>
      </c>
      <c r="F43">
        <f>MIN($K$3,E43-$L$3)-$M$3</f>
        <v>3.605</v>
      </c>
      <c r="G43">
        <f>MATCH(F43,Load!C$3:C$15,1)</f>
        <v>6</v>
      </c>
      <c r="H43">
        <f xml:space="preserve"> 22.6* F43+ 5.5703+$N$3*0.001</f>
        <v>87.098300000000009</v>
      </c>
      <c r="I43">
        <f t="shared" si="3"/>
        <v>8.7098300000000091</v>
      </c>
    </row>
    <row r="44" spans="1:9" x14ac:dyDescent="0.3">
      <c r="A44">
        <v>4</v>
      </c>
      <c r="B44">
        <f t="shared" si="2"/>
        <v>82.580339999999978</v>
      </c>
      <c r="C44">
        <f t="shared" si="4"/>
        <v>1651.6067999999996</v>
      </c>
      <c r="D44">
        <f>MATCH(B44,Battery!B:B,-1)</f>
        <v>12</v>
      </c>
      <c r="E44" cm="1">
        <f t="array" ref="E44">INDEX(Battery!C:C,D44+1)+(INDEX(Battery!C:C,D44)-INDEX(Battery!C:C,D44+1))/(INDEX(Battery!B:B,D44)-INDEX(Battery!C:C,B44+1))*(B44-INDEX(Battery!C:C,B44+1))</f>
        <v>3.9743267362944894</v>
      </c>
      <c r="F44">
        <f>MIN($K$3,E44-$L$3)-$M$3</f>
        <v>3.605</v>
      </c>
      <c r="G44">
        <f>MATCH(F44,Load!C$3:C$15,1)</f>
        <v>6</v>
      </c>
      <c r="H44">
        <f xml:space="preserve"> 22.6* F44+ 5.5703+$N$3*0.001</f>
        <v>87.098300000000009</v>
      </c>
      <c r="I44">
        <f t="shared" si="3"/>
        <v>8.70982999999997</v>
      </c>
    </row>
    <row r="45" spans="1:9" x14ac:dyDescent="0.3">
      <c r="A45">
        <v>4.0999999999999996</v>
      </c>
      <c r="B45">
        <f t="shared" si="2"/>
        <v>82.144848499999981</v>
      </c>
      <c r="C45">
        <f t="shared" si="4"/>
        <v>1642.8969699999996</v>
      </c>
      <c r="D45">
        <f>MATCH(B45,Battery!B:B,-1)</f>
        <v>12</v>
      </c>
      <c r="E45" cm="1">
        <f t="array" ref="E45">INDEX(Battery!C:C,D45+1)+(INDEX(Battery!C:C,D45)-INDEX(Battery!C:C,D45+1))/(INDEX(Battery!B:B,D45)-INDEX(Battery!C:C,B45+1))*(B45-INDEX(Battery!C:C,B45+1))</f>
        <v>3.9741639784129048</v>
      </c>
      <c r="F45">
        <f>MIN($K$3,E45-$L$3)-$M$3</f>
        <v>3.605</v>
      </c>
      <c r="G45">
        <f>MATCH(F45,Load!C$3:C$15,1)</f>
        <v>6</v>
      </c>
      <c r="H45">
        <f xml:space="preserve"> 22.6* F45+ 5.5703+$N$3*0.001</f>
        <v>87.098300000000009</v>
      </c>
      <c r="I45">
        <f t="shared" si="3"/>
        <v>8.7098300000000481</v>
      </c>
    </row>
    <row r="46" spans="1:9" x14ac:dyDescent="0.3">
      <c r="A46">
        <v>4.2</v>
      </c>
      <c r="B46">
        <f t="shared" si="2"/>
        <v>81.709356999999983</v>
      </c>
      <c r="C46">
        <f t="shared" si="4"/>
        <v>1634.1871399999995</v>
      </c>
      <c r="D46">
        <f>MATCH(B46,Battery!B:B,-1)</f>
        <v>12</v>
      </c>
      <c r="E46" cm="1">
        <f t="array" ref="E46">INDEX(Battery!C:C,D46+1)+(INDEX(Battery!C:C,D46)-INDEX(Battery!C:C,D46+1))/(INDEX(Battery!B:B,D46)-INDEX(Battery!C:C,B46+1))*(B46-INDEX(Battery!C:C,B46+1))</f>
        <v>3.9740012205313202</v>
      </c>
      <c r="F46">
        <f>MIN($K$3,E46-$L$3)-$M$3</f>
        <v>3.605</v>
      </c>
      <c r="G46">
        <f>MATCH(F46,Load!C$3:C$15,1)</f>
        <v>6</v>
      </c>
      <c r="H46">
        <f xml:space="preserve"> 22.6* F46+ 5.5703+$N$3*0.001</f>
        <v>87.098300000000009</v>
      </c>
      <c r="I46">
        <f t="shared" si="3"/>
        <v>8.70982999999997</v>
      </c>
    </row>
    <row r="47" spans="1:9" x14ac:dyDescent="0.3">
      <c r="A47">
        <v>4.3</v>
      </c>
      <c r="B47">
        <f t="shared" si="2"/>
        <v>81.273865499999971</v>
      </c>
      <c r="C47">
        <f t="shared" si="4"/>
        <v>1625.4773099999995</v>
      </c>
      <c r="D47">
        <f>MATCH(B47,Battery!B:B,-1)</f>
        <v>12</v>
      </c>
      <c r="E47" cm="1">
        <f t="array" ref="E47">INDEX(Battery!C:C,D47+1)+(INDEX(Battery!C:C,D47)-INDEX(Battery!C:C,D47+1))/(INDEX(Battery!B:B,D47)-INDEX(Battery!C:C,B47+1))*(B47-INDEX(Battery!C:C,B47+1))</f>
        <v>3.9738384626497356</v>
      </c>
      <c r="F47">
        <f>MIN($K$3,E47-$L$3)-$M$3</f>
        <v>3.605</v>
      </c>
      <c r="G47">
        <f>MATCH(F47,Load!C$3:C$15,1)</f>
        <v>6</v>
      </c>
      <c r="H47">
        <f xml:space="preserve"> 22.6* F47+ 5.5703+$N$3*0.001</f>
        <v>87.098300000000009</v>
      </c>
      <c r="I47">
        <f t="shared" si="3"/>
        <v>8.7098300000000481</v>
      </c>
    </row>
    <row r="48" spans="1:9" x14ac:dyDescent="0.3">
      <c r="A48">
        <v>4.4000000000000004</v>
      </c>
      <c r="B48">
        <f t="shared" si="2"/>
        <v>80.838373999999973</v>
      </c>
      <c r="C48">
        <f t="shared" si="4"/>
        <v>1616.7674799999995</v>
      </c>
      <c r="D48">
        <f>MATCH(B48,Battery!B:B,-1)</f>
        <v>12</v>
      </c>
      <c r="E48" cm="1">
        <f t="array" ref="E48">INDEX(Battery!C:C,D48+1)+(INDEX(Battery!C:C,D48)-INDEX(Battery!C:C,D48+1))/(INDEX(Battery!B:B,D48)-INDEX(Battery!C:C,B48+1))*(B48-INDEX(Battery!C:C,B48+1))</f>
        <v>3.9736757047681515</v>
      </c>
      <c r="F48">
        <f>MIN($K$3,E48-$L$3)-$M$3</f>
        <v>3.605</v>
      </c>
      <c r="G48">
        <f>MATCH(F48,Load!C$3:C$15,1)</f>
        <v>6</v>
      </c>
      <c r="H48">
        <f xml:space="preserve"> 22.6* F48+ 5.5703+$N$3*0.001</f>
        <v>87.098300000000009</v>
      </c>
      <c r="I48">
        <f t="shared" si="3"/>
        <v>8.70982999999997</v>
      </c>
    </row>
    <row r="49" spans="1:9" x14ac:dyDescent="0.3">
      <c r="A49">
        <v>4.5</v>
      </c>
      <c r="B49">
        <f t="shared" si="2"/>
        <v>80.402882499999976</v>
      </c>
      <c r="C49">
        <f t="shared" si="4"/>
        <v>1608.0576499999995</v>
      </c>
      <c r="D49">
        <f>MATCH(B49,Battery!B:B,-1)</f>
        <v>12</v>
      </c>
      <c r="E49" cm="1">
        <f t="array" ref="E49">INDEX(Battery!C:C,D49+1)+(INDEX(Battery!C:C,D49)-INDEX(Battery!C:C,D49+1))/(INDEX(Battery!B:B,D49)-INDEX(Battery!C:C,B49+1))*(B49-INDEX(Battery!C:C,B49+1))</f>
        <v>3.9735129468865669</v>
      </c>
      <c r="F49">
        <f>MIN($K$3,E49-$L$3)-$M$3</f>
        <v>3.605</v>
      </c>
      <c r="G49">
        <f>MATCH(F49,Load!C$3:C$15,1)</f>
        <v>6</v>
      </c>
      <c r="H49">
        <f xml:space="preserve"> 22.6* F49+ 5.5703+$N$3*0.001</f>
        <v>87.098300000000009</v>
      </c>
      <c r="I49">
        <f t="shared" si="3"/>
        <v>8.70982999999997</v>
      </c>
    </row>
    <row r="50" spans="1:9" x14ac:dyDescent="0.3">
      <c r="A50">
        <v>4.5999999999999996</v>
      </c>
      <c r="B50">
        <f t="shared" si="2"/>
        <v>79.967390999999978</v>
      </c>
      <c r="C50">
        <f t="shared" si="4"/>
        <v>1599.3478199999995</v>
      </c>
      <c r="D50">
        <f>MATCH(B50,Battery!B:B,-1)</f>
        <v>13</v>
      </c>
      <c r="E50" cm="1">
        <f t="array" ref="E50">INDEX(Battery!C:C,D50+1)+(INDEX(Battery!C:C,D50)-INDEX(Battery!C:C,D50+1))/(INDEX(Battery!B:B,D50)-INDEX(Battery!C:C,B50+1))*(B50-INDEX(Battery!C:C,B50+1))</f>
        <v>3.9434509233955359</v>
      </c>
      <c r="F50">
        <f>MIN($K$3,E50-$L$3)-$M$3</f>
        <v>3.605</v>
      </c>
      <c r="G50">
        <f>MATCH(F50,Load!C$3:C$15,1)</f>
        <v>6</v>
      </c>
      <c r="H50">
        <f xml:space="preserve"> 22.6* F50+ 5.5703+$N$3*0.001</f>
        <v>87.098300000000009</v>
      </c>
      <c r="I50">
        <f t="shared" si="3"/>
        <v>8.7098300000000481</v>
      </c>
    </row>
    <row r="51" spans="1:9" x14ac:dyDescent="0.3">
      <c r="A51">
        <v>4.7</v>
      </c>
      <c r="B51">
        <f t="shared" si="2"/>
        <v>79.531899499999966</v>
      </c>
      <c r="C51">
        <f t="shared" si="4"/>
        <v>1590.6379899999995</v>
      </c>
      <c r="D51">
        <f>MATCH(B51,Battery!B:B,-1)</f>
        <v>13</v>
      </c>
      <c r="E51" cm="1">
        <f t="array" ref="E51">INDEX(Battery!C:C,D51+1)+(INDEX(Battery!C:C,D51)-INDEX(Battery!C:C,D51+1))/(INDEX(Battery!B:B,D51)-INDEX(Battery!C:C,B51+1))*(B51-INDEX(Battery!C:C,B51+1))</f>
        <v>3.9432806194571599</v>
      </c>
      <c r="F51">
        <f>MIN($K$3,E51-$L$3)-$M$3</f>
        <v>3.605</v>
      </c>
      <c r="G51">
        <f>MATCH(F51,Load!C$3:C$15,1)</f>
        <v>6</v>
      </c>
      <c r="H51">
        <f xml:space="preserve"> 22.6* F51+ 5.5703+$N$3*0.001</f>
        <v>87.098300000000009</v>
      </c>
      <c r="I51">
        <f t="shared" si="3"/>
        <v>8.70982999999997</v>
      </c>
    </row>
    <row r="52" spans="1:9" x14ac:dyDescent="0.3">
      <c r="A52">
        <v>4.8</v>
      </c>
      <c r="B52">
        <f t="shared" si="2"/>
        <v>79.096407999999968</v>
      </c>
      <c r="C52">
        <f t="shared" si="4"/>
        <v>1581.9281599999995</v>
      </c>
      <c r="D52">
        <f>MATCH(B52,Battery!B:B,-1)</f>
        <v>13</v>
      </c>
      <c r="E52" cm="1">
        <f t="array" ref="E52">INDEX(Battery!C:C,D52+1)+(INDEX(Battery!C:C,D52)-INDEX(Battery!C:C,D52+1))/(INDEX(Battery!B:B,D52)-INDEX(Battery!C:C,B52+1))*(B52-INDEX(Battery!C:C,B52+1))</f>
        <v>3.9431103155187843</v>
      </c>
      <c r="F52">
        <f>MIN($K$3,E52-$L$3)-$M$3</f>
        <v>3.605</v>
      </c>
      <c r="G52">
        <f>MATCH(F52,Load!C$3:C$15,1)</f>
        <v>6</v>
      </c>
      <c r="H52">
        <f xml:space="preserve"> 22.6* F52+ 5.5703+$N$3*0.001</f>
        <v>87.098300000000009</v>
      </c>
      <c r="I52">
        <f t="shared" si="3"/>
        <v>8.7098300000000481</v>
      </c>
    </row>
    <row r="53" spans="1:9" x14ac:dyDescent="0.3">
      <c r="A53">
        <v>4.9000000000000004</v>
      </c>
      <c r="B53">
        <f t="shared" si="2"/>
        <v>78.660916499999985</v>
      </c>
      <c r="C53">
        <f t="shared" si="4"/>
        <v>1573.2183299999995</v>
      </c>
      <c r="D53">
        <f>MATCH(B53,Battery!B:B,-1)</f>
        <v>13</v>
      </c>
      <c r="E53" cm="1">
        <f t="array" ref="E53">INDEX(Battery!C:C,D53+1)+(INDEX(Battery!C:C,D53)-INDEX(Battery!C:C,D53+1))/(INDEX(Battery!B:B,D53)-INDEX(Battery!C:C,B53+1))*(B53-INDEX(Battery!C:C,B53+1))</f>
        <v>3.9429400115804083</v>
      </c>
      <c r="F53">
        <f>MIN($K$3,E53-$L$3)-$M$3</f>
        <v>3.605</v>
      </c>
      <c r="G53">
        <f>MATCH(F53,Load!C$3:C$15,1)</f>
        <v>6</v>
      </c>
      <c r="H53">
        <f xml:space="preserve"> 22.6* F53+ 5.5703+$N$3*0.001</f>
        <v>87.098300000000009</v>
      </c>
      <c r="I53">
        <f t="shared" si="3"/>
        <v>8.70982999999997</v>
      </c>
    </row>
    <row r="54" spans="1:9" x14ac:dyDescent="0.3">
      <c r="A54">
        <v>5</v>
      </c>
      <c r="B54">
        <f t="shared" si="2"/>
        <v>78.225424999999973</v>
      </c>
      <c r="C54">
        <f t="shared" si="4"/>
        <v>1564.5084999999995</v>
      </c>
      <c r="D54">
        <f>MATCH(B54,Battery!B:B,-1)</f>
        <v>13</v>
      </c>
      <c r="E54" cm="1">
        <f t="array" ref="E54">INDEX(Battery!C:C,D54+1)+(INDEX(Battery!C:C,D54)-INDEX(Battery!C:C,D54+1))/(INDEX(Battery!B:B,D54)-INDEX(Battery!C:C,B54+1))*(B54-INDEX(Battery!C:C,B54+1))</f>
        <v>3.9427697076420323</v>
      </c>
      <c r="F54">
        <f>MIN($K$3,E54-$L$3)-$M$3</f>
        <v>3.605</v>
      </c>
      <c r="G54">
        <f>MATCH(F54,Load!C$3:C$15,1)</f>
        <v>6</v>
      </c>
      <c r="H54">
        <f xml:space="preserve"> 22.6* F54+ 5.5703+$N$3*0.001</f>
        <v>87.098300000000009</v>
      </c>
      <c r="I54">
        <f t="shared" si="3"/>
        <v>8.70982999999997</v>
      </c>
    </row>
    <row r="55" spans="1:9" x14ac:dyDescent="0.3">
      <c r="A55">
        <v>5.0999999999999996</v>
      </c>
      <c r="B55">
        <f t="shared" si="2"/>
        <v>77.789933499999975</v>
      </c>
      <c r="C55">
        <f t="shared" si="4"/>
        <v>1555.7986699999994</v>
      </c>
      <c r="D55">
        <f>MATCH(B55,Battery!B:B,-1)</f>
        <v>13</v>
      </c>
      <c r="E55" cm="1">
        <f t="array" ref="E55">INDEX(Battery!C:C,D55+1)+(INDEX(Battery!C:C,D55)-INDEX(Battery!C:C,D55+1))/(INDEX(Battery!B:B,D55)-INDEX(Battery!C:C,B55+1))*(B55-INDEX(Battery!C:C,B55+1))</f>
        <v>3.9425994037036562</v>
      </c>
      <c r="F55">
        <f>MIN($K$3,E55-$L$3)-$M$3</f>
        <v>3.605</v>
      </c>
      <c r="G55">
        <f>MATCH(F55,Load!C$3:C$15,1)</f>
        <v>6</v>
      </c>
      <c r="H55">
        <f xml:space="preserve"> 22.6* F55+ 5.5703+$N$3*0.001</f>
        <v>87.098300000000009</v>
      </c>
      <c r="I55">
        <f t="shared" si="3"/>
        <v>8.7098300000000481</v>
      </c>
    </row>
    <row r="56" spans="1:9" x14ac:dyDescent="0.3">
      <c r="A56">
        <v>5.2</v>
      </c>
      <c r="B56">
        <f t="shared" si="2"/>
        <v>77.354441999999963</v>
      </c>
      <c r="C56">
        <f t="shared" si="4"/>
        <v>1547.0888399999994</v>
      </c>
      <c r="D56">
        <f>MATCH(B56,Battery!B:B,-1)</f>
        <v>13</v>
      </c>
      <c r="E56" cm="1">
        <f t="array" ref="E56">INDEX(Battery!C:C,D56+1)+(INDEX(Battery!C:C,D56)-INDEX(Battery!C:C,D56+1))/(INDEX(Battery!B:B,D56)-INDEX(Battery!C:C,B56+1))*(B56-INDEX(Battery!C:C,B56+1))</f>
        <v>3.9424290997652807</v>
      </c>
      <c r="F56">
        <f>MIN($K$3,E56-$L$3)-$M$3</f>
        <v>3.605</v>
      </c>
      <c r="G56">
        <f>MATCH(F56,Load!C$3:C$15,1)</f>
        <v>6</v>
      </c>
      <c r="H56">
        <f xml:space="preserve"> 22.6* F56+ 5.5703+$N$3*0.001</f>
        <v>87.098300000000009</v>
      </c>
      <c r="I56">
        <f t="shared" si="3"/>
        <v>8.70982999999997</v>
      </c>
    </row>
    <row r="57" spans="1:9" x14ac:dyDescent="0.3">
      <c r="A57">
        <v>5.3</v>
      </c>
      <c r="B57">
        <f t="shared" si="2"/>
        <v>76.918950499999966</v>
      </c>
      <c r="C57">
        <f t="shared" si="4"/>
        <v>1538.3790099999994</v>
      </c>
      <c r="D57">
        <f>MATCH(B57,Battery!B:B,-1)</f>
        <v>13</v>
      </c>
      <c r="E57" cm="1">
        <f t="array" ref="E57">INDEX(Battery!C:C,D57+1)+(INDEX(Battery!C:C,D57)-INDEX(Battery!C:C,D57+1))/(INDEX(Battery!B:B,D57)-INDEX(Battery!C:C,B57+1))*(B57-INDEX(Battery!C:C,B57+1))</f>
        <v>3.9422587958269046</v>
      </c>
      <c r="F57">
        <f>MIN($K$3,E57-$L$3)-$M$3</f>
        <v>3.605</v>
      </c>
      <c r="G57">
        <f>MATCH(F57,Load!C$3:C$15,1)</f>
        <v>6</v>
      </c>
      <c r="H57">
        <f xml:space="preserve"> 22.6* F57+ 5.5703+$N$3*0.001</f>
        <v>87.098300000000009</v>
      </c>
      <c r="I57">
        <f t="shared" si="3"/>
        <v>8.7098300000000481</v>
      </c>
    </row>
    <row r="58" spans="1:9" x14ac:dyDescent="0.3">
      <c r="A58">
        <v>5.4</v>
      </c>
      <c r="B58">
        <f t="shared" si="2"/>
        <v>76.483458999999982</v>
      </c>
      <c r="C58">
        <f t="shared" si="4"/>
        <v>1529.6691799999994</v>
      </c>
      <c r="D58">
        <f>MATCH(B58,Battery!B:B,-1)</f>
        <v>13</v>
      </c>
      <c r="E58" cm="1">
        <f t="array" ref="E58">INDEX(Battery!C:C,D58+1)+(INDEX(Battery!C:C,D58)-INDEX(Battery!C:C,D58+1))/(INDEX(Battery!B:B,D58)-INDEX(Battery!C:C,B58+1))*(B58-INDEX(Battery!C:C,B58+1))</f>
        <v>3.9420884918885286</v>
      </c>
      <c r="F58">
        <f>MIN($K$3,E58-$L$3)-$M$3</f>
        <v>3.605</v>
      </c>
      <c r="G58">
        <f>MATCH(F58,Load!C$3:C$15,1)</f>
        <v>6</v>
      </c>
      <c r="H58">
        <f xml:space="preserve"> 22.6* F58+ 5.5703+$N$3*0.001</f>
        <v>87.098300000000009</v>
      </c>
      <c r="I58">
        <f t="shared" si="3"/>
        <v>8.70982999999997</v>
      </c>
    </row>
    <row r="59" spans="1:9" x14ac:dyDescent="0.3">
      <c r="A59">
        <v>5.5</v>
      </c>
      <c r="B59">
        <f t="shared" si="2"/>
        <v>76.04796749999997</v>
      </c>
      <c r="C59">
        <f t="shared" si="4"/>
        <v>1520.9593499999994</v>
      </c>
      <c r="D59">
        <f>MATCH(B59,Battery!B:B,-1)</f>
        <v>13</v>
      </c>
      <c r="E59" cm="1">
        <f t="array" ref="E59">INDEX(Battery!C:C,D59+1)+(INDEX(Battery!C:C,D59)-INDEX(Battery!C:C,D59+1))/(INDEX(Battery!B:B,D59)-INDEX(Battery!C:C,B59+1))*(B59-INDEX(Battery!C:C,B59+1))</f>
        <v>3.9419181879501526</v>
      </c>
      <c r="F59">
        <f>MIN($K$3,E59-$L$3)-$M$3</f>
        <v>3.605</v>
      </c>
      <c r="G59">
        <f>MATCH(F59,Load!C$3:C$15,1)</f>
        <v>6</v>
      </c>
      <c r="H59">
        <f xml:space="preserve"> 22.6* F59+ 5.5703+$N$3*0.001</f>
        <v>87.098300000000009</v>
      </c>
      <c r="I59">
        <f t="shared" si="3"/>
        <v>8.70982999999997</v>
      </c>
    </row>
    <row r="60" spans="1:9" x14ac:dyDescent="0.3">
      <c r="A60">
        <v>5.6</v>
      </c>
      <c r="B60">
        <f t="shared" si="2"/>
        <v>75.612475999999972</v>
      </c>
      <c r="C60">
        <f t="shared" si="4"/>
        <v>1512.2495199999994</v>
      </c>
      <c r="D60">
        <f>MATCH(B60,Battery!B:B,-1)</f>
        <v>14</v>
      </c>
      <c r="E60" cm="1">
        <f t="array" ref="E60">INDEX(Battery!C:C,D60+1)+(INDEX(Battery!C:C,D60)-INDEX(Battery!C:C,D60+1))/(INDEX(Battery!B:B,D60)-INDEX(Battery!C:C,B60+1))*(B60-INDEX(Battery!C:C,B60+1))</f>
        <v>3.9121673984550558</v>
      </c>
      <c r="F60">
        <f>MIN($K$3,E60-$L$3)-$M$3</f>
        <v>3.605</v>
      </c>
      <c r="G60">
        <f>MATCH(F60,Load!C$3:C$15,1)</f>
        <v>6</v>
      </c>
      <c r="H60">
        <f xml:space="preserve"> 22.6* F60+ 5.5703+$N$3*0.001</f>
        <v>87.098300000000009</v>
      </c>
      <c r="I60">
        <f t="shared" si="3"/>
        <v>8.7098300000000481</v>
      </c>
    </row>
    <row r="61" spans="1:9" x14ac:dyDescent="0.3">
      <c r="A61">
        <v>5.7</v>
      </c>
      <c r="B61">
        <f t="shared" si="2"/>
        <v>75.176984499999961</v>
      </c>
      <c r="C61">
        <f t="shared" si="4"/>
        <v>1503.5396899999994</v>
      </c>
      <c r="D61">
        <f>MATCH(B61,Battery!B:B,-1)</f>
        <v>14</v>
      </c>
      <c r="E61" cm="1">
        <f t="array" ref="E61">INDEX(Battery!C:C,D61+1)+(INDEX(Battery!C:C,D61)-INDEX(Battery!C:C,D61+1))/(INDEX(Battery!B:B,D61)-INDEX(Battery!C:C,B61+1))*(B61-INDEX(Battery!C:C,B61+1))</f>
        <v>3.9119602499825126</v>
      </c>
      <c r="F61">
        <f>MIN($K$3,E61-$L$3)-$M$3</f>
        <v>3.605</v>
      </c>
      <c r="G61">
        <f>MATCH(F61,Load!C$3:C$15,1)</f>
        <v>6</v>
      </c>
      <c r="H61">
        <f xml:space="preserve"> 22.6* F61+ 5.5703+$N$3*0.001</f>
        <v>87.098300000000009</v>
      </c>
      <c r="I61">
        <f t="shared" si="3"/>
        <v>8.70982999999997</v>
      </c>
    </row>
    <row r="62" spans="1:9" x14ac:dyDescent="0.3">
      <c r="A62">
        <v>5.8</v>
      </c>
      <c r="B62">
        <f t="shared" si="2"/>
        <v>74.741492999999963</v>
      </c>
      <c r="C62">
        <f t="shared" si="4"/>
        <v>1494.8298599999994</v>
      </c>
      <c r="D62">
        <f>MATCH(B62,Battery!B:B,-1)</f>
        <v>14</v>
      </c>
      <c r="E62" cm="1">
        <f t="array" ref="E62">INDEX(Battery!C:C,D62+1)+(INDEX(Battery!C:C,D62)-INDEX(Battery!C:C,D62+1))/(INDEX(Battery!B:B,D62)-INDEX(Battery!C:C,B62+1))*(B62-INDEX(Battery!C:C,B62+1))</f>
        <v>3.9117531015099689</v>
      </c>
      <c r="F62">
        <f>MIN($K$3,E62-$L$3)-$M$3</f>
        <v>3.605</v>
      </c>
      <c r="G62">
        <f>MATCH(F62,Load!C$3:C$15,1)</f>
        <v>6</v>
      </c>
      <c r="H62">
        <f xml:space="preserve"> 22.6* F62+ 5.5703+$N$3*0.001</f>
        <v>87.098300000000009</v>
      </c>
      <c r="I62">
        <f t="shared" si="3"/>
        <v>8.7098300000000481</v>
      </c>
    </row>
    <row r="63" spans="1:9" x14ac:dyDescent="0.3">
      <c r="A63">
        <v>5.9</v>
      </c>
      <c r="B63">
        <f t="shared" si="2"/>
        <v>74.306001499999965</v>
      </c>
      <c r="C63">
        <f t="shared" si="4"/>
        <v>1486.1200299999994</v>
      </c>
      <c r="D63">
        <f>MATCH(B63,Battery!B:B,-1)</f>
        <v>14</v>
      </c>
      <c r="E63" cm="1">
        <f t="array" ref="E63">INDEX(Battery!C:C,D63+1)+(INDEX(Battery!C:C,D63)-INDEX(Battery!C:C,D63+1))/(INDEX(Battery!B:B,D63)-INDEX(Battery!C:C,B63+1))*(B63-INDEX(Battery!C:C,B63+1))</f>
        <v>3.9115459530374252</v>
      </c>
      <c r="F63">
        <f>MIN($K$3,E63-$L$3)-$M$3</f>
        <v>3.605</v>
      </c>
      <c r="G63">
        <f>MATCH(F63,Load!C$3:C$15,1)</f>
        <v>6</v>
      </c>
      <c r="H63">
        <f xml:space="preserve"> 22.6* F63+ 5.5703+$N$3*0.001</f>
        <v>87.098300000000009</v>
      </c>
      <c r="I63">
        <f t="shared" si="3"/>
        <v>8.70982999999997</v>
      </c>
    </row>
    <row r="64" spans="1:9" x14ac:dyDescent="0.3">
      <c r="A64">
        <v>6</v>
      </c>
      <c r="B64">
        <f t="shared" si="2"/>
        <v>73.870509999999967</v>
      </c>
      <c r="C64">
        <f t="shared" si="4"/>
        <v>1477.4101999999993</v>
      </c>
      <c r="D64">
        <f>MATCH(B64,Battery!B:B,-1)</f>
        <v>14</v>
      </c>
      <c r="E64" cm="1">
        <f t="array" ref="E64">INDEX(Battery!C:C,D64+1)+(INDEX(Battery!C:C,D64)-INDEX(Battery!C:C,D64+1))/(INDEX(Battery!B:B,D64)-INDEX(Battery!C:C,B64+1))*(B64-INDEX(Battery!C:C,B64+1))</f>
        <v>3.911338804564882</v>
      </c>
      <c r="F64">
        <f>MIN($K$3,E64-$L$3)-$M$3</f>
        <v>3.605</v>
      </c>
      <c r="G64">
        <f>MATCH(F64,Load!C$3:C$15,1)</f>
        <v>6</v>
      </c>
      <c r="H64">
        <f xml:space="preserve"> 22.6* F64+ 5.5703+$N$3*0.001</f>
        <v>87.098300000000009</v>
      </c>
      <c r="I64">
        <f t="shared" si="3"/>
        <v>8.70982999999997</v>
      </c>
    </row>
    <row r="65" spans="1:9" x14ac:dyDescent="0.3">
      <c r="A65">
        <v>6.1</v>
      </c>
      <c r="B65">
        <f t="shared" si="2"/>
        <v>73.43501849999997</v>
      </c>
      <c r="C65">
        <f t="shared" si="4"/>
        <v>1468.7003699999993</v>
      </c>
      <c r="D65">
        <f>MATCH(B65,Battery!B:B,-1)</f>
        <v>14</v>
      </c>
      <c r="E65" cm="1">
        <f t="array" ref="E65">INDEX(Battery!C:C,D65+1)+(INDEX(Battery!C:C,D65)-INDEX(Battery!C:C,D65+1))/(INDEX(Battery!B:B,D65)-INDEX(Battery!C:C,B65+1))*(B65-INDEX(Battery!C:C,B65+1))</f>
        <v>3.9111316560923384</v>
      </c>
      <c r="F65">
        <f>MIN($K$3,E65-$L$3)-$M$3</f>
        <v>3.605</v>
      </c>
      <c r="G65">
        <f>MATCH(F65,Load!C$3:C$15,1)</f>
        <v>6</v>
      </c>
      <c r="H65">
        <f xml:space="preserve"> 22.6* F65+ 5.5703+$N$3*0.001</f>
        <v>87.098300000000009</v>
      </c>
      <c r="I65">
        <f t="shared" si="3"/>
        <v>8.7098300000000481</v>
      </c>
    </row>
    <row r="66" spans="1:9" x14ac:dyDescent="0.3">
      <c r="A66">
        <v>6.2</v>
      </c>
      <c r="B66">
        <f t="shared" si="2"/>
        <v>72.999526999999958</v>
      </c>
      <c r="C66">
        <f t="shared" si="4"/>
        <v>1459.9905399999993</v>
      </c>
      <c r="D66">
        <f>MATCH(B66,Battery!B:B,-1)</f>
        <v>14</v>
      </c>
      <c r="E66" cm="1">
        <f t="array" ref="E66">INDEX(Battery!C:C,D66+1)+(INDEX(Battery!C:C,D66)-INDEX(Battery!C:C,D66+1))/(INDEX(Battery!B:B,D66)-INDEX(Battery!C:C,B66+1))*(B66-INDEX(Battery!C:C,B66+1))</f>
        <v>3.9109245076197952</v>
      </c>
      <c r="F66">
        <f>MIN($K$3,E66-$L$3)-$M$3</f>
        <v>3.605</v>
      </c>
      <c r="G66">
        <f>MATCH(F66,Load!C$3:C$15,1)</f>
        <v>6</v>
      </c>
      <c r="H66">
        <f xml:space="preserve"> 22.6* F66+ 5.5703+$N$3*0.001</f>
        <v>87.098300000000009</v>
      </c>
      <c r="I66">
        <f t="shared" si="3"/>
        <v>8.70982999999997</v>
      </c>
    </row>
    <row r="67" spans="1:9" x14ac:dyDescent="0.3">
      <c r="A67">
        <v>6.3</v>
      </c>
      <c r="B67">
        <f t="shared" si="2"/>
        <v>72.564035499999974</v>
      </c>
      <c r="C67">
        <f t="shared" si="4"/>
        <v>1451.2807099999993</v>
      </c>
      <c r="D67">
        <f>MATCH(B67,Battery!B:B,-1)</f>
        <v>14</v>
      </c>
      <c r="E67" cm="1">
        <f t="array" ref="E67">INDEX(Battery!C:C,D67+1)+(INDEX(Battery!C:C,D67)-INDEX(Battery!C:C,D67+1))/(INDEX(Battery!B:B,D67)-INDEX(Battery!C:C,B67+1))*(B67-INDEX(Battery!C:C,B67+1))</f>
        <v>3.9107173591472515</v>
      </c>
      <c r="F67">
        <f>MIN($K$3,E67-$L$3)-$M$3</f>
        <v>3.605</v>
      </c>
      <c r="G67">
        <f>MATCH(F67,Load!C$3:C$15,1)</f>
        <v>6</v>
      </c>
      <c r="H67">
        <f xml:space="preserve"> 22.6* F67+ 5.5703+$N$3*0.001</f>
        <v>87.098300000000009</v>
      </c>
      <c r="I67">
        <f t="shared" si="3"/>
        <v>8.7098300000000481</v>
      </c>
    </row>
    <row r="68" spans="1:9" x14ac:dyDescent="0.3">
      <c r="A68">
        <v>6.4</v>
      </c>
      <c r="B68">
        <f t="shared" si="2"/>
        <v>72.128543999999962</v>
      </c>
      <c r="C68">
        <f t="shared" si="4"/>
        <v>1442.5708799999993</v>
      </c>
      <c r="D68">
        <f>MATCH(B68,Battery!B:B,-1)</f>
        <v>14</v>
      </c>
      <c r="E68" cm="1">
        <f t="array" ref="E68">INDEX(Battery!C:C,D68+1)+(INDEX(Battery!C:C,D68)-INDEX(Battery!C:C,D68+1))/(INDEX(Battery!B:B,D68)-INDEX(Battery!C:C,B68+1))*(B68-INDEX(Battery!C:C,B68+1))</f>
        <v>3.9105102106747078</v>
      </c>
      <c r="F68">
        <f>MIN($K$3,E68-$L$3)-$M$3</f>
        <v>3.605</v>
      </c>
      <c r="G68">
        <f>MATCH(F68,Load!C$3:C$15,1)</f>
        <v>6</v>
      </c>
      <c r="H68">
        <f xml:space="preserve"> 22.6* F68+ 5.5703+$N$3*0.001</f>
        <v>87.098300000000009</v>
      </c>
      <c r="I68">
        <f t="shared" ref="I68:I99" si="5">H68*(A69-A68)</f>
        <v>8.70982999999997</v>
      </c>
    </row>
    <row r="69" spans="1:9" x14ac:dyDescent="0.3">
      <c r="A69">
        <v>6.5</v>
      </c>
      <c r="B69">
        <f t="shared" si="2"/>
        <v>71.693052499999965</v>
      </c>
      <c r="C69">
        <f t="shared" ref="C69:C100" si="6">C68-I68</f>
        <v>1433.8610499999993</v>
      </c>
      <c r="D69">
        <f>MATCH(B69,Battery!B:B,-1)</f>
        <v>14</v>
      </c>
      <c r="E69" cm="1">
        <f t="array" ref="E69">INDEX(Battery!C:C,D69+1)+(INDEX(Battery!C:C,D69)-INDEX(Battery!C:C,D69+1))/(INDEX(Battery!B:B,D69)-INDEX(Battery!C:C,B69+1))*(B69-INDEX(Battery!C:C,B69+1))</f>
        <v>3.9103030622021646</v>
      </c>
      <c r="F69">
        <f>MIN($K$3,E69-$L$3)-$M$3</f>
        <v>3.605</v>
      </c>
      <c r="G69">
        <f>MATCH(F69,Load!C$3:C$15,1)</f>
        <v>6</v>
      </c>
      <c r="H69">
        <f xml:space="preserve"> 22.6* F69+ 5.5703+$N$3*0.001</f>
        <v>87.098300000000009</v>
      </c>
      <c r="I69">
        <f t="shared" si="5"/>
        <v>8.70982999999997</v>
      </c>
    </row>
    <row r="70" spans="1:9" x14ac:dyDescent="0.3">
      <c r="A70">
        <v>6.6</v>
      </c>
      <c r="B70">
        <f t="shared" si="2"/>
        <v>71.257560999999967</v>
      </c>
      <c r="C70">
        <f t="shared" si="6"/>
        <v>1425.1512199999993</v>
      </c>
      <c r="D70">
        <f>MATCH(B70,Battery!B:B,-1)</f>
        <v>15</v>
      </c>
      <c r="E70" cm="1">
        <f t="array" ref="E70">INDEX(Battery!C:C,D70+1)+(INDEX(Battery!C:C,D70)-INDEX(Battery!C:C,D70+1))/(INDEX(Battery!B:B,D70)-INDEX(Battery!C:C,B70+1))*(B70-INDEX(Battery!C:C,B70+1))</f>
        <v>3.8761645046921878</v>
      </c>
      <c r="F70">
        <f>MIN($K$3,E70-$L$3)-$M$3</f>
        <v>3.605</v>
      </c>
      <c r="G70">
        <f>MATCH(F70,Load!C$3:C$15,1)</f>
        <v>6</v>
      </c>
      <c r="H70">
        <f xml:space="preserve"> 22.6* F70+ 5.5703+$N$3*0.001</f>
        <v>87.098300000000009</v>
      </c>
      <c r="I70">
        <f t="shared" si="5"/>
        <v>8.7098300000000481</v>
      </c>
    </row>
    <row r="71" spans="1:9" x14ac:dyDescent="0.3">
      <c r="A71">
        <v>6.7</v>
      </c>
      <c r="B71">
        <f t="shared" si="2"/>
        <v>70.822069499999969</v>
      </c>
      <c r="C71">
        <f t="shared" si="6"/>
        <v>1416.4413899999993</v>
      </c>
      <c r="D71">
        <f>MATCH(B71,Battery!B:B,-1)</f>
        <v>15</v>
      </c>
      <c r="E71" cm="1">
        <f t="array" ref="E71">INDEX(Battery!C:C,D71+1)+(INDEX(Battery!C:C,D71)-INDEX(Battery!C:C,D71+1))/(INDEX(Battery!B:B,D71)-INDEX(Battery!C:C,B71+1))*(B71-INDEX(Battery!C:C,B71+1))</f>
        <v>3.8759830904295574</v>
      </c>
      <c r="F71">
        <f>MIN($K$3,E71-$L$3)-$M$3</f>
        <v>3.605</v>
      </c>
      <c r="G71">
        <f>MATCH(F71,Load!C$3:C$15,1)</f>
        <v>6</v>
      </c>
      <c r="H71">
        <f xml:space="preserve"> 22.6* F71+ 5.5703+$N$3*0.001</f>
        <v>87.098300000000009</v>
      </c>
      <c r="I71">
        <f t="shared" si="5"/>
        <v>8.70982999999997</v>
      </c>
    </row>
    <row r="72" spans="1:9" x14ac:dyDescent="0.3">
      <c r="A72">
        <v>6.8</v>
      </c>
      <c r="B72">
        <f t="shared" si="2"/>
        <v>70.386577999999972</v>
      </c>
      <c r="C72">
        <f t="shared" si="6"/>
        <v>1407.7315599999993</v>
      </c>
      <c r="D72">
        <f>MATCH(B72,Battery!B:B,-1)</f>
        <v>15</v>
      </c>
      <c r="E72" cm="1">
        <f t="array" ref="E72">INDEX(Battery!C:C,D72+1)+(INDEX(Battery!C:C,D72)-INDEX(Battery!C:C,D72+1))/(INDEX(Battery!B:B,D72)-INDEX(Battery!C:C,B72+1))*(B72-INDEX(Battery!C:C,B72+1))</f>
        <v>3.8758016761669274</v>
      </c>
      <c r="F72">
        <f>MIN($K$3,E72-$L$3)-$M$3</f>
        <v>3.605</v>
      </c>
      <c r="G72">
        <f>MATCH(F72,Load!C$3:C$15,1)</f>
        <v>6</v>
      </c>
      <c r="H72">
        <f xml:space="preserve"> 22.6* F72+ 5.5703+$N$3*0.001</f>
        <v>87.098300000000009</v>
      </c>
      <c r="I72">
        <f t="shared" si="5"/>
        <v>8.7098300000000481</v>
      </c>
    </row>
    <row r="73" spans="1:9" x14ac:dyDescent="0.3">
      <c r="A73">
        <v>6.9</v>
      </c>
      <c r="B73">
        <f t="shared" si="2"/>
        <v>69.95108649999996</v>
      </c>
      <c r="C73">
        <f t="shared" si="6"/>
        <v>1399.0217299999993</v>
      </c>
      <c r="D73">
        <f>MATCH(B73,Battery!B:B,-1)</f>
        <v>15</v>
      </c>
      <c r="E73" cm="1">
        <f t="array" ref="E73">INDEX(Battery!C:C,D73+1)+(INDEX(Battery!C:C,D73)-INDEX(Battery!C:C,D73+1))/(INDEX(Battery!B:B,D73)-INDEX(Battery!C:C,B73+1))*(B73-INDEX(Battery!C:C,B73+1))</f>
        <v>3.875620261904297</v>
      </c>
      <c r="F73">
        <f>MIN($K$3,E73-$L$3)-$M$3</f>
        <v>3.605</v>
      </c>
      <c r="G73">
        <f>MATCH(F73,Load!C$3:C$15,1)</f>
        <v>6</v>
      </c>
      <c r="H73">
        <f xml:space="preserve"> 22.6* F73+ 5.5703+$N$3*0.001</f>
        <v>87.098300000000009</v>
      </c>
      <c r="I73">
        <f t="shared" si="5"/>
        <v>8.70982999999997</v>
      </c>
    </row>
    <row r="74" spans="1:9" x14ac:dyDescent="0.3">
      <c r="A74">
        <v>7</v>
      </c>
      <c r="B74">
        <f t="shared" si="2"/>
        <v>69.515594999999962</v>
      </c>
      <c r="C74">
        <f t="shared" si="6"/>
        <v>1390.3118999999992</v>
      </c>
      <c r="D74">
        <f>MATCH(B74,Battery!B:B,-1)</f>
        <v>15</v>
      </c>
      <c r="E74" cm="1">
        <f t="array" ref="E74">INDEX(Battery!C:C,D74+1)+(INDEX(Battery!C:C,D74)-INDEX(Battery!C:C,D74+1))/(INDEX(Battery!B:B,D74)-INDEX(Battery!C:C,B74+1))*(B74-INDEX(Battery!C:C,B74+1))</f>
        <v>3.8754388476416666</v>
      </c>
      <c r="F74">
        <f>MIN($K$3,E74-$L$3)-$M$3</f>
        <v>3.605</v>
      </c>
      <c r="G74">
        <f>MATCH(F74,Load!C$3:C$15,1)</f>
        <v>6</v>
      </c>
      <c r="H74">
        <f xml:space="preserve"> 22.6* F74+ 5.5703+$N$3*0.001</f>
        <v>87.098300000000009</v>
      </c>
      <c r="I74">
        <f t="shared" si="5"/>
        <v>8.70982999999997</v>
      </c>
    </row>
    <row r="75" spans="1:9" x14ac:dyDescent="0.3">
      <c r="A75">
        <v>7.1</v>
      </c>
      <c r="B75">
        <f t="shared" si="2"/>
        <v>69.08010349999995</v>
      </c>
      <c r="C75">
        <f t="shared" si="6"/>
        <v>1381.6020699999992</v>
      </c>
      <c r="D75">
        <f>MATCH(B75,Battery!B:B,-1)</f>
        <v>15</v>
      </c>
      <c r="E75" cm="1">
        <f t="array" ref="E75">INDEX(Battery!C:C,D75+1)+(INDEX(Battery!C:C,D75)-INDEX(Battery!C:C,D75+1))/(INDEX(Battery!B:B,D75)-INDEX(Battery!C:C,B75+1))*(B75-INDEX(Battery!C:C,B75+1))</f>
        <v>3.8752574333790362</v>
      </c>
      <c r="F75">
        <f>MIN($K$3,E75-$L$3)-$M$3</f>
        <v>3.605</v>
      </c>
      <c r="G75">
        <f>MATCH(F75,Load!C$3:C$15,1)</f>
        <v>6</v>
      </c>
      <c r="H75">
        <f xml:space="preserve"> 22.6* F75+ 5.5703+$N$3*0.001</f>
        <v>87.098300000000009</v>
      </c>
      <c r="I75">
        <f t="shared" si="5"/>
        <v>8.7098300000000481</v>
      </c>
    </row>
    <row r="76" spans="1:9" x14ac:dyDescent="0.3">
      <c r="A76">
        <v>7.2</v>
      </c>
      <c r="B76">
        <f t="shared" si="2"/>
        <v>68.644611999999967</v>
      </c>
      <c r="C76">
        <f t="shared" si="6"/>
        <v>1372.8922399999992</v>
      </c>
      <c r="D76">
        <f>MATCH(B76,Battery!B:B,-1)</f>
        <v>15</v>
      </c>
      <c r="E76" cm="1">
        <f t="array" ref="E76">INDEX(Battery!C:C,D76+1)+(INDEX(Battery!C:C,D76)-INDEX(Battery!C:C,D76+1))/(INDEX(Battery!B:B,D76)-INDEX(Battery!C:C,B76+1))*(B76-INDEX(Battery!C:C,B76+1))</f>
        <v>3.8750760191164058</v>
      </c>
      <c r="F76">
        <f>MIN($K$3,E76-$L$3)-$M$3</f>
        <v>3.605</v>
      </c>
      <c r="G76">
        <f>MATCH(F76,Load!C$3:C$15,1)</f>
        <v>6</v>
      </c>
      <c r="H76">
        <f xml:space="preserve"> 22.6* F76+ 5.5703+$N$3*0.001</f>
        <v>87.098300000000009</v>
      </c>
      <c r="I76">
        <f t="shared" si="5"/>
        <v>8.70982999999997</v>
      </c>
    </row>
    <row r="77" spans="1:9" x14ac:dyDescent="0.3">
      <c r="A77">
        <v>7.3</v>
      </c>
      <c r="B77">
        <f t="shared" si="2"/>
        <v>68.209120499999969</v>
      </c>
      <c r="C77">
        <f t="shared" si="6"/>
        <v>1364.1824099999992</v>
      </c>
      <c r="D77">
        <f>MATCH(B77,Battery!B:B,-1)</f>
        <v>15</v>
      </c>
      <c r="E77" cm="1">
        <f t="array" ref="E77">INDEX(Battery!C:C,D77+1)+(INDEX(Battery!C:C,D77)-INDEX(Battery!C:C,D77+1))/(INDEX(Battery!B:B,D77)-INDEX(Battery!C:C,B77+1))*(B77-INDEX(Battery!C:C,B77+1))</f>
        <v>3.8748946048537753</v>
      </c>
      <c r="F77">
        <f>MIN($K$3,E77-$L$3)-$M$3</f>
        <v>3.605</v>
      </c>
      <c r="G77">
        <f>MATCH(F77,Load!C$3:C$15,1)</f>
        <v>6</v>
      </c>
      <c r="H77">
        <f xml:space="preserve"> 22.6* F77+ 5.5703+$N$3*0.001</f>
        <v>87.098300000000009</v>
      </c>
      <c r="I77">
        <f t="shared" si="5"/>
        <v>8.7098300000000481</v>
      </c>
    </row>
    <row r="78" spans="1:9" x14ac:dyDescent="0.3">
      <c r="A78">
        <v>7.4</v>
      </c>
      <c r="B78">
        <f t="shared" si="2"/>
        <v>67.773628999999957</v>
      </c>
      <c r="C78">
        <f t="shared" si="6"/>
        <v>1355.4725799999992</v>
      </c>
      <c r="D78">
        <f>MATCH(B78,Battery!B:B,-1)</f>
        <v>15</v>
      </c>
      <c r="E78" cm="1">
        <f t="array" ref="E78">INDEX(Battery!C:C,D78+1)+(INDEX(Battery!C:C,D78)-INDEX(Battery!C:C,D78+1))/(INDEX(Battery!B:B,D78)-INDEX(Battery!C:C,B78+1))*(B78-INDEX(Battery!C:C,B78+1))</f>
        <v>3.8747131905911454</v>
      </c>
      <c r="F78">
        <f>MIN($K$3,E78-$L$3)-$M$3</f>
        <v>3.605</v>
      </c>
      <c r="G78">
        <f>MATCH(F78,Load!C$3:C$15,1)</f>
        <v>6</v>
      </c>
      <c r="H78">
        <f xml:space="preserve"> 22.6* F78+ 5.5703+$N$3*0.001</f>
        <v>87.098300000000009</v>
      </c>
      <c r="I78">
        <f t="shared" si="5"/>
        <v>8.70982999999997</v>
      </c>
    </row>
    <row r="79" spans="1:9" x14ac:dyDescent="0.3">
      <c r="A79">
        <v>7.5</v>
      </c>
      <c r="B79">
        <f t="shared" si="2"/>
        <v>67.338137499999959</v>
      </c>
      <c r="C79">
        <f t="shared" si="6"/>
        <v>1346.7627499999992</v>
      </c>
      <c r="D79">
        <f>MATCH(B79,Battery!B:B,-1)</f>
        <v>15</v>
      </c>
      <c r="E79" cm="1">
        <f t="array" ref="E79">INDEX(Battery!C:C,D79+1)+(INDEX(Battery!C:C,D79)-INDEX(Battery!C:C,D79+1))/(INDEX(Battery!B:B,D79)-INDEX(Battery!C:C,B79+1))*(B79-INDEX(Battery!C:C,B79+1))</f>
        <v>3.874531776328515</v>
      </c>
      <c r="F79">
        <f>MIN($K$3,E79-$L$3)-$M$3</f>
        <v>3.605</v>
      </c>
      <c r="G79">
        <f>MATCH(F79,Load!C$3:C$15,1)</f>
        <v>6</v>
      </c>
      <c r="H79">
        <f xml:space="preserve"> 22.6* F79+ 5.5703+$N$3*0.001</f>
        <v>87.098300000000009</v>
      </c>
      <c r="I79">
        <f t="shared" si="5"/>
        <v>8.70982999999997</v>
      </c>
    </row>
    <row r="80" spans="1:9" x14ac:dyDescent="0.3">
      <c r="A80">
        <v>7.6</v>
      </c>
      <c r="B80">
        <f t="shared" si="2"/>
        <v>66.902645999999947</v>
      </c>
      <c r="C80">
        <f t="shared" si="6"/>
        <v>1338.0529199999992</v>
      </c>
      <c r="D80">
        <f>MATCH(B80,Battery!B:B,-1)</f>
        <v>15</v>
      </c>
      <c r="E80" cm="1">
        <f t="array" ref="E80">INDEX(Battery!C:C,D80+1)+(INDEX(Battery!C:C,D80)-INDEX(Battery!C:C,D80+1))/(INDEX(Battery!B:B,D80)-INDEX(Battery!C:C,B80+1))*(B80-INDEX(Battery!C:C,B80+1))</f>
        <v>3.8743503620658846</v>
      </c>
      <c r="F80">
        <f>MIN($K$3,E80-$L$3)-$M$3</f>
        <v>3.605</v>
      </c>
      <c r="G80">
        <f>MATCH(F80,Load!C$3:C$15,1)</f>
        <v>6</v>
      </c>
      <c r="H80">
        <f xml:space="preserve"> 22.6* F80+ 5.5703+$N$3*0.001</f>
        <v>87.098300000000009</v>
      </c>
      <c r="I80">
        <f t="shared" si="5"/>
        <v>8.7098300000000481</v>
      </c>
    </row>
    <row r="81" spans="1:9" x14ac:dyDescent="0.3">
      <c r="A81">
        <v>7.7</v>
      </c>
      <c r="B81">
        <f t="shared" si="2"/>
        <v>66.467154499999964</v>
      </c>
      <c r="C81">
        <f t="shared" si="6"/>
        <v>1329.3430899999992</v>
      </c>
      <c r="D81">
        <f>MATCH(B81,Battery!B:B,-1)</f>
        <v>16</v>
      </c>
      <c r="E81" cm="1">
        <f t="array" ref="E81">INDEX(Battery!C:C,D81+1)+(INDEX(Battery!C:C,D81)-INDEX(Battery!C:C,D81+1))/(INDEX(Battery!B:B,D81)-INDEX(Battery!C:C,B81+1))*(B81-INDEX(Battery!C:C,B81+1))</f>
        <v>3.8464473573974738</v>
      </c>
      <c r="F81">
        <f>MIN($K$3,E81-$L$3)-$M$3</f>
        <v>3.605</v>
      </c>
      <c r="G81">
        <f>MATCH(F81,Load!C$3:C$15,1)</f>
        <v>6</v>
      </c>
      <c r="H81">
        <f xml:space="preserve"> 22.6* F81+ 5.5703+$N$3*0.001</f>
        <v>87.098300000000009</v>
      </c>
      <c r="I81">
        <f t="shared" si="5"/>
        <v>8.70982999999997</v>
      </c>
    </row>
    <row r="82" spans="1:9" x14ac:dyDescent="0.3">
      <c r="A82">
        <v>7.8</v>
      </c>
      <c r="B82">
        <f t="shared" si="2"/>
        <v>66.031662999999966</v>
      </c>
      <c r="C82">
        <f t="shared" si="6"/>
        <v>1320.6332599999992</v>
      </c>
      <c r="D82">
        <f>MATCH(B82,Battery!B:B,-1)</f>
        <v>16</v>
      </c>
      <c r="E82" cm="1">
        <f t="array" ref="E82">INDEX(Battery!C:C,D82+1)+(INDEX(Battery!C:C,D82)-INDEX(Battery!C:C,D82+1))/(INDEX(Battery!B:B,D82)-INDEX(Battery!C:C,B82+1))*(B82-INDEX(Battery!C:C,B82+1))</f>
        <v>3.8462630938048989</v>
      </c>
      <c r="F82">
        <f>MIN($K$3,E82-$L$3)-$M$3</f>
        <v>3.605</v>
      </c>
      <c r="G82">
        <f>MATCH(F82,Load!C$3:C$15,1)</f>
        <v>6</v>
      </c>
      <c r="H82">
        <f xml:space="preserve"> 22.6* F82+ 5.5703+$N$3*0.001</f>
        <v>87.098300000000009</v>
      </c>
      <c r="I82">
        <f t="shared" si="5"/>
        <v>8.7098300000000481</v>
      </c>
    </row>
    <row r="83" spans="1:9" x14ac:dyDescent="0.3">
      <c r="A83">
        <v>7.9</v>
      </c>
      <c r="B83">
        <f t="shared" si="2"/>
        <v>65.596171499999954</v>
      </c>
      <c r="C83">
        <f t="shared" si="6"/>
        <v>1311.9234299999991</v>
      </c>
      <c r="D83">
        <f>MATCH(B83,Battery!B:B,-1)</f>
        <v>16</v>
      </c>
      <c r="E83" cm="1">
        <f t="array" ref="E83">INDEX(Battery!C:C,D83+1)+(INDEX(Battery!C:C,D83)-INDEX(Battery!C:C,D83+1))/(INDEX(Battery!B:B,D83)-INDEX(Battery!C:C,B83+1))*(B83-INDEX(Battery!C:C,B83+1))</f>
        <v>3.8460788302123241</v>
      </c>
      <c r="F83">
        <f>MIN($K$3,E83-$L$3)-$M$3</f>
        <v>3.605</v>
      </c>
      <c r="G83">
        <f>MATCH(F83,Load!C$3:C$15,1)</f>
        <v>6</v>
      </c>
      <c r="H83">
        <f xml:space="preserve"> 22.6* F83+ 5.5703+$N$3*0.001</f>
        <v>87.098300000000009</v>
      </c>
      <c r="I83">
        <f t="shared" si="5"/>
        <v>8.70982999999997</v>
      </c>
    </row>
    <row r="84" spans="1:9" x14ac:dyDescent="0.3">
      <c r="A84">
        <v>8</v>
      </c>
      <c r="B84">
        <f t="shared" si="2"/>
        <v>65.160679999999957</v>
      </c>
      <c r="C84">
        <f t="shared" si="6"/>
        <v>1303.2135999999991</v>
      </c>
      <c r="D84">
        <f>MATCH(B84,Battery!B:B,-1)</f>
        <v>16</v>
      </c>
      <c r="E84" cm="1">
        <f t="array" ref="E84">INDEX(Battery!C:C,D84+1)+(INDEX(Battery!C:C,D84)-INDEX(Battery!C:C,D84+1))/(INDEX(Battery!B:B,D84)-INDEX(Battery!C:C,B84+1))*(B84-INDEX(Battery!C:C,B84+1))</f>
        <v>3.8458945666197493</v>
      </c>
      <c r="F84">
        <f>MIN($K$3,E84-$L$3)-$M$3</f>
        <v>3.605</v>
      </c>
      <c r="G84">
        <f>MATCH(F84,Load!C$3:C$15,1)</f>
        <v>6</v>
      </c>
      <c r="H84">
        <f xml:space="preserve"> 22.6* F84+ 5.5703+$N$3*0.001</f>
        <v>87.098300000000009</v>
      </c>
      <c r="I84">
        <f t="shared" si="5"/>
        <v>8.70982999999997</v>
      </c>
    </row>
    <row r="85" spans="1:9" x14ac:dyDescent="0.3">
      <c r="A85">
        <v>8.1</v>
      </c>
      <c r="B85">
        <f t="shared" si="2"/>
        <v>64.725188499999959</v>
      </c>
      <c r="C85">
        <f t="shared" si="6"/>
        <v>1294.5037699999991</v>
      </c>
      <c r="D85">
        <f>MATCH(B85,Battery!B:B,-1)</f>
        <v>16</v>
      </c>
      <c r="E85" cm="1">
        <f t="array" ref="E85">INDEX(Battery!C:C,D85+1)+(INDEX(Battery!C:C,D85)-INDEX(Battery!C:C,D85+1))/(INDEX(Battery!B:B,D85)-INDEX(Battery!C:C,B85+1))*(B85-INDEX(Battery!C:C,B85+1))</f>
        <v>3.8457103030271744</v>
      </c>
      <c r="F85">
        <f>MIN($K$3,E85-$L$3)-$M$3</f>
        <v>3.605</v>
      </c>
      <c r="G85">
        <f>MATCH(F85,Load!C$3:C$15,1)</f>
        <v>6</v>
      </c>
      <c r="H85">
        <f xml:space="preserve"> 22.6* F85+ 5.5703+$N$3*0.001</f>
        <v>87.098300000000009</v>
      </c>
      <c r="I85">
        <f t="shared" si="5"/>
        <v>8.70982999999997</v>
      </c>
    </row>
    <row r="86" spans="1:9" x14ac:dyDescent="0.3">
      <c r="A86">
        <v>8.1999999999999993</v>
      </c>
      <c r="B86">
        <f t="shared" si="2"/>
        <v>64.289696999999961</v>
      </c>
      <c r="C86">
        <f t="shared" si="6"/>
        <v>1285.7939399999991</v>
      </c>
      <c r="D86">
        <f>MATCH(B86,Battery!B:B,-1)</f>
        <v>16</v>
      </c>
      <c r="E86" cm="1">
        <f t="array" ref="E86">INDEX(Battery!C:C,D86+1)+(INDEX(Battery!C:C,D86)-INDEX(Battery!C:C,D86+1))/(INDEX(Battery!B:B,D86)-INDEX(Battery!C:C,B86+1))*(B86-INDEX(Battery!C:C,B86+1))</f>
        <v>3.8455260394345996</v>
      </c>
      <c r="F86">
        <f>MIN($K$3,E86-$L$3)-$M$3</f>
        <v>3.605</v>
      </c>
      <c r="G86">
        <f>MATCH(F86,Load!C$3:C$15,1)</f>
        <v>6</v>
      </c>
      <c r="H86">
        <f xml:space="preserve"> 22.6* F86+ 5.5703+$N$3*0.001</f>
        <v>87.098300000000009</v>
      </c>
      <c r="I86">
        <f t="shared" si="5"/>
        <v>8.7098300000001245</v>
      </c>
    </row>
    <row r="87" spans="1:9" x14ac:dyDescent="0.3">
      <c r="A87">
        <v>8.3000000000000007</v>
      </c>
      <c r="B87">
        <f t="shared" si="2"/>
        <v>63.854205499999935</v>
      </c>
      <c r="C87">
        <f t="shared" si="6"/>
        <v>1277.0841099999989</v>
      </c>
      <c r="D87">
        <f>MATCH(B87,Battery!B:B,-1)</f>
        <v>16</v>
      </c>
      <c r="E87" cm="1">
        <f t="array" ref="E87">INDEX(Battery!C:C,D87+1)+(INDEX(Battery!C:C,D87)-INDEX(Battery!C:C,D87+1))/(INDEX(Battery!B:B,D87)-INDEX(Battery!C:C,B87+1))*(B87-INDEX(Battery!C:C,B87+1))</f>
        <v>3.8453417758420247</v>
      </c>
      <c r="F87">
        <f>MIN($K$3,E87-$L$3)-$M$3</f>
        <v>3.605</v>
      </c>
      <c r="G87">
        <f>MATCH(F87,Load!C$3:C$15,1)</f>
        <v>6</v>
      </c>
      <c r="H87">
        <f xml:space="preserve"> 22.6* F87+ 5.5703+$N$3*0.001</f>
        <v>87.098300000000009</v>
      </c>
      <c r="I87">
        <f t="shared" si="5"/>
        <v>8.70982999999997</v>
      </c>
    </row>
    <row r="88" spans="1:9" x14ac:dyDescent="0.3">
      <c r="A88">
        <v>8.4</v>
      </c>
      <c r="B88">
        <f t="shared" si="2"/>
        <v>63.418713999999945</v>
      </c>
      <c r="C88">
        <f t="shared" si="6"/>
        <v>1268.3742799999989</v>
      </c>
      <c r="D88">
        <f>MATCH(B88,Battery!B:B,-1)</f>
        <v>16</v>
      </c>
      <c r="E88" cm="1">
        <f t="array" ref="E88">INDEX(Battery!C:C,D88+1)+(INDEX(Battery!C:C,D88)-INDEX(Battery!C:C,D88+1))/(INDEX(Battery!B:B,D88)-INDEX(Battery!C:C,B88+1))*(B88-INDEX(Battery!C:C,B88+1))</f>
        <v>3.8451575122494499</v>
      </c>
      <c r="F88">
        <f>MIN($K$3,E88-$L$3)-$M$3</f>
        <v>3.605</v>
      </c>
      <c r="G88">
        <f>MATCH(F88,Load!C$3:C$15,1)</f>
        <v>6</v>
      </c>
      <c r="H88">
        <f xml:space="preserve"> 22.6* F88+ 5.5703+$N$3*0.001</f>
        <v>87.098300000000009</v>
      </c>
      <c r="I88">
        <f t="shared" si="5"/>
        <v>8.70982999999997</v>
      </c>
    </row>
    <row r="89" spans="1:9" x14ac:dyDescent="0.3">
      <c r="A89">
        <v>8.5</v>
      </c>
      <c r="B89">
        <f t="shared" si="2"/>
        <v>62.983222499999947</v>
      </c>
      <c r="C89">
        <f t="shared" si="6"/>
        <v>1259.6644499999989</v>
      </c>
      <c r="D89">
        <f>MATCH(B89,Battery!B:B,-1)</f>
        <v>16</v>
      </c>
      <c r="E89" cm="1">
        <f t="array" ref="E89">INDEX(Battery!C:C,D89+1)+(INDEX(Battery!C:C,D89)-INDEX(Battery!C:C,D89+1))/(INDEX(Battery!B:B,D89)-INDEX(Battery!C:C,B89+1))*(B89-INDEX(Battery!C:C,B89+1))</f>
        <v>3.8449732486568751</v>
      </c>
      <c r="F89">
        <f>MIN($K$3,E89-$L$3)-$M$3</f>
        <v>3.605</v>
      </c>
      <c r="G89">
        <f>MATCH(F89,Load!C$3:C$15,1)</f>
        <v>6</v>
      </c>
      <c r="H89">
        <f xml:space="preserve"> 22.6* F89+ 5.5703+$N$3*0.001</f>
        <v>87.098300000000009</v>
      </c>
      <c r="I89">
        <f t="shared" si="5"/>
        <v>8.70982999999997</v>
      </c>
    </row>
    <row r="90" spans="1:9" x14ac:dyDescent="0.3">
      <c r="A90">
        <v>8.6</v>
      </c>
      <c r="B90">
        <f t="shared" si="2"/>
        <v>62.547730999999942</v>
      </c>
      <c r="C90">
        <f t="shared" si="6"/>
        <v>1250.9546199999988</v>
      </c>
      <c r="D90">
        <f>MATCH(B90,Battery!B:B,-1)</f>
        <v>16</v>
      </c>
      <c r="E90" cm="1">
        <f t="array" ref="E90">INDEX(Battery!C:C,D90+1)+(INDEX(Battery!C:C,D90)-INDEX(Battery!C:C,D90+1))/(INDEX(Battery!B:B,D90)-INDEX(Battery!C:C,B90+1))*(B90-INDEX(Battery!C:C,B90+1))</f>
        <v>3.8447889850642998</v>
      </c>
      <c r="F90">
        <f>MIN($K$3,E90-$L$3)-$M$3</f>
        <v>3.605</v>
      </c>
      <c r="G90">
        <f>MATCH(F90,Load!C$3:C$15,1)</f>
        <v>6</v>
      </c>
      <c r="H90">
        <f xml:space="preserve"> 22.6* F90+ 5.5703+$N$3*0.001</f>
        <v>87.098300000000009</v>
      </c>
      <c r="I90">
        <f t="shared" si="5"/>
        <v>8.70982999999997</v>
      </c>
    </row>
    <row r="91" spans="1:9" x14ac:dyDescent="0.3">
      <c r="A91">
        <v>8.6999999999999993</v>
      </c>
      <c r="B91">
        <f t="shared" si="2"/>
        <v>62.112239499999944</v>
      </c>
      <c r="C91">
        <f t="shared" si="6"/>
        <v>1242.2447899999988</v>
      </c>
      <c r="D91">
        <f>MATCH(B91,Battery!B:B,-1)</f>
        <v>16</v>
      </c>
      <c r="E91" cm="1">
        <f t="array" ref="E91">INDEX(Battery!C:C,D91+1)+(INDEX(Battery!C:C,D91)-INDEX(Battery!C:C,D91+1))/(INDEX(Battery!B:B,D91)-INDEX(Battery!C:C,B91+1))*(B91-INDEX(Battery!C:C,B91+1))</f>
        <v>3.8446047214717249</v>
      </c>
      <c r="F91">
        <f>MIN($K$3,E91-$L$3)-$M$3</f>
        <v>3.605</v>
      </c>
      <c r="G91">
        <f>MATCH(F91,Load!C$3:C$15,1)</f>
        <v>6</v>
      </c>
      <c r="H91">
        <f xml:space="preserve"> 22.6* F91+ 5.5703+$N$3*0.001</f>
        <v>87.098300000000009</v>
      </c>
      <c r="I91">
        <f t="shared" si="5"/>
        <v>8.7098300000001245</v>
      </c>
    </row>
    <row r="92" spans="1:9" x14ac:dyDescent="0.3">
      <c r="A92">
        <v>8.8000000000000007</v>
      </c>
      <c r="B92">
        <f t="shared" si="2"/>
        <v>61.676747999999925</v>
      </c>
      <c r="C92">
        <f t="shared" si="6"/>
        <v>1233.5349599999986</v>
      </c>
      <c r="D92">
        <f>MATCH(B92,Battery!B:B,-1)</f>
        <v>16</v>
      </c>
      <c r="E92" cm="1">
        <f t="array" ref="E92">INDEX(Battery!C:C,D92+1)+(INDEX(Battery!C:C,D92)-INDEX(Battery!C:C,D92+1))/(INDEX(Battery!B:B,D92)-INDEX(Battery!C:C,B92+1))*(B92-INDEX(Battery!C:C,B92+1))</f>
        <v>3.8444204578791501</v>
      </c>
      <c r="F92">
        <f>MIN($K$3,E92-$L$3)-$M$3</f>
        <v>3.605</v>
      </c>
      <c r="G92">
        <f>MATCH(F92,Load!C$3:C$15,1)</f>
        <v>6</v>
      </c>
      <c r="H92">
        <f xml:space="preserve"> 22.6* F92+ 5.5703+$N$3*0.001</f>
        <v>87.098300000000009</v>
      </c>
      <c r="I92">
        <f t="shared" si="5"/>
        <v>8.70982999999997</v>
      </c>
    </row>
    <row r="93" spans="1:9" x14ac:dyDescent="0.3">
      <c r="A93">
        <v>8.9</v>
      </c>
      <c r="B93">
        <f t="shared" si="2"/>
        <v>61.241256499999928</v>
      </c>
      <c r="C93">
        <f t="shared" si="6"/>
        <v>1224.8251299999986</v>
      </c>
      <c r="D93">
        <f>MATCH(B93,Battery!B:B,-1)</f>
        <v>17</v>
      </c>
      <c r="E93" cm="1">
        <f t="array" ref="E93">INDEX(Battery!C:C,D93+1)+(INDEX(Battery!C:C,D93)-INDEX(Battery!C:C,D93+1))/(INDEX(Battery!B:B,D93)-INDEX(Battery!C:C,B93+1))*(B93-INDEX(Battery!C:C,B93+1))</f>
        <v>3.8182945930378396</v>
      </c>
      <c r="F93">
        <f>MIN($K$3,E93-$L$3)-$M$3</f>
        <v>3.605</v>
      </c>
      <c r="G93">
        <f>MATCH(F93,Load!C$3:C$15,1)</f>
        <v>6</v>
      </c>
      <c r="H93">
        <f xml:space="preserve"> 22.6* F93+ 5.5703+$N$3*0.001</f>
        <v>87.098300000000009</v>
      </c>
      <c r="I93">
        <f t="shared" si="5"/>
        <v>8.70982999999997</v>
      </c>
    </row>
    <row r="94" spans="1:9" x14ac:dyDescent="0.3">
      <c r="A94">
        <v>9</v>
      </c>
      <c r="B94">
        <f t="shared" si="2"/>
        <v>60.805764999999937</v>
      </c>
      <c r="C94">
        <f t="shared" si="6"/>
        <v>1216.1152999999986</v>
      </c>
      <c r="D94">
        <f>MATCH(B94,Battery!B:B,-1)</f>
        <v>17</v>
      </c>
      <c r="E94" cm="1">
        <f t="array" ref="E94">INDEX(Battery!C:C,D94+1)+(INDEX(Battery!C:C,D94)-INDEX(Battery!C:C,D94+1))/(INDEX(Battery!B:B,D94)-INDEX(Battery!C:C,B94+1))*(B94-INDEX(Battery!C:C,B94+1))</f>
        <v>3.818105703483706</v>
      </c>
      <c r="F94">
        <f>MIN($K$3,E94-$L$3)-$M$3</f>
        <v>3.605</v>
      </c>
      <c r="G94">
        <f>MATCH(F94,Load!C$3:C$15,1)</f>
        <v>6</v>
      </c>
      <c r="H94">
        <f xml:space="preserve"> 22.6* F94+ 5.5703+$N$3*0.001</f>
        <v>87.098300000000009</v>
      </c>
      <c r="I94">
        <f t="shared" si="5"/>
        <v>8.70982999999997</v>
      </c>
    </row>
    <row r="95" spans="1:9" x14ac:dyDescent="0.3">
      <c r="A95">
        <v>9.1</v>
      </c>
      <c r="B95">
        <f t="shared" si="2"/>
        <v>60.370273499999925</v>
      </c>
      <c r="C95">
        <f t="shared" si="6"/>
        <v>1207.4054699999986</v>
      </c>
      <c r="D95">
        <f>MATCH(B95,Battery!B:B,-1)</f>
        <v>17</v>
      </c>
      <c r="E95" cm="1">
        <f t="array" ref="E95">INDEX(Battery!C:C,D95+1)+(INDEX(Battery!C:C,D95)-INDEX(Battery!C:C,D95+1))/(INDEX(Battery!B:B,D95)-INDEX(Battery!C:C,B95+1))*(B95-INDEX(Battery!C:C,B95+1))</f>
        <v>3.8179168139295725</v>
      </c>
      <c r="F95">
        <f>MIN($K$3,E95-$L$3)-$M$3</f>
        <v>3.605</v>
      </c>
      <c r="G95">
        <f>MATCH(F95,Load!C$3:C$15,1)</f>
        <v>6</v>
      </c>
      <c r="H95">
        <f xml:space="preserve"> 22.6* F95+ 5.5703+$N$3*0.001</f>
        <v>87.098300000000009</v>
      </c>
      <c r="I95">
        <f t="shared" si="5"/>
        <v>8.70982999999997</v>
      </c>
    </row>
    <row r="96" spans="1:9" x14ac:dyDescent="0.3">
      <c r="A96">
        <v>9.1999999999999993</v>
      </c>
      <c r="B96">
        <f t="shared" si="2"/>
        <v>59.934781999999927</v>
      </c>
      <c r="C96">
        <f t="shared" si="6"/>
        <v>1198.6956399999985</v>
      </c>
      <c r="D96">
        <f>MATCH(B96,Battery!B:B,-1)</f>
        <v>17</v>
      </c>
      <c r="E96" cm="1">
        <f t="array" ref="E96">INDEX(Battery!C:C,D96+1)+(INDEX(Battery!C:C,D96)-INDEX(Battery!C:C,D96+1))/(INDEX(Battery!B:B,D96)-INDEX(Battery!C:C,B96+1))*(B96-INDEX(Battery!C:C,B96+1))</f>
        <v>3.8177279243754394</v>
      </c>
      <c r="F96">
        <f>MIN($K$3,E96-$L$3)-$M$3</f>
        <v>3.605</v>
      </c>
      <c r="G96">
        <f>MATCH(F96,Load!C$3:C$15,1)</f>
        <v>6</v>
      </c>
      <c r="H96">
        <f xml:space="preserve"> 22.6* F96+ 5.5703+$N$3*0.001</f>
        <v>87.098300000000009</v>
      </c>
      <c r="I96">
        <f t="shared" si="5"/>
        <v>8.7098300000001245</v>
      </c>
    </row>
    <row r="97" spans="1:9" x14ac:dyDescent="0.3">
      <c r="A97">
        <v>9.3000000000000007</v>
      </c>
      <c r="B97">
        <f t="shared" si="2"/>
        <v>59.499290499999915</v>
      </c>
      <c r="C97">
        <f t="shared" si="6"/>
        <v>1189.9858099999983</v>
      </c>
      <c r="D97">
        <f>MATCH(B97,Battery!B:B,-1)</f>
        <v>17</v>
      </c>
      <c r="E97" cm="1">
        <f t="array" ref="E97">INDEX(Battery!C:C,D97+1)+(INDEX(Battery!C:C,D97)-INDEX(Battery!C:C,D97+1))/(INDEX(Battery!B:B,D97)-INDEX(Battery!C:C,B97+1))*(B97-INDEX(Battery!C:C,B97+1))</f>
        <v>3.8175390348213059</v>
      </c>
      <c r="F97">
        <f>MIN($K$3,E97-$L$3)-$M$3</f>
        <v>3.605</v>
      </c>
      <c r="G97">
        <f>MATCH(F97,Load!C$3:C$15,1)</f>
        <v>6</v>
      </c>
      <c r="H97">
        <f xml:space="preserve"> 22.6* F97+ 5.5703+$N$3*0.001</f>
        <v>87.098300000000009</v>
      </c>
      <c r="I97">
        <f t="shared" si="5"/>
        <v>8.70982999999997</v>
      </c>
    </row>
    <row r="98" spans="1:9" x14ac:dyDescent="0.3">
      <c r="A98">
        <v>9.4</v>
      </c>
      <c r="B98">
        <f t="shared" si="2"/>
        <v>59.063798999999918</v>
      </c>
      <c r="C98">
        <f t="shared" si="6"/>
        <v>1181.2759799999983</v>
      </c>
      <c r="D98">
        <f>MATCH(B98,Battery!B:B,-1)</f>
        <v>17</v>
      </c>
      <c r="E98" cm="1">
        <f t="array" ref="E98">INDEX(Battery!C:C,D98+1)+(INDEX(Battery!C:C,D98)-INDEX(Battery!C:C,D98+1))/(INDEX(Battery!B:B,D98)-INDEX(Battery!C:C,B98+1))*(B98-INDEX(Battery!C:C,B98+1))</f>
        <v>3.8173501452671723</v>
      </c>
      <c r="F98">
        <f>MIN($K$3,E98-$L$3)-$M$3</f>
        <v>3.605</v>
      </c>
      <c r="G98">
        <f>MATCH(F98,Load!C$3:C$15,1)</f>
        <v>6</v>
      </c>
      <c r="H98">
        <f xml:space="preserve"> 22.6* F98+ 5.5703+$N$3*0.001</f>
        <v>87.098300000000009</v>
      </c>
      <c r="I98">
        <f t="shared" si="5"/>
        <v>8.70982999999997</v>
      </c>
    </row>
    <row r="99" spans="1:9" x14ac:dyDescent="0.3">
      <c r="A99">
        <v>9.5</v>
      </c>
      <c r="B99">
        <f t="shared" si="2"/>
        <v>58.628307499999913</v>
      </c>
      <c r="C99">
        <f t="shared" si="6"/>
        <v>1172.5661499999983</v>
      </c>
      <c r="D99">
        <f>MATCH(B99,Battery!B:B,-1)</f>
        <v>17</v>
      </c>
      <c r="E99" cm="1">
        <f t="array" ref="E99">INDEX(Battery!C:C,D99+1)+(INDEX(Battery!C:C,D99)-INDEX(Battery!C:C,D99+1))/(INDEX(Battery!B:B,D99)-INDEX(Battery!C:C,B99+1))*(B99-INDEX(Battery!C:C,B99+1))</f>
        <v>3.8171612557130388</v>
      </c>
      <c r="F99">
        <f>MIN($K$3,E99-$L$3)-$M$3</f>
        <v>3.605</v>
      </c>
      <c r="G99">
        <f>MATCH(F99,Load!C$3:C$15,1)</f>
        <v>6</v>
      </c>
      <c r="H99">
        <f xml:space="preserve"> 22.6* F99+ 5.5703+$N$3*0.001</f>
        <v>87.098300000000009</v>
      </c>
      <c r="I99">
        <f t="shared" si="5"/>
        <v>8.70982999999997</v>
      </c>
    </row>
    <row r="100" spans="1:9" x14ac:dyDescent="0.3">
      <c r="A100">
        <v>9.6</v>
      </c>
      <c r="B100">
        <f t="shared" si="2"/>
        <v>58.192815999999915</v>
      </c>
      <c r="C100">
        <f t="shared" si="6"/>
        <v>1163.8563199999983</v>
      </c>
      <c r="D100">
        <f>MATCH(B100,Battery!B:B,-1)</f>
        <v>17</v>
      </c>
      <c r="E100" cm="1">
        <f t="array" ref="E100">INDEX(Battery!C:C,D100+1)+(INDEX(Battery!C:C,D100)-INDEX(Battery!C:C,D100+1))/(INDEX(Battery!B:B,D100)-INDEX(Battery!C:C,B100+1))*(B100-INDEX(Battery!C:C,B100+1))</f>
        <v>3.8169723661589052</v>
      </c>
      <c r="F100">
        <f>MIN($K$3,E100-$L$3)-$M$3</f>
        <v>3.605</v>
      </c>
      <c r="G100">
        <f>MATCH(F100,Load!C$3:C$15,1)</f>
        <v>6</v>
      </c>
      <c r="H100">
        <f xml:space="preserve"> 22.6* F100+ 5.5703+$N$3*0.001</f>
        <v>87.098300000000009</v>
      </c>
      <c r="I100">
        <f t="shared" ref="I100:I124" si="7">H100*(A101-A100)</f>
        <v>8.70982999999997</v>
      </c>
    </row>
    <row r="101" spans="1:9" x14ac:dyDescent="0.3">
      <c r="A101">
        <v>9.6999999999999993</v>
      </c>
      <c r="B101">
        <f t="shared" si="2"/>
        <v>57.757324499999918</v>
      </c>
      <c r="C101">
        <f t="shared" ref="C101:C124" si="8">C100-I100</f>
        <v>1155.1464899999983</v>
      </c>
      <c r="D101">
        <f>MATCH(B101,Battery!B:B,-1)</f>
        <v>17</v>
      </c>
      <c r="E101" cm="1">
        <f t="array" ref="E101">INDEX(Battery!C:C,D101+1)+(INDEX(Battery!C:C,D101)-INDEX(Battery!C:C,D101+1))/(INDEX(Battery!B:B,D101)-INDEX(Battery!C:C,B101+1))*(B101-INDEX(Battery!C:C,B101+1))</f>
        <v>3.8167834766047721</v>
      </c>
      <c r="F101">
        <f>MIN($K$3,E101-$L$3)-$M$3</f>
        <v>3.605</v>
      </c>
      <c r="G101">
        <f>MATCH(F101,Load!C$3:C$15,1)</f>
        <v>6</v>
      </c>
      <c r="H101">
        <f xml:space="preserve"> 22.6* F101+ 5.5703+$N$3*0.001</f>
        <v>87.098300000000009</v>
      </c>
      <c r="I101">
        <f t="shared" si="7"/>
        <v>8.7098300000001245</v>
      </c>
    </row>
    <row r="102" spans="1:9" x14ac:dyDescent="0.3">
      <c r="A102">
        <v>9.8000000000000007</v>
      </c>
      <c r="B102">
        <f t="shared" si="2"/>
        <v>57.321832999999899</v>
      </c>
      <c r="C102">
        <f t="shared" si="8"/>
        <v>1146.436659999998</v>
      </c>
      <c r="D102">
        <f>MATCH(B102,Battery!B:B,-1)</f>
        <v>17</v>
      </c>
      <c r="E102" cm="1">
        <f t="array" ref="E102">INDEX(Battery!C:C,D102+1)+(INDEX(Battery!C:C,D102)-INDEX(Battery!C:C,D102+1))/(INDEX(Battery!B:B,D102)-INDEX(Battery!C:C,B102+1))*(B102-INDEX(Battery!C:C,B102+1))</f>
        <v>3.8165945870506386</v>
      </c>
      <c r="F102">
        <f>MIN($K$3,E102-$L$3)-$M$3</f>
        <v>3.605</v>
      </c>
      <c r="G102">
        <f>MATCH(F102,Load!C$3:C$15,1)</f>
        <v>6</v>
      </c>
      <c r="H102">
        <f xml:space="preserve"> 22.6* F102+ 5.5703+$N$3*0.001</f>
        <v>87.098300000000009</v>
      </c>
      <c r="I102">
        <f t="shared" si="7"/>
        <v>8.70982999999997</v>
      </c>
    </row>
    <row r="103" spans="1:9" x14ac:dyDescent="0.3">
      <c r="A103">
        <v>9.9</v>
      </c>
      <c r="B103">
        <f t="shared" si="2"/>
        <v>56.886341499999901</v>
      </c>
      <c r="C103">
        <f t="shared" si="8"/>
        <v>1137.726829999998</v>
      </c>
      <c r="D103">
        <f>MATCH(B103,Battery!B:B,-1)</f>
        <v>17</v>
      </c>
      <c r="E103" cm="1">
        <f t="array" ref="E103">INDEX(Battery!C:C,D103+1)+(INDEX(Battery!C:C,D103)-INDEX(Battery!C:C,D103+1))/(INDEX(Battery!B:B,D103)-INDEX(Battery!C:C,B103+1))*(B103-INDEX(Battery!C:C,B103+1))</f>
        <v>3.816405697496505</v>
      </c>
      <c r="F103">
        <f>MIN($K$3,E103-$L$3)-$M$3</f>
        <v>3.605</v>
      </c>
      <c r="G103">
        <f>MATCH(F103,Load!C$3:C$15,1)</f>
        <v>6</v>
      </c>
      <c r="H103">
        <f xml:space="preserve"> 22.6* F103+ 5.5703+$N$3*0.001</f>
        <v>87.098300000000009</v>
      </c>
      <c r="I103">
        <f t="shared" si="7"/>
        <v>8.70982999999997</v>
      </c>
    </row>
    <row r="104" spans="1:9" x14ac:dyDescent="0.3">
      <c r="A104">
        <v>10</v>
      </c>
      <c r="B104">
        <f t="shared" si="2"/>
        <v>56.450849999999896</v>
      </c>
      <c r="C104">
        <f t="shared" si="8"/>
        <v>1129.016999999998</v>
      </c>
      <c r="D104">
        <f>MATCH(B104,Battery!B:B,-1)</f>
        <v>17</v>
      </c>
      <c r="E104" cm="1">
        <f t="array" ref="E104">INDEX(Battery!C:C,D104+1)+(INDEX(Battery!C:C,D104)-INDEX(Battery!C:C,D104+1))/(INDEX(Battery!B:B,D104)-INDEX(Battery!C:C,B104+1))*(B104-INDEX(Battery!C:C,B104+1))</f>
        <v>3.8162168079423715</v>
      </c>
      <c r="F104">
        <f>MIN($K$3,E104-$L$3)-$M$3</f>
        <v>3.605</v>
      </c>
      <c r="G104">
        <f>MATCH(F104,Load!C$3:C$15,1)</f>
        <v>6</v>
      </c>
      <c r="H104">
        <f xml:space="preserve"> 22.6* F104+ 5.5703+$N$3*0.001</f>
        <v>87.098300000000009</v>
      </c>
      <c r="I104">
        <f t="shared" si="7"/>
        <v>8.70982999999997</v>
      </c>
    </row>
    <row r="105" spans="1:9" x14ac:dyDescent="0.3">
      <c r="A105">
        <v>10.1</v>
      </c>
      <c r="B105">
        <f t="shared" si="2"/>
        <v>56.015358499999898</v>
      </c>
      <c r="C105">
        <f t="shared" si="8"/>
        <v>1120.307169999998</v>
      </c>
      <c r="D105">
        <f>MATCH(B105,Battery!B:B,-1)</f>
        <v>17</v>
      </c>
      <c r="E105" cm="1">
        <f t="array" ref="E105">INDEX(Battery!C:C,D105+1)+(INDEX(Battery!C:C,D105)-INDEX(Battery!C:C,D105+1))/(INDEX(Battery!B:B,D105)-INDEX(Battery!C:C,B105+1))*(B105-INDEX(Battery!C:C,B105+1))</f>
        <v>3.816027918388238</v>
      </c>
      <c r="F105">
        <f>MIN($K$3,E105-$L$3)-$M$3</f>
        <v>3.605</v>
      </c>
      <c r="G105">
        <f>MATCH(F105,Load!C$3:C$15,1)</f>
        <v>6</v>
      </c>
      <c r="H105">
        <f xml:space="preserve"> 22.6* F105+ 5.5703+$N$3*0.001</f>
        <v>87.098300000000009</v>
      </c>
      <c r="I105">
        <f t="shared" si="7"/>
        <v>8.70982999999997</v>
      </c>
    </row>
    <row r="106" spans="1:9" x14ac:dyDescent="0.3">
      <c r="A106">
        <v>10.199999999999999</v>
      </c>
      <c r="B106">
        <f t="shared" si="2"/>
        <v>55.579866999999894</v>
      </c>
      <c r="C106">
        <f t="shared" si="8"/>
        <v>1111.597339999998</v>
      </c>
      <c r="D106">
        <f>MATCH(B106,Battery!B:B,-1)</f>
        <v>18</v>
      </c>
      <c r="E106" cm="1">
        <f t="array" ref="E106">INDEX(Battery!C:C,D106+1)+(INDEX(Battery!C:C,D106)-INDEX(Battery!C:C,D106+1))/(INDEX(Battery!B:B,D106)-INDEX(Battery!C:C,B106+1))*(B106-INDEX(Battery!C:C,B106+1))</f>
        <v>3.7917112366332097</v>
      </c>
      <c r="F106">
        <f>MIN($K$3,E106-$L$3)-$M$3</f>
        <v>3.605</v>
      </c>
      <c r="G106">
        <f>MATCH(F106,Load!C$3:C$15,1)</f>
        <v>6</v>
      </c>
      <c r="H106">
        <f xml:space="preserve"> 22.6* F106+ 5.5703+$N$3*0.001</f>
        <v>87.098300000000009</v>
      </c>
      <c r="I106">
        <f t="shared" si="7"/>
        <v>8.7098300000001245</v>
      </c>
    </row>
    <row r="107" spans="1:9" x14ac:dyDescent="0.3">
      <c r="A107">
        <v>10.3</v>
      </c>
      <c r="B107">
        <f t="shared" si="2"/>
        <v>55.144375499999889</v>
      </c>
      <c r="C107">
        <f t="shared" si="8"/>
        <v>1102.8875099999977</v>
      </c>
      <c r="D107">
        <f>MATCH(B107,Battery!B:B,-1)</f>
        <v>18</v>
      </c>
      <c r="E107" cm="1">
        <f t="array" ref="E107">INDEX(Battery!C:C,D107+1)+(INDEX(Battery!C:C,D107)-INDEX(Battery!C:C,D107+1))/(INDEX(Battery!B:B,D107)-INDEX(Battery!C:C,B107+1))*(B107-INDEX(Battery!C:C,B107+1))</f>
        <v>3.7915520632927042</v>
      </c>
      <c r="F107">
        <f>MIN($K$3,E107-$L$3)-$M$3</f>
        <v>3.605</v>
      </c>
      <c r="G107">
        <f>MATCH(F107,Load!C$3:C$15,1)</f>
        <v>6</v>
      </c>
      <c r="H107">
        <f xml:space="preserve"> 22.6* F107+ 5.5703+$N$3*0.001</f>
        <v>87.098300000000009</v>
      </c>
      <c r="I107">
        <f t="shared" si="7"/>
        <v>8.70982999999997</v>
      </c>
    </row>
    <row r="108" spans="1:9" x14ac:dyDescent="0.3">
      <c r="A108">
        <v>10.4</v>
      </c>
      <c r="B108">
        <f t="shared" si="2"/>
        <v>54.708883999999891</v>
      </c>
      <c r="C108">
        <f t="shared" si="8"/>
        <v>1094.1776799999977</v>
      </c>
      <c r="D108">
        <f>MATCH(B108,Battery!B:B,-1)</f>
        <v>18</v>
      </c>
      <c r="E108" cm="1">
        <f t="array" ref="E108">INDEX(Battery!C:C,D108+1)+(INDEX(Battery!C:C,D108)-INDEX(Battery!C:C,D108+1))/(INDEX(Battery!B:B,D108)-INDEX(Battery!C:C,B108+1))*(B108-INDEX(Battery!C:C,B108+1))</f>
        <v>3.7913928899521987</v>
      </c>
      <c r="F108">
        <f>MIN($K$3,E108-$L$3)-$M$3</f>
        <v>3.605</v>
      </c>
      <c r="G108">
        <f>MATCH(F108,Load!C$3:C$15,1)</f>
        <v>6</v>
      </c>
      <c r="H108">
        <f xml:space="preserve"> 22.6* F108+ 5.5703+$N$3*0.001</f>
        <v>87.098300000000009</v>
      </c>
      <c r="I108">
        <f t="shared" si="7"/>
        <v>8.70982999999997</v>
      </c>
    </row>
    <row r="109" spans="1:9" x14ac:dyDescent="0.3">
      <c r="A109">
        <v>10.5</v>
      </c>
      <c r="B109">
        <f t="shared" si="2"/>
        <v>54.273392499999886</v>
      </c>
      <c r="C109">
        <f t="shared" si="8"/>
        <v>1085.4678499999977</v>
      </c>
      <c r="D109">
        <f>MATCH(B109,Battery!B:B,-1)</f>
        <v>18</v>
      </c>
      <c r="E109" cm="1">
        <f t="array" ref="E109">INDEX(Battery!C:C,D109+1)+(INDEX(Battery!C:C,D109)-INDEX(Battery!C:C,D109+1))/(INDEX(Battery!B:B,D109)-INDEX(Battery!C:C,B109+1))*(B109-INDEX(Battery!C:C,B109+1))</f>
        <v>3.7912337166116932</v>
      </c>
      <c r="F109">
        <f>MIN($K$3,E109-$L$3)-$M$3</f>
        <v>3.605</v>
      </c>
      <c r="G109">
        <f>MATCH(F109,Load!C$3:C$15,1)</f>
        <v>6</v>
      </c>
      <c r="H109">
        <f xml:space="preserve"> 22.6* F109+ 5.5703+$N$3*0.001</f>
        <v>87.098300000000009</v>
      </c>
      <c r="I109">
        <f t="shared" si="7"/>
        <v>8.70982999999997</v>
      </c>
    </row>
    <row r="110" spans="1:9" x14ac:dyDescent="0.3">
      <c r="A110">
        <v>10.6</v>
      </c>
      <c r="B110">
        <f t="shared" si="2"/>
        <v>53.837900999999889</v>
      </c>
      <c r="C110">
        <f t="shared" si="8"/>
        <v>1076.7580199999977</v>
      </c>
      <c r="D110">
        <f>MATCH(B110,Battery!B:B,-1)</f>
        <v>18</v>
      </c>
      <c r="E110" cm="1">
        <f t="array" ref="E110">INDEX(Battery!C:C,D110+1)+(INDEX(Battery!C:C,D110)-INDEX(Battery!C:C,D110+1))/(INDEX(Battery!B:B,D110)-INDEX(Battery!C:C,B110+1))*(B110-INDEX(Battery!C:C,B110+1))</f>
        <v>3.7910745432711881</v>
      </c>
      <c r="F110">
        <f>MIN($K$3,E110-$L$3)-$M$3</f>
        <v>3.605</v>
      </c>
      <c r="G110">
        <f>MATCH(F110,Load!C$3:C$15,1)</f>
        <v>6</v>
      </c>
      <c r="H110">
        <f xml:space="preserve"> 22.6* F110+ 5.5703+$N$3*0.001</f>
        <v>87.098300000000009</v>
      </c>
      <c r="I110">
        <f t="shared" si="7"/>
        <v>8.70982999999997</v>
      </c>
    </row>
    <row r="111" spans="1:9" x14ac:dyDescent="0.3">
      <c r="A111">
        <v>10.7</v>
      </c>
      <c r="B111">
        <f t="shared" si="2"/>
        <v>53.402409499999884</v>
      </c>
      <c r="C111">
        <f t="shared" si="8"/>
        <v>1068.0481899999977</v>
      </c>
      <c r="D111">
        <f>MATCH(B111,Battery!B:B,-1)</f>
        <v>18</v>
      </c>
      <c r="E111" cm="1">
        <f t="array" ref="E111">INDEX(Battery!C:C,D111+1)+(INDEX(Battery!C:C,D111)-INDEX(Battery!C:C,D111+1))/(INDEX(Battery!B:B,D111)-INDEX(Battery!C:C,B111+1))*(B111-INDEX(Battery!C:C,B111+1))</f>
        <v>3.7909153699306826</v>
      </c>
      <c r="F111">
        <f>MIN($K$3,E111-$L$3)-$M$3</f>
        <v>3.605</v>
      </c>
      <c r="G111">
        <f>MATCH(F111,Load!C$3:C$15,1)</f>
        <v>6</v>
      </c>
      <c r="H111">
        <f xml:space="preserve"> 22.6* F111+ 5.5703+$N$3*0.001</f>
        <v>87.098300000000009</v>
      </c>
      <c r="I111">
        <f t="shared" si="7"/>
        <v>8.7098300000001245</v>
      </c>
    </row>
    <row r="112" spans="1:9" x14ac:dyDescent="0.3">
      <c r="A112">
        <v>10.8</v>
      </c>
      <c r="B112">
        <f t="shared" si="2"/>
        <v>52.966917999999872</v>
      </c>
      <c r="C112">
        <f t="shared" si="8"/>
        <v>1059.3383599999975</v>
      </c>
      <c r="D112">
        <f>MATCH(B112,Battery!B:B,-1)</f>
        <v>18</v>
      </c>
      <c r="E112" cm="1">
        <f t="array" ref="E112">INDEX(Battery!C:C,D112+1)+(INDEX(Battery!C:C,D112)-INDEX(Battery!C:C,D112+1))/(INDEX(Battery!B:B,D112)-INDEX(Battery!C:C,B112+1))*(B112-INDEX(Battery!C:C,B112+1))</f>
        <v>3.790756196590177</v>
      </c>
      <c r="F112">
        <f>MIN($K$3,E112-$L$3)-$M$3</f>
        <v>3.605</v>
      </c>
      <c r="G112">
        <f>MATCH(F112,Load!C$3:C$15,1)</f>
        <v>6</v>
      </c>
      <c r="H112">
        <f xml:space="preserve"> 22.6* F112+ 5.5703+$N$3*0.001</f>
        <v>87.098300000000009</v>
      </c>
      <c r="I112">
        <f t="shared" si="7"/>
        <v>8.70982999999997</v>
      </c>
    </row>
    <row r="113" spans="1:9" x14ac:dyDescent="0.3">
      <c r="A113">
        <v>10.9</v>
      </c>
      <c r="B113">
        <f t="shared" si="2"/>
        <v>52.531426499999881</v>
      </c>
      <c r="C113">
        <f t="shared" si="8"/>
        <v>1050.6285299999975</v>
      </c>
      <c r="D113">
        <f>MATCH(B113,Battery!B:B,-1)</f>
        <v>18</v>
      </c>
      <c r="E113" cm="1">
        <f t="array" ref="E113">INDEX(Battery!C:C,D113+1)+(INDEX(Battery!C:C,D113)-INDEX(Battery!C:C,D113+1))/(INDEX(Battery!B:B,D113)-INDEX(Battery!C:C,B113+1))*(B113-INDEX(Battery!C:C,B113+1))</f>
        <v>3.7905970232496715</v>
      </c>
      <c r="F113">
        <f>MIN($K$3,E113-$L$3)-$M$3</f>
        <v>3.605</v>
      </c>
      <c r="G113">
        <f>MATCH(F113,Load!C$3:C$15,1)</f>
        <v>6</v>
      </c>
      <c r="H113">
        <f xml:space="preserve"> 22.6* F113+ 5.5703+$N$3*0.001</f>
        <v>87.098300000000009</v>
      </c>
      <c r="I113">
        <f t="shared" si="7"/>
        <v>8.70982999999997</v>
      </c>
    </row>
    <row r="114" spans="1:9" x14ac:dyDescent="0.3">
      <c r="A114">
        <v>11</v>
      </c>
      <c r="B114">
        <f t="shared" si="2"/>
        <v>52.095934999999869</v>
      </c>
      <c r="C114">
        <f t="shared" si="8"/>
        <v>1041.9186999999974</v>
      </c>
      <c r="D114">
        <f>MATCH(B114,Battery!B:B,-1)</f>
        <v>18</v>
      </c>
      <c r="E114" cm="1">
        <f t="array" ref="E114">INDEX(Battery!C:C,D114+1)+(INDEX(Battery!C:C,D114)-INDEX(Battery!C:C,D114+1))/(INDEX(Battery!B:B,D114)-INDEX(Battery!C:C,B114+1))*(B114-INDEX(Battery!C:C,B114+1))</f>
        <v>3.7904378499091664</v>
      </c>
      <c r="F114">
        <f>MIN($K$3,E114-$L$3)-$M$3</f>
        <v>3.605</v>
      </c>
      <c r="G114">
        <f>MATCH(F114,Load!C$3:C$15,1)</f>
        <v>6</v>
      </c>
      <c r="H114">
        <f xml:space="preserve"> 22.6* F114+ 5.5703+$N$3*0.001</f>
        <v>87.098300000000009</v>
      </c>
      <c r="I114">
        <f t="shared" si="7"/>
        <v>8.70982999999997</v>
      </c>
    </row>
    <row r="115" spans="1:9" x14ac:dyDescent="0.3">
      <c r="A115">
        <v>11.1</v>
      </c>
      <c r="B115">
        <f t="shared" si="2"/>
        <v>51.660443499999872</v>
      </c>
      <c r="C115">
        <f t="shared" si="8"/>
        <v>1033.2088699999974</v>
      </c>
      <c r="D115">
        <f>MATCH(B115,Battery!B:B,-1)</f>
        <v>18</v>
      </c>
      <c r="E115" cm="1">
        <f t="array" ref="E115">INDEX(Battery!C:C,D115+1)+(INDEX(Battery!C:C,D115)-INDEX(Battery!C:C,D115+1))/(INDEX(Battery!B:B,D115)-INDEX(Battery!C:C,B115+1))*(B115-INDEX(Battery!C:C,B115+1))</f>
        <v>3.7902786765686609</v>
      </c>
      <c r="F115">
        <f>MIN($K$3,E115-$L$3)-$M$3</f>
        <v>3.605</v>
      </c>
      <c r="G115">
        <f>MATCH(F115,Load!C$3:C$15,1)</f>
        <v>6</v>
      </c>
      <c r="H115">
        <f xml:space="preserve"> 22.6* F115+ 5.5703+$N$3*0.001</f>
        <v>87.098300000000009</v>
      </c>
      <c r="I115">
        <f t="shared" si="7"/>
        <v>8.70982999999997</v>
      </c>
    </row>
    <row r="116" spans="1:9" x14ac:dyDescent="0.3">
      <c r="A116">
        <v>11.2</v>
      </c>
      <c r="B116">
        <f t="shared" si="2"/>
        <v>51.224951999999867</v>
      </c>
      <c r="C116">
        <f t="shared" si="8"/>
        <v>1024.4990399999974</v>
      </c>
      <c r="D116">
        <f>MATCH(B116,Battery!B:B,-1)</f>
        <v>18</v>
      </c>
      <c r="E116" cm="1">
        <f t="array" ref="E116">INDEX(Battery!C:C,D116+1)+(INDEX(Battery!C:C,D116)-INDEX(Battery!C:C,D116+1))/(INDEX(Battery!B:B,D116)-INDEX(Battery!C:C,B116+1))*(B116-INDEX(Battery!C:C,B116+1))</f>
        <v>3.7901195032281554</v>
      </c>
      <c r="F116">
        <f>MIN($K$3,E116-$L$3)-$M$3</f>
        <v>3.605</v>
      </c>
      <c r="G116">
        <f>MATCH(F116,Load!C$3:C$15,1)</f>
        <v>6</v>
      </c>
      <c r="H116">
        <f xml:space="preserve"> 22.6* F116+ 5.5703+$N$3*0.001</f>
        <v>87.098300000000009</v>
      </c>
      <c r="I116">
        <f t="shared" si="7"/>
        <v>8.7098300000001245</v>
      </c>
    </row>
    <row r="117" spans="1:9" x14ac:dyDescent="0.3">
      <c r="A117">
        <v>11.3</v>
      </c>
      <c r="B117">
        <f t="shared" si="2"/>
        <v>50.789460499999862</v>
      </c>
      <c r="C117">
        <f t="shared" si="8"/>
        <v>1015.7892099999973</v>
      </c>
      <c r="D117">
        <f>MATCH(B117,Battery!B:B,-1)</f>
        <v>18</v>
      </c>
      <c r="E117" cm="1">
        <f t="array" ref="E117">INDEX(Battery!C:C,D117+1)+(INDEX(Battery!C:C,D117)-INDEX(Battery!C:C,D117+1))/(INDEX(Battery!B:B,D117)-INDEX(Battery!C:C,B117+1))*(B117-INDEX(Battery!C:C,B117+1))</f>
        <v>3.7899603298876499</v>
      </c>
      <c r="F117">
        <f>MIN($K$3,E117-$L$3)-$M$3</f>
        <v>3.605</v>
      </c>
      <c r="G117">
        <f>MATCH(F117,Load!C$3:C$15,1)</f>
        <v>6</v>
      </c>
      <c r="H117">
        <f xml:space="preserve"> 22.6* F117+ 5.5703+$N$3*0.001</f>
        <v>87.098300000000009</v>
      </c>
      <c r="I117">
        <f t="shared" si="7"/>
        <v>8.70982999999997</v>
      </c>
    </row>
    <row r="118" spans="1:9" x14ac:dyDescent="0.3">
      <c r="A118">
        <v>11.4</v>
      </c>
      <c r="B118">
        <f t="shared" si="2"/>
        <v>50.353968999999864</v>
      </c>
      <c r="C118">
        <f t="shared" si="8"/>
        <v>1007.0793799999973</v>
      </c>
      <c r="D118">
        <f>MATCH(B118,Battery!B:B,-1)</f>
        <v>18</v>
      </c>
      <c r="E118" cm="1">
        <f t="array" ref="E118">INDEX(Battery!C:C,D118+1)+(INDEX(Battery!C:C,D118)-INDEX(Battery!C:C,D118+1))/(INDEX(Battery!B:B,D118)-INDEX(Battery!C:C,B118+1))*(B118-INDEX(Battery!C:C,B118+1))</f>
        <v>3.7898011565471448</v>
      </c>
      <c r="F118">
        <f>MIN($K$3,E118-$L$3)-$M$3</f>
        <v>3.605</v>
      </c>
      <c r="G118">
        <f>MATCH(F118,Load!C$3:C$15,1)</f>
        <v>6</v>
      </c>
      <c r="H118">
        <f xml:space="preserve"> 22.6* F118+ 5.5703+$N$3*0.001</f>
        <v>87.098300000000009</v>
      </c>
      <c r="I118">
        <f t="shared" si="7"/>
        <v>8.70982999999997</v>
      </c>
    </row>
    <row r="119" spans="1:9" x14ac:dyDescent="0.3">
      <c r="A119">
        <v>11.5</v>
      </c>
      <c r="B119">
        <f t="shared" si="2"/>
        <v>49.918477499999867</v>
      </c>
      <c r="C119">
        <f t="shared" si="8"/>
        <v>998.36954999999728</v>
      </c>
      <c r="D119">
        <f>MATCH(B119,Battery!B:B,-1)</f>
        <v>19</v>
      </c>
      <c r="E119" cm="1">
        <f t="array" ref="E119">INDEX(Battery!C:C,D119+1)+(INDEX(Battery!C:C,D119)-INDEX(Battery!C:C,D119+1))/(INDEX(Battery!B:B,D119)-INDEX(Battery!C:C,B119+1))*(B119-INDEX(Battery!C:C,B119+1))</f>
        <v>3.7712606545659488</v>
      </c>
      <c r="F119">
        <f>MIN($K$3,E119-$L$3)-$M$3</f>
        <v>3.605</v>
      </c>
      <c r="G119">
        <f>MATCH(F119,Load!C$3:C$15,1)</f>
        <v>6</v>
      </c>
      <c r="H119">
        <f xml:space="preserve"> 22.6* F119+ 5.5703+$N$3*0.001</f>
        <v>87.098300000000009</v>
      </c>
      <c r="I119">
        <f t="shared" si="7"/>
        <v>8.70982999999997</v>
      </c>
    </row>
    <row r="120" spans="1:9" x14ac:dyDescent="0.3">
      <c r="A120">
        <v>11.6</v>
      </c>
      <c r="B120">
        <f t="shared" si="2"/>
        <v>49.482985999999862</v>
      </c>
      <c r="C120">
        <f t="shared" si="8"/>
        <v>989.65971999999726</v>
      </c>
      <c r="D120">
        <f>MATCH(B120,Battery!B:B,-1)</f>
        <v>19</v>
      </c>
      <c r="E120" cm="1">
        <f t="array" ref="E120">INDEX(Battery!C:C,D120+1)+(INDEX(Battery!C:C,D120)-INDEX(Battery!C:C,D120+1))/(INDEX(Battery!B:B,D120)-INDEX(Battery!C:C,B120+1))*(B120-INDEX(Battery!C:C,B120+1))</f>
        <v>3.7710844356966007</v>
      </c>
      <c r="F120">
        <f>MIN($K$3,E120-$L$3)-$M$3</f>
        <v>3.605</v>
      </c>
      <c r="G120">
        <f>MATCH(F120,Load!C$3:C$15,1)</f>
        <v>6</v>
      </c>
      <c r="H120">
        <f xml:space="preserve"> 22.6* F120+ 5.5703+$N$3*0.001</f>
        <v>87.098300000000009</v>
      </c>
      <c r="I120">
        <f t="shared" si="7"/>
        <v>8.70982999999997</v>
      </c>
    </row>
    <row r="121" spans="1:9" x14ac:dyDescent="0.3">
      <c r="A121">
        <v>11.7</v>
      </c>
      <c r="B121">
        <f t="shared" si="2"/>
        <v>49.047494499999864</v>
      </c>
      <c r="C121">
        <f t="shared" si="8"/>
        <v>980.94988999999725</v>
      </c>
      <c r="D121">
        <f>MATCH(B121,Battery!B:B,-1)</f>
        <v>19</v>
      </c>
      <c r="E121" cm="1">
        <f t="array" ref="E121">INDEX(Battery!C:C,D121+1)+(INDEX(Battery!C:C,D121)-INDEX(Battery!C:C,D121+1))/(INDEX(Battery!B:B,D121)-INDEX(Battery!C:C,B121+1))*(B121-INDEX(Battery!C:C,B121+1))</f>
        <v>3.7709082168272521</v>
      </c>
      <c r="F121">
        <f>MIN($K$3,E121-$L$3)-$M$3</f>
        <v>3.605</v>
      </c>
      <c r="G121">
        <f>MATCH(F121,Load!C$3:C$15,1)</f>
        <v>6</v>
      </c>
      <c r="H121">
        <f xml:space="preserve"> 22.6* F121+ 5.5703+$N$3*0.001</f>
        <v>87.098300000000009</v>
      </c>
      <c r="I121">
        <f t="shared" si="7"/>
        <v>8.7098300000001245</v>
      </c>
    </row>
    <row r="122" spans="1:9" x14ac:dyDescent="0.3">
      <c r="A122">
        <v>11.8</v>
      </c>
      <c r="B122">
        <f t="shared" si="2"/>
        <v>48.612002999999852</v>
      </c>
      <c r="C122">
        <f t="shared" si="8"/>
        <v>972.24005999999713</v>
      </c>
      <c r="D122">
        <f>MATCH(B122,Battery!B:B,-1)</f>
        <v>19</v>
      </c>
      <c r="E122" cm="1">
        <f t="array" ref="E122">INDEX(Battery!C:C,D122+1)+(INDEX(Battery!C:C,D122)-INDEX(Battery!C:C,D122+1))/(INDEX(Battery!B:B,D122)-INDEX(Battery!C:C,B122+1))*(B122-INDEX(Battery!C:C,B122+1))</f>
        <v>3.7707319979579035</v>
      </c>
      <c r="F122">
        <f>MIN($K$3,E122-$L$3)-$M$3</f>
        <v>3.605</v>
      </c>
      <c r="G122">
        <f>MATCH(F122,Load!C$3:C$15,1)</f>
        <v>6</v>
      </c>
      <c r="H122">
        <f xml:space="preserve"> 22.6* F122+ 5.5703+$N$3*0.001</f>
        <v>87.098300000000009</v>
      </c>
      <c r="I122">
        <f t="shared" si="7"/>
        <v>8.70982999999997</v>
      </c>
    </row>
    <row r="123" spans="1:9" x14ac:dyDescent="0.3">
      <c r="A123">
        <v>11.9</v>
      </c>
      <c r="B123">
        <f t="shared" si="2"/>
        <v>48.176511499999854</v>
      </c>
      <c r="C123">
        <f t="shared" si="8"/>
        <v>963.53022999999712</v>
      </c>
      <c r="D123">
        <f>MATCH(B123,Battery!B:B,-1)</f>
        <v>19</v>
      </c>
      <c r="E123" cm="1">
        <f t="array" ref="E123">INDEX(Battery!C:C,D123+1)+(INDEX(Battery!C:C,D123)-INDEX(Battery!C:C,D123+1))/(INDEX(Battery!B:B,D123)-INDEX(Battery!C:C,B123+1))*(B123-INDEX(Battery!C:C,B123+1))</f>
        <v>3.7705557790885553</v>
      </c>
      <c r="F123">
        <f>MIN($K$3,E123-$L$3)-$M$3</f>
        <v>3.605</v>
      </c>
      <c r="G123">
        <f>MATCH(F123,Load!C$3:C$15,1)</f>
        <v>6</v>
      </c>
      <c r="H123">
        <f xml:space="preserve"> 22.6* F123+ 5.5703+$N$3*0.001</f>
        <v>87.098300000000009</v>
      </c>
      <c r="I123">
        <f t="shared" si="7"/>
        <v>8.70982999999997</v>
      </c>
    </row>
    <row r="124" spans="1:9" x14ac:dyDescent="0.3">
      <c r="A124">
        <v>12</v>
      </c>
      <c r="B124">
        <f t="shared" si="2"/>
        <v>47.741019999999857</v>
      </c>
      <c r="C124">
        <f t="shared" si="8"/>
        <v>954.82039999999711</v>
      </c>
      <c r="D124">
        <f>MATCH(B124,Battery!B:B,-1)</f>
        <v>19</v>
      </c>
      <c r="E124" cm="1">
        <f t="array" ref="E124">INDEX(Battery!C:C,D124+1)+(INDEX(Battery!C:C,D124)-INDEX(Battery!C:C,D124+1))/(INDEX(Battery!B:B,D124)-INDEX(Battery!C:C,B124+1))*(B124-INDEX(Battery!C:C,B124+1))</f>
        <v>3.7703795602192067</v>
      </c>
      <c r="F124">
        <f>MIN($K$3,E124-$L$3)-$M$3</f>
        <v>3.605</v>
      </c>
      <c r="G124">
        <f>MATCH(F124,Load!C$3:C$15,1)</f>
        <v>6</v>
      </c>
      <c r="H124">
        <f xml:space="preserve"> 22.6* F124+ 5.5703+$N$3*0.001</f>
        <v>87.098300000000009</v>
      </c>
      <c r="I124">
        <f t="shared" si="7"/>
        <v>8.70982999999997</v>
      </c>
    </row>
    <row r="125" spans="1:9" x14ac:dyDescent="0.3">
      <c r="A125">
        <v>12.1</v>
      </c>
      <c r="B125">
        <f t="shared" si="2"/>
        <v>47.305528499999852</v>
      </c>
      <c r="C125">
        <f t="shared" ref="C125:C184" si="9">C124-I124</f>
        <v>946.1105699999971</v>
      </c>
      <c r="D125">
        <f>MATCH(B125,Battery!B:B,-1)</f>
        <v>19</v>
      </c>
      <c r="E125" cm="1">
        <f t="array" ref="E125">INDEX(Battery!C:C,D125+1)+(INDEX(Battery!C:C,D125)-INDEX(Battery!C:C,D125+1))/(INDEX(Battery!B:B,D125)-INDEX(Battery!C:C,B125+1))*(B125-INDEX(Battery!C:C,B125+1))</f>
        <v>3.7702033413498581</v>
      </c>
      <c r="F125">
        <f>MIN($K$3,E125-$L$3)-$M$3</f>
        <v>3.605</v>
      </c>
      <c r="G125">
        <f>MATCH(F125,Load!C$3:C$15,1)</f>
        <v>6</v>
      </c>
      <c r="H125">
        <f xml:space="preserve"> 22.6* F125+ 5.5703+$N$3*0.001</f>
        <v>87.098300000000009</v>
      </c>
      <c r="I125">
        <f t="shared" ref="I125:I184" si="10">H125*(A126-A125)</f>
        <v>8.70982999999997</v>
      </c>
    </row>
    <row r="126" spans="1:9" x14ac:dyDescent="0.3">
      <c r="A126">
        <v>12.2</v>
      </c>
      <c r="B126">
        <f t="shared" si="2"/>
        <v>46.870036999999854</v>
      </c>
      <c r="C126">
        <f t="shared" si="9"/>
        <v>937.40073999999709</v>
      </c>
      <c r="D126">
        <f>MATCH(B126,Battery!B:B,-1)</f>
        <v>19</v>
      </c>
      <c r="E126" cm="1">
        <f t="array" ref="E126">INDEX(Battery!C:C,D126+1)+(INDEX(Battery!C:C,D126)-INDEX(Battery!C:C,D126+1))/(INDEX(Battery!B:B,D126)-INDEX(Battery!C:C,B126+1))*(B126-INDEX(Battery!C:C,B126+1))</f>
        <v>3.77002712248051</v>
      </c>
      <c r="F126">
        <f>MIN($K$3,E126-$L$3)-$M$3</f>
        <v>3.605</v>
      </c>
      <c r="G126">
        <f>MATCH(F126,Load!C$3:C$15,1)</f>
        <v>6</v>
      </c>
      <c r="H126">
        <f xml:space="preserve"> 22.6* F126+ 5.5703+$N$3*0.001</f>
        <v>87.098300000000009</v>
      </c>
      <c r="I126">
        <f t="shared" si="10"/>
        <v>8.7098300000001245</v>
      </c>
    </row>
    <row r="127" spans="1:9" x14ac:dyDescent="0.3">
      <c r="A127">
        <v>12.3</v>
      </c>
      <c r="B127">
        <f t="shared" si="2"/>
        <v>46.434545499999849</v>
      </c>
      <c r="C127">
        <f t="shared" si="9"/>
        <v>928.69090999999696</v>
      </c>
      <c r="D127">
        <f>MATCH(B127,Battery!B:B,-1)</f>
        <v>19</v>
      </c>
      <c r="E127" cm="1">
        <f t="array" ref="E127">INDEX(Battery!C:C,D127+1)+(INDEX(Battery!C:C,D127)-INDEX(Battery!C:C,D127+1))/(INDEX(Battery!B:B,D127)-INDEX(Battery!C:C,B127+1))*(B127-INDEX(Battery!C:C,B127+1))</f>
        <v>3.7698509036111614</v>
      </c>
      <c r="F127">
        <f>MIN($K$3,E127-$L$3)-$M$3</f>
        <v>3.605</v>
      </c>
      <c r="G127">
        <f>MATCH(F127,Load!C$3:C$15,1)</f>
        <v>6</v>
      </c>
      <c r="H127">
        <f xml:space="preserve"> 22.6* F127+ 5.5703+$N$3*0.001</f>
        <v>87.098300000000009</v>
      </c>
      <c r="I127">
        <f t="shared" si="10"/>
        <v>8.70982999999997</v>
      </c>
    </row>
    <row r="128" spans="1:9" x14ac:dyDescent="0.3">
      <c r="A128">
        <v>12.4</v>
      </c>
      <c r="B128">
        <f t="shared" si="2"/>
        <v>45.999053999999845</v>
      </c>
      <c r="C128">
        <f t="shared" si="9"/>
        <v>919.98107999999695</v>
      </c>
      <c r="D128">
        <f>MATCH(B128,Battery!B:B,-1)</f>
        <v>19</v>
      </c>
      <c r="E128" cm="1">
        <f t="array" ref="E128">INDEX(Battery!C:C,D128+1)+(INDEX(Battery!C:C,D128)-INDEX(Battery!C:C,D128+1))/(INDEX(Battery!B:B,D128)-INDEX(Battery!C:C,B128+1))*(B128-INDEX(Battery!C:C,B128+1))</f>
        <v>3.7696746847418132</v>
      </c>
      <c r="F128">
        <f>MIN($K$3,E128-$L$3)-$M$3</f>
        <v>3.605</v>
      </c>
      <c r="G128">
        <f>MATCH(F128,Load!C$3:C$15,1)</f>
        <v>6</v>
      </c>
      <c r="H128">
        <f xml:space="preserve"> 22.6* F128+ 5.5703+$N$3*0.001</f>
        <v>87.098300000000009</v>
      </c>
      <c r="I128">
        <f t="shared" si="10"/>
        <v>8.70982999999997</v>
      </c>
    </row>
    <row r="129" spans="1:9" x14ac:dyDescent="0.3">
      <c r="A129">
        <v>12.5</v>
      </c>
      <c r="B129">
        <f t="shared" si="2"/>
        <v>45.563562499999847</v>
      </c>
      <c r="C129">
        <f t="shared" si="9"/>
        <v>911.27124999999694</v>
      </c>
      <c r="D129">
        <f>MATCH(B129,Battery!B:B,-1)</f>
        <v>19</v>
      </c>
      <c r="E129" cm="1">
        <f t="array" ref="E129">INDEX(Battery!C:C,D129+1)+(INDEX(Battery!C:C,D129)-INDEX(Battery!C:C,D129+1))/(INDEX(Battery!B:B,D129)-INDEX(Battery!C:C,B129+1))*(B129-INDEX(Battery!C:C,B129+1))</f>
        <v>3.7694984658724646</v>
      </c>
      <c r="F129">
        <f>MIN($K$3,E129-$L$3)-$M$3</f>
        <v>3.605</v>
      </c>
      <c r="G129">
        <f>MATCH(F129,Load!C$3:C$15,1)</f>
        <v>6</v>
      </c>
      <c r="H129">
        <f xml:space="preserve"> 22.6* F129+ 5.5703+$N$3*0.001</f>
        <v>87.098300000000009</v>
      </c>
      <c r="I129">
        <f t="shared" si="10"/>
        <v>8.70982999999997</v>
      </c>
    </row>
    <row r="130" spans="1:9" x14ac:dyDescent="0.3">
      <c r="A130">
        <v>12.6</v>
      </c>
      <c r="B130">
        <f t="shared" si="2"/>
        <v>45.128070999999849</v>
      </c>
      <c r="C130">
        <f t="shared" si="9"/>
        <v>902.56141999999693</v>
      </c>
      <c r="D130">
        <f>MATCH(B130,Battery!B:B,-1)</f>
        <v>19</v>
      </c>
      <c r="E130" cm="1">
        <f t="array" ref="E130">INDEX(Battery!C:C,D130+1)+(INDEX(Battery!C:C,D130)-INDEX(Battery!C:C,D130+1))/(INDEX(Battery!B:B,D130)-INDEX(Battery!C:C,B130+1))*(B130-INDEX(Battery!C:C,B130+1))</f>
        <v>3.769322247003116</v>
      </c>
      <c r="F130">
        <f>MIN($K$3,E130-$L$3)-$M$3</f>
        <v>3.605</v>
      </c>
      <c r="G130">
        <f>MATCH(F130,Load!C$3:C$15,1)</f>
        <v>6</v>
      </c>
      <c r="H130">
        <f xml:space="preserve"> 22.6* F130+ 5.5703+$N$3*0.001</f>
        <v>87.098300000000009</v>
      </c>
      <c r="I130">
        <f t="shared" si="10"/>
        <v>8.70982999999997</v>
      </c>
    </row>
    <row r="131" spans="1:9" x14ac:dyDescent="0.3">
      <c r="A131">
        <v>12.7</v>
      </c>
      <c r="B131">
        <f t="shared" si="2"/>
        <v>44.692579499999844</v>
      </c>
      <c r="C131">
        <f t="shared" si="9"/>
        <v>893.85158999999692</v>
      </c>
      <c r="D131">
        <f>MATCH(B131,Battery!B:B,-1)</f>
        <v>19</v>
      </c>
      <c r="E131" cm="1">
        <f t="array" ref="E131">INDEX(Battery!C:C,D131+1)+(INDEX(Battery!C:C,D131)-INDEX(Battery!C:C,D131+1))/(INDEX(Battery!B:B,D131)-INDEX(Battery!C:C,B131+1))*(B131-INDEX(Battery!C:C,B131+1))</f>
        <v>3.7691460281337679</v>
      </c>
      <c r="F131">
        <f>MIN($K$3,E131-$L$3)-$M$3</f>
        <v>3.605</v>
      </c>
      <c r="G131">
        <f>MATCH(F131,Load!C$3:C$15,1)</f>
        <v>6</v>
      </c>
      <c r="H131">
        <f xml:space="preserve"> 22.6* F131+ 5.5703+$N$3*0.001</f>
        <v>87.098300000000009</v>
      </c>
      <c r="I131">
        <f t="shared" si="10"/>
        <v>8.7098300000001245</v>
      </c>
    </row>
    <row r="132" spans="1:9" x14ac:dyDescent="0.3">
      <c r="A132">
        <v>12.8</v>
      </c>
      <c r="B132">
        <f t="shared" si="2"/>
        <v>44.25708799999984</v>
      </c>
      <c r="C132">
        <f t="shared" si="9"/>
        <v>885.14175999999679</v>
      </c>
      <c r="D132">
        <f>MATCH(B132,Battery!B:B,-1)</f>
        <v>19</v>
      </c>
      <c r="E132" cm="1">
        <f t="array" ref="E132">INDEX(Battery!C:C,D132+1)+(INDEX(Battery!C:C,D132)-INDEX(Battery!C:C,D132+1))/(INDEX(Battery!B:B,D132)-INDEX(Battery!C:C,B132+1))*(B132-INDEX(Battery!C:C,B132+1))</f>
        <v>3.7689698092644193</v>
      </c>
      <c r="F132">
        <f>MIN($K$3,E132-$L$3)-$M$3</f>
        <v>3.605</v>
      </c>
      <c r="G132">
        <f>MATCH(F132,Load!C$3:C$15,1)</f>
        <v>6</v>
      </c>
      <c r="H132">
        <f xml:space="preserve"> 22.6* F132+ 5.5703+$N$3*0.001</f>
        <v>87.098300000000009</v>
      </c>
      <c r="I132">
        <f t="shared" si="10"/>
        <v>8.70982999999997</v>
      </c>
    </row>
    <row r="133" spans="1:9" x14ac:dyDescent="0.3">
      <c r="A133">
        <v>12.9</v>
      </c>
      <c r="B133">
        <f t="shared" si="2"/>
        <v>43.821596499999835</v>
      </c>
      <c r="C133">
        <f t="shared" si="9"/>
        <v>876.43192999999678</v>
      </c>
      <c r="D133">
        <f>MATCH(B133,Battery!B:B,-1)</f>
        <v>19</v>
      </c>
      <c r="E133" cm="1">
        <f t="array" ref="E133">INDEX(Battery!C:C,D133+1)+(INDEX(Battery!C:C,D133)-INDEX(Battery!C:C,D133+1))/(INDEX(Battery!B:B,D133)-INDEX(Battery!C:C,B133+1))*(B133-INDEX(Battery!C:C,B133+1))</f>
        <v>3.7687935903950707</v>
      </c>
      <c r="F133">
        <f>MIN($K$3,E133-$L$3)-$M$3</f>
        <v>3.605</v>
      </c>
      <c r="G133">
        <f>MATCH(F133,Load!C$3:C$15,1)</f>
        <v>6</v>
      </c>
      <c r="H133">
        <f xml:space="preserve"> 22.6* F133+ 5.5703+$N$3*0.001</f>
        <v>87.098300000000009</v>
      </c>
      <c r="I133">
        <f t="shared" si="10"/>
        <v>8.70982999999997</v>
      </c>
    </row>
    <row r="134" spans="1:9" x14ac:dyDescent="0.3">
      <c r="A134">
        <v>13</v>
      </c>
      <c r="B134">
        <f t="shared" si="2"/>
        <v>43.386104999999837</v>
      </c>
      <c r="C134">
        <f t="shared" si="9"/>
        <v>867.72209999999677</v>
      </c>
      <c r="D134">
        <f>MATCH(B134,Battery!B:B,-1)</f>
        <v>20</v>
      </c>
      <c r="E134" cm="1">
        <f t="array" ref="E134">INDEX(Battery!C:C,D134+1)+(INDEX(Battery!C:C,D134)-INDEX(Battery!C:C,D134+1))/(INDEX(Battery!B:B,D134)-INDEX(Battery!C:C,B134+1))*(B134-INDEX(Battery!C:C,B134+1))</f>
        <v>3.7509458725752176</v>
      </c>
      <c r="F134">
        <f>MIN($K$3,E134-$L$3)-$M$3</f>
        <v>3.605</v>
      </c>
      <c r="G134">
        <f>MATCH(F134,Load!C$3:C$15,1)</f>
        <v>6</v>
      </c>
      <c r="H134">
        <f xml:space="preserve"> 22.6* F134+ 5.5703+$N$3*0.001</f>
        <v>87.098300000000009</v>
      </c>
      <c r="I134">
        <f t="shared" si="10"/>
        <v>8.70982999999997</v>
      </c>
    </row>
    <row r="135" spans="1:9" x14ac:dyDescent="0.3">
      <c r="A135">
        <v>13.1</v>
      </c>
      <c r="B135">
        <f t="shared" si="2"/>
        <v>42.950613499999839</v>
      </c>
      <c r="C135">
        <f t="shared" si="9"/>
        <v>859.01226999999676</v>
      </c>
      <c r="D135">
        <f>MATCH(B135,Battery!B:B,-1)</f>
        <v>20</v>
      </c>
      <c r="E135" cm="1">
        <f t="array" ref="E135">INDEX(Battery!C:C,D135+1)+(INDEX(Battery!C:C,D135)-INDEX(Battery!C:C,D135+1))/(INDEX(Battery!B:B,D135)-INDEX(Battery!C:C,B135+1))*(B135-INDEX(Battery!C:C,B135+1))</f>
        <v>3.750790020372424</v>
      </c>
      <c r="F135">
        <f>MIN($K$3,E135-$L$3)-$M$3</f>
        <v>3.605</v>
      </c>
      <c r="G135">
        <f>MATCH(F135,Load!C$3:C$15,1)</f>
        <v>6</v>
      </c>
      <c r="H135">
        <f xml:space="preserve"> 22.6* F135+ 5.5703+$N$3*0.001</f>
        <v>87.098300000000009</v>
      </c>
      <c r="I135">
        <f t="shared" si="10"/>
        <v>8.70982999999997</v>
      </c>
    </row>
    <row r="136" spans="1:9" x14ac:dyDescent="0.3">
      <c r="A136">
        <v>13.2</v>
      </c>
      <c r="B136">
        <f t="shared" si="2"/>
        <v>42.515121999999842</v>
      </c>
      <c r="C136">
        <f t="shared" si="9"/>
        <v>850.30243999999675</v>
      </c>
      <c r="D136">
        <f>MATCH(B136,Battery!B:B,-1)</f>
        <v>20</v>
      </c>
      <c r="E136" cm="1">
        <f t="array" ref="E136">INDEX(Battery!C:C,D136+1)+(INDEX(Battery!C:C,D136)-INDEX(Battery!C:C,D136+1))/(INDEX(Battery!B:B,D136)-INDEX(Battery!C:C,B136+1))*(B136-INDEX(Battery!C:C,B136+1))</f>
        <v>3.7506341681696305</v>
      </c>
      <c r="F136">
        <f>MIN($K$3,E136-$L$3)-$M$3</f>
        <v>3.605</v>
      </c>
      <c r="G136">
        <f>MATCH(F136,Load!C$3:C$15,1)</f>
        <v>6</v>
      </c>
      <c r="H136">
        <f xml:space="preserve"> 22.6* F136+ 5.5703+$N$3*0.001</f>
        <v>87.098300000000009</v>
      </c>
      <c r="I136">
        <f t="shared" si="10"/>
        <v>8.7098300000001245</v>
      </c>
    </row>
    <row r="137" spans="1:9" x14ac:dyDescent="0.3">
      <c r="A137">
        <v>13.3</v>
      </c>
      <c r="B137">
        <f t="shared" si="2"/>
        <v>42.07963049999983</v>
      </c>
      <c r="C137">
        <f t="shared" si="9"/>
        <v>841.59260999999663</v>
      </c>
      <c r="D137">
        <f>MATCH(B137,Battery!B:B,-1)</f>
        <v>20</v>
      </c>
      <c r="E137" cm="1">
        <f t="array" ref="E137">INDEX(Battery!C:C,D137+1)+(INDEX(Battery!C:C,D137)-INDEX(Battery!C:C,D137+1))/(INDEX(Battery!B:B,D137)-INDEX(Battery!C:C,B137+1))*(B137-INDEX(Battery!C:C,B137+1))</f>
        <v>3.7504783159668373</v>
      </c>
      <c r="F137">
        <f>MIN($K$3,E137-$L$3)-$M$3</f>
        <v>3.605</v>
      </c>
      <c r="G137">
        <f>MATCH(F137,Load!C$3:C$15,1)</f>
        <v>6</v>
      </c>
      <c r="H137">
        <f xml:space="preserve"> 22.6* F137+ 5.5703+$N$3*0.001</f>
        <v>87.098300000000009</v>
      </c>
      <c r="I137">
        <f t="shared" si="10"/>
        <v>8.70982999999997</v>
      </c>
    </row>
    <row r="138" spans="1:9" x14ac:dyDescent="0.3">
      <c r="A138">
        <v>13.4</v>
      </c>
      <c r="B138">
        <f t="shared" si="2"/>
        <v>41.644138999999832</v>
      </c>
      <c r="C138">
        <f t="shared" si="9"/>
        <v>832.88277999999661</v>
      </c>
      <c r="D138">
        <f>MATCH(B138,Battery!B:B,-1)</f>
        <v>20</v>
      </c>
      <c r="E138" cm="1">
        <f t="array" ref="E138">INDEX(Battery!C:C,D138+1)+(INDEX(Battery!C:C,D138)-INDEX(Battery!C:C,D138+1))/(INDEX(Battery!B:B,D138)-INDEX(Battery!C:C,B138+1))*(B138-INDEX(Battery!C:C,B138+1))</f>
        <v>3.7503224637640438</v>
      </c>
      <c r="F138">
        <f>MIN($K$3,E138-$L$3)-$M$3</f>
        <v>3.605</v>
      </c>
      <c r="G138">
        <f>MATCH(F138,Load!C$3:C$15,1)</f>
        <v>6</v>
      </c>
      <c r="H138">
        <f xml:space="preserve"> 22.6* F138+ 5.5703+$N$3*0.001</f>
        <v>87.098300000000009</v>
      </c>
      <c r="I138">
        <f t="shared" si="10"/>
        <v>8.70982999999997</v>
      </c>
    </row>
    <row r="139" spans="1:9" x14ac:dyDescent="0.3">
      <c r="A139">
        <v>13.5</v>
      </c>
      <c r="B139">
        <f t="shared" si="2"/>
        <v>41.208647499999827</v>
      </c>
      <c r="C139">
        <f t="shared" si="9"/>
        <v>824.1729499999966</v>
      </c>
      <c r="D139">
        <f>MATCH(B139,Battery!B:B,-1)</f>
        <v>20</v>
      </c>
      <c r="E139" cm="1">
        <f t="array" ref="E139">INDEX(Battery!C:C,D139+1)+(INDEX(Battery!C:C,D139)-INDEX(Battery!C:C,D139+1))/(INDEX(Battery!B:B,D139)-INDEX(Battery!C:C,B139+1))*(B139-INDEX(Battery!C:C,B139+1))</f>
        <v>3.7501666115612502</v>
      </c>
      <c r="F139">
        <f>MIN($K$3,E139-$L$3)-$M$3</f>
        <v>3.605</v>
      </c>
      <c r="G139">
        <f>MATCH(F139,Load!C$3:C$15,1)</f>
        <v>6</v>
      </c>
      <c r="H139">
        <f xml:space="preserve"> 22.6* F139+ 5.5703+$N$3*0.001</f>
        <v>87.098300000000009</v>
      </c>
      <c r="I139">
        <f t="shared" si="10"/>
        <v>8.70982999999997</v>
      </c>
    </row>
    <row r="140" spans="1:9" x14ac:dyDescent="0.3">
      <c r="A140">
        <v>13.6</v>
      </c>
      <c r="B140">
        <f t="shared" si="2"/>
        <v>40.77315599999983</v>
      </c>
      <c r="C140">
        <f t="shared" si="9"/>
        <v>815.46311999999659</v>
      </c>
      <c r="D140">
        <f>MATCH(B140,Battery!B:B,-1)</f>
        <v>20</v>
      </c>
      <c r="E140" cm="1">
        <f t="array" ref="E140">INDEX(Battery!C:C,D140+1)+(INDEX(Battery!C:C,D140)-INDEX(Battery!C:C,D140+1))/(INDEX(Battery!B:B,D140)-INDEX(Battery!C:C,B140+1))*(B140-INDEX(Battery!C:C,B140+1))</f>
        <v>3.7499336064944164</v>
      </c>
      <c r="F140">
        <f>MIN($K$3,E140-$L$3)-$M$3</f>
        <v>3.605</v>
      </c>
      <c r="G140">
        <f>MATCH(F140,Load!C$3:C$15,1)</f>
        <v>6</v>
      </c>
      <c r="H140">
        <f xml:space="preserve"> 22.6* F140+ 5.5703+$N$3*0.001</f>
        <v>87.098300000000009</v>
      </c>
      <c r="I140">
        <f t="shared" si="10"/>
        <v>8.70982999999997</v>
      </c>
    </row>
    <row r="141" spans="1:9" x14ac:dyDescent="0.3">
      <c r="A141">
        <v>13.7</v>
      </c>
      <c r="B141">
        <f t="shared" si="2"/>
        <v>40.337664499999832</v>
      </c>
      <c r="C141">
        <f t="shared" si="9"/>
        <v>806.75328999999658</v>
      </c>
      <c r="D141">
        <f>MATCH(B141,Battery!B:B,-1)</f>
        <v>20</v>
      </c>
      <c r="E141" cm="1">
        <f t="array" ref="E141">INDEX(Battery!C:C,D141+1)+(INDEX(Battery!C:C,D141)-INDEX(Battery!C:C,D141+1))/(INDEX(Battery!B:B,D141)-INDEX(Battery!C:C,B141+1))*(B141-INDEX(Battery!C:C,B141+1))</f>
        <v>3.7497663100737322</v>
      </c>
      <c r="F141">
        <f>MIN($K$3,E141-$L$3)-$M$3</f>
        <v>3.605</v>
      </c>
      <c r="G141">
        <f>MATCH(F141,Load!C$3:C$15,1)</f>
        <v>6</v>
      </c>
      <c r="H141">
        <f xml:space="preserve"> 22.6* F141+ 5.5703+$N$3*0.001</f>
        <v>87.098300000000009</v>
      </c>
      <c r="I141">
        <f t="shared" si="10"/>
        <v>8.7098300000001245</v>
      </c>
    </row>
    <row r="142" spans="1:9" x14ac:dyDescent="0.3">
      <c r="A142">
        <v>13.8</v>
      </c>
      <c r="B142">
        <f t="shared" si="2"/>
        <v>39.902172999999827</v>
      </c>
      <c r="C142">
        <f t="shared" si="9"/>
        <v>798.04345999999646</v>
      </c>
      <c r="D142">
        <f>MATCH(B142,Battery!B:B,-1)</f>
        <v>20</v>
      </c>
      <c r="E142" cm="1">
        <f t="array" ref="E142">INDEX(Battery!C:C,D142+1)+(INDEX(Battery!C:C,D142)-INDEX(Battery!C:C,D142+1))/(INDEX(Battery!B:B,D142)-INDEX(Battery!C:C,B142+1))*(B142-INDEX(Battery!C:C,B142+1))</f>
        <v>3.7495986544098856</v>
      </c>
      <c r="F142">
        <f>MIN($K$3,E142-$L$3)-$M$3</f>
        <v>3.605</v>
      </c>
      <c r="G142">
        <f>MATCH(F142,Load!C$3:C$15,1)</f>
        <v>6</v>
      </c>
      <c r="H142">
        <f xml:space="preserve"> 22.6* F142+ 5.5703+$N$3*0.001</f>
        <v>87.098300000000009</v>
      </c>
      <c r="I142">
        <f t="shared" si="10"/>
        <v>8.70982999999997</v>
      </c>
    </row>
    <row r="143" spans="1:9" x14ac:dyDescent="0.3">
      <c r="A143">
        <v>13.9</v>
      </c>
      <c r="B143">
        <f t="shared" si="2"/>
        <v>39.466681499999822</v>
      </c>
      <c r="C143">
        <f t="shared" si="9"/>
        <v>789.33362999999645</v>
      </c>
      <c r="D143">
        <f>MATCH(B143,Battery!B:B,-1)</f>
        <v>20</v>
      </c>
      <c r="E143" cm="1">
        <f t="array" ref="E143">INDEX(Battery!C:C,D143+1)+(INDEX(Battery!C:C,D143)-INDEX(Battery!C:C,D143+1))/(INDEX(Battery!B:B,D143)-INDEX(Battery!C:C,B143+1))*(B143-INDEX(Battery!C:C,B143+1))</f>
        <v>3.7494313168936033</v>
      </c>
      <c r="F143">
        <f>MIN($K$3,E143-$L$3)-$M$3</f>
        <v>3.605</v>
      </c>
      <c r="G143">
        <f>MATCH(F143,Load!C$3:C$15,1)</f>
        <v>6</v>
      </c>
      <c r="H143">
        <f xml:space="preserve"> 22.6* F143+ 5.5703+$N$3*0.001</f>
        <v>87.098300000000009</v>
      </c>
      <c r="I143">
        <f t="shared" si="10"/>
        <v>8.70982999999997</v>
      </c>
    </row>
    <row r="144" spans="1:9" x14ac:dyDescent="0.3">
      <c r="A144">
        <v>14</v>
      </c>
      <c r="B144">
        <f t="shared" si="2"/>
        <v>39.031189999999825</v>
      </c>
      <c r="C144">
        <f t="shared" si="9"/>
        <v>780.62379999999644</v>
      </c>
      <c r="D144">
        <f>MATCH(B144,Battery!B:B,-1)</f>
        <v>20</v>
      </c>
      <c r="E144" cm="1">
        <f t="array" ref="E144">INDEX(Battery!C:C,D144+1)+(INDEX(Battery!C:C,D144)-INDEX(Battery!C:C,D144+1))/(INDEX(Battery!B:B,D144)-INDEX(Battery!C:C,B144+1))*(B144-INDEX(Battery!C:C,B144+1))</f>
        <v>3.7492639793773215</v>
      </c>
      <c r="F144">
        <f>MIN($K$3,E144-$L$3)-$M$3</f>
        <v>3.605</v>
      </c>
      <c r="G144">
        <f>MATCH(F144,Load!C$3:C$15,1)</f>
        <v>6</v>
      </c>
      <c r="H144">
        <f xml:space="preserve"> 22.6* F144+ 5.5703+$N$3*0.001</f>
        <v>87.098300000000009</v>
      </c>
      <c r="I144">
        <f t="shared" si="10"/>
        <v>8.70982999999997</v>
      </c>
    </row>
    <row r="145" spans="1:9" x14ac:dyDescent="0.3">
      <c r="A145">
        <v>14.1</v>
      </c>
      <c r="B145">
        <f t="shared" si="2"/>
        <v>38.59569849999982</v>
      </c>
      <c r="C145">
        <f t="shared" si="9"/>
        <v>771.91396999999643</v>
      </c>
      <c r="D145">
        <f>MATCH(B145,Battery!B:B,-1)</f>
        <v>20</v>
      </c>
      <c r="E145" cm="1">
        <f t="array" ref="E145">INDEX(Battery!C:C,D145+1)+(INDEX(Battery!C:C,D145)-INDEX(Battery!C:C,D145+1))/(INDEX(Battery!B:B,D145)-INDEX(Battery!C:C,B145+1))*(B145-INDEX(Battery!C:C,B145+1))</f>
        <v>3.749093530734982</v>
      </c>
      <c r="F145">
        <f>MIN($K$3,E145-$L$3)-$M$3</f>
        <v>3.605</v>
      </c>
      <c r="G145">
        <f>MATCH(F145,Load!C$3:C$15,1)</f>
        <v>6</v>
      </c>
      <c r="H145">
        <f xml:space="preserve"> 22.6* F145+ 5.5703+$N$3*0.001</f>
        <v>87.098300000000009</v>
      </c>
      <c r="I145">
        <f t="shared" si="10"/>
        <v>8.70982999999997</v>
      </c>
    </row>
    <row r="146" spans="1:9" x14ac:dyDescent="0.3">
      <c r="A146">
        <v>14.2</v>
      </c>
      <c r="B146">
        <f t="shared" si="2"/>
        <v>38.160206999999815</v>
      </c>
      <c r="C146">
        <f t="shared" si="9"/>
        <v>763.20413999999641</v>
      </c>
      <c r="D146">
        <f>MATCH(B146,Battery!B:B,-1)</f>
        <v>20</v>
      </c>
      <c r="E146" cm="1">
        <f t="array" ref="E146">INDEX(Battery!C:C,D146+1)+(INDEX(Battery!C:C,D146)-INDEX(Battery!C:C,D146+1))/(INDEX(Battery!B:B,D146)-INDEX(Battery!C:C,B146+1))*(B146-INDEX(Battery!C:C,B146+1))</f>
        <v>3.7489259282536262</v>
      </c>
      <c r="F146">
        <f>MIN($K$3,E146-$L$3)-$M$3</f>
        <v>3.605</v>
      </c>
      <c r="G146">
        <f>MATCH(F146,Load!C$3:C$15,1)</f>
        <v>6</v>
      </c>
      <c r="H146">
        <f xml:space="preserve"> 22.6* F146+ 5.5703+$N$3*0.001</f>
        <v>87.098300000000009</v>
      </c>
      <c r="I146">
        <f t="shared" si="10"/>
        <v>8.7098300000001245</v>
      </c>
    </row>
    <row r="147" spans="1:9" x14ac:dyDescent="0.3">
      <c r="A147">
        <v>14.3</v>
      </c>
      <c r="B147">
        <f t="shared" si="2"/>
        <v>37.724715499999817</v>
      </c>
      <c r="C147">
        <f t="shared" si="9"/>
        <v>754.49430999999629</v>
      </c>
      <c r="D147">
        <f>MATCH(B147,Battery!B:B,-1)</f>
        <v>20</v>
      </c>
      <c r="E147" cm="1">
        <f t="array" ref="E147">INDEX(Battery!C:C,D147+1)+(INDEX(Battery!C:C,D147)-INDEX(Battery!C:C,D147+1))/(INDEX(Battery!B:B,D147)-INDEX(Battery!C:C,B147+1))*(B147-INDEX(Battery!C:C,B147+1))</f>
        <v>3.748755041485397</v>
      </c>
      <c r="F147">
        <f>MIN($K$3,E147-$L$3)-$M$3</f>
        <v>3.605</v>
      </c>
      <c r="G147">
        <f>MATCH(F147,Load!C$3:C$15,1)</f>
        <v>6</v>
      </c>
      <c r="H147">
        <f xml:space="preserve"> 22.6* F147+ 5.5703+$N$3*0.001</f>
        <v>87.098300000000009</v>
      </c>
      <c r="I147">
        <f t="shared" si="10"/>
        <v>8.70982999999997</v>
      </c>
    </row>
    <row r="148" spans="1:9" x14ac:dyDescent="0.3">
      <c r="A148">
        <v>14.4</v>
      </c>
      <c r="B148">
        <f t="shared" si="2"/>
        <v>37.289223999999813</v>
      </c>
      <c r="C148">
        <f t="shared" si="9"/>
        <v>745.78447999999628</v>
      </c>
      <c r="D148">
        <f>MATCH(B148,Battery!B:B,-1)</f>
        <v>20</v>
      </c>
      <c r="E148" cm="1">
        <f t="array" ref="E148">INDEX(Battery!C:C,D148+1)+(INDEX(Battery!C:C,D148)-INDEX(Battery!C:C,D148+1))/(INDEX(Battery!B:B,D148)-INDEX(Battery!C:C,B148+1))*(B148-INDEX(Battery!C:C,B148+1))</f>
        <v>3.7485872000016025</v>
      </c>
      <c r="F148">
        <f>MIN($K$3,E148-$L$3)-$M$3</f>
        <v>3.605</v>
      </c>
      <c r="G148">
        <f>MATCH(F148,Load!C$3:C$15,1)</f>
        <v>6</v>
      </c>
      <c r="H148">
        <f xml:space="preserve"> 22.6* F148+ 5.5703+$N$3*0.001</f>
        <v>87.098300000000009</v>
      </c>
      <c r="I148">
        <f t="shared" si="10"/>
        <v>8.70982999999997</v>
      </c>
    </row>
    <row r="149" spans="1:9" x14ac:dyDescent="0.3">
      <c r="A149">
        <v>14.5</v>
      </c>
      <c r="B149">
        <f t="shared" si="2"/>
        <v>36.853732499999815</v>
      </c>
      <c r="C149">
        <f t="shared" si="9"/>
        <v>737.07464999999627</v>
      </c>
      <c r="D149">
        <f>MATCH(B149,Battery!B:B,-1)</f>
        <v>20</v>
      </c>
      <c r="E149" cm="1">
        <f t="array" ref="E149">INDEX(Battery!C:C,D149+1)+(INDEX(Battery!C:C,D149)-INDEX(Battery!C:C,D149+1))/(INDEX(Battery!B:B,D149)-INDEX(Battery!C:C,B149+1))*(B149-INDEX(Battery!C:C,B149+1))</f>
        <v>3.7484155854884094</v>
      </c>
      <c r="F149">
        <f>MIN($K$3,E149-$L$3)-$M$3</f>
        <v>3.605</v>
      </c>
      <c r="G149">
        <f>MATCH(F149,Load!C$3:C$15,1)</f>
        <v>6</v>
      </c>
      <c r="H149">
        <f xml:space="preserve"> 22.6* F149+ 5.5703+$N$3*0.001</f>
        <v>87.098300000000009</v>
      </c>
      <c r="I149">
        <f t="shared" si="10"/>
        <v>8.70982999999997</v>
      </c>
    </row>
    <row r="150" spans="1:9" x14ac:dyDescent="0.3">
      <c r="A150">
        <v>14.6</v>
      </c>
      <c r="B150">
        <f t="shared" si="2"/>
        <v>36.41824099999981</v>
      </c>
      <c r="C150">
        <f t="shared" si="9"/>
        <v>728.36481999999626</v>
      </c>
      <c r="D150">
        <f>MATCH(B150,Battery!B:B,-1)</f>
        <v>21</v>
      </c>
      <c r="E150" cm="1">
        <f t="array" ref="E150">INDEX(Battery!C:C,D150+1)+(INDEX(Battery!C:C,D150)-INDEX(Battery!C:C,D150+1))/(INDEX(Battery!B:B,D150)-INDEX(Battery!C:C,B150+1))*(B150-INDEX(Battery!C:C,B150+1))</f>
        <v>3.7352591447627819</v>
      </c>
      <c r="F150">
        <f>MIN($K$3,E150-$L$3)-$M$3</f>
        <v>3.605</v>
      </c>
      <c r="G150">
        <f>MATCH(F150,Load!C$3:C$15,1)</f>
        <v>6</v>
      </c>
      <c r="H150">
        <f xml:space="preserve"> 22.6* F150+ 5.5703+$N$3*0.001</f>
        <v>87.098300000000009</v>
      </c>
      <c r="I150">
        <f t="shared" si="10"/>
        <v>8.70982999999997</v>
      </c>
    </row>
    <row r="151" spans="1:9" x14ac:dyDescent="0.3">
      <c r="A151">
        <v>14.7</v>
      </c>
      <c r="B151">
        <f t="shared" si="2"/>
        <v>35.982749499999812</v>
      </c>
      <c r="C151">
        <f t="shared" si="9"/>
        <v>719.65498999999625</v>
      </c>
      <c r="D151">
        <f>MATCH(B151,Battery!B:B,-1)</f>
        <v>21</v>
      </c>
      <c r="E151" cm="1">
        <f t="array" ref="E151">INDEX(Battery!C:C,D151+1)+(INDEX(Battery!C:C,D151)-INDEX(Battery!C:C,D151+1))/(INDEX(Battery!B:B,D151)-INDEX(Battery!C:C,B151+1))*(B151-INDEX(Battery!C:C,B151+1))</f>
        <v>3.7350761785124869</v>
      </c>
      <c r="F151">
        <f>MIN($K$3,E151-$L$3)-$M$3</f>
        <v>3.605</v>
      </c>
      <c r="G151">
        <f>MATCH(F151,Load!C$3:C$15,1)</f>
        <v>6</v>
      </c>
      <c r="H151">
        <f xml:space="preserve"> 22.6* F151+ 5.5703+$N$3*0.001</f>
        <v>87.098300000000009</v>
      </c>
      <c r="I151">
        <f t="shared" si="10"/>
        <v>8.7098300000001245</v>
      </c>
    </row>
    <row r="152" spans="1:9" x14ac:dyDescent="0.3">
      <c r="A152">
        <v>14.8</v>
      </c>
      <c r="B152">
        <f t="shared" si="2"/>
        <v>35.5472579999998</v>
      </c>
      <c r="C152">
        <f t="shared" si="9"/>
        <v>710.94515999999612</v>
      </c>
      <c r="D152">
        <f>MATCH(B152,Battery!B:B,-1)</f>
        <v>21</v>
      </c>
      <c r="E152" cm="1">
        <f t="array" ref="E152">INDEX(Battery!C:C,D152+1)+(INDEX(Battery!C:C,D152)-INDEX(Battery!C:C,D152+1))/(INDEX(Battery!B:B,D152)-INDEX(Battery!C:C,B152+1))*(B152-INDEX(Battery!C:C,B152+1))</f>
        <v>3.7348934953976953</v>
      </c>
      <c r="F152">
        <f>MIN($K$3,E152-$L$3)-$M$3</f>
        <v>3.605</v>
      </c>
      <c r="G152">
        <f>MATCH(F152,Load!C$3:C$15,1)</f>
        <v>6</v>
      </c>
      <c r="H152">
        <f xml:space="preserve"> 22.6* F152+ 5.5703+$N$3*0.001</f>
        <v>87.098300000000009</v>
      </c>
      <c r="I152">
        <f t="shared" si="10"/>
        <v>8.70982999999997</v>
      </c>
    </row>
    <row r="153" spans="1:9" x14ac:dyDescent="0.3">
      <c r="A153">
        <v>14.9</v>
      </c>
      <c r="B153">
        <f t="shared" si="2"/>
        <v>35.11176649999981</v>
      </c>
      <c r="C153">
        <f t="shared" si="9"/>
        <v>702.23532999999611</v>
      </c>
      <c r="D153">
        <f>MATCH(B153,Battery!B:B,-1)</f>
        <v>21</v>
      </c>
      <c r="E153" cm="1">
        <f t="array" ref="E153">INDEX(Battery!C:C,D153+1)+(INDEX(Battery!C:C,D153)-INDEX(Battery!C:C,D153+1))/(INDEX(Battery!B:B,D153)-INDEX(Battery!C:C,B153+1))*(B153-INDEX(Battery!C:C,B153+1))</f>
        <v>3.7347108122829042</v>
      </c>
      <c r="F153">
        <f>MIN($K$3,E153-$L$3)-$M$3</f>
        <v>3.605</v>
      </c>
      <c r="G153">
        <f>MATCH(F153,Load!C$3:C$15,1)</f>
        <v>6</v>
      </c>
      <c r="H153">
        <f xml:space="preserve"> 22.6* F153+ 5.5703+$N$3*0.001</f>
        <v>87.098300000000009</v>
      </c>
      <c r="I153">
        <f t="shared" si="10"/>
        <v>8.70982999999997</v>
      </c>
    </row>
    <row r="154" spans="1:9" x14ac:dyDescent="0.3">
      <c r="A154">
        <v>15</v>
      </c>
      <c r="B154">
        <f t="shared" si="2"/>
        <v>34.676274999999805</v>
      </c>
      <c r="C154">
        <f t="shared" si="9"/>
        <v>693.5254999999961</v>
      </c>
      <c r="D154">
        <f>MATCH(B154,Battery!B:B,-1)</f>
        <v>21</v>
      </c>
      <c r="E154" cm="1">
        <f t="array" ref="E154">INDEX(Battery!C:C,D154+1)+(INDEX(Battery!C:C,D154)-INDEX(Battery!C:C,D154+1))/(INDEX(Battery!B:B,D154)-INDEX(Battery!C:C,B154+1))*(B154-INDEX(Battery!C:C,B154+1))</f>
        <v>3.7345265484801837</v>
      </c>
      <c r="F154">
        <f>MIN($K$3,E154-$L$3)-$M$3</f>
        <v>3.605</v>
      </c>
      <c r="G154">
        <f>MATCH(F154,Load!C$3:C$15,1)</f>
        <v>6</v>
      </c>
      <c r="H154">
        <f xml:space="preserve"> 22.6* F154+ 5.5703+$N$3*0.001</f>
        <v>87.098300000000009</v>
      </c>
      <c r="I154">
        <f t="shared" si="10"/>
        <v>8.70982999999997</v>
      </c>
    </row>
    <row r="155" spans="1:9" x14ac:dyDescent="0.3">
      <c r="A155">
        <v>15.1</v>
      </c>
      <c r="B155">
        <f t="shared" si="2"/>
        <v>34.240783499999807</v>
      </c>
      <c r="C155">
        <f t="shared" si="9"/>
        <v>684.81566999999609</v>
      </c>
      <c r="D155">
        <f>MATCH(B155,Battery!B:B,-1)</f>
        <v>21</v>
      </c>
      <c r="E155" cm="1">
        <f t="array" ref="E155">INDEX(Battery!C:C,D155+1)+(INDEX(Battery!C:C,D155)-INDEX(Battery!C:C,D155+1))/(INDEX(Battery!B:B,D155)-INDEX(Battery!C:C,B155+1))*(B155-INDEX(Battery!C:C,B155+1))</f>
        <v>3.7343435412283288</v>
      </c>
      <c r="F155">
        <f>MIN($K$3,E155-$L$3)-$M$3</f>
        <v>3.605</v>
      </c>
      <c r="G155">
        <f>MATCH(F155,Load!C$3:C$15,1)</f>
        <v>6</v>
      </c>
      <c r="H155">
        <f xml:space="preserve"> 22.6* F155+ 5.5703+$N$3*0.001</f>
        <v>87.098300000000009</v>
      </c>
      <c r="I155">
        <f t="shared" si="10"/>
        <v>8.70982999999997</v>
      </c>
    </row>
    <row r="156" spans="1:9" x14ac:dyDescent="0.3">
      <c r="A156">
        <v>15.2</v>
      </c>
      <c r="B156">
        <f t="shared" si="2"/>
        <v>33.805291999999802</v>
      </c>
      <c r="C156">
        <f t="shared" si="9"/>
        <v>676.10583999999608</v>
      </c>
      <c r="D156">
        <f>MATCH(B156,Battery!B:B,-1)</f>
        <v>21</v>
      </c>
      <c r="E156" cm="1">
        <f t="array" ref="E156">INDEX(Battery!C:C,D156+1)+(INDEX(Battery!C:C,D156)-INDEX(Battery!C:C,D156+1))/(INDEX(Battery!B:B,D156)-INDEX(Battery!C:C,B156+1))*(B156-INDEX(Battery!C:C,B156+1))</f>
        <v>3.7341586508066569</v>
      </c>
      <c r="F156">
        <f>MIN($K$3,E156-$L$3)-$M$3</f>
        <v>3.605</v>
      </c>
      <c r="G156">
        <f>MATCH(F156,Load!C$3:C$15,1)</f>
        <v>6</v>
      </c>
      <c r="H156">
        <f xml:space="preserve"> 22.6* F156+ 5.5703+$N$3*0.001</f>
        <v>87.098300000000009</v>
      </c>
      <c r="I156">
        <f t="shared" si="10"/>
        <v>8.7098300000001245</v>
      </c>
    </row>
    <row r="157" spans="1:9" x14ac:dyDescent="0.3">
      <c r="A157">
        <v>15.3</v>
      </c>
      <c r="B157">
        <f t="shared" si="2"/>
        <v>33.369800499999798</v>
      </c>
      <c r="C157">
        <f t="shared" si="9"/>
        <v>667.39600999999595</v>
      </c>
      <c r="D157">
        <f>MATCH(B157,Battery!B:B,-1)</f>
        <v>21</v>
      </c>
      <c r="E157" cm="1">
        <f t="array" ref="E157">INDEX(Battery!C:C,D157+1)+(INDEX(Battery!C:C,D157)-INDEX(Battery!C:C,D157+1))/(INDEX(Battery!B:B,D157)-INDEX(Battery!C:C,B157+1))*(B157-INDEX(Battery!C:C,B157+1))</f>
        <v>3.7339753697030633</v>
      </c>
      <c r="F157">
        <f>MIN($K$3,E157-$L$3)-$M$3</f>
        <v>3.605</v>
      </c>
      <c r="G157">
        <f>MATCH(F157,Load!C$3:C$15,1)</f>
        <v>6</v>
      </c>
      <c r="H157">
        <f xml:space="preserve"> 22.6* F157+ 5.5703+$N$3*0.001</f>
        <v>87.098300000000009</v>
      </c>
      <c r="I157">
        <f t="shared" si="10"/>
        <v>8.70982999999997</v>
      </c>
    </row>
    <row r="158" spans="1:9" x14ac:dyDescent="0.3">
      <c r="A158">
        <v>15.4</v>
      </c>
      <c r="B158">
        <f t="shared" si="2"/>
        <v>32.934308999999793</v>
      </c>
      <c r="C158">
        <f t="shared" si="9"/>
        <v>658.68617999999594</v>
      </c>
      <c r="D158">
        <f>MATCH(B158,Battery!B:B,-1)</f>
        <v>21</v>
      </c>
      <c r="E158" cm="1">
        <f t="array" ref="E158">INDEX(Battery!C:C,D158+1)+(INDEX(Battery!C:C,D158)-INDEX(Battery!C:C,D158+1))/(INDEX(Battery!B:B,D158)-INDEX(Battery!C:C,B158+1))*(B158-INDEX(Battery!C:C,B158+1))</f>
        <v>3.7337894214918275</v>
      </c>
      <c r="F158">
        <f>MIN($K$3,E158-$L$3)-$M$3</f>
        <v>3.605</v>
      </c>
      <c r="G158">
        <f>MATCH(F158,Load!C$3:C$15,1)</f>
        <v>6</v>
      </c>
      <c r="H158">
        <f xml:space="preserve"> 22.6* F158+ 5.5703+$N$3*0.001</f>
        <v>87.098300000000009</v>
      </c>
      <c r="I158">
        <f t="shared" si="10"/>
        <v>8.70982999999997</v>
      </c>
    </row>
    <row r="159" spans="1:9" x14ac:dyDescent="0.3">
      <c r="A159">
        <v>15.5</v>
      </c>
      <c r="B159">
        <f t="shared" si="2"/>
        <v>32.498817499999802</v>
      </c>
      <c r="C159">
        <f t="shared" si="9"/>
        <v>649.97634999999593</v>
      </c>
      <c r="D159">
        <f>MATCH(B159,Battery!B:B,-1)</f>
        <v>21</v>
      </c>
      <c r="E159" cm="1">
        <f t="array" ref="E159">INDEX(Battery!C:C,D159+1)+(INDEX(Battery!C:C,D159)-INDEX(Battery!C:C,D159+1))/(INDEX(Battery!B:B,D159)-INDEX(Battery!C:C,B159+1))*(B159-INDEX(Battery!C:C,B159+1))</f>
        <v>3.7336058399233489</v>
      </c>
      <c r="F159">
        <f>MIN($K$3,E159-$L$3)-$M$3</f>
        <v>3.605</v>
      </c>
      <c r="G159">
        <f>MATCH(F159,Load!C$3:C$15,1)</f>
        <v>6</v>
      </c>
      <c r="H159">
        <f xml:space="preserve"> 22.6* F159+ 5.5703+$N$3*0.001</f>
        <v>87.098300000000009</v>
      </c>
      <c r="I159">
        <f t="shared" si="10"/>
        <v>8.70982999999997</v>
      </c>
    </row>
    <row r="160" spans="1:9" x14ac:dyDescent="0.3">
      <c r="A160">
        <v>15.6</v>
      </c>
      <c r="B160">
        <f t="shared" si="2"/>
        <v>32.063325999999797</v>
      </c>
      <c r="C160">
        <f t="shared" si="9"/>
        <v>641.26651999999592</v>
      </c>
      <c r="D160">
        <f>MATCH(B160,Battery!B:B,-1)</f>
        <v>21</v>
      </c>
      <c r="E160" cm="1">
        <f t="array" ref="E160">INDEX(Battery!C:C,D160+1)+(INDEX(Battery!C:C,D160)-INDEX(Battery!C:C,D160+1))/(INDEX(Battery!B:B,D160)-INDEX(Battery!C:C,B160+1))*(B160-INDEX(Battery!C:C,B160+1))</f>
        <v>3.7334222583548708</v>
      </c>
      <c r="F160">
        <f>MIN($K$3,E160-$L$3)-$M$3</f>
        <v>3.605</v>
      </c>
      <c r="G160">
        <f>MATCH(F160,Load!C$3:C$15,1)</f>
        <v>6</v>
      </c>
      <c r="H160">
        <f xml:space="preserve"> 22.6* F160+ 5.5703+$N$3*0.001</f>
        <v>87.098300000000009</v>
      </c>
      <c r="I160">
        <f t="shared" si="10"/>
        <v>8.70982999999997</v>
      </c>
    </row>
    <row r="161" spans="1:9" x14ac:dyDescent="0.3">
      <c r="A161">
        <v>15.7</v>
      </c>
      <c r="B161">
        <f t="shared" si="2"/>
        <v>31.627834499999796</v>
      </c>
      <c r="C161">
        <f t="shared" si="9"/>
        <v>632.55668999999591</v>
      </c>
      <c r="D161">
        <f>MATCH(B161,Battery!B:B,-1)</f>
        <v>21</v>
      </c>
      <c r="E161" cm="1">
        <f t="array" ref="E161">INDEX(Battery!C:C,D161+1)+(INDEX(Battery!C:C,D161)-INDEX(Battery!C:C,D161+1))/(INDEX(Battery!B:B,D161)-INDEX(Battery!C:C,B161+1))*(B161-INDEX(Battery!C:C,B161+1))</f>
        <v>3.7332353014702142</v>
      </c>
      <c r="F161">
        <f>MIN($K$3,E161-$L$3)-$M$3</f>
        <v>3.605</v>
      </c>
      <c r="G161">
        <f>MATCH(F161,Load!C$3:C$15,1)</f>
        <v>6</v>
      </c>
      <c r="H161">
        <f xml:space="preserve"> 22.6* F161+ 5.5703+$N$3*0.001</f>
        <v>87.098300000000009</v>
      </c>
      <c r="I161">
        <f t="shared" si="10"/>
        <v>8.7098300000001245</v>
      </c>
    </row>
    <row r="162" spans="1:9" x14ac:dyDescent="0.3">
      <c r="A162">
        <v>15.8</v>
      </c>
      <c r="B162">
        <f t="shared" si="2"/>
        <v>31.192342999999788</v>
      </c>
      <c r="C162">
        <f t="shared" si="9"/>
        <v>623.84685999999579</v>
      </c>
      <c r="D162">
        <f>MATCH(B162,Battery!B:B,-1)</f>
        <v>22</v>
      </c>
      <c r="E162" cm="1">
        <f t="array" ref="E162">INDEX(Battery!C:C,D162+1)+(INDEX(Battery!C:C,D162)-INDEX(Battery!C:C,D162+1))/(INDEX(Battery!B:B,D162)-INDEX(Battery!C:C,B162+1))*(B162-INDEX(Battery!C:C,B162+1))</f>
        <v>3.7212463678780741</v>
      </c>
      <c r="F162">
        <f>MIN($K$3,E162-$L$3)-$M$3</f>
        <v>3.605</v>
      </c>
      <c r="G162">
        <f>MATCH(F162,Load!C$3:C$15,1)</f>
        <v>6</v>
      </c>
      <c r="H162">
        <f xml:space="preserve"> 22.6* F162+ 5.5703+$N$3*0.001</f>
        <v>87.098300000000009</v>
      </c>
      <c r="I162">
        <f t="shared" si="10"/>
        <v>8.70982999999997</v>
      </c>
    </row>
    <row r="163" spans="1:9" x14ac:dyDescent="0.3">
      <c r="A163">
        <v>15.9</v>
      </c>
      <c r="B163">
        <f t="shared" si="2"/>
        <v>30.756851499999787</v>
      </c>
      <c r="C163">
        <f t="shared" si="9"/>
        <v>615.13702999999578</v>
      </c>
      <c r="D163">
        <f>MATCH(B163,Battery!B:B,-1)</f>
        <v>22</v>
      </c>
      <c r="E163" cm="1">
        <f t="array" ref="E163">INDEX(Battery!C:C,D163+1)+(INDEX(Battery!C:C,D163)-INDEX(Battery!C:C,D163+1))/(INDEX(Battery!B:B,D163)-INDEX(Battery!C:C,B163+1))*(B163-INDEX(Battery!C:C,B163+1))</f>
        <v>3.7209770795943089</v>
      </c>
      <c r="F163">
        <f>MIN($K$3,E163-$L$3)-$M$3</f>
        <v>3.605</v>
      </c>
      <c r="G163">
        <f>MATCH(F163,Load!C$3:C$15,1)</f>
        <v>6</v>
      </c>
      <c r="H163">
        <f xml:space="preserve"> 22.6* F163+ 5.5703+$N$3*0.001</f>
        <v>87.098300000000009</v>
      </c>
      <c r="I163">
        <f t="shared" si="10"/>
        <v>8.70982999999997</v>
      </c>
    </row>
    <row r="164" spans="1:9" x14ac:dyDescent="0.3">
      <c r="A164">
        <v>16</v>
      </c>
      <c r="B164">
        <f t="shared" si="2"/>
        <v>30.321359999999785</v>
      </c>
      <c r="C164">
        <f t="shared" si="9"/>
        <v>606.42719999999576</v>
      </c>
      <c r="D164">
        <f>MATCH(B164,Battery!B:B,-1)</f>
        <v>22</v>
      </c>
      <c r="E164" cm="1">
        <f t="array" ref="E164">INDEX(Battery!C:C,D164+1)+(INDEX(Battery!C:C,D164)-INDEX(Battery!C:C,D164+1))/(INDEX(Battery!B:B,D164)-INDEX(Battery!C:C,B164+1))*(B164-INDEX(Battery!C:C,B164+1))</f>
        <v>3.7207079505129861</v>
      </c>
      <c r="F164">
        <f>MIN($K$3,E164-$L$3)-$M$3</f>
        <v>3.605</v>
      </c>
      <c r="G164">
        <f>MATCH(F164,Load!C$3:C$15,1)</f>
        <v>6</v>
      </c>
      <c r="H164">
        <f xml:space="preserve"> 22.6* F164+ 5.5703+$N$3*0.001</f>
        <v>87.098300000000009</v>
      </c>
      <c r="I164">
        <f t="shared" si="10"/>
        <v>8.7098300000001245</v>
      </c>
    </row>
    <row r="165" spans="1:9" x14ac:dyDescent="0.3">
      <c r="A165">
        <v>16.100000000000001</v>
      </c>
      <c r="B165">
        <f t="shared" si="2"/>
        <v>29.885868499999781</v>
      </c>
      <c r="C165">
        <f t="shared" si="9"/>
        <v>597.71736999999564</v>
      </c>
      <c r="D165">
        <f>MATCH(B165,Battery!B:B,-1)</f>
        <v>22</v>
      </c>
      <c r="E165" cm="1">
        <f t="array" ref="E165">INDEX(Battery!C:C,D165+1)+(INDEX(Battery!C:C,D165)-INDEX(Battery!C:C,D165+1))/(INDEX(Battery!B:B,D165)-INDEX(Battery!C:C,B165+1))*(B165-INDEX(Battery!C:C,B165+1))</f>
        <v>3.7204377051932114</v>
      </c>
      <c r="F165">
        <f>MIN($K$3,E165-$L$3)-$M$3</f>
        <v>3.605</v>
      </c>
      <c r="G165">
        <f>MATCH(F165,Load!C$3:C$15,1)</f>
        <v>6</v>
      </c>
      <c r="H165">
        <f xml:space="preserve"> 22.6* F165+ 5.5703+$N$3*0.001</f>
        <v>87.098300000000009</v>
      </c>
      <c r="I165">
        <f t="shared" si="10"/>
        <v>8.7098299999998154</v>
      </c>
    </row>
    <row r="166" spans="1:9" x14ac:dyDescent="0.3">
      <c r="A166">
        <v>16.2</v>
      </c>
      <c r="B166">
        <f t="shared" si="2"/>
        <v>29.450376999999794</v>
      </c>
      <c r="C166">
        <f t="shared" si="9"/>
        <v>589.00753999999586</v>
      </c>
      <c r="D166">
        <f>MATCH(B166,Battery!B:B,-1)</f>
        <v>22</v>
      </c>
      <c r="E166" cm="1">
        <f t="array" ref="E166">INDEX(Battery!C:C,D166+1)+(INDEX(Battery!C:C,D166)-INDEX(Battery!C:C,D166+1))/(INDEX(Battery!B:B,D166)-INDEX(Battery!C:C,B166+1))*(B166-INDEX(Battery!C:C,B166+1))</f>
        <v>3.7201682430624685</v>
      </c>
      <c r="F166">
        <f>MIN($K$3,E166-$L$3)-$M$3</f>
        <v>3.605</v>
      </c>
      <c r="G166">
        <f>MATCH(F166,Load!C$3:C$15,1)</f>
        <v>6</v>
      </c>
      <c r="H166">
        <f xml:space="preserve"> 22.6* F166+ 5.5703+$N$3*0.001</f>
        <v>87.098300000000009</v>
      </c>
      <c r="I166">
        <f t="shared" si="10"/>
        <v>8.7098300000001245</v>
      </c>
    </row>
    <row r="167" spans="1:9" x14ac:dyDescent="0.3">
      <c r="A167">
        <v>16.3</v>
      </c>
      <c r="B167">
        <f t="shared" si="2"/>
        <v>29.014885499999789</v>
      </c>
      <c r="C167">
        <f t="shared" si="9"/>
        <v>580.29770999999573</v>
      </c>
      <c r="D167">
        <f>MATCH(B167,Battery!B:B,-1)</f>
        <v>22</v>
      </c>
      <c r="E167" cm="1">
        <f t="array" ref="E167">INDEX(Battery!C:C,D167+1)+(INDEX(Battery!C:C,D167)-INDEX(Battery!C:C,D167+1))/(INDEX(Battery!B:B,D167)-INDEX(Battery!C:C,B167+1))*(B167-INDEX(Battery!C:C,B167+1))</f>
        <v>3.7198987809317257</v>
      </c>
      <c r="F167">
        <f>MIN($K$3,E167-$L$3)-$M$3</f>
        <v>3.605</v>
      </c>
      <c r="G167">
        <f>MATCH(F167,Load!C$3:C$15,1)</f>
        <v>6</v>
      </c>
      <c r="H167">
        <f xml:space="preserve"> 22.6* F167+ 5.5703+$N$3*0.001</f>
        <v>87.098300000000009</v>
      </c>
      <c r="I167">
        <f t="shared" si="10"/>
        <v>8.7098299999998154</v>
      </c>
    </row>
    <row r="168" spans="1:9" x14ac:dyDescent="0.3">
      <c r="A168">
        <v>16.399999999999999</v>
      </c>
      <c r="B168">
        <f t="shared" si="2"/>
        <v>28.579393999999798</v>
      </c>
      <c r="C168">
        <f t="shared" si="9"/>
        <v>571.58787999999595</v>
      </c>
      <c r="D168">
        <f>MATCH(B168,Battery!B:B,-1)</f>
        <v>22</v>
      </c>
      <c r="E168" cm="1">
        <f t="array" ref="E168">INDEX(Battery!C:C,D168+1)+(INDEX(Battery!C:C,D168)-INDEX(Battery!C:C,D168+1))/(INDEX(Battery!B:B,D168)-INDEX(Battery!C:C,B168+1))*(B168-INDEX(Battery!C:C,B168+1))</f>
        <v>3.719626908593304</v>
      </c>
      <c r="F168">
        <f>MIN($K$3,E168-$L$3)-$M$3</f>
        <v>3.605</v>
      </c>
      <c r="G168">
        <f>MATCH(F168,Load!C$3:C$15,1)</f>
        <v>6</v>
      </c>
      <c r="H168">
        <f xml:space="preserve"> 22.6* F168+ 5.5703+$N$3*0.001</f>
        <v>87.098300000000009</v>
      </c>
      <c r="I168">
        <f t="shared" si="10"/>
        <v>8.7098300000001245</v>
      </c>
    </row>
    <row r="169" spans="1:9" x14ac:dyDescent="0.3">
      <c r="A169">
        <v>16.5</v>
      </c>
      <c r="B169">
        <f t="shared" si="2"/>
        <v>28.14390249999979</v>
      </c>
      <c r="C169">
        <f t="shared" si="9"/>
        <v>562.87804999999582</v>
      </c>
      <c r="D169">
        <f>MATCH(B169,Battery!B:B,-1)</f>
        <v>22</v>
      </c>
      <c r="E169" cm="1">
        <f t="array" ref="E169">INDEX(Battery!C:C,D169+1)+(INDEX(Battery!C:C,D169)-INDEX(Battery!C:C,D169+1))/(INDEX(Battery!B:B,D169)-INDEX(Battery!C:C,B169+1))*(B169-INDEX(Battery!C:C,B169+1))</f>
        <v>3.7193570669961189</v>
      </c>
      <c r="F169">
        <f>MIN($K$3,E169-$L$3)-$M$3</f>
        <v>3.605</v>
      </c>
      <c r="G169">
        <f>MATCH(F169,Load!C$3:C$15,1)</f>
        <v>6</v>
      </c>
      <c r="H169">
        <f xml:space="preserve"> 22.6* F169+ 5.5703+$N$3*0.001</f>
        <v>87.098300000000009</v>
      </c>
      <c r="I169">
        <f t="shared" si="10"/>
        <v>8.7098300000001245</v>
      </c>
    </row>
    <row r="170" spans="1:9" x14ac:dyDescent="0.3">
      <c r="A170">
        <v>16.600000000000001</v>
      </c>
      <c r="B170">
        <f t="shared" si="2"/>
        <v>27.708410999999781</v>
      </c>
      <c r="C170">
        <f t="shared" si="9"/>
        <v>554.1682199999957</v>
      </c>
      <c r="D170">
        <f>MATCH(B170,Battery!B:B,-1)</f>
        <v>22</v>
      </c>
      <c r="E170" cm="1">
        <f t="array" ref="E170">INDEX(Battery!C:C,D170+1)+(INDEX(Battery!C:C,D170)-INDEX(Battery!C:C,D170+1))/(INDEX(Battery!B:B,D170)-INDEX(Battery!C:C,B170+1))*(B170-INDEX(Battery!C:C,B170+1))</f>
        <v>3.7190846836575124</v>
      </c>
      <c r="F170">
        <f>MIN($K$3,E170-$L$3)-$M$3</f>
        <v>3.605</v>
      </c>
      <c r="G170">
        <f>MATCH(F170,Load!C$3:C$15,1)</f>
        <v>6</v>
      </c>
      <c r="H170">
        <f xml:space="preserve"> 22.6* F170+ 5.5703+$N$3*0.001</f>
        <v>87.098300000000009</v>
      </c>
      <c r="I170">
        <f t="shared" si="10"/>
        <v>8.7098299999998154</v>
      </c>
    </row>
    <row r="171" spans="1:9" x14ac:dyDescent="0.3">
      <c r="A171">
        <v>16.7</v>
      </c>
      <c r="B171">
        <f t="shared" si="2"/>
        <v>27.272919499999798</v>
      </c>
      <c r="C171">
        <f t="shared" si="9"/>
        <v>545.45838999999592</v>
      </c>
      <c r="D171">
        <f>MATCH(B171,Battery!B:B,-1)</f>
        <v>22</v>
      </c>
      <c r="E171" cm="1">
        <f t="array" ref="E171">INDEX(Battery!C:C,D171+1)+(INDEX(Battery!C:C,D171)-INDEX(Battery!C:C,D171+1))/(INDEX(Battery!B:B,D171)-INDEX(Battery!C:C,B171+1))*(B171-INDEX(Battery!C:C,B171+1))</f>
        <v>3.7188145377173818</v>
      </c>
      <c r="F171">
        <f>MIN($K$3,E171-$L$3)-$M$3</f>
        <v>3.605</v>
      </c>
      <c r="G171">
        <f>MATCH(F171,Load!C$3:C$15,1)</f>
        <v>6</v>
      </c>
      <c r="H171">
        <f xml:space="preserve"> 22.6* F171+ 5.5703+$N$3*0.001</f>
        <v>87.098300000000009</v>
      </c>
      <c r="I171">
        <f t="shared" si="10"/>
        <v>8.7098300000001245</v>
      </c>
    </row>
    <row r="172" spans="1:9" x14ac:dyDescent="0.3">
      <c r="A172">
        <v>16.8</v>
      </c>
      <c r="B172">
        <f t="shared" si="2"/>
        <v>26.83742799999979</v>
      </c>
      <c r="C172">
        <f t="shared" si="9"/>
        <v>536.74855999999579</v>
      </c>
      <c r="D172">
        <f>MATCH(B172,Battery!B:B,-1)</f>
        <v>22</v>
      </c>
      <c r="E172" cm="1">
        <f t="array" ref="E172">INDEX(Battery!C:C,D172+1)+(INDEX(Battery!C:C,D172)-INDEX(Battery!C:C,D172+1))/(INDEX(Battery!B:B,D172)-INDEX(Battery!C:C,B172+1))*(B172-INDEX(Battery!C:C,B172+1))</f>
        <v>3.7185443917772512</v>
      </c>
      <c r="F172">
        <f>MIN($K$3,E172-$L$3)-$M$3</f>
        <v>3.605</v>
      </c>
      <c r="G172">
        <f>MATCH(F172,Load!C$3:C$15,1)</f>
        <v>6</v>
      </c>
      <c r="H172">
        <f xml:space="preserve"> 22.6* F172+ 5.5703+$N$3*0.001</f>
        <v>87.098300000000009</v>
      </c>
      <c r="I172">
        <f t="shared" si="10"/>
        <v>8.7098299999998154</v>
      </c>
    </row>
    <row r="173" spans="1:9" x14ac:dyDescent="0.3">
      <c r="A173">
        <v>16.899999999999999</v>
      </c>
      <c r="B173">
        <f t="shared" si="2"/>
        <v>26.401936499999799</v>
      </c>
      <c r="C173">
        <f t="shared" si="9"/>
        <v>528.03872999999601</v>
      </c>
      <c r="D173">
        <f>MATCH(B173,Battery!B:B,-1)</f>
        <v>22</v>
      </c>
      <c r="E173" cm="1">
        <f t="array" ref="E173">INDEX(Battery!C:C,D173+1)+(INDEX(Battery!C:C,D173)-INDEX(Battery!C:C,D173+1))/(INDEX(Battery!B:B,D173)-INDEX(Battery!C:C,B173+1))*(B173-INDEX(Battery!C:C,B173+1))</f>
        <v>3.7182742458371205</v>
      </c>
      <c r="F173">
        <f>MIN($K$3,E173-$L$3)-$M$3</f>
        <v>3.605</v>
      </c>
      <c r="G173">
        <f>MATCH(F173,Load!C$3:C$15,1)</f>
        <v>6</v>
      </c>
      <c r="H173">
        <f xml:space="preserve"> 22.6* F173+ 5.5703+$N$3*0.001</f>
        <v>87.098300000000009</v>
      </c>
      <c r="I173">
        <f t="shared" si="10"/>
        <v>8.7098300000001245</v>
      </c>
    </row>
    <row r="174" spans="1:9" x14ac:dyDescent="0.3">
      <c r="A174">
        <v>17</v>
      </c>
      <c r="B174">
        <f t="shared" si="2"/>
        <v>25.966444999999794</v>
      </c>
      <c r="C174">
        <f t="shared" si="9"/>
        <v>519.32889999999588</v>
      </c>
      <c r="D174">
        <f>MATCH(B174,Battery!B:B,-1)</f>
        <v>23</v>
      </c>
      <c r="E174" cm="1">
        <f t="array" ref="E174">INDEX(Battery!C:C,D174+1)+(INDEX(Battery!C:C,D174)-INDEX(Battery!C:C,D174+1))/(INDEX(Battery!B:B,D174)-INDEX(Battery!C:C,B174+1))*(B174-INDEX(Battery!C:C,B174+1))</f>
        <v>3.7040608759273832</v>
      </c>
      <c r="F174">
        <f>MIN($K$3,E174-$L$3)-$M$3</f>
        <v>3.605</v>
      </c>
      <c r="G174">
        <f>MATCH(F174,Load!C$3:C$15,1)</f>
        <v>6</v>
      </c>
      <c r="H174">
        <f xml:space="preserve"> 22.6* F174+ 5.5703+$N$3*0.001</f>
        <v>87.098300000000009</v>
      </c>
      <c r="I174">
        <f t="shared" si="10"/>
        <v>8.7098300000001245</v>
      </c>
    </row>
    <row r="175" spans="1:9" x14ac:dyDescent="0.3">
      <c r="A175">
        <v>17.100000000000001</v>
      </c>
      <c r="B175">
        <f t="shared" si="2"/>
        <v>25.530953499999786</v>
      </c>
      <c r="C175">
        <f t="shared" si="9"/>
        <v>510.61906999999576</v>
      </c>
      <c r="D175">
        <f>MATCH(B175,Battery!B:B,-1)</f>
        <v>23</v>
      </c>
      <c r="E175" cm="1">
        <f t="array" ref="E175">INDEX(Battery!C:C,D175+1)+(INDEX(Battery!C:C,D175)-INDEX(Battery!C:C,D175+1))/(INDEX(Battery!B:B,D175)-INDEX(Battery!C:C,B175+1))*(B175-INDEX(Battery!C:C,B175+1))</f>
        <v>3.7036048215662398</v>
      </c>
      <c r="F175">
        <f>MIN($K$3,E175-$L$3)-$M$3</f>
        <v>3.605</v>
      </c>
      <c r="G175">
        <f>MATCH(F175,Load!C$3:C$15,1)</f>
        <v>6</v>
      </c>
      <c r="H175">
        <f xml:space="preserve"> 22.6* F175+ 5.5703+$N$3*0.001</f>
        <v>87.098300000000009</v>
      </c>
      <c r="I175">
        <f t="shared" si="10"/>
        <v>8.7098299999998154</v>
      </c>
    </row>
    <row r="176" spans="1:9" x14ac:dyDescent="0.3">
      <c r="A176">
        <v>17.2</v>
      </c>
      <c r="B176">
        <f t="shared" si="2"/>
        <v>25.095461999999795</v>
      </c>
      <c r="C176">
        <f t="shared" si="9"/>
        <v>501.90923999999592</v>
      </c>
      <c r="D176">
        <f>MATCH(B176,Battery!B:B,-1)</f>
        <v>23</v>
      </c>
      <c r="E176" cm="1">
        <f t="array" ref="E176">INDEX(Battery!C:C,D176+1)+(INDEX(Battery!C:C,D176)-INDEX(Battery!C:C,D176+1))/(INDEX(Battery!B:B,D176)-INDEX(Battery!C:C,B176+1))*(B176-INDEX(Battery!C:C,B176+1))</f>
        <v>3.7031487672050964</v>
      </c>
      <c r="F176">
        <f>MIN($K$3,E176-$L$3)-$M$3</f>
        <v>3.605</v>
      </c>
      <c r="G176">
        <f>MATCH(F176,Load!C$3:C$15,1)</f>
        <v>6</v>
      </c>
      <c r="H176">
        <f xml:space="preserve"> 22.6* F176+ 5.5703+$N$3*0.001</f>
        <v>87.098300000000009</v>
      </c>
      <c r="I176">
        <f t="shared" si="10"/>
        <v>8.7098300000001245</v>
      </c>
    </row>
    <row r="177" spans="1:9" x14ac:dyDescent="0.3">
      <c r="A177">
        <v>17.3</v>
      </c>
      <c r="B177">
        <f t="shared" si="2"/>
        <v>24.65997049999979</v>
      </c>
      <c r="C177">
        <f t="shared" si="9"/>
        <v>493.19940999999579</v>
      </c>
      <c r="D177">
        <f>MATCH(B177,Battery!B:B,-1)</f>
        <v>23</v>
      </c>
      <c r="E177" cm="1">
        <f t="array" ref="E177">INDEX(Battery!C:C,D177+1)+(INDEX(Battery!C:C,D177)-INDEX(Battery!C:C,D177+1))/(INDEX(Battery!B:B,D177)-INDEX(Battery!C:C,B177+1))*(B177-INDEX(Battery!C:C,B177+1))</f>
        <v>3.7026912018287819</v>
      </c>
      <c r="F177">
        <f>MIN($K$3,E177-$L$3)-$M$3</f>
        <v>3.605</v>
      </c>
      <c r="G177">
        <f>MATCH(F177,Load!C$3:C$15,1)</f>
        <v>6</v>
      </c>
      <c r="H177">
        <f xml:space="preserve"> 22.6* F177+ 5.5703+$N$3*0.001</f>
        <v>87.098300000000009</v>
      </c>
      <c r="I177">
        <f t="shared" si="10"/>
        <v>8.7098299999998154</v>
      </c>
    </row>
    <row r="178" spans="1:9" x14ac:dyDescent="0.3">
      <c r="A178">
        <v>17.399999999999999</v>
      </c>
      <c r="B178">
        <f t="shared" si="2"/>
        <v>24.2244789999998</v>
      </c>
      <c r="C178">
        <f t="shared" si="9"/>
        <v>484.48957999999595</v>
      </c>
      <c r="D178">
        <f>MATCH(B178,Battery!B:B,-1)</f>
        <v>23</v>
      </c>
      <c r="E178" cm="1">
        <f t="array" ref="E178">INDEX(Battery!C:C,D178+1)+(INDEX(Battery!C:C,D178)-INDEX(Battery!C:C,D178+1))/(INDEX(Battery!B:B,D178)-INDEX(Battery!C:C,B178+1))*(B178-INDEX(Battery!C:C,B178+1))</f>
        <v>3.7022346693788242</v>
      </c>
      <c r="F178">
        <f>MIN($K$3,E178-$L$3)-$M$3</f>
        <v>3.605</v>
      </c>
      <c r="G178">
        <f>MATCH(F178,Load!C$3:C$15,1)</f>
        <v>6</v>
      </c>
      <c r="H178">
        <f xml:space="preserve"> 22.6* F178+ 5.5703+$N$3*0.001</f>
        <v>87.098300000000009</v>
      </c>
      <c r="I178">
        <f t="shared" si="10"/>
        <v>8.7098300000001245</v>
      </c>
    </row>
    <row r="179" spans="1:9" x14ac:dyDescent="0.3">
      <c r="A179">
        <v>17.5</v>
      </c>
      <c r="B179">
        <f t="shared" si="2"/>
        <v>23.788987499999791</v>
      </c>
      <c r="C179">
        <f t="shared" si="9"/>
        <v>475.77974999999583</v>
      </c>
      <c r="D179">
        <f>MATCH(B179,Battery!B:B,-1)</f>
        <v>23</v>
      </c>
      <c r="E179" cm="1">
        <f t="array" ref="E179">INDEX(Battery!C:C,D179+1)+(INDEX(Battery!C:C,D179)-INDEX(Battery!C:C,D179+1))/(INDEX(Battery!B:B,D179)-INDEX(Battery!C:C,B179+1))*(B179-INDEX(Battery!C:C,B179+1))</f>
        <v>3.7017753345149984</v>
      </c>
      <c r="F179">
        <f>MIN($K$3,E179-$L$3)-$M$3</f>
        <v>3.605</v>
      </c>
      <c r="G179">
        <f>MATCH(F179,Load!C$3:C$15,1)</f>
        <v>6</v>
      </c>
      <c r="H179">
        <f xml:space="preserve"> 22.6* F179+ 5.5703+$N$3*0.001</f>
        <v>87.098300000000009</v>
      </c>
      <c r="I179">
        <f t="shared" si="10"/>
        <v>8.7098300000001245</v>
      </c>
    </row>
    <row r="180" spans="1:9" x14ac:dyDescent="0.3">
      <c r="A180">
        <v>17.600000000000001</v>
      </c>
      <c r="B180">
        <f t="shared" si="2"/>
        <v>23.353495999999787</v>
      </c>
      <c r="C180">
        <f t="shared" si="9"/>
        <v>467.0699199999957</v>
      </c>
      <c r="D180">
        <f>MATCH(B180,Battery!B:B,-1)</f>
        <v>23</v>
      </c>
      <c r="E180" cm="1">
        <f t="array" ref="E180">INDEX(Battery!C:C,D180+1)+(INDEX(Battery!C:C,D180)-INDEX(Battery!C:C,D180+1))/(INDEX(Battery!B:B,D180)-INDEX(Battery!C:C,B180+1))*(B180-INDEX(Battery!C:C,B180+1))</f>
        <v>3.7013182590176052</v>
      </c>
      <c r="F180">
        <f>MIN($K$3,E180-$L$3)-$M$3</f>
        <v>3.605</v>
      </c>
      <c r="G180">
        <f>MATCH(F180,Load!C$3:C$15,1)</f>
        <v>6</v>
      </c>
      <c r="H180">
        <f xml:space="preserve"> 22.6* F180+ 5.5703+$N$3*0.001</f>
        <v>87.098300000000009</v>
      </c>
      <c r="I180">
        <f t="shared" si="10"/>
        <v>8.7098299999998154</v>
      </c>
    </row>
    <row r="181" spans="1:9" x14ac:dyDescent="0.3">
      <c r="A181">
        <v>17.7</v>
      </c>
      <c r="B181">
        <f t="shared" si="2"/>
        <v>22.918004499999796</v>
      </c>
      <c r="C181">
        <f t="shared" si="9"/>
        <v>458.36008999999586</v>
      </c>
      <c r="D181">
        <f>MATCH(B181,Battery!B:B,-1)</f>
        <v>23</v>
      </c>
      <c r="E181" cm="1">
        <f t="array" ref="E181">INDEX(Battery!C:C,D181+1)+(INDEX(Battery!C:C,D181)-INDEX(Battery!C:C,D181+1))/(INDEX(Battery!B:B,D181)-INDEX(Battery!C:C,B181+1))*(B181-INDEX(Battery!C:C,B181+1))</f>
        <v>3.7008577447942388</v>
      </c>
      <c r="F181">
        <f>MIN($K$3,E181-$L$3)-$M$3</f>
        <v>3.605</v>
      </c>
      <c r="G181">
        <f>MATCH(F181,Load!C$3:C$15,1)</f>
        <v>6</v>
      </c>
      <c r="H181">
        <f xml:space="preserve"> 22.6* F181+ 5.5703+$N$3*0.001</f>
        <v>87.098300000000009</v>
      </c>
      <c r="I181">
        <f t="shared" si="10"/>
        <v>8.7098300000001245</v>
      </c>
    </row>
    <row r="182" spans="1:9" x14ac:dyDescent="0.3">
      <c r="A182">
        <v>17.8</v>
      </c>
      <c r="B182">
        <f t="shared" si="2"/>
        <v>22.482512999999788</v>
      </c>
      <c r="C182">
        <f t="shared" si="9"/>
        <v>449.65025999999574</v>
      </c>
      <c r="D182">
        <f>MATCH(B182,Battery!B:B,-1)</f>
        <v>23</v>
      </c>
      <c r="E182" cm="1">
        <f t="array" ref="E182">INDEX(Battery!C:C,D182+1)+(INDEX(Battery!C:C,D182)-INDEX(Battery!C:C,D182+1))/(INDEX(Battery!B:B,D182)-INDEX(Battery!C:C,B182+1))*(B182-INDEX(Battery!C:C,B182+1))</f>
        <v>3.7004001890635618</v>
      </c>
      <c r="F182">
        <f>MIN($K$3,E182-$L$3)-$M$3</f>
        <v>3.605</v>
      </c>
      <c r="G182">
        <f>MATCH(F182,Load!C$3:C$15,1)</f>
        <v>6</v>
      </c>
      <c r="H182">
        <f xml:space="preserve"> 22.6* F182+ 5.5703+$N$3*0.001</f>
        <v>87.098300000000009</v>
      </c>
      <c r="I182">
        <f t="shared" si="10"/>
        <v>8.7098299999998154</v>
      </c>
    </row>
    <row r="183" spans="1:9" x14ac:dyDescent="0.3">
      <c r="A183">
        <v>17.899999999999999</v>
      </c>
      <c r="B183">
        <f t="shared" si="2"/>
        <v>22.047021499999794</v>
      </c>
      <c r="C183">
        <f t="shared" si="9"/>
        <v>440.9404299999959</v>
      </c>
      <c r="D183">
        <f>MATCH(B183,Battery!B:B,-1)</f>
        <v>23</v>
      </c>
      <c r="E183" cm="1">
        <f t="array" ref="E183">INDEX(Battery!C:C,D183+1)+(INDEX(Battery!C:C,D183)-INDEX(Battery!C:C,D183+1))/(INDEX(Battery!B:B,D183)-INDEX(Battery!C:C,B183+1))*(B183-INDEX(Battery!C:C,B183+1))</f>
        <v>3.6999426333328844</v>
      </c>
      <c r="F183">
        <f>MIN($K$3,E183-$L$3)-$M$3</f>
        <v>3.605</v>
      </c>
      <c r="G183">
        <f>MATCH(F183,Load!C$3:C$15,1)</f>
        <v>6</v>
      </c>
      <c r="H183">
        <f xml:space="preserve"> 22.6* F183+ 5.5703+$N$3*0.001</f>
        <v>87.098300000000009</v>
      </c>
      <c r="I183">
        <f t="shared" si="10"/>
        <v>8.7098300000001245</v>
      </c>
    </row>
    <row r="184" spans="1:9" x14ac:dyDescent="0.3">
      <c r="A184">
        <v>18</v>
      </c>
      <c r="B184">
        <f t="shared" si="2"/>
        <v>21.611529999999789</v>
      </c>
      <c r="C184">
        <f t="shared" si="9"/>
        <v>432.23059999999577</v>
      </c>
      <c r="D184">
        <f>MATCH(B184,Battery!B:B,-1)</f>
        <v>23</v>
      </c>
      <c r="E184" cm="1">
        <f t="array" ref="E184">INDEX(Battery!C:C,D184+1)+(INDEX(Battery!C:C,D184)-INDEX(Battery!C:C,D184+1))/(INDEX(Battery!B:B,D184)-INDEX(Battery!C:C,B184+1))*(B184-INDEX(Battery!C:C,B184+1))</f>
        <v>3.6994814928275801</v>
      </c>
      <c r="F184">
        <f>MIN($K$3,E184-$L$3)-$M$3</f>
        <v>3.605</v>
      </c>
      <c r="G184">
        <f>MATCH(F184,Load!C$3:C$15,1)</f>
        <v>6</v>
      </c>
      <c r="H184">
        <f xml:space="preserve"> 22.6* F184+ 5.5703+$N$3*0.001</f>
        <v>87.098300000000009</v>
      </c>
      <c r="I184">
        <f t="shared" si="10"/>
        <v>8.7098300000001245</v>
      </c>
    </row>
    <row r="185" spans="1:9" x14ac:dyDescent="0.3">
      <c r="A185">
        <v>18.100000000000001</v>
      </c>
      <c r="B185">
        <f t="shared" ref="B185:B225" si="11">C185/C$4*100</f>
        <v>21.176038499999784</v>
      </c>
      <c r="C185">
        <f t="shared" ref="C185:C225" si="12">C184-I184</f>
        <v>423.52076999999565</v>
      </c>
      <c r="D185">
        <f>MATCH(B185,Battery!B:B,-1)</f>
        <v>23</v>
      </c>
      <c r="E185" cm="1">
        <f t="array" ref="E185">INDEX(Battery!C:C,D185+1)+(INDEX(Battery!C:C,D185)-INDEX(Battery!C:C,D185+1))/(INDEX(Battery!B:B,D185)-INDEX(Battery!C:C,B185+1))*(B185-INDEX(Battery!C:C,B185+1))</f>
        <v>3.6990235842832413</v>
      </c>
      <c r="F185">
        <f>MIN($K$3,E185-$L$3)-$M$3</f>
        <v>3.605</v>
      </c>
      <c r="G185">
        <f>MATCH(F185,Load!C$3:C$15,1)</f>
        <v>6</v>
      </c>
      <c r="H185">
        <f xml:space="preserve"> 22.6* F185+ 5.5703+$N$3*0.001</f>
        <v>87.098300000000009</v>
      </c>
      <c r="I185">
        <f t="shared" ref="I185:I225" si="13">H185*(A186-A185)</f>
        <v>8.7098299999998154</v>
      </c>
    </row>
    <row r="186" spans="1:9" x14ac:dyDescent="0.3">
      <c r="A186">
        <v>18.2</v>
      </c>
      <c r="B186">
        <f t="shared" si="11"/>
        <v>20.74054699999979</v>
      </c>
      <c r="C186">
        <f t="shared" si="12"/>
        <v>414.81093999999581</v>
      </c>
      <c r="D186">
        <f>MATCH(B186,Battery!B:B,-1)</f>
        <v>24</v>
      </c>
      <c r="E186" cm="1">
        <f t="array" ref="E186">INDEX(Battery!C:C,D186+1)+(INDEX(Battery!C:C,D186)-INDEX(Battery!C:C,D186+1))/(INDEX(Battery!B:B,D186)-INDEX(Battery!C:C,B186+1))*(B186-INDEX(Battery!C:C,B186+1))</f>
        <v>3.6803537998073481</v>
      </c>
      <c r="F186">
        <f>MIN($K$3,E186-$L$3)-$M$3</f>
        <v>3.605</v>
      </c>
      <c r="G186">
        <f>MATCH(F186,Load!C$3:C$15,1)</f>
        <v>6</v>
      </c>
      <c r="H186">
        <f xml:space="preserve"> 22.6* F186+ 5.5703+$N$3*0.001</f>
        <v>87.098300000000009</v>
      </c>
      <c r="I186">
        <f t="shared" si="13"/>
        <v>8.7098300000001245</v>
      </c>
    </row>
    <row r="187" spans="1:9" x14ac:dyDescent="0.3">
      <c r="A187">
        <v>18.3</v>
      </c>
      <c r="B187">
        <f t="shared" si="11"/>
        <v>20.305055499999785</v>
      </c>
      <c r="C187">
        <f t="shared" si="12"/>
        <v>406.10110999999569</v>
      </c>
      <c r="D187">
        <f>MATCH(B187,Battery!B:B,-1)</f>
        <v>24</v>
      </c>
      <c r="E187" cm="1">
        <f t="array" ref="E187">INDEX(Battery!C:C,D187+1)+(INDEX(Battery!C:C,D187)-INDEX(Battery!C:C,D187+1))/(INDEX(Battery!B:B,D187)-INDEX(Battery!C:C,B187+1))*(B187-INDEX(Battery!C:C,B187+1))</f>
        <v>3.6796808971815085</v>
      </c>
      <c r="F187">
        <f>MIN($K$3,E187-$L$3)-$M$3</f>
        <v>3.605</v>
      </c>
      <c r="G187">
        <f>MATCH(F187,Load!C$3:C$15,1)</f>
        <v>6</v>
      </c>
      <c r="H187">
        <f xml:space="preserve"> 22.6* F187+ 5.5703+$N$3*0.001</f>
        <v>87.098300000000009</v>
      </c>
      <c r="I187">
        <f t="shared" si="13"/>
        <v>8.7098299999998154</v>
      </c>
    </row>
    <row r="188" spans="1:9" x14ac:dyDescent="0.3">
      <c r="A188">
        <v>18.399999999999999</v>
      </c>
      <c r="B188">
        <f t="shared" si="11"/>
        <v>19.869563999999791</v>
      </c>
      <c r="C188">
        <f t="shared" si="12"/>
        <v>397.39127999999585</v>
      </c>
      <c r="D188">
        <f>MATCH(B188,Battery!B:B,-1)</f>
        <v>24</v>
      </c>
      <c r="E188" cm="1">
        <f t="array" ref="E188">INDEX(Battery!C:C,D188+1)+(INDEX(Battery!C:C,D188)-INDEX(Battery!C:C,D188+1))/(INDEX(Battery!B:B,D188)-INDEX(Battery!C:C,B188+1))*(B188-INDEX(Battery!C:C,B188+1))</f>
        <v>3.6790064821941351</v>
      </c>
      <c r="F188">
        <f>MIN($K$3,E188-$L$3)-$M$3</f>
        <v>3.605</v>
      </c>
      <c r="G188">
        <f>MATCH(F188,Load!C$3:C$15,1)</f>
        <v>6</v>
      </c>
      <c r="H188">
        <f xml:space="preserve"> 22.6* F188+ 5.5703+$N$3*0.001</f>
        <v>87.098300000000009</v>
      </c>
      <c r="I188">
        <f t="shared" si="13"/>
        <v>8.7098300000001245</v>
      </c>
    </row>
    <row r="189" spans="1:9" x14ac:dyDescent="0.3">
      <c r="A189">
        <v>18.5</v>
      </c>
      <c r="B189">
        <f t="shared" si="11"/>
        <v>19.434072499999786</v>
      </c>
      <c r="C189">
        <f t="shared" si="12"/>
        <v>388.68144999999572</v>
      </c>
      <c r="D189">
        <f>MATCH(B189,Battery!B:B,-1)</f>
        <v>24</v>
      </c>
      <c r="E189" cm="1">
        <f t="array" ref="E189">INDEX(Battery!C:C,D189+1)+(INDEX(Battery!C:C,D189)-INDEX(Battery!C:C,D189+1))/(INDEX(Battery!B:B,D189)-INDEX(Battery!C:C,B189+1))*(B189-INDEX(Battery!C:C,B189+1))</f>
        <v>3.67833296740038</v>
      </c>
      <c r="F189">
        <f>MIN($K$3,E189-$L$3)-$M$3</f>
        <v>3.605</v>
      </c>
      <c r="G189">
        <f>MATCH(F189,Load!C$3:C$15,1)</f>
        <v>6</v>
      </c>
      <c r="H189">
        <f xml:space="preserve"> 22.6* F189+ 5.5703+$N$3*0.001</f>
        <v>87.098300000000009</v>
      </c>
      <c r="I189">
        <f t="shared" si="13"/>
        <v>8.7098300000001245</v>
      </c>
    </row>
    <row r="190" spans="1:9" x14ac:dyDescent="0.3">
      <c r="A190">
        <v>18.600000000000001</v>
      </c>
      <c r="B190">
        <f t="shared" si="11"/>
        <v>18.998580999999778</v>
      </c>
      <c r="C190">
        <f t="shared" si="12"/>
        <v>379.9716199999956</v>
      </c>
      <c r="D190">
        <f>MATCH(B190,Battery!B:B,-1)</f>
        <v>24</v>
      </c>
      <c r="E190" cm="1">
        <f t="array" ref="E190">INDEX(Battery!C:C,D190+1)+(INDEX(Battery!C:C,D190)-INDEX(Battery!C:C,D190+1))/(INDEX(Battery!B:B,D190)-INDEX(Battery!C:C,B190+1))*(B190-INDEX(Battery!C:C,B190+1))</f>
        <v>3.6776558874491636</v>
      </c>
      <c r="F190">
        <f>MIN($K$3,E190-$L$3)-$M$3</f>
        <v>3.605</v>
      </c>
      <c r="G190">
        <f>MATCH(F190,Load!C$3:C$15,1)</f>
        <v>6</v>
      </c>
      <c r="H190">
        <f xml:space="preserve"> 22.6* F190+ 5.5703+$N$3*0.001</f>
        <v>87.098300000000009</v>
      </c>
      <c r="I190">
        <f t="shared" si="13"/>
        <v>8.7098299999998154</v>
      </c>
    </row>
    <row r="191" spans="1:9" x14ac:dyDescent="0.3">
      <c r="A191">
        <v>18.7</v>
      </c>
      <c r="B191">
        <f t="shared" si="11"/>
        <v>18.563089499999787</v>
      </c>
      <c r="C191">
        <f t="shared" si="12"/>
        <v>371.26178999999576</v>
      </c>
      <c r="D191">
        <f>MATCH(B191,Battery!B:B,-1)</f>
        <v>24</v>
      </c>
      <c r="E191" cm="1">
        <f t="array" ref="E191">INDEX(Battery!C:C,D191+1)+(INDEX(Battery!C:C,D191)-INDEX(Battery!C:C,D191+1))/(INDEX(Battery!B:B,D191)-INDEX(Battery!C:C,B191+1))*(B191-INDEX(Battery!C:C,B191+1))</f>
        <v>3.6769815751704411</v>
      </c>
      <c r="F191">
        <f>MIN($K$3,E191-$L$3)-$M$3</f>
        <v>3.605</v>
      </c>
      <c r="G191">
        <f>MATCH(F191,Load!C$3:C$15,1)</f>
        <v>6</v>
      </c>
      <c r="H191">
        <f xml:space="preserve"> 22.6* F191+ 5.5703+$N$3*0.001</f>
        <v>87.098300000000009</v>
      </c>
      <c r="I191">
        <f t="shared" si="13"/>
        <v>8.7098300000001245</v>
      </c>
    </row>
    <row r="192" spans="1:9" x14ac:dyDescent="0.3">
      <c r="A192">
        <v>18.8</v>
      </c>
      <c r="B192">
        <f t="shared" si="11"/>
        <v>18.127597999999782</v>
      </c>
      <c r="C192">
        <f t="shared" si="12"/>
        <v>362.55195999999563</v>
      </c>
      <c r="D192">
        <f>MATCH(B192,Battery!B:B,-1)</f>
        <v>24</v>
      </c>
      <c r="E192" cm="1">
        <f t="array" ref="E192">INDEX(Battery!C:C,D192+1)+(INDEX(Battery!C:C,D192)-INDEX(Battery!C:C,D192+1))/(INDEX(Battery!B:B,D192)-INDEX(Battery!C:C,B192+1))*(B192-INDEX(Battery!C:C,B192+1))</f>
        <v>3.6763072628917182</v>
      </c>
      <c r="F192">
        <f>MIN($K$3,E192-$L$3)-$M$3</f>
        <v>3.605</v>
      </c>
      <c r="G192">
        <f>MATCH(F192,Load!C$3:C$15,1)</f>
        <v>6</v>
      </c>
      <c r="H192">
        <f xml:space="preserve"> 22.6* F192+ 5.5703+$N$3*0.001</f>
        <v>87.098300000000009</v>
      </c>
      <c r="I192">
        <f t="shared" si="13"/>
        <v>8.7098299999998154</v>
      </c>
    </row>
    <row r="193" spans="1:9" x14ac:dyDescent="0.3">
      <c r="A193">
        <v>18.899999999999999</v>
      </c>
      <c r="B193">
        <f t="shared" si="11"/>
        <v>17.692106499999792</v>
      </c>
      <c r="C193">
        <f t="shared" si="12"/>
        <v>353.84212999999579</v>
      </c>
      <c r="D193">
        <f>MATCH(B193,Battery!B:B,-1)</f>
        <v>24</v>
      </c>
      <c r="E193" cm="1">
        <f t="array" ref="E193">INDEX(Battery!C:C,D193+1)+(INDEX(Battery!C:C,D193)-INDEX(Battery!C:C,D193+1))/(INDEX(Battery!B:B,D193)-INDEX(Battery!C:C,B193+1))*(B193-INDEX(Battery!C:C,B193+1))</f>
        <v>3.6756269788579652</v>
      </c>
      <c r="F193">
        <f>MIN($K$3,E193-$L$3)-$M$3</f>
        <v>3.605</v>
      </c>
      <c r="G193">
        <f>MATCH(F193,Load!C$3:C$15,1)</f>
        <v>6</v>
      </c>
      <c r="H193">
        <f xml:space="preserve"> 22.6* F193+ 5.5703+$N$3*0.001</f>
        <v>87.098300000000009</v>
      </c>
      <c r="I193">
        <f t="shared" si="13"/>
        <v>8.7098300000001245</v>
      </c>
    </row>
    <row r="194" spans="1:9" x14ac:dyDescent="0.3">
      <c r="A194">
        <v>19</v>
      </c>
      <c r="B194">
        <f t="shared" si="11"/>
        <v>17.256614999999783</v>
      </c>
      <c r="C194">
        <f t="shared" si="12"/>
        <v>345.13229999999567</v>
      </c>
      <c r="D194">
        <f>MATCH(B194,Battery!B:B,-1)</f>
        <v>24</v>
      </c>
      <c r="E194" cm="1">
        <f t="array" ref="E194">INDEX(Battery!C:C,D194+1)+(INDEX(Battery!C:C,D194)-INDEX(Battery!C:C,D194+1))/(INDEX(Battery!B:B,D194)-INDEX(Battery!C:C,B194+1))*(B194-INDEX(Battery!C:C,B194+1))</f>
        <v>3.6749518672011399</v>
      </c>
      <c r="F194">
        <f>MIN($K$3,E194-$L$3)-$M$3</f>
        <v>3.605</v>
      </c>
      <c r="G194">
        <f>MATCH(F194,Load!C$3:C$15,1)</f>
        <v>6</v>
      </c>
      <c r="H194">
        <f xml:space="preserve"> 22.6* F194+ 5.5703+$N$3*0.001</f>
        <v>87.098300000000009</v>
      </c>
      <c r="I194">
        <f t="shared" si="13"/>
        <v>8.7098300000001245</v>
      </c>
    </row>
    <row r="195" spans="1:9" x14ac:dyDescent="0.3">
      <c r="A195">
        <v>19.100000000000001</v>
      </c>
      <c r="B195">
        <f t="shared" si="11"/>
        <v>16.821123499999775</v>
      </c>
      <c r="C195">
        <f t="shared" si="12"/>
        <v>336.42246999999554</v>
      </c>
      <c r="D195">
        <f>MATCH(B195,Battery!B:B,-1)</f>
        <v>24</v>
      </c>
      <c r="E195" cm="1">
        <f t="array" ref="E195">INDEX(Battery!C:C,D195+1)+(INDEX(Battery!C:C,D195)-INDEX(Battery!C:C,D195+1))/(INDEX(Battery!B:B,D195)-INDEX(Battery!C:C,B195+1))*(B195-INDEX(Battery!C:C,B195+1))</f>
        <v>3.6742668285609517</v>
      </c>
      <c r="F195">
        <f>MIN($K$3,E195-$L$3)-$M$3</f>
        <v>3.605</v>
      </c>
      <c r="G195">
        <f>MATCH(F195,Load!C$3:C$15,1)</f>
        <v>6</v>
      </c>
      <c r="H195">
        <f xml:space="preserve"> 22.6* F195+ 5.5703+$N$3*0.001</f>
        <v>87.098300000000009</v>
      </c>
      <c r="I195">
        <f t="shared" si="13"/>
        <v>8.7098299999998154</v>
      </c>
    </row>
    <row r="196" spans="1:9" x14ac:dyDescent="0.3">
      <c r="A196">
        <v>19.2</v>
      </c>
      <c r="B196">
        <f t="shared" si="11"/>
        <v>16.385631999999788</v>
      </c>
      <c r="C196">
        <f t="shared" si="12"/>
        <v>327.7126399999957</v>
      </c>
      <c r="D196">
        <f>MATCH(B196,Battery!B:B,-1)</f>
        <v>25</v>
      </c>
      <c r="E196" cm="1">
        <f t="array" ref="E196">INDEX(Battery!C:C,D196+1)+(INDEX(Battery!C:C,D196)-INDEX(Battery!C:C,D196+1))/(INDEX(Battery!B:B,D196)-INDEX(Battery!C:C,B196+1))*(B196-INDEX(Battery!C:C,B196+1))</f>
        <v>3.6534572346008236</v>
      </c>
      <c r="F196">
        <f>MIN($K$3,E196-$L$3)-$M$3</f>
        <v>3.5984572346008239</v>
      </c>
      <c r="G196">
        <f>MATCH(F196,Load!C$3:C$15,1)</f>
        <v>5</v>
      </c>
      <c r="H196">
        <f xml:space="preserve"> 22.6* F196+ 5.5703+$N$3*0.001</f>
        <v>86.950433501978637</v>
      </c>
      <c r="I196">
        <f t="shared" si="13"/>
        <v>8.695043350197988</v>
      </c>
    </row>
    <row r="197" spans="1:9" x14ac:dyDescent="0.3">
      <c r="A197">
        <v>19.3</v>
      </c>
      <c r="B197">
        <f t="shared" si="11"/>
        <v>15.950879832489887</v>
      </c>
      <c r="C197">
        <f t="shared" si="12"/>
        <v>319.01759664979772</v>
      </c>
      <c r="D197">
        <f>MATCH(B197,Battery!B:B,-1)</f>
        <v>25</v>
      </c>
      <c r="E197" cm="1">
        <f t="array" ref="E197">INDEX(Battery!C:C,D197+1)+(INDEX(Battery!C:C,D197)-INDEX(Battery!C:C,D197+1))/(INDEX(Battery!B:B,D197)-INDEX(Battery!C:C,B197+1))*(B197-INDEX(Battery!C:C,B197+1))</f>
        <v>3.6526639314890552</v>
      </c>
      <c r="F197">
        <f>MIN($K$3,E197-$L$3)-$M$3</f>
        <v>3.5976639314890555</v>
      </c>
      <c r="G197">
        <f>MATCH(F197,Load!C$3:C$15,1)</f>
        <v>5</v>
      </c>
      <c r="H197">
        <f xml:space="preserve"> 22.6* F197+ 5.5703+$N$3*0.001</f>
        <v>86.932504851652666</v>
      </c>
      <c r="I197">
        <f t="shared" si="13"/>
        <v>8.6932504851650805</v>
      </c>
    </row>
    <row r="198" spans="1:9" x14ac:dyDescent="0.3">
      <c r="A198">
        <v>19.399999999999999</v>
      </c>
      <c r="B198">
        <f t="shared" si="11"/>
        <v>15.516217308231631</v>
      </c>
      <c r="C198">
        <f t="shared" si="12"/>
        <v>310.32434616463263</v>
      </c>
      <c r="D198">
        <f>MATCH(B198,Battery!B:B,-1)</f>
        <v>25</v>
      </c>
      <c r="E198" cm="1">
        <f t="array" ref="E198">INDEX(Battery!C:C,D198+1)+(INDEX(Battery!C:C,D198)-INDEX(Battery!C:C,D198+1))/(INDEX(Battery!B:B,D198)-INDEX(Battery!C:C,B198+1))*(B198-INDEX(Battery!C:C,B198+1))</f>
        <v>3.6518721490821884</v>
      </c>
      <c r="F198">
        <f>MIN($K$3,E198-$L$3)-$M$3</f>
        <v>3.5968721490821887</v>
      </c>
      <c r="G198">
        <f>MATCH(F198,Load!C$3:C$15,1)</f>
        <v>5</v>
      </c>
      <c r="H198">
        <f xml:space="preserve"> 22.6* F198+ 5.5703+$N$3*0.001</f>
        <v>86.914610569257476</v>
      </c>
      <c r="I198">
        <f t="shared" si="13"/>
        <v>8.6914610569258706</v>
      </c>
    </row>
    <row r="199" spans="1:9" x14ac:dyDescent="0.3">
      <c r="A199">
        <v>19.5</v>
      </c>
      <c r="B199">
        <f t="shared" si="11"/>
        <v>15.08164425538534</v>
      </c>
      <c r="C199">
        <f t="shared" si="12"/>
        <v>301.63288510770678</v>
      </c>
      <c r="D199">
        <f>MATCH(B199,Battery!B:B,-1)</f>
        <v>25</v>
      </c>
      <c r="E199" cm="1">
        <f t="array" ref="E199">INDEX(Battery!C:C,D199+1)+(INDEX(Battery!C:C,D199)-INDEX(Battery!C:C,D199+1))/(INDEX(Battery!B:B,D199)-INDEX(Battery!C:C,B199+1))*(B199-INDEX(Battery!C:C,B199+1))</f>
        <v>3.6510805296566833</v>
      </c>
      <c r="F199">
        <f>MIN($K$3,E199-$L$3)-$M$3</f>
        <v>3.5960805296566836</v>
      </c>
      <c r="G199">
        <f>MATCH(F199,Load!C$3:C$15,1)</f>
        <v>5</v>
      </c>
      <c r="H199">
        <f xml:space="preserve"> 22.6* F199+ 5.5703+$N$3*0.001</f>
        <v>86.896719970241065</v>
      </c>
      <c r="I199">
        <f t="shared" si="13"/>
        <v>8.6896719970242309</v>
      </c>
    </row>
    <row r="200" spans="1:9" x14ac:dyDescent="0.3">
      <c r="A200">
        <v>19.600000000000001</v>
      </c>
      <c r="B200">
        <f t="shared" si="11"/>
        <v>14.647160655534128</v>
      </c>
      <c r="C200">
        <f t="shared" si="12"/>
        <v>292.94321311068256</v>
      </c>
      <c r="D200">
        <f>MATCH(B200,Battery!B:B,-1)</f>
        <v>25</v>
      </c>
      <c r="E200" cm="1">
        <f t="array" ref="E200">INDEX(Battery!C:C,D200+1)+(INDEX(Battery!C:C,D200)-INDEX(Battery!C:C,D200+1))/(INDEX(Battery!B:B,D200)-INDEX(Battery!C:C,B200+1))*(B200-INDEX(Battery!C:C,B200+1))</f>
        <v>3.6502803100504617</v>
      </c>
      <c r="F200">
        <f>MIN($K$3,E200-$L$3)-$M$3</f>
        <v>3.595280310050462</v>
      </c>
      <c r="G200">
        <f>MATCH(F200,Load!C$3:C$15,1)</f>
        <v>5</v>
      </c>
      <c r="H200">
        <f xml:space="preserve"> 22.6* F200+ 5.5703+$N$3*0.001</f>
        <v>86.87863500714046</v>
      </c>
      <c r="I200">
        <f t="shared" si="13"/>
        <v>8.6878635007138616</v>
      </c>
    </row>
    <row r="201" spans="1:9" x14ac:dyDescent="0.3">
      <c r="A201">
        <v>19.7</v>
      </c>
      <c r="B201">
        <f t="shared" si="11"/>
        <v>14.212767480498433</v>
      </c>
      <c r="C201">
        <f t="shared" si="12"/>
        <v>284.25534960996868</v>
      </c>
      <c r="D201">
        <f>MATCH(B201,Battery!B:B,-1)</f>
        <v>25</v>
      </c>
      <c r="E201" cm="1">
        <f t="array" ref="E201">INDEX(Battery!C:C,D201+1)+(INDEX(Battery!C:C,D201)-INDEX(Battery!C:C,D201+1))/(INDEX(Battery!B:B,D201)-INDEX(Battery!C:C,B201+1))*(B201-INDEX(Battery!C:C,B201+1))</f>
        <v>3.6494871882729294</v>
      </c>
      <c r="F201">
        <f>MIN($K$3,E201-$L$3)-$M$3</f>
        <v>3.5944871882729297</v>
      </c>
      <c r="G201">
        <f>MATCH(F201,Load!C$3:C$15,1)</f>
        <v>5</v>
      </c>
      <c r="H201">
        <f xml:space="preserve"> 22.6* F201+ 5.5703+$N$3*0.001</f>
        <v>86.860710454968228</v>
      </c>
      <c r="I201">
        <f t="shared" si="13"/>
        <v>8.6860710454969468</v>
      </c>
    </row>
    <row r="202" spans="1:9" x14ac:dyDescent="0.3">
      <c r="A202">
        <v>19.8</v>
      </c>
      <c r="B202">
        <f t="shared" si="11"/>
        <v>13.778463928223585</v>
      </c>
      <c r="C202">
        <f t="shared" si="12"/>
        <v>275.56927856447174</v>
      </c>
      <c r="D202">
        <f>MATCH(B202,Battery!B:B,-1)</f>
        <v>26</v>
      </c>
      <c r="E202" cm="1">
        <f t="array" ref="E202">INDEX(Battery!C:C,D202+1)+(INDEX(Battery!C:C,D202)-INDEX(Battery!C:C,D202+1))/(INDEX(Battery!B:B,D202)-INDEX(Battery!C:C,B202+1))*(B202-INDEX(Battery!C:C,B202+1))</f>
        <v>3.6300168395247359</v>
      </c>
      <c r="F202">
        <f>MIN($K$3,E202-$L$3)-$M$3</f>
        <v>3.5750168395247361</v>
      </c>
      <c r="G202">
        <f>MATCH(F202,Load!C$3:C$15,1)</f>
        <v>5</v>
      </c>
      <c r="H202">
        <f xml:space="preserve"> 22.6* F202+ 5.5703+$N$3*0.001</f>
        <v>86.420680573259048</v>
      </c>
      <c r="I202">
        <f t="shared" si="13"/>
        <v>8.6420680573257211</v>
      </c>
    </row>
    <row r="203" spans="1:9" x14ac:dyDescent="0.3">
      <c r="A203">
        <v>19.899999999999999</v>
      </c>
      <c r="B203">
        <f t="shared" si="11"/>
        <v>13.346360525357301</v>
      </c>
      <c r="C203">
        <f t="shared" si="12"/>
        <v>266.92721050714601</v>
      </c>
      <c r="D203">
        <f>MATCH(B203,Battery!B:B,-1)</f>
        <v>26</v>
      </c>
      <c r="E203" cm="1">
        <f t="array" ref="E203">INDEX(Battery!C:C,D203+1)+(INDEX(Battery!C:C,D203)-INDEX(Battery!C:C,D203+1))/(INDEX(Battery!B:B,D203)-INDEX(Battery!C:C,B203+1))*(B203-INDEX(Battery!C:C,B203+1))</f>
        <v>3.6290154011617139</v>
      </c>
      <c r="F203">
        <f>MIN($K$3,E203-$L$3)-$M$3</f>
        <v>3.5740154011617142</v>
      </c>
      <c r="G203">
        <f>MATCH(F203,Load!C$3:C$15,1)</f>
        <v>5</v>
      </c>
      <c r="H203">
        <f xml:space="preserve"> 22.6* F203+ 5.5703+$N$3*0.001</f>
        <v>86.398048066254759</v>
      </c>
      <c r="I203">
        <f t="shared" si="13"/>
        <v>8.6398048066255981</v>
      </c>
    </row>
    <row r="204" spans="1:9" x14ac:dyDescent="0.3">
      <c r="A204">
        <v>20</v>
      </c>
      <c r="B204">
        <f t="shared" si="11"/>
        <v>12.914370285026022</v>
      </c>
      <c r="C204">
        <f t="shared" si="12"/>
        <v>258.28740570052042</v>
      </c>
      <c r="D204">
        <f>MATCH(B204,Battery!B:B,-1)</f>
        <v>26</v>
      </c>
      <c r="E204" cm="1">
        <f t="array" ref="E204">INDEX(Battery!C:C,D204+1)+(INDEX(Battery!C:C,D204)-INDEX(Battery!C:C,D204+1))/(INDEX(Battery!B:B,D204)-INDEX(Battery!C:C,B204+1))*(B204-INDEX(Battery!C:C,B204+1))</f>
        <v>3.6280061649169895</v>
      </c>
      <c r="F204">
        <f>MIN($K$3,E204-$L$3)-$M$3</f>
        <v>3.5730061649169897</v>
      </c>
      <c r="G204">
        <f>MATCH(F204,Load!C$3:C$15,1)</f>
        <v>5</v>
      </c>
      <c r="H204">
        <f xml:space="preserve"> 22.6* F204+ 5.5703+$N$3*0.001</f>
        <v>86.375239327123978</v>
      </c>
      <c r="I204">
        <f t="shared" si="13"/>
        <v>8.6375239327125204</v>
      </c>
    </row>
    <row r="205" spans="1:9" x14ac:dyDescent="0.3">
      <c r="A205">
        <v>20.100000000000001</v>
      </c>
      <c r="B205">
        <f t="shared" si="11"/>
        <v>12.482494088390395</v>
      </c>
      <c r="C205">
        <f t="shared" si="12"/>
        <v>249.6498817678079</v>
      </c>
      <c r="D205">
        <f>MATCH(B205,Battery!B:B,-1)</f>
        <v>26</v>
      </c>
      <c r="E205" cm="1">
        <f t="array" ref="E205">INDEX(Battery!C:C,D205+1)+(INDEX(Battery!C:C,D205)-INDEX(Battery!C:C,D205+1))/(INDEX(Battery!B:B,D205)-INDEX(Battery!C:C,B205+1))*(B205-INDEX(Battery!C:C,B205+1))</f>
        <v>3.6270021506005539</v>
      </c>
      <c r="F205">
        <f>MIN($K$3,E205-$L$3)-$M$3</f>
        <v>3.5720021506005541</v>
      </c>
      <c r="G205">
        <f>MATCH(F205,Load!C$3:C$15,1)</f>
        <v>5</v>
      </c>
      <c r="H205">
        <f xml:space="preserve"> 22.6* F205+ 5.5703+$N$3*0.001</f>
        <v>86.352548603572544</v>
      </c>
      <c r="I205">
        <f t="shared" si="13"/>
        <v>8.6352548603570707</v>
      </c>
    </row>
    <row r="206" spans="1:9" x14ac:dyDescent="0.3">
      <c r="A206">
        <v>20.2</v>
      </c>
      <c r="B206">
        <f t="shared" si="11"/>
        <v>12.050731345372542</v>
      </c>
      <c r="C206">
        <f t="shared" si="12"/>
        <v>241.01462690745083</v>
      </c>
      <c r="D206">
        <f>MATCH(B206,Battery!B:B,-1)</f>
        <v>26</v>
      </c>
      <c r="E206" cm="1">
        <f t="array" ref="E206">INDEX(Battery!C:C,D206+1)+(INDEX(Battery!C:C,D206)-INDEX(Battery!C:C,D206+1))/(INDEX(Battery!B:B,D206)-INDEX(Battery!C:C,B206+1))*(B206-INDEX(Battery!C:C,B206+1))</f>
        <v>3.6259984000380774</v>
      </c>
      <c r="F206">
        <f>MIN($K$3,E206-$L$3)-$M$3</f>
        <v>3.5709984000380777</v>
      </c>
      <c r="G206">
        <f>MATCH(F206,Load!C$3:C$15,1)</f>
        <v>5</v>
      </c>
      <c r="H206">
        <f xml:space="preserve"> 22.6* F206+ 5.5703+$N$3*0.001</f>
        <v>86.329863840860568</v>
      </c>
      <c r="I206">
        <f t="shared" si="13"/>
        <v>8.6329863840947674</v>
      </c>
    </row>
    <row r="207" spans="1:9" x14ac:dyDescent="0.3">
      <c r="A207">
        <v>20.3000000000001</v>
      </c>
      <c r="B207">
        <f t="shared" si="11"/>
        <v>11.619082026167803</v>
      </c>
      <c r="C207">
        <f t="shared" si="12"/>
        <v>232.38164052335605</v>
      </c>
      <c r="D207">
        <f>MATCH(B207,Battery!B:B,-1)</f>
        <v>26</v>
      </c>
      <c r="E207" cm="1">
        <f t="array" ref="E207">INDEX(Battery!C:C,D207+1)+(INDEX(Battery!C:C,D207)-INDEX(Battery!C:C,D207+1))/(INDEX(Battery!B:B,D207)-INDEX(Battery!C:C,B207+1))*(B207-INDEX(Battery!C:C,B207+1))</f>
        <v>3.6249774398975414</v>
      </c>
      <c r="F207">
        <f>MIN($K$3,E207-$L$3)-$M$3</f>
        <v>3.5699774398975417</v>
      </c>
      <c r="G207">
        <f>MATCH(F207,Load!C$3:C$15,1)</f>
        <v>5</v>
      </c>
      <c r="H207">
        <f xml:space="preserve"> 22.6* F207+ 5.5703+$N$3*0.001</f>
        <v>86.306790141684459</v>
      </c>
      <c r="I207">
        <f t="shared" si="13"/>
        <v>8.6306790141596768</v>
      </c>
    </row>
    <row r="208" spans="1:9" x14ac:dyDescent="0.3">
      <c r="A208">
        <v>20.399999999999999</v>
      </c>
      <c r="B208">
        <f t="shared" si="11"/>
        <v>11.187548075459819</v>
      </c>
      <c r="C208">
        <f t="shared" si="12"/>
        <v>223.75096150919637</v>
      </c>
      <c r="D208">
        <f>MATCH(B208,Battery!B:B,-1)</f>
        <v>28</v>
      </c>
      <c r="E208" cm="1">
        <f t="array" ref="E208">INDEX(Battery!C:C,D208+1)+(INDEX(Battery!C:C,D208)-INDEX(Battery!C:C,D208+1))/(INDEX(Battery!B:B,D208)-INDEX(Battery!C:C,B208+1))*(B208-INDEX(Battery!C:C,B208+1))</f>
        <v>3.6058881802856662</v>
      </c>
      <c r="F208">
        <f>MIN($K$3,E208-$L$3)-$M$3</f>
        <v>3.5508881802856664</v>
      </c>
      <c r="G208">
        <f>MATCH(F208,Load!C$3:C$15,1)</f>
        <v>5</v>
      </c>
      <c r="H208">
        <f xml:space="preserve"> 22.6* F208+ 5.5703+$N$3*0.001</f>
        <v>85.875372874456076</v>
      </c>
      <c r="I208">
        <f t="shared" si="13"/>
        <v>8.5875372874457305</v>
      </c>
    </row>
    <row r="209" spans="1:9" x14ac:dyDescent="0.3">
      <c r="A209">
        <v>20.5</v>
      </c>
      <c r="B209">
        <f t="shared" si="11"/>
        <v>10.758171211087532</v>
      </c>
      <c r="C209">
        <f t="shared" si="12"/>
        <v>215.16342422175063</v>
      </c>
      <c r="D209">
        <f>MATCH(B209,Battery!B:B,-1)</f>
        <v>28</v>
      </c>
      <c r="E209" cm="1">
        <f t="array" ref="E209">INDEX(Battery!C:C,D209+1)+(INDEX(Battery!C:C,D209)-INDEX(Battery!C:C,D209+1))/(INDEX(Battery!B:B,D209)-INDEX(Battery!C:C,B209+1))*(B209-INDEX(Battery!C:C,B209+1))</f>
        <v>3.6040862943724452</v>
      </c>
      <c r="F209">
        <f>MIN($K$3,E209-$L$3)-$M$3</f>
        <v>3.5490862943724455</v>
      </c>
      <c r="G209">
        <f>MATCH(F209,Load!C$3:C$15,1)</f>
        <v>5</v>
      </c>
      <c r="H209">
        <f xml:space="preserve"> 22.6* F209+ 5.5703+$N$3*0.001</f>
        <v>85.834650252817283</v>
      </c>
      <c r="I209">
        <f t="shared" si="13"/>
        <v>8.5834650252903888</v>
      </c>
    </row>
    <row r="210" spans="1:9" x14ac:dyDescent="0.3">
      <c r="A210">
        <v>20.600000000000101</v>
      </c>
      <c r="B210">
        <f t="shared" si="11"/>
        <v>10.328997959823011</v>
      </c>
      <c r="C210">
        <f t="shared" si="12"/>
        <v>206.57995919646024</v>
      </c>
      <c r="D210">
        <f>MATCH(B210,Battery!B:B,-1)</f>
        <v>28</v>
      </c>
      <c r="E210" cm="1">
        <f t="array" ref="E210">INDEX(Battery!C:C,D210+1)+(INDEX(Battery!C:C,D210)-INDEX(Battery!C:C,D210+1))/(INDEX(Battery!B:B,D210)-INDEX(Battery!C:C,B210+1))*(B210-INDEX(Battery!C:C,B210+1))</f>
        <v>3.6022913331076514</v>
      </c>
      <c r="F210">
        <f>MIN($K$3,E210-$L$3)-$M$3</f>
        <v>3.5472913331076517</v>
      </c>
      <c r="G210">
        <f>MATCH(F210,Load!C$3:C$15,1)</f>
        <v>5</v>
      </c>
      <c r="H210">
        <f xml:space="preserve"> 22.6* F210+ 5.5703+$N$3*0.001</f>
        <v>85.794084128232939</v>
      </c>
      <c r="I210">
        <f t="shared" si="13"/>
        <v>8.5794084128145762</v>
      </c>
    </row>
    <row r="211" spans="1:9" x14ac:dyDescent="0.3">
      <c r="A211">
        <v>20.7</v>
      </c>
      <c r="B211">
        <f t="shared" si="11"/>
        <v>9.9000275391822825</v>
      </c>
      <c r="C211">
        <f t="shared" si="12"/>
        <v>198.00055078364565</v>
      </c>
      <c r="D211">
        <f>MATCH(B211,Battery!B:B,-1)</f>
        <v>28</v>
      </c>
      <c r="E211" cm="1">
        <f t="array" ref="E211">INDEX(Battery!C:C,D211+1)+(INDEX(Battery!C:C,D211)-INDEX(Battery!C:C,D211+1))/(INDEX(Battery!B:B,D211)-INDEX(Battery!C:C,B211+1))*(B211-INDEX(Battery!C:C,B211+1))</f>
        <v>3.6004692753301981</v>
      </c>
      <c r="F211">
        <f>MIN($K$3,E211-$L$3)-$M$3</f>
        <v>3.5454692753301984</v>
      </c>
      <c r="G211">
        <f>MATCH(F211,Load!C$3:C$15,1)</f>
        <v>5</v>
      </c>
      <c r="H211">
        <f xml:space="preserve"> 22.6* F211+ 5.5703+$N$3*0.001</f>
        <v>85.752905622462492</v>
      </c>
      <c r="I211">
        <f t="shared" si="13"/>
        <v>8.5752905622549012</v>
      </c>
    </row>
    <row r="212" spans="1:9" x14ac:dyDescent="0.3">
      <c r="A212">
        <v>20.8000000000001</v>
      </c>
      <c r="B212">
        <f t="shared" si="11"/>
        <v>9.4712630110695368</v>
      </c>
      <c r="C212">
        <f t="shared" si="12"/>
        <v>189.42526022139074</v>
      </c>
      <c r="D212">
        <f>MATCH(B212,Battery!B:B,-1)</f>
        <v>28</v>
      </c>
      <c r="E212" cm="1">
        <f t="array" ref="E212">INDEX(Battery!C:C,D212+1)+(INDEX(Battery!C:C,D212)-INDEX(Battery!C:C,D212+1))/(INDEX(Battery!B:B,D212)-INDEX(Battery!C:C,B212+1))*(B212-INDEX(Battery!C:C,B212+1))</f>
        <v>3.5986684919402747</v>
      </c>
      <c r="F212">
        <f>MIN($K$3,E212-$L$3)-$M$3</f>
        <v>3.543668491940275</v>
      </c>
      <c r="G212">
        <f>MATCH(F212,Load!C$3:C$15,1)</f>
        <v>5</v>
      </c>
      <c r="H212">
        <f xml:space="preserve"> 22.6* F212+ 5.5703+$N$3*0.001</f>
        <v>85.712207917850236</v>
      </c>
      <c r="I212">
        <f t="shared" si="13"/>
        <v>8.5712207917851462</v>
      </c>
    </row>
    <row r="213" spans="1:9" x14ac:dyDescent="0.3">
      <c r="A213">
        <v>20.900000000000102</v>
      </c>
      <c r="B213">
        <f t="shared" si="11"/>
        <v>9.0427019714802803</v>
      </c>
      <c r="C213">
        <f t="shared" si="12"/>
        <v>180.85403942960559</v>
      </c>
      <c r="D213">
        <f>MATCH(B213,Battery!B:B,-1)</f>
        <v>29</v>
      </c>
      <c r="E213" cm="1">
        <f t="array" ref="E213">INDEX(Battery!C:C,D213+1)+(INDEX(Battery!C:C,D213)-INDEX(Battery!C:C,D213+1))/(INDEX(Battery!B:B,D213)-INDEX(Battery!C:C,B213+1))*(B213-INDEX(Battery!C:C,B213+1))</f>
        <v>3.5754925949211733</v>
      </c>
      <c r="F213">
        <f>MIN($K$3,E213-$L$3)-$M$3</f>
        <v>3.5204925949211736</v>
      </c>
      <c r="G213">
        <f>MATCH(F213,Load!C$3:C$15,1)</f>
        <v>5</v>
      </c>
      <c r="H213">
        <f xml:space="preserve"> 22.6* F213+ 5.5703+$N$3*0.001</f>
        <v>85.188432645218541</v>
      </c>
      <c r="I213">
        <f t="shared" si="13"/>
        <v>8.5188432645216725</v>
      </c>
    </row>
    <row r="214" spans="1:9" x14ac:dyDescent="0.3">
      <c r="A214">
        <v>21.000000000000099</v>
      </c>
      <c r="B214">
        <f t="shared" si="11"/>
        <v>8.6167598082541961</v>
      </c>
      <c r="C214">
        <f t="shared" si="12"/>
        <v>172.33519616508391</v>
      </c>
      <c r="D214">
        <f>MATCH(B214,Battery!B:B,-1)</f>
        <v>29</v>
      </c>
      <c r="E214" cm="1">
        <f t="array" ref="E214">INDEX(Battery!C:C,D214+1)+(INDEX(Battery!C:C,D214)-INDEX(Battery!C:C,D214+1))/(INDEX(Battery!B:B,D214)-INDEX(Battery!C:C,B214+1))*(B214-INDEX(Battery!C:C,B214+1))</f>
        <v>3.5721624879443445</v>
      </c>
      <c r="F214">
        <f>MIN($K$3,E214-$L$3)-$M$3</f>
        <v>3.5171624879443448</v>
      </c>
      <c r="G214">
        <f>MATCH(F214,Load!C$3:C$15,1)</f>
        <v>5</v>
      </c>
      <c r="H214">
        <f xml:space="preserve"> 22.6* F214+ 5.5703+$N$3*0.001</f>
        <v>85.113172227542208</v>
      </c>
      <c r="I214">
        <f t="shared" si="13"/>
        <v>8.5113172227543412</v>
      </c>
    </row>
    <row r="215" spans="1:9" x14ac:dyDescent="0.3">
      <c r="A215">
        <v>21.100000000000101</v>
      </c>
      <c r="B215">
        <f t="shared" si="11"/>
        <v>8.1911939471164796</v>
      </c>
      <c r="C215">
        <f t="shared" si="12"/>
        <v>163.82387894232957</v>
      </c>
      <c r="D215">
        <f>MATCH(B215,Battery!B:B,-1)</f>
        <v>29</v>
      </c>
      <c r="E215" cm="1">
        <f t="array" ref="E215">INDEX(Battery!C:C,D215+1)+(INDEX(Battery!C:C,D215)-INDEX(Battery!C:C,D215+1))/(INDEX(Battery!B:B,D215)-INDEX(Battery!C:C,B215+1))*(B215-INDEX(Battery!C:C,B215+1))</f>
        <v>3.5688384699834139</v>
      </c>
      <c r="F215">
        <f>MIN($K$3,E215-$L$3)-$M$3</f>
        <v>3.5138384699834142</v>
      </c>
      <c r="G215">
        <f>MATCH(F215,Load!C$3:C$15,1)</f>
        <v>5</v>
      </c>
      <c r="H215">
        <f xml:space="preserve"> 22.6* F215+ 5.5703+$N$3*0.001</f>
        <v>85.038049421625175</v>
      </c>
      <c r="I215">
        <f t="shared" si="13"/>
        <v>8.5038049421623363</v>
      </c>
    </row>
    <row r="216" spans="1:9" x14ac:dyDescent="0.3">
      <c r="A216">
        <v>21.200000000000099</v>
      </c>
      <c r="B216">
        <f t="shared" si="11"/>
        <v>7.7660037000083619</v>
      </c>
      <c r="C216">
        <f t="shared" si="12"/>
        <v>155.32007400016724</v>
      </c>
      <c r="D216">
        <f>MATCH(B216,Battery!B:B,-1)</f>
        <v>29</v>
      </c>
      <c r="E216" cm="1">
        <f t="array" ref="E216">INDEX(Battery!C:C,D216+1)+(INDEX(Battery!C:C,D216)-INDEX(Battery!C:C,D216+1))/(INDEX(Battery!B:B,D216)-INDEX(Battery!C:C,B216+1))*(B216-INDEX(Battery!C:C,B216+1))</f>
        <v>3.5654784408204665</v>
      </c>
      <c r="F216">
        <f>MIN($K$3,E216-$L$3)-$M$3</f>
        <v>3.5104784408204668</v>
      </c>
      <c r="G216">
        <f>MATCH(F216,Load!C$3:C$15,1)</f>
        <v>5</v>
      </c>
      <c r="H216">
        <f xml:space="preserve"> 22.6* F216+ 5.5703+$N$3*0.001</f>
        <v>84.96211276254256</v>
      </c>
      <c r="I216">
        <f t="shared" si="13"/>
        <v>8.4962112762543764</v>
      </c>
    </row>
    <row r="217" spans="1:9" x14ac:dyDescent="0.3">
      <c r="A217">
        <v>21.3000000000001</v>
      </c>
      <c r="B217">
        <f t="shared" si="11"/>
        <v>7.3411931361956437</v>
      </c>
      <c r="C217">
        <f t="shared" si="12"/>
        <v>146.82386272391287</v>
      </c>
      <c r="D217">
        <f>MATCH(B217,Battery!B:B,-1)</f>
        <v>29</v>
      </c>
      <c r="E217" cm="1">
        <f t="array" ref="E217">INDEX(Battery!C:C,D217+1)+(INDEX(Battery!C:C,D217)-INDEX(Battery!C:C,D217+1))/(INDEX(Battery!B:B,D217)-INDEX(Battery!C:C,B217+1))*(B217-INDEX(Battery!C:C,B217+1))</f>
        <v>3.5621478352188984</v>
      </c>
      <c r="F217">
        <f>MIN($K$3,E217-$L$3)-$M$3</f>
        <v>3.5071478352188987</v>
      </c>
      <c r="G217">
        <f>MATCH(F217,Load!C$3:C$15,1)</f>
        <v>4</v>
      </c>
      <c r="H217">
        <f xml:space="preserve"> 22.6* F217+ 5.5703+$N$3*0.001</f>
        <v>84.886841075947132</v>
      </c>
      <c r="I217">
        <f t="shared" si="13"/>
        <v>8.4886841075948336</v>
      </c>
    </row>
    <row r="218" spans="1:9" x14ac:dyDescent="0.3">
      <c r="A218">
        <v>21.400000000000102</v>
      </c>
      <c r="B218">
        <f t="shared" si="11"/>
        <v>6.9167589308159023</v>
      </c>
      <c r="C218">
        <f t="shared" si="12"/>
        <v>138.33517861631805</v>
      </c>
      <c r="D218">
        <f>MATCH(B218,Battery!B:B,-1)</f>
        <v>30</v>
      </c>
      <c r="E218" cm="1">
        <f t="array" ref="E218">INDEX(Battery!C:C,D218+1)+(INDEX(Battery!C:C,D218)-INDEX(Battery!C:C,D218+1))/(INDEX(Battery!B:B,D218)-INDEX(Battery!C:C,B218+1))*(B218-INDEX(Battery!C:C,B218+1))</f>
        <v>3.5359787962524205</v>
      </c>
      <c r="F218">
        <f>MIN($K$3,E218-$L$3)-$M$3</f>
        <v>3.4809787962524208</v>
      </c>
      <c r="G218">
        <f>MATCH(F218,Load!C$3:C$15,1)</f>
        <v>4</v>
      </c>
      <c r="H218">
        <f xml:space="preserve"> 22.6* F218+ 5.5703+$N$3*0.001</f>
        <v>84.295420795304722</v>
      </c>
      <c r="I218">
        <f t="shared" si="13"/>
        <v>8.4295420795302931</v>
      </c>
    </row>
    <row r="219" spans="1:9" x14ac:dyDescent="0.3">
      <c r="A219">
        <v>21.500000000000099</v>
      </c>
      <c r="B219">
        <f t="shared" si="11"/>
        <v>6.4952818268393884</v>
      </c>
      <c r="C219">
        <f t="shared" si="12"/>
        <v>129.90563653678777</v>
      </c>
      <c r="D219">
        <f>MATCH(B219,Battery!B:B,-1)</f>
        <v>30</v>
      </c>
      <c r="E219" cm="1">
        <f t="array" ref="E219">INDEX(Battery!C:C,D219+1)+(INDEX(Battery!C:C,D219)-INDEX(Battery!C:C,D219+1))/(INDEX(Battery!B:B,D219)-INDEX(Battery!C:C,B219+1))*(B219-INDEX(Battery!C:C,B219+1))</f>
        <v>3.5309184086557655</v>
      </c>
      <c r="F219">
        <f>MIN($K$3,E219-$L$3)-$M$3</f>
        <v>3.4759184086557657</v>
      </c>
      <c r="G219">
        <f>MATCH(F219,Load!C$3:C$15,1)</f>
        <v>4</v>
      </c>
      <c r="H219">
        <f xml:space="preserve"> 22.6* F219+ 5.5703+$N$3*0.001</f>
        <v>84.181056035620315</v>
      </c>
      <c r="I219">
        <f t="shared" si="13"/>
        <v>8.418105603562152</v>
      </c>
    </row>
    <row r="220" spans="1:9" x14ac:dyDescent="0.3">
      <c r="A220">
        <v>21.600000000000101</v>
      </c>
      <c r="B220">
        <f t="shared" si="11"/>
        <v>6.0743765466612807</v>
      </c>
      <c r="C220">
        <f t="shared" si="12"/>
        <v>121.48753093322561</v>
      </c>
      <c r="D220">
        <f>MATCH(B220,Battery!B:B,-1)</f>
        <v>30</v>
      </c>
      <c r="E220" cm="1">
        <f t="array" ref="E220">INDEX(Battery!C:C,D220+1)+(INDEX(Battery!C:C,D220)-INDEX(Battery!C:C,D220+1))/(INDEX(Battery!B:B,D220)-INDEX(Battery!C:C,B220+1))*(B220-INDEX(Battery!C:C,B220+1))</f>
        <v>3.5258648865567372</v>
      </c>
      <c r="F220">
        <f>MIN($K$3,E220-$L$3)-$M$3</f>
        <v>3.4708648865567375</v>
      </c>
      <c r="G220">
        <f>MATCH(F220,Load!C$3:C$15,1)</f>
        <v>4</v>
      </c>
      <c r="H220">
        <f xml:space="preserve"> 22.6* F220+ 5.5703+$N$3*0.001</f>
        <v>84.066846436182288</v>
      </c>
      <c r="I220">
        <f t="shared" si="13"/>
        <v>8.4066846436180498</v>
      </c>
    </row>
    <row r="221" spans="1:9" x14ac:dyDescent="0.3">
      <c r="A221">
        <v>21.700000000000099</v>
      </c>
      <c r="B221">
        <f t="shared" si="11"/>
        <v>5.6540423144803782</v>
      </c>
      <c r="C221">
        <f t="shared" si="12"/>
        <v>113.08084628960756</v>
      </c>
      <c r="D221">
        <f>MATCH(B221,Battery!B:B,-1)</f>
        <v>31</v>
      </c>
      <c r="E221" cm="1">
        <f t="array" ref="E221">INDEX(Battery!C:C,D221+1)+(INDEX(Battery!C:C,D221)-INDEX(Battery!C:C,D221+1))/(INDEX(Battery!B:B,D221)-INDEX(Battery!C:C,B221+1))*(B221-INDEX(Battery!C:C,B221+1))</f>
        <v>3.4978015747726077</v>
      </c>
      <c r="F221">
        <f>MIN($K$3,E221-$L$3)-$M$3</f>
        <v>3.442801574772608</v>
      </c>
      <c r="G221">
        <f>MATCH(F221,Load!C$3:C$15,1)</f>
        <v>3</v>
      </c>
      <c r="H221">
        <f xml:space="preserve"> 22.6* F221+ 5.5703+$N$3*0.001</f>
        <v>83.432615589860958</v>
      </c>
      <c r="I221">
        <f t="shared" si="13"/>
        <v>8.3432615589862138</v>
      </c>
    </row>
    <row r="222" spans="1:9" x14ac:dyDescent="0.3">
      <c r="A222">
        <v>21.8000000000001</v>
      </c>
      <c r="B222">
        <f t="shared" si="11"/>
        <v>5.2368792365310677</v>
      </c>
      <c r="C222">
        <f t="shared" si="12"/>
        <v>104.73758473062135</v>
      </c>
      <c r="D222">
        <f>MATCH(B222,Battery!B:B,-1)</f>
        <v>31</v>
      </c>
      <c r="E222" cm="1">
        <f t="array" ref="E222">INDEX(Battery!C:C,D222+1)+(INDEX(Battery!C:C,D222)-INDEX(Battery!C:C,D222+1))/(INDEX(Battery!B:B,D222)-INDEX(Battery!C:C,B222+1))*(B222-INDEX(Battery!C:C,B222+1))</f>
        <v>3.4862509377138857</v>
      </c>
      <c r="F222">
        <f>MIN($K$3,E222-$L$3)-$M$3</f>
        <v>3.431250937713886</v>
      </c>
      <c r="G222">
        <f>MATCH(F222,Load!C$3:C$15,1)</f>
        <v>3</v>
      </c>
      <c r="H222">
        <f xml:space="preserve"> 22.6* F222+ 5.5703+$N$3*0.001</f>
        <v>83.171571192333843</v>
      </c>
      <c r="I222">
        <f t="shared" si="13"/>
        <v>8.317157119233503</v>
      </c>
    </row>
    <row r="223" spans="1:9" x14ac:dyDescent="0.3">
      <c r="A223">
        <v>21.900000000000102</v>
      </c>
      <c r="B223">
        <f t="shared" si="11"/>
        <v>4.821021380569392</v>
      </c>
      <c r="C223">
        <f t="shared" si="12"/>
        <v>96.420427611387851</v>
      </c>
      <c r="D223">
        <f>MATCH(B223,Battery!B:B,-1)</f>
        <v>31</v>
      </c>
      <c r="E223" cm="1">
        <f t="array" ref="E223">INDEX(Battery!C:C,D223+1)+(INDEX(Battery!C:C,D223)-INDEX(Battery!C:C,D223+1))/(INDEX(Battery!B:B,D223)-INDEX(Battery!C:C,B223+1))*(B223-INDEX(Battery!C:C,B223+1))</f>
        <v>3.4744792403603153</v>
      </c>
      <c r="F223">
        <f>MIN($K$3,E223-$L$3)-$M$3</f>
        <v>3.4194792403603156</v>
      </c>
      <c r="G223">
        <f>MATCH(F223,Load!C$3:C$15,1)</f>
        <v>3</v>
      </c>
      <c r="H223">
        <f xml:space="preserve"> 22.6* F223+ 5.5703+$N$3*0.001</f>
        <v>82.905530832143143</v>
      </c>
      <c r="I223">
        <f t="shared" si="13"/>
        <v>8.290553083214137</v>
      </c>
    </row>
    <row r="224" spans="1:9" x14ac:dyDescent="0.3">
      <c r="A224">
        <v>22.000000000000099</v>
      </c>
      <c r="B224">
        <f t="shared" si="11"/>
        <v>4.4064937264086854</v>
      </c>
      <c r="C224">
        <f t="shared" si="12"/>
        <v>88.129874528173715</v>
      </c>
      <c r="D224">
        <f>MATCH(B224,Battery!B:B,-1)</f>
        <v>32</v>
      </c>
      <c r="E224" cm="1">
        <f t="array" ref="E224">INDEX(Battery!C:C,D224+1)+(INDEX(Battery!C:C,D224)-INDEX(Battery!C:C,D224+1))/(INDEX(Battery!B:B,D224)-INDEX(Battery!C:C,B224+1))*(B224-INDEX(Battery!C:C,B224+1))</f>
        <v>3.434982008945668</v>
      </c>
      <c r="F224">
        <f>MIN($K$3,E224-$L$3)-$M$3</f>
        <v>3.3799820089456682</v>
      </c>
      <c r="G224">
        <f>MATCH(F224,Load!C$3:C$15,1)</f>
        <v>2</v>
      </c>
      <c r="H224">
        <f xml:space="preserve"> 22.6* F224+ 5.5703+$N$3*0.001</f>
        <v>82.012893402172111</v>
      </c>
      <c r="I224">
        <f t="shared" si="13"/>
        <v>8.2012893402173273</v>
      </c>
    </row>
    <row r="225" spans="1:9" x14ac:dyDescent="0.3">
      <c r="A225">
        <v>22.100000000000101</v>
      </c>
      <c r="B225">
        <f t="shared" si="11"/>
        <v>3.9964292593978192</v>
      </c>
      <c r="C225">
        <f t="shared" si="12"/>
        <v>79.928585187956386</v>
      </c>
      <c r="D225">
        <f>MATCH(B225,Battery!B:B,-1)</f>
        <v>32</v>
      </c>
      <c r="E225" cm="1">
        <f t="array" ref="E225">INDEX(Battery!C:C,D225+1)+(INDEX(Battery!C:C,D225)-INDEX(Battery!C:C,D225+1))/(INDEX(Battery!B:B,D225)-INDEX(Battery!C:C,B225+1))*(B225-INDEX(Battery!C:C,B225+1))</f>
        <v>3.3841590663174306</v>
      </c>
      <c r="F225">
        <f>MIN($K$3,E225-$L$3)-$M$3</f>
        <v>3.3291590663174309</v>
      </c>
      <c r="G225">
        <f>MATCH(F225,Load!C$3:C$15,1)</f>
        <v>2</v>
      </c>
      <c r="H225">
        <f xml:space="preserve"> 22.6* F225+ 5.5703+$N$3*0.001</f>
        <v>80.864294898773949</v>
      </c>
      <c r="I225">
        <f t="shared" si="13"/>
        <v>8.0864294898772222</v>
      </c>
    </row>
    <row r="226" spans="1:9" x14ac:dyDescent="0.3">
      <c r="A226">
        <v>22.200000000000099</v>
      </c>
      <c r="B226">
        <f t="shared" ref="B226:B240" si="14">C226/C$4*100</f>
        <v>3.5921077849039582</v>
      </c>
      <c r="C226">
        <f t="shared" ref="C226:C240" si="15">C225-I225</f>
        <v>71.842155698079168</v>
      </c>
      <c r="D226">
        <f>MATCH(B226,Battery!B:B,-1)</f>
        <v>33</v>
      </c>
      <c r="E226" cm="1">
        <f t="array" ref="E226">INDEX(Battery!C:C,D226+1)+(INDEX(Battery!C:C,D226)-INDEX(Battery!C:C,D226+1))/(INDEX(Battery!B:B,D226)-INDEX(Battery!C:C,B226+1))*(B226-INDEX(Battery!C:C,B226+1))</f>
        <v>3.4084459486430521</v>
      </c>
      <c r="F226">
        <f>MIN($K$3,E226-$L$3)-$M$3</f>
        <v>3.3534459486430523</v>
      </c>
      <c r="G226">
        <f>MATCH(F226,Load!C$3:C$15,1)</f>
        <v>2</v>
      </c>
      <c r="H226">
        <f xml:space="preserve"> 22.6* F226+ 5.5703+$N$3*0.001</f>
        <v>81.413178439332995</v>
      </c>
      <c r="I226">
        <f t="shared" ref="I226:I240" si="16">H226*(A227-A226)</f>
        <v>8.1413178439334146</v>
      </c>
    </row>
    <row r="227" spans="1:9" x14ac:dyDescent="0.3">
      <c r="A227">
        <v>22.3000000000001</v>
      </c>
      <c r="B227">
        <f t="shared" si="14"/>
        <v>3.1850418927072877</v>
      </c>
      <c r="C227">
        <f t="shared" si="15"/>
        <v>63.700837854145753</v>
      </c>
      <c r="D227">
        <f>MATCH(B227,Battery!B:B,-1)</f>
        <v>33</v>
      </c>
      <c r="E227" cm="1">
        <f t="array" ref="E227">INDEX(Battery!C:C,D227+1)+(INDEX(Battery!C:C,D227)-INDEX(Battery!C:C,D227+1))/(INDEX(Battery!B:B,D227)-INDEX(Battery!C:C,B227+1))*(B227-INDEX(Battery!C:C,B227+1))</f>
        <v>3.4511889823656006</v>
      </c>
      <c r="F227">
        <f>MIN($K$3,E227-$L$3)-$M$3</f>
        <v>3.3961889823656009</v>
      </c>
      <c r="G227">
        <f>MATCH(F227,Load!C$3:C$15,1)</f>
        <v>2</v>
      </c>
      <c r="H227">
        <f xml:space="preserve"> 22.6* F227+ 5.5703+$N$3*0.001</f>
        <v>82.379171001462595</v>
      </c>
      <c r="I227">
        <f t="shared" si="16"/>
        <v>8.237917100146376</v>
      </c>
    </row>
    <row r="228" spans="1:9" x14ac:dyDescent="0.3">
      <c r="A228">
        <v>22.400000000000102</v>
      </c>
      <c r="B228">
        <f t="shared" si="14"/>
        <v>2.7731460376999686</v>
      </c>
      <c r="C228">
        <f t="shared" si="15"/>
        <v>55.462920753999377</v>
      </c>
      <c r="D228">
        <f>MATCH(B228,Battery!B:B,-1)</f>
        <v>33</v>
      </c>
      <c r="E228" cm="1">
        <f t="array" ref="E228">INDEX(Battery!C:C,D228+1)+(INDEX(Battery!C:C,D228)-INDEX(Battery!C:C,D228+1))/(INDEX(Battery!B:B,D228)-INDEX(Battery!C:C,B228+1))*(B228-INDEX(Battery!C:C,B228+1))</f>
        <v>3.4891617882824169</v>
      </c>
      <c r="F228">
        <f>MIN($K$3,E228-$L$3)-$M$3</f>
        <v>3.4341617882824171</v>
      </c>
      <c r="G228">
        <f>MATCH(F228,Load!C$3:C$15,1)</f>
        <v>3</v>
      </c>
      <c r="H228">
        <f xml:space="preserve"> 22.6* F228+ 5.5703+$N$3*0.001</f>
        <v>83.237356415182646</v>
      </c>
      <c r="I228">
        <f t="shared" si="16"/>
        <v>8.3237356415180876</v>
      </c>
    </row>
    <row r="229" spans="1:9" x14ac:dyDescent="0.3">
      <c r="A229">
        <v>22.500000000000099</v>
      </c>
      <c r="B229">
        <f t="shared" si="14"/>
        <v>2.3569592556240644</v>
      </c>
      <c r="C229">
        <f t="shared" si="15"/>
        <v>47.139185112481286</v>
      </c>
      <c r="D229">
        <f>MATCH(B229,Battery!B:B,-1)</f>
        <v>34</v>
      </c>
      <c r="E229" cm="1">
        <f t="array" ref="E229">INDEX(Battery!C:C,D229+1)+(INDEX(Battery!C:C,D229)-INDEX(Battery!C:C,D229+1))/(INDEX(Battery!B:B,D229)-INDEX(Battery!C:C,B229+1))*(B229-INDEX(Battery!C:C,B229+1))</f>
        <v>3.3633216328416244</v>
      </c>
      <c r="F229">
        <f>MIN($K$3,E229-$L$3)-$M$3</f>
        <v>3.3083216328416247</v>
      </c>
      <c r="G229">
        <f>MATCH(F229,Load!C$3:C$15,1)</f>
        <v>1</v>
      </c>
      <c r="H229">
        <f xml:space="preserve"> 22.6* F229+ 5.5703+$N$3*0.001</f>
        <v>80.393368902220729</v>
      </c>
      <c r="I229">
        <f t="shared" si="16"/>
        <v>8.039336890222188</v>
      </c>
    </row>
    <row r="230" spans="1:9" x14ac:dyDescent="0.3">
      <c r="A230">
        <v>22.600000000000101</v>
      </c>
      <c r="B230">
        <f t="shared" si="14"/>
        <v>1.9549924111129551</v>
      </c>
      <c r="C230">
        <f t="shared" si="15"/>
        <v>39.099848222259098</v>
      </c>
      <c r="D230">
        <f>MATCH(B230,Battery!B:B,-1)</f>
        <v>35</v>
      </c>
      <c r="E230" cm="1">
        <f t="array" ref="E230">INDEX(Battery!C:C,D230+1)+(INDEX(Battery!C:C,D230)-INDEX(Battery!C:C,D230+1))/(INDEX(Battery!B:B,D230)-INDEX(Battery!C:C,B230+1))*(B230-INDEX(Battery!C:C,B230+1))</f>
        <v>3.3056750901667931</v>
      </c>
      <c r="F230">
        <f>MIN($K$3,E230-$L$3)-$M$3</f>
        <v>3.2506750901667933</v>
      </c>
      <c r="G230">
        <f>MATCH(F230,Load!C$3:C$15,1)</f>
        <v>1</v>
      </c>
      <c r="H230">
        <f xml:space="preserve"> 22.6* F230+ 5.5703+$N$3*0.001</f>
        <v>79.090557037769543</v>
      </c>
      <c r="I230">
        <f t="shared" si="16"/>
        <v>7.9090557037767857</v>
      </c>
    </row>
    <row r="231" spans="1:9" x14ac:dyDescent="0.3">
      <c r="A231">
        <v>22.700000000000099</v>
      </c>
      <c r="B231">
        <f t="shared" si="14"/>
        <v>1.5595396259241157</v>
      </c>
      <c r="C231">
        <f t="shared" si="15"/>
        <v>31.190792518482311</v>
      </c>
      <c r="D231">
        <f>MATCH(B231,Battery!B:B,-1)</f>
        <v>35</v>
      </c>
      <c r="E231" cm="1">
        <f t="array" ref="E231">INDEX(Battery!C:C,D231+1)+(INDEX(Battery!C:C,D231)-INDEX(Battery!C:C,D231+1))/(INDEX(Battery!B:B,D231)-INDEX(Battery!C:C,B231+1))*(B231-INDEX(Battery!C:C,B231+1))</f>
        <v>3.3173223138918404</v>
      </c>
      <c r="F231">
        <f>MIN($K$3,E231-$L$3)-$M$3</f>
        <v>3.2623223138918407</v>
      </c>
      <c r="G231">
        <f>MATCH(F231,Load!C$3:C$15,1)</f>
        <v>1</v>
      </c>
      <c r="H231">
        <f xml:space="preserve"> 22.6* F231+ 5.5703+$N$3*0.001</f>
        <v>79.353784293955613</v>
      </c>
      <c r="I231">
        <f t="shared" si="16"/>
        <v>7.9353784293956737</v>
      </c>
    </row>
    <row r="232" spans="1:9" x14ac:dyDescent="0.3">
      <c r="A232">
        <v>22.8000000000001</v>
      </c>
      <c r="B232">
        <f t="shared" si="14"/>
        <v>1.1627707044543321</v>
      </c>
      <c r="C232">
        <f t="shared" si="15"/>
        <v>23.255414089086639</v>
      </c>
      <c r="D232">
        <f>MATCH(B232,Battery!B:B,-1)</f>
        <v>36</v>
      </c>
      <c r="E232" cm="1">
        <f t="array" ref="E232">INDEX(Battery!C:C,D232+1)+(INDEX(Battery!C:C,D232)-INDEX(Battery!C:C,D232+1))/(INDEX(Battery!B:B,D232)-INDEX(Battery!C:C,B232+1))*(B232-INDEX(Battery!C:C,B232+1))</f>
        <v>3.2482389780522527</v>
      </c>
      <c r="F232">
        <f>MIN($K$3,E232-$L$3)-$M$3</f>
        <v>3.193238978052253</v>
      </c>
      <c r="G232" t="e">
        <f>MATCH(F232,Load!C$3:C$15,1)</f>
        <v>#N/A</v>
      </c>
      <c r="H232">
        <f xml:space="preserve"> 22.6* F232+ 5.5703+$N$3*0.001</f>
        <v>77.792500903980937</v>
      </c>
      <c r="I232">
        <f t="shared" si="16"/>
        <v>7.7792500903982038</v>
      </c>
    </row>
    <row r="233" spans="1:9" x14ac:dyDescent="0.3">
      <c r="A233">
        <v>22.900000000000102</v>
      </c>
      <c r="B233">
        <f t="shared" si="14"/>
        <v>0.77380819993442174</v>
      </c>
      <c r="C233">
        <f t="shared" si="15"/>
        <v>15.476163998688435</v>
      </c>
      <c r="D233">
        <f>MATCH(B233,Battery!B:B,-1)</f>
        <v>37</v>
      </c>
      <c r="E233" t="e" cm="1">
        <f t="array" ref="E233">INDEX(Battery!C:C,D233+1)+(INDEX(Battery!C:C,D233)-INDEX(Battery!C:C,D233+1))/(INDEX(Battery!B:B,D233)-INDEX(Battery!C:C,B233+1))*(B233-INDEX(Battery!C:C,B233+1))</f>
        <v>#VALUE!</v>
      </c>
      <c r="F233" t="e">
        <f>MIN($K$3,E233-$L$3)-$M$3</f>
        <v>#VALUE!</v>
      </c>
      <c r="G233" t="e">
        <f>MATCH(F233,Load!C$3:C$15,1)</f>
        <v>#VALUE!</v>
      </c>
      <c r="H233" t="e">
        <f xml:space="preserve"> 22.6* F233+ 5.5703+$N$3*0.001</f>
        <v>#VALUE!</v>
      </c>
      <c r="I233" t="e">
        <f t="shared" si="16"/>
        <v>#VALUE!</v>
      </c>
    </row>
    <row r="234" spans="1:9" x14ac:dyDescent="0.3">
      <c r="A234">
        <v>23.000000000000099</v>
      </c>
      <c r="B234" t="e">
        <f t="shared" si="14"/>
        <v>#VALUE!</v>
      </c>
      <c r="C234" t="e">
        <f t="shared" si="15"/>
        <v>#VALUE!</v>
      </c>
      <c r="D234" t="e">
        <f>MATCH(B234,Battery!B:B,-1)</f>
        <v>#VALUE!</v>
      </c>
      <c r="E234" t="e" cm="1">
        <f t="array" ref="E234">INDEX(Battery!C:C,D234+1)+(INDEX(Battery!C:C,D234)-INDEX(Battery!C:C,D234+1))/(INDEX(Battery!B:B,D234)-INDEX(Battery!C:C,B234+1))*(B234-INDEX(Battery!C:C,B234+1))</f>
        <v>#VALUE!</v>
      </c>
      <c r="F234" t="e">
        <f>MIN($K$3,E234-$L$3)-$M$3</f>
        <v>#VALUE!</v>
      </c>
      <c r="G234" t="e">
        <f>MATCH(F234,Load!C$3:C$15,1)</f>
        <v>#VALUE!</v>
      </c>
      <c r="H234" t="e">
        <f xml:space="preserve"> 22.6* F234+ 5.5703+$N$3*0.001</f>
        <v>#VALUE!</v>
      </c>
      <c r="I234" t="e">
        <f t="shared" si="16"/>
        <v>#VALUE!</v>
      </c>
    </row>
    <row r="235" spans="1:9" x14ac:dyDescent="0.3">
      <c r="A235">
        <v>23.100000000000101</v>
      </c>
      <c r="B235" t="e">
        <f t="shared" si="14"/>
        <v>#VALUE!</v>
      </c>
      <c r="C235" t="e">
        <f t="shared" si="15"/>
        <v>#VALUE!</v>
      </c>
      <c r="D235" t="e">
        <f>MATCH(B235,Battery!B:B,-1)</f>
        <v>#VALUE!</v>
      </c>
      <c r="E235" t="e" cm="1">
        <f t="array" ref="E235">INDEX(Battery!C:C,D235+1)+(INDEX(Battery!C:C,D235)-INDEX(Battery!C:C,D235+1))/(INDEX(Battery!B:B,D235)-INDEX(Battery!C:C,B235+1))*(B235-INDEX(Battery!C:C,B235+1))</f>
        <v>#VALUE!</v>
      </c>
      <c r="F235" t="e">
        <f>MIN($K$3,E235-$L$3)-$M$3</f>
        <v>#VALUE!</v>
      </c>
      <c r="G235" t="e">
        <f>MATCH(F235,Load!C$3:C$15,1)</f>
        <v>#VALUE!</v>
      </c>
      <c r="H235" t="e">
        <f xml:space="preserve"> 22.6* F235+ 5.5703+$N$3*0.001</f>
        <v>#VALUE!</v>
      </c>
      <c r="I235" t="e">
        <f t="shared" si="16"/>
        <v>#VALUE!</v>
      </c>
    </row>
    <row r="236" spans="1:9" x14ac:dyDescent="0.3">
      <c r="A236">
        <v>23.200000000000099</v>
      </c>
      <c r="B236" t="e">
        <f t="shared" si="14"/>
        <v>#VALUE!</v>
      </c>
      <c r="C236" t="e">
        <f t="shared" si="15"/>
        <v>#VALUE!</v>
      </c>
      <c r="D236" t="e">
        <f>MATCH(B236,Battery!B:B,-1)</f>
        <v>#VALUE!</v>
      </c>
      <c r="E236" t="e" cm="1">
        <f t="array" ref="E236">INDEX(Battery!C:C,D236+1)+(INDEX(Battery!C:C,D236)-INDEX(Battery!C:C,D236+1))/(INDEX(Battery!B:B,D236)-INDEX(Battery!C:C,B236+1))*(B236-INDEX(Battery!C:C,B236+1))</f>
        <v>#VALUE!</v>
      </c>
      <c r="F236" t="e">
        <f>MIN($K$3,E236-$L$3)-$M$3</f>
        <v>#VALUE!</v>
      </c>
      <c r="G236" t="e">
        <f>MATCH(F236,Load!C$3:C$15,1)</f>
        <v>#VALUE!</v>
      </c>
      <c r="H236" t="e">
        <f xml:space="preserve"> 22.6* F236+ 5.5703+$N$3*0.001</f>
        <v>#VALUE!</v>
      </c>
      <c r="I236" t="e">
        <f t="shared" si="16"/>
        <v>#VALUE!</v>
      </c>
    </row>
    <row r="237" spans="1:9" x14ac:dyDescent="0.3">
      <c r="A237">
        <v>23.3000000000001</v>
      </c>
      <c r="B237" t="e">
        <f t="shared" si="14"/>
        <v>#VALUE!</v>
      </c>
      <c r="C237" t="e">
        <f t="shared" si="15"/>
        <v>#VALUE!</v>
      </c>
      <c r="D237" t="e">
        <f>MATCH(B237,Battery!B:B,-1)</f>
        <v>#VALUE!</v>
      </c>
      <c r="E237" t="e" cm="1">
        <f t="array" ref="E237">INDEX(Battery!C:C,D237+1)+(INDEX(Battery!C:C,D237)-INDEX(Battery!C:C,D237+1))/(INDEX(Battery!B:B,D237)-INDEX(Battery!C:C,B237+1))*(B237-INDEX(Battery!C:C,B237+1))</f>
        <v>#VALUE!</v>
      </c>
      <c r="F237" t="e">
        <f>MIN($K$3,E237-$L$3)-$M$3</f>
        <v>#VALUE!</v>
      </c>
      <c r="G237" t="e">
        <f>MATCH(F237,Load!C$3:C$15,1)</f>
        <v>#VALUE!</v>
      </c>
      <c r="H237" t="e">
        <f xml:space="preserve"> 22.6* F237+ 5.5703+$N$3*0.001</f>
        <v>#VALUE!</v>
      </c>
      <c r="I237" t="e">
        <f t="shared" si="16"/>
        <v>#VALUE!</v>
      </c>
    </row>
    <row r="238" spans="1:9" x14ac:dyDescent="0.3">
      <c r="A238">
        <v>23.400000000000102</v>
      </c>
      <c r="B238" t="e">
        <f t="shared" si="14"/>
        <v>#VALUE!</v>
      </c>
      <c r="C238" t="e">
        <f t="shared" si="15"/>
        <v>#VALUE!</v>
      </c>
      <c r="D238" t="e">
        <f>MATCH(B238,Battery!B:B,-1)</f>
        <v>#VALUE!</v>
      </c>
      <c r="E238" t="e" cm="1">
        <f t="array" ref="E238">INDEX(Battery!C:C,D238+1)+(INDEX(Battery!C:C,D238)-INDEX(Battery!C:C,D238+1))/(INDEX(Battery!B:B,D238)-INDEX(Battery!C:C,B238+1))*(B238-INDEX(Battery!C:C,B238+1))</f>
        <v>#VALUE!</v>
      </c>
      <c r="F238" t="e">
        <f>MIN($K$3,E238-$L$3)-$M$3</f>
        <v>#VALUE!</v>
      </c>
      <c r="G238" t="e">
        <f>MATCH(F238,Load!C$3:C$15,1)</f>
        <v>#VALUE!</v>
      </c>
      <c r="H238" t="e">
        <f xml:space="preserve"> 22.6* F238+ 5.5703+$N$3*0.001</f>
        <v>#VALUE!</v>
      </c>
      <c r="I238" t="e">
        <f t="shared" si="16"/>
        <v>#VALUE!</v>
      </c>
    </row>
    <row r="239" spans="1:9" x14ac:dyDescent="0.3">
      <c r="A239">
        <v>23.5</v>
      </c>
      <c r="B239" t="e">
        <f t="shared" si="14"/>
        <v>#VALUE!</v>
      </c>
      <c r="C239" t="e">
        <f t="shared" si="15"/>
        <v>#VALUE!</v>
      </c>
      <c r="D239" t="e">
        <f>MATCH(B239,Battery!B:B,-1)</f>
        <v>#VALUE!</v>
      </c>
      <c r="E239" t="e" cm="1">
        <f t="array" ref="E239">INDEX(Battery!C:C,D239+1)+(INDEX(Battery!C:C,D239)-INDEX(Battery!C:C,D239+1))/(INDEX(Battery!B:B,D239)-INDEX(Battery!C:C,B239+1))*(B239-INDEX(Battery!C:C,B239+1))</f>
        <v>#VALUE!</v>
      </c>
      <c r="F239" t="e">
        <f>MIN($K$3,E239-$L$3)-$M$3</f>
        <v>#VALUE!</v>
      </c>
      <c r="G239" t="e">
        <f>MATCH(F239,Load!C$3:C$15,1)</f>
        <v>#VALUE!</v>
      </c>
      <c r="H239" t="e">
        <f xml:space="preserve"> 22.6* F239+ 5.5703+$N$3*0.001</f>
        <v>#VALUE!</v>
      </c>
      <c r="I239" t="e">
        <f t="shared" si="16"/>
        <v>#VALUE!</v>
      </c>
    </row>
    <row r="240" spans="1:9" x14ac:dyDescent="0.3">
      <c r="A240">
        <v>23.600000000000101</v>
      </c>
      <c r="B240" t="e">
        <f t="shared" si="14"/>
        <v>#VALUE!</v>
      </c>
      <c r="C240" t="e">
        <f t="shared" si="15"/>
        <v>#VALUE!</v>
      </c>
      <c r="D240" t="e">
        <f>MATCH(B240,Battery!B:B,-1)</f>
        <v>#VALUE!</v>
      </c>
      <c r="E240" t="e" cm="1">
        <f t="array" ref="E240">INDEX(Battery!C:C,D240+1)+(INDEX(Battery!C:C,D240)-INDEX(Battery!C:C,D240+1))/(INDEX(Battery!B:B,D240)-INDEX(Battery!C:C,B240+1))*(B240-INDEX(Battery!C:C,B240+1))</f>
        <v>#VALUE!</v>
      </c>
      <c r="F240" t="e">
        <f>MIN($K$3,E240-$L$3)-$M$3</f>
        <v>#VALUE!</v>
      </c>
      <c r="G240" t="e">
        <f>MATCH(F240,Load!C$3:C$15,1)</f>
        <v>#VALUE!</v>
      </c>
      <c r="H240" t="e">
        <f xml:space="preserve"> 22.6* F240+ 5.5703+$N$3*0.001</f>
        <v>#VALUE!</v>
      </c>
      <c r="I240" t="e">
        <f t="shared" si="16"/>
        <v>#VALUE!</v>
      </c>
    </row>
    <row r="241" spans="1:9" x14ac:dyDescent="0.3">
      <c r="A241">
        <v>23.7</v>
      </c>
      <c r="B241" t="e">
        <f t="shared" ref="B241:B245" si="17">C241/C$4*100</f>
        <v>#VALUE!</v>
      </c>
      <c r="C241" t="e">
        <f t="shared" ref="C241:C245" si="18">C240-I240</f>
        <v>#VALUE!</v>
      </c>
      <c r="D241" t="e">
        <f>MATCH(B241,Battery!B:B,-1)</f>
        <v>#VALUE!</v>
      </c>
      <c r="E241" t="e" cm="1">
        <f t="array" ref="E241">INDEX(Battery!C:C,D241+1)+(INDEX(Battery!C:C,D241)-INDEX(Battery!C:C,D241+1))/(INDEX(Battery!B:B,D241)-INDEX(Battery!C:C,B241+1))*(B241-INDEX(Battery!C:C,B241+1))</f>
        <v>#VALUE!</v>
      </c>
      <c r="F241" t="e">
        <f>MIN($K$3,E241-$L$3)-$M$3</f>
        <v>#VALUE!</v>
      </c>
      <c r="G241" t="e">
        <f>MATCH(F241,Load!C$3:C$15,1)</f>
        <v>#VALUE!</v>
      </c>
      <c r="H241" t="e">
        <f xml:space="preserve"> 22.6* F241+ 5.5703+$N$3*0.001</f>
        <v>#VALUE!</v>
      </c>
      <c r="I241" t="e">
        <f t="shared" ref="I241:I245" si="19">H241*(A242-A241)</f>
        <v>#VALUE!</v>
      </c>
    </row>
    <row r="242" spans="1:9" x14ac:dyDescent="0.3">
      <c r="A242">
        <v>23.8</v>
      </c>
      <c r="B242" t="e">
        <f t="shared" si="17"/>
        <v>#VALUE!</v>
      </c>
      <c r="C242" t="e">
        <f t="shared" si="18"/>
        <v>#VALUE!</v>
      </c>
      <c r="D242" t="e">
        <f>MATCH(B242,Battery!B:B,-1)</f>
        <v>#VALUE!</v>
      </c>
      <c r="E242" t="e" cm="1">
        <f t="array" ref="E242">INDEX(Battery!C:C,D242+1)+(INDEX(Battery!C:C,D242)-INDEX(Battery!C:C,D242+1))/(INDEX(Battery!B:B,D242)-INDEX(Battery!C:C,B242+1))*(B242-INDEX(Battery!C:C,B242+1))</f>
        <v>#VALUE!</v>
      </c>
      <c r="F242" t="e">
        <f>MIN($K$3,E242-$L$3)-$M$3</f>
        <v>#VALUE!</v>
      </c>
      <c r="G242" t="e">
        <f>MATCH(F242,Load!C$3:C$15,1)</f>
        <v>#VALUE!</v>
      </c>
      <c r="H242" t="e">
        <f xml:space="preserve"> 22.6* F242+ 5.5703+$N$3*0.001</f>
        <v>#VALUE!</v>
      </c>
      <c r="I242" t="e">
        <f t="shared" si="19"/>
        <v>#VALUE!</v>
      </c>
    </row>
    <row r="243" spans="1:9" x14ac:dyDescent="0.3">
      <c r="A243">
        <v>23.9</v>
      </c>
      <c r="B243" t="e">
        <f t="shared" si="17"/>
        <v>#VALUE!</v>
      </c>
      <c r="C243" t="e">
        <f t="shared" si="18"/>
        <v>#VALUE!</v>
      </c>
      <c r="D243" t="e">
        <f>MATCH(B243,Battery!B:B,-1)</f>
        <v>#VALUE!</v>
      </c>
      <c r="E243" t="e" cm="1">
        <f t="array" ref="E243">INDEX(Battery!C:C,D243+1)+(INDEX(Battery!C:C,D243)-INDEX(Battery!C:C,D243+1))/(INDEX(Battery!B:B,D243)-INDEX(Battery!C:C,B243+1))*(B243-INDEX(Battery!C:C,B243+1))</f>
        <v>#VALUE!</v>
      </c>
      <c r="F243" t="e">
        <f>MIN($K$3,E243-$L$3)-$M$3</f>
        <v>#VALUE!</v>
      </c>
      <c r="G243" t="e">
        <f>MATCH(F243,Load!C$3:C$15,1)</f>
        <v>#VALUE!</v>
      </c>
      <c r="H243" t="e">
        <f xml:space="preserve"> 22.6* F243+ 5.5703+$N$3*0.001</f>
        <v>#VALUE!</v>
      </c>
      <c r="I243" t="e">
        <f t="shared" si="19"/>
        <v>#VALUE!</v>
      </c>
    </row>
    <row r="244" spans="1:9" x14ac:dyDescent="0.3">
      <c r="A244">
        <v>24</v>
      </c>
      <c r="B244" t="e">
        <f t="shared" si="17"/>
        <v>#VALUE!</v>
      </c>
      <c r="C244" t="e">
        <f t="shared" si="18"/>
        <v>#VALUE!</v>
      </c>
      <c r="D244" t="e">
        <f>MATCH(B244,Battery!B:B,-1)</f>
        <v>#VALUE!</v>
      </c>
      <c r="E244" t="e" cm="1">
        <f t="array" ref="E244">INDEX(Battery!C:C,D244+1)+(INDEX(Battery!C:C,D244)-INDEX(Battery!C:C,D244+1))/(INDEX(Battery!B:B,D244)-INDEX(Battery!C:C,B244+1))*(B244-INDEX(Battery!C:C,B244+1))</f>
        <v>#VALUE!</v>
      </c>
      <c r="F244" t="e">
        <f>MIN($K$3,E244-$L$3)-$M$3</f>
        <v>#VALUE!</v>
      </c>
      <c r="G244" t="e">
        <f>MATCH(F244,Load!C$3:C$15,1)</f>
        <v>#VALUE!</v>
      </c>
      <c r="H244" t="e">
        <f xml:space="preserve"> 22.6* F244+ 5.5703+$N$3*0.001</f>
        <v>#VALUE!</v>
      </c>
      <c r="I244" t="e">
        <f t="shared" si="19"/>
        <v>#VALUE!</v>
      </c>
    </row>
    <row r="245" spans="1:9" x14ac:dyDescent="0.3">
      <c r="A245">
        <v>24.0999999999996</v>
      </c>
      <c r="B245" t="e">
        <f t="shared" si="17"/>
        <v>#VALUE!</v>
      </c>
      <c r="C245" t="e">
        <f t="shared" si="18"/>
        <v>#VALUE!</v>
      </c>
      <c r="D245" t="e">
        <f>MATCH(B245,Battery!B:B,-1)</f>
        <v>#VALUE!</v>
      </c>
      <c r="E245" t="e" cm="1">
        <f t="array" ref="E245">INDEX(Battery!C:C,D245+1)+(INDEX(Battery!C:C,D245)-INDEX(Battery!C:C,D245+1))/(INDEX(Battery!B:B,D245)-INDEX(Battery!C:C,B245+1))*(B245-INDEX(Battery!C:C,B245+1))</f>
        <v>#VALUE!</v>
      </c>
      <c r="F245" t="e">
        <f>MIN($K$3,E245-$L$3)-$M$3</f>
        <v>#VALUE!</v>
      </c>
      <c r="G245" t="e">
        <f>MATCH(F245,Load!C$3:C$15,1)</f>
        <v>#VALUE!</v>
      </c>
      <c r="H245" t="e">
        <f xml:space="preserve"> 22.6* F245+ 5.5703+$N$3*0.001</f>
        <v>#VALUE!</v>
      </c>
      <c r="I245" t="e">
        <f t="shared" si="19"/>
        <v>#VALUE!</v>
      </c>
    </row>
    <row r="246" spans="1:9" x14ac:dyDescent="0.3">
      <c r="A246">
        <v>24.199999999999498</v>
      </c>
      <c r="B246" t="e">
        <f t="shared" ref="B246:B251" si="20">C246/C$4*100</f>
        <v>#VALUE!</v>
      </c>
      <c r="C246" t="e">
        <f t="shared" ref="C246:C251" si="21">C245-I245</f>
        <v>#VALUE!</v>
      </c>
      <c r="D246" t="e">
        <f>MATCH(B246,Battery!B:B,-1)</f>
        <v>#VALUE!</v>
      </c>
      <c r="E246" t="e" cm="1">
        <f t="array" ref="E246">INDEX(Battery!C:C,D246+1)+(INDEX(Battery!C:C,D246)-INDEX(Battery!C:C,D246+1))/(INDEX(Battery!B:B,D246)-INDEX(Battery!C:C,B246+1))*(B246-INDEX(Battery!C:C,B246+1))</f>
        <v>#VALUE!</v>
      </c>
      <c r="F246" t="e">
        <f>MIN($K$3,E246-$L$3)-$M$3</f>
        <v>#VALUE!</v>
      </c>
      <c r="G246" t="e">
        <f>MATCH(F246,Load!C$3:C$15,1)</f>
        <v>#VALUE!</v>
      </c>
      <c r="H246" t="e">
        <f xml:space="preserve"> 22.6* F246+ 5.5703+$N$3*0.001</f>
        <v>#VALUE!</v>
      </c>
      <c r="I246" t="e">
        <f t="shared" ref="I246:I251" si="22">H246*(A247-A246)</f>
        <v>#VALUE!</v>
      </c>
    </row>
    <row r="247" spans="1:9" x14ac:dyDescent="0.3">
      <c r="A247">
        <v>24.2999999999994</v>
      </c>
      <c r="B247" t="e">
        <f t="shared" si="20"/>
        <v>#VALUE!</v>
      </c>
      <c r="C247" t="e">
        <f t="shared" si="21"/>
        <v>#VALUE!</v>
      </c>
      <c r="D247" t="e">
        <f>MATCH(B247,Battery!B:B,-1)</f>
        <v>#VALUE!</v>
      </c>
      <c r="E247" t="e" cm="1">
        <f t="array" ref="E247">INDEX(Battery!C:C,D247+1)+(INDEX(Battery!C:C,D247)-INDEX(Battery!C:C,D247+1))/(INDEX(Battery!B:B,D247)-INDEX(Battery!C:C,B247+1))*(B247-INDEX(Battery!C:C,B247+1))</f>
        <v>#VALUE!</v>
      </c>
      <c r="F247" t="e">
        <f>MIN($K$3,E247-$L$3)-$M$3</f>
        <v>#VALUE!</v>
      </c>
      <c r="G247" t="e">
        <f>MATCH(F247,Load!C$3:C$15,1)</f>
        <v>#VALUE!</v>
      </c>
      <c r="H247" t="e">
        <f xml:space="preserve"> 22.6* F247+ 5.5703+$N$3*0.001</f>
        <v>#VALUE!</v>
      </c>
      <c r="I247" t="e">
        <f t="shared" si="22"/>
        <v>#VALUE!</v>
      </c>
    </row>
    <row r="248" spans="1:9" x14ac:dyDescent="0.3">
      <c r="A248">
        <v>24.399999999999299</v>
      </c>
      <c r="B248" t="e">
        <f t="shared" si="20"/>
        <v>#VALUE!</v>
      </c>
      <c r="C248" t="e">
        <f t="shared" si="21"/>
        <v>#VALUE!</v>
      </c>
      <c r="D248" t="e">
        <f>MATCH(B248,Battery!B:B,-1)</f>
        <v>#VALUE!</v>
      </c>
      <c r="E248" t="e" cm="1">
        <f t="array" ref="E248">INDEX(Battery!C:C,D248+1)+(INDEX(Battery!C:C,D248)-INDEX(Battery!C:C,D248+1))/(INDEX(Battery!B:B,D248)-INDEX(Battery!C:C,B248+1))*(B248-INDEX(Battery!C:C,B248+1))</f>
        <v>#VALUE!</v>
      </c>
      <c r="F248" t="e">
        <f>MIN($K$3,E248-$L$3)-$M$3</f>
        <v>#VALUE!</v>
      </c>
      <c r="G248" t="e">
        <f>MATCH(F248,Load!C$3:C$15,1)</f>
        <v>#VALUE!</v>
      </c>
      <c r="H248" t="e">
        <f xml:space="preserve"> 22.6* F248+ 5.5703+$N$3*0.001</f>
        <v>#VALUE!</v>
      </c>
      <c r="I248" t="e">
        <f t="shared" si="22"/>
        <v>#VALUE!</v>
      </c>
    </row>
    <row r="249" spans="1:9" x14ac:dyDescent="0.3">
      <c r="A249">
        <v>24.499999999999201</v>
      </c>
      <c r="B249" t="e">
        <f t="shared" si="20"/>
        <v>#VALUE!</v>
      </c>
      <c r="C249" t="e">
        <f t="shared" si="21"/>
        <v>#VALUE!</v>
      </c>
      <c r="D249" t="e">
        <f>MATCH(B249,Battery!B:B,-1)</f>
        <v>#VALUE!</v>
      </c>
      <c r="E249" t="e" cm="1">
        <f t="array" ref="E249">INDEX(Battery!C:C,D249+1)+(INDEX(Battery!C:C,D249)-INDEX(Battery!C:C,D249+1))/(INDEX(Battery!B:B,D249)-INDEX(Battery!C:C,B249+1))*(B249-INDEX(Battery!C:C,B249+1))</f>
        <v>#VALUE!</v>
      </c>
      <c r="F249" t="e">
        <f>MIN($K$3,E249-$L$3)-$M$3</f>
        <v>#VALUE!</v>
      </c>
      <c r="G249" t="e">
        <f>MATCH(F249,Load!C$3:C$15,1)</f>
        <v>#VALUE!</v>
      </c>
      <c r="H249" t="e">
        <f xml:space="preserve"> 22.6* F249+ 5.5703+$N$3*0.001</f>
        <v>#VALUE!</v>
      </c>
      <c r="I249" t="e">
        <f t="shared" si="22"/>
        <v>#VALUE!</v>
      </c>
    </row>
    <row r="250" spans="1:9" x14ac:dyDescent="0.3">
      <c r="A250">
        <v>24.599999999999099</v>
      </c>
      <c r="B250" t="e">
        <f t="shared" si="20"/>
        <v>#VALUE!</v>
      </c>
      <c r="C250" t="e">
        <f t="shared" si="21"/>
        <v>#VALUE!</v>
      </c>
      <c r="D250" t="e">
        <f>MATCH(B250,Battery!B:B,-1)</f>
        <v>#VALUE!</v>
      </c>
      <c r="E250" t="e" cm="1">
        <f t="array" ref="E250">INDEX(Battery!C:C,D250+1)+(INDEX(Battery!C:C,D250)-INDEX(Battery!C:C,D250+1))/(INDEX(Battery!B:B,D250)-INDEX(Battery!C:C,B250+1))*(B250-INDEX(Battery!C:C,B250+1))</f>
        <v>#VALUE!</v>
      </c>
      <c r="F250" t="e">
        <f>MIN($K$3,E250-$L$3)-$M$3</f>
        <v>#VALUE!</v>
      </c>
      <c r="G250" t="e">
        <f>MATCH(F250,Load!C$3:C$15,1)</f>
        <v>#VALUE!</v>
      </c>
      <c r="H250" t="e">
        <f xml:space="preserve"> 22.6* F250+ 5.5703+$N$3*0.001</f>
        <v>#VALUE!</v>
      </c>
      <c r="I250" t="e">
        <f t="shared" si="22"/>
        <v>#VALUE!</v>
      </c>
    </row>
    <row r="251" spans="1:9" x14ac:dyDescent="0.3">
      <c r="A251">
        <v>24.699999999999001</v>
      </c>
      <c r="B251" t="e">
        <f t="shared" si="20"/>
        <v>#VALUE!</v>
      </c>
      <c r="C251" t="e">
        <f t="shared" si="21"/>
        <v>#VALUE!</v>
      </c>
      <c r="D251" t="e">
        <f>MATCH(B251,Battery!B:B,-1)</f>
        <v>#VALUE!</v>
      </c>
      <c r="E251" t="e" cm="1">
        <f t="array" ref="E251">INDEX(Battery!C:C,D251+1)+(INDEX(Battery!C:C,D251)-INDEX(Battery!C:C,D251+1))/(INDEX(Battery!B:B,D251)-INDEX(Battery!C:C,B251+1))*(B251-INDEX(Battery!C:C,B251+1))</f>
        <v>#VALUE!</v>
      </c>
      <c r="F251" t="e">
        <f>MIN($K$3,E251-$L$3)-$M$3</f>
        <v>#VALUE!</v>
      </c>
      <c r="G251" t="e">
        <f>MATCH(F251,Load!C$3:C$15,1)</f>
        <v>#VALUE!</v>
      </c>
      <c r="H251" t="e">
        <f xml:space="preserve"> 22.6* F251+ 5.5703+$N$3*0.001</f>
        <v>#VALUE!</v>
      </c>
      <c r="I251" t="e">
        <f t="shared" si="22"/>
        <v>#VALUE!</v>
      </c>
    </row>
  </sheetData>
  <conditionalFormatting sqref="F2:F1048576">
    <cfRule type="cellIs" dxfId="1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C957-5BC6-483C-AD50-A548587A4F97}">
  <dimension ref="A1:C18"/>
  <sheetViews>
    <sheetView workbookViewId="0">
      <selection activeCell="F27" sqref="F27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49</v>
      </c>
      <c r="B1" t="s">
        <v>50</v>
      </c>
      <c r="C1" t="s">
        <v>51</v>
      </c>
    </row>
    <row r="3" spans="1:3" x14ac:dyDescent="0.3">
      <c r="A3" t="s">
        <v>52</v>
      </c>
      <c r="B3">
        <v>1.3</v>
      </c>
      <c r="C3" t="s">
        <v>20</v>
      </c>
    </row>
    <row r="4" spans="1:3" x14ac:dyDescent="0.3">
      <c r="A4" t="s">
        <v>53</v>
      </c>
      <c r="B4">
        <v>10</v>
      </c>
      <c r="C4" t="s">
        <v>20</v>
      </c>
    </row>
    <row r="6" spans="1:3" x14ac:dyDescent="0.3">
      <c r="A6" t="s">
        <v>54</v>
      </c>
      <c r="B6">
        <v>490</v>
      </c>
      <c r="C6" t="s">
        <v>58</v>
      </c>
    </row>
    <row r="7" spans="1:3" x14ac:dyDescent="0.3">
      <c r="A7" t="s">
        <v>55</v>
      </c>
      <c r="B7">
        <v>590</v>
      </c>
      <c r="C7" t="s">
        <v>58</v>
      </c>
    </row>
    <row r="8" spans="1:3" x14ac:dyDescent="0.3">
      <c r="A8" t="s">
        <v>60</v>
      </c>
      <c r="B8">
        <f>B6/B3</f>
        <v>376.92307692307691</v>
      </c>
    </row>
    <row r="9" spans="1:3" x14ac:dyDescent="0.3">
      <c r="A9" t="s">
        <v>59</v>
      </c>
      <c r="B9">
        <f>B7/B3</f>
        <v>453.84615384615381</v>
      </c>
    </row>
    <row r="10" spans="1:3" x14ac:dyDescent="0.3">
      <c r="A10" t="s">
        <v>61</v>
      </c>
      <c r="B10">
        <f>AVERAGE(B8:B9)</f>
        <v>415.38461538461536</v>
      </c>
    </row>
    <row r="14" spans="1:3" x14ac:dyDescent="0.3">
      <c r="A14" t="s">
        <v>56</v>
      </c>
      <c r="B14">
        <v>470</v>
      </c>
      <c r="C14" t="s">
        <v>58</v>
      </c>
    </row>
    <row r="15" spans="1:3" x14ac:dyDescent="0.3">
      <c r="A15" t="s">
        <v>57</v>
      </c>
      <c r="B15">
        <v>605</v>
      </c>
      <c r="C15" t="s">
        <v>58</v>
      </c>
    </row>
    <row r="16" spans="1:3" x14ac:dyDescent="0.3">
      <c r="A16" t="s">
        <v>60</v>
      </c>
      <c r="B16">
        <f>B14/(B3+B4)</f>
        <v>41.592920353982301</v>
      </c>
      <c r="C16" t="s">
        <v>14</v>
      </c>
    </row>
    <row r="17" spans="1:3" x14ac:dyDescent="0.3">
      <c r="A17" t="s">
        <v>59</v>
      </c>
      <c r="B17">
        <f>B15/(B3+B4)</f>
        <v>53.539823008849552</v>
      </c>
      <c r="C17" t="s">
        <v>14</v>
      </c>
    </row>
    <row r="18" spans="1:3" x14ac:dyDescent="0.3">
      <c r="A18" t="s">
        <v>61</v>
      </c>
      <c r="B18">
        <f>AVERAGE(B16:B17)</f>
        <v>47.56637168141593</v>
      </c>
      <c r="C1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19E-5FFD-4536-A491-942DF3A82D95}">
  <dimension ref="A1:N46"/>
  <sheetViews>
    <sheetView workbookViewId="0">
      <selection activeCell="D15" sqref="D15"/>
    </sheetView>
  </sheetViews>
  <sheetFormatPr defaultRowHeight="14.4" x14ac:dyDescent="0.3"/>
  <cols>
    <col min="1" max="1" width="18.33203125" customWidth="1"/>
    <col min="4" max="4" width="43.44140625" customWidth="1"/>
    <col min="6" max="6" width="6.77734375" bestFit="1" customWidth="1"/>
    <col min="7" max="7" width="8.21875" bestFit="1" customWidth="1"/>
    <col min="8" max="8" width="13" bestFit="1" customWidth="1"/>
    <col min="9" max="10" width="10.6640625" bestFit="1" customWidth="1"/>
  </cols>
  <sheetData>
    <row r="1" spans="1:14" x14ac:dyDescent="0.3">
      <c r="A1" s="1" t="s">
        <v>41</v>
      </c>
      <c r="B1" s="1"/>
      <c r="C1" s="1"/>
      <c r="D1" s="1" t="s">
        <v>83</v>
      </c>
      <c r="F1" s="1"/>
      <c r="G1" s="1" t="s">
        <v>92</v>
      </c>
      <c r="H1" s="1"/>
      <c r="I1" s="1"/>
      <c r="J1" s="1"/>
      <c r="K1" s="1" t="s">
        <v>93</v>
      </c>
    </row>
    <row r="2" spans="1:14" x14ac:dyDescent="0.3">
      <c r="A2" t="s">
        <v>68</v>
      </c>
      <c r="B2">
        <v>3</v>
      </c>
      <c r="C2" t="s">
        <v>64</v>
      </c>
      <c r="D2" t="s">
        <v>84</v>
      </c>
      <c r="F2" s="1" t="s">
        <v>88</v>
      </c>
      <c r="G2" s="1" t="s">
        <v>0</v>
      </c>
      <c r="H2" s="1" t="s">
        <v>89</v>
      </c>
      <c r="I2" s="1" t="s">
        <v>91</v>
      </c>
      <c r="J2" s="1" t="s">
        <v>94</v>
      </c>
      <c r="K2" s="1" t="s">
        <v>0</v>
      </c>
      <c r="L2" s="1" t="s">
        <v>89</v>
      </c>
      <c r="M2" s="1" t="s">
        <v>91</v>
      </c>
      <c r="N2" s="1" t="s">
        <v>94</v>
      </c>
    </row>
    <row r="3" spans="1:14" x14ac:dyDescent="0.3">
      <c r="A3" t="s">
        <v>69</v>
      </c>
      <c r="B3">
        <v>0</v>
      </c>
      <c r="C3" t="s">
        <v>64</v>
      </c>
      <c r="D3" t="s">
        <v>70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 spans="1:14" x14ac:dyDescent="0.3">
      <c r="A4" t="s">
        <v>71</v>
      </c>
      <c r="B4">
        <v>6</v>
      </c>
      <c r="C4" t="s">
        <v>64</v>
      </c>
      <c r="D4" t="s">
        <v>81</v>
      </c>
      <c r="F4">
        <v>0</v>
      </c>
      <c r="G4">
        <f>$B$18</f>
        <v>2000</v>
      </c>
      <c r="H4">
        <f>G4*$B$26</f>
        <v>100</v>
      </c>
      <c r="I4">
        <f>$B$15/1000*$B$27</f>
        <v>40.177500000000002</v>
      </c>
      <c r="J4">
        <f>H4+I4</f>
        <v>140.17750000000001</v>
      </c>
      <c r="K4">
        <f>$B$18</f>
        <v>2000</v>
      </c>
      <c r="L4">
        <f>K4*$B$26</f>
        <v>100</v>
      </c>
      <c r="M4">
        <f>$B$16/1000*$B$27</f>
        <v>17.89725</v>
      </c>
      <c r="N4">
        <f>L4+M4</f>
        <v>117.89725</v>
      </c>
    </row>
    <row r="5" spans="1:14" x14ac:dyDescent="0.3">
      <c r="A5" t="s">
        <v>72</v>
      </c>
      <c r="B5">
        <v>25</v>
      </c>
      <c r="C5" t="s">
        <v>64</v>
      </c>
      <c r="D5" t="s">
        <v>43</v>
      </c>
      <c r="F5">
        <v>1</v>
      </c>
      <c r="G5">
        <f>G4-J4</f>
        <v>1859.8225</v>
      </c>
      <c r="H5">
        <f>G5*$B$26</f>
        <v>92.991125000000011</v>
      </c>
      <c r="I5">
        <f>$B$15/1000*$B$27</f>
        <v>40.177500000000002</v>
      </c>
      <c r="J5">
        <f>H5+I5</f>
        <v>133.16862500000002</v>
      </c>
      <c r="K5">
        <f>K4-N4</f>
        <v>1882.10275</v>
      </c>
      <c r="L5">
        <f>K5*$B$26</f>
        <v>94.105137500000012</v>
      </c>
      <c r="M5">
        <f>$B$16/1000*$B$27</f>
        <v>17.89725</v>
      </c>
      <c r="N5">
        <f>L5+M5</f>
        <v>112.00238750000001</v>
      </c>
    </row>
    <row r="6" spans="1:14" x14ac:dyDescent="0.3">
      <c r="A6" t="s">
        <v>73</v>
      </c>
      <c r="B6">
        <v>5.5</v>
      </c>
      <c r="C6" t="s">
        <v>64</v>
      </c>
      <c r="D6" t="s">
        <v>44</v>
      </c>
      <c r="F6">
        <v>2</v>
      </c>
      <c r="G6">
        <f t="shared" ref="G6:G15" si="0">G5-J5</f>
        <v>1726.653875</v>
      </c>
      <c r="H6">
        <f t="shared" ref="H6:H31" si="1">G6*$B$26</f>
        <v>86.332693750000004</v>
      </c>
      <c r="I6">
        <f t="shared" ref="I6:I31" si="2">$B$15/1000*$B$27</f>
        <v>40.177500000000002</v>
      </c>
      <c r="J6">
        <f t="shared" ref="J6:J15" si="3">H6+I6</f>
        <v>126.51019375000001</v>
      </c>
      <c r="K6">
        <f t="shared" ref="K6:K46" si="4">K5-N5</f>
        <v>1770.1003625000001</v>
      </c>
      <c r="L6">
        <f t="shared" ref="L6:L46" si="5">K6*$B$26</f>
        <v>88.505018125000007</v>
      </c>
      <c r="M6">
        <f t="shared" ref="M6:M46" si="6">$B$16/1000*$B$27</f>
        <v>17.89725</v>
      </c>
      <c r="N6">
        <f t="shared" ref="N6:N46" si="7">L6+M6</f>
        <v>106.40226812500001</v>
      </c>
    </row>
    <row r="7" spans="1:14" x14ac:dyDescent="0.3">
      <c r="A7" t="s">
        <v>45</v>
      </c>
      <c r="B7">
        <v>0.5</v>
      </c>
      <c r="C7" t="s">
        <v>64</v>
      </c>
      <c r="D7" t="s">
        <v>43</v>
      </c>
      <c r="F7">
        <v>3</v>
      </c>
      <c r="G7">
        <f t="shared" si="0"/>
        <v>1600.1436812499999</v>
      </c>
      <c r="H7">
        <f t="shared" si="1"/>
        <v>80.007184062500002</v>
      </c>
      <c r="I7">
        <f t="shared" si="2"/>
        <v>40.177500000000002</v>
      </c>
      <c r="J7">
        <f t="shared" si="3"/>
        <v>120.1846840625</v>
      </c>
      <c r="K7">
        <f t="shared" si="4"/>
        <v>1663.698094375</v>
      </c>
      <c r="L7">
        <f t="shared" si="5"/>
        <v>83.184904718750005</v>
      </c>
      <c r="M7">
        <f t="shared" si="6"/>
        <v>17.89725</v>
      </c>
      <c r="N7">
        <f t="shared" si="7"/>
        <v>101.08215471875</v>
      </c>
    </row>
    <row r="8" spans="1:14" x14ac:dyDescent="0.3">
      <c r="A8" t="s">
        <v>74</v>
      </c>
      <c r="B8">
        <v>5</v>
      </c>
      <c r="C8" t="s">
        <v>64</v>
      </c>
      <c r="D8" t="s">
        <v>43</v>
      </c>
      <c r="F8">
        <v>4</v>
      </c>
      <c r="G8">
        <f t="shared" si="0"/>
        <v>1479.9589971874998</v>
      </c>
      <c r="H8">
        <f t="shared" si="1"/>
        <v>73.997949859374998</v>
      </c>
      <c r="I8">
        <f t="shared" si="2"/>
        <v>40.177500000000002</v>
      </c>
      <c r="J8">
        <f t="shared" si="3"/>
        <v>114.17544985937499</v>
      </c>
      <c r="K8">
        <f t="shared" si="4"/>
        <v>1562.61593965625</v>
      </c>
      <c r="L8">
        <f t="shared" si="5"/>
        <v>78.130796982812512</v>
      </c>
      <c r="M8">
        <f t="shared" si="6"/>
        <v>17.89725</v>
      </c>
      <c r="N8">
        <f t="shared" si="7"/>
        <v>96.028046982812512</v>
      </c>
    </row>
    <row r="9" spans="1:14" x14ac:dyDescent="0.3">
      <c r="A9" t="s">
        <v>82</v>
      </c>
      <c r="B9">
        <v>5</v>
      </c>
      <c r="C9" t="s">
        <v>64</v>
      </c>
      <c r="D9" t="s">
        <v>85</v>
      </c>
      <c r="F9">
        <v>5</v>
      </c>
      <c r="G9">
        <f t="shared" si="0"/>
        <v>1365.7835473281248</v>
      </c>
      <c r="H9">
        <f t="shared" si="1"/>
        <v>68.289177366406236</v>
      </c>
      <c r="I9">
        <f t="shared" si="2"/>
        <v>40.177500000000002</v>
      </c>
      <c r="J9">
        <f t="shared" si="3"/>
        <v>108.46667736640623</v>
      </c>
      <c r="K9">
        <f t="shared" si="4"/>
        <v>1466.5878926734374</v>
      </c>
      <c r="L9">
        <f t="shared" si="5"/>
        <v>73.329394633671868</v>
      </c>
      <c r="M9">
        <f t="shared" si="6"/>
        <v>17.89725</v>
      </c>
      <c r="N9">
        <f t="shared" si="7"/>
        <v>91.226644633671867</v>
      </c>
    </row>
    <row r="10" spans="1:14" x14ac:dyDescent="0.3">
      <c r="A10" t="s">
        <v>100</v>
      </c>
      <c r="B10">
        <v>3</v>
      </c>
      <c r="C10" t="s">
        <v>64</v>
      </c>
      <c r="D10" t="s">
        <v>101</v>
      </c>
      <c r="F10">
        <v>6</v>
      </c>
      <c r="G10">
        <f t="shared" si="0"/>
        <v>1257.3168699617186</v>
      </c>
      <c r="H10">
        <f t="shared" si="1"/>
        <v>62.86584349808593</v>
      </c>
      <c r="I10">
        <f t="shared" si="2"/>
        <v>40.177500000000002</v>
      </c>
      <c r="J10">
        <f t="shared" si="3"/>
        <v>103.04334349808593</v>
      </c>
      <c r="K10">
        <f t="shared" si="4"/>
        <v>1375.3612480397655</v>
      </c>
      <c r="L10">
        <f t="shared" si="5"/>
        <v>68.768062401988274</v>
      </c>
      <c r="M10">
        <f t="shared" si="6"/>
        <v>17.89725</v>
      </c>
      <c r="N10">
        <f t="shared" si="7"/>
        <v>86.665312401988274</v>
      </c>
    </row>
    <row r="11" spans="1:14" x14ac:dyDescent="0.3">
      <c r="A11" t="s">
        <v>102</v>
      </c>
      <c r="B11">
        <v>2</v>
      </c>
      <c r="C11" t="s">
        <v>64</v>
      </c>
      <c r="D11" t="s">
        <v>103</v>
      </c>
      <c r="F11">
        <v>7</v>
      </c>
      <c r="G11">
        <f t="shared" si="0"/>
        <v>1154.2735264636326</v>
      </c>
      <c r="H11">
        <f t="shared" si="1"/>
        <v>57.71367632318163</v>
      </c>
      <c r="I11">
        <f t="shared" si="2"/>
        <v>40.177500000000002</v>
      </c>
      <c r="J11">
        <f t="shared" si="3"/>
        <v>97.891176323181639</v>
      </c>
      <c r="K11">
        <f t="shared" si="4"/>
        <v>1288.6959356377772</v>
      </c>
      <c r="L11">
        <f t="shared" si="5"/>
        <v>64.434796781888863</v>
      </c>
      <c r="M11">
        <f t="shared" si="6"/>
        <v>17.89725</v>
      </c>
      <c r="N11">
        <f t="shared" si="7"/>
        <v>82.332046781888863</v>
      </c>
    </row>
    <row r="12" spans="1:14" x14ac:dyDescent="0.3">
      <c r="F12">
        <v>8</v>
      </c>
      <c r="G12">
        <f t="shared" si="0"/>
        <v>1056.3823501404509</v>
      </c>
      <c r="H12">
        <f t="shared" si="1"/>
        <v>52.819117507022547</v>
      </c>
      <c r="I12">
        <f t="shared" si="2"/>
        <v>40.177500000000002</v>
      </c>
      <c r="J12">
        <f t="shared" si="3"/>
        <v>92.996617507022549</v>
      </c>
      <c r="K12">
        <f t="shared" si="4"/>
        <v>1206.3638888558883</v>
      </c>
      <c r="L12">
        <f t="shared" si="5"/>
        <v>60.318194442794415</v>
      </c>
      <c r="M12">
        <f t="shared" si="6"/>
        <v>17.89725</v>
      </c>
      <c r="N12">
        <f t="shared" si="7"/>
        <v>78.215444442794421</v>
      </c>
    </row>
    <row r="13" spans="1:14" x14ac:dyDescent="0.3">
      <c r="F13">
        <v>9</v>
      </c>
      <c r="G13">
        <f t="shared" si="0"/>
        <v>963.38573263342835</v>
      </c>
      <c r="H13">
        <f t="shared" si="1"/>
        <v>48.169286631671419</v>
      </c>
      <c r="I13">
        <f t="shared" si="2"/>
        <v>40.177500000000002</v>
      </c>
      <c r="J13">
        <f t="shared" si="3"/>
        <v>88.346786631671421</v>
      </c>
      <c r="K13">
        <f t="shared" si="4"/>
        <v>1128.1484444130938</v>
      </c>
      <c r="L13">
        <f t="shared" si="5"/>
        <v>56.407422220654695</v>
      </c>
      <c r="M13">
        <f t="shared" si="6"/>
        <v>17.89725</v>
      </c>
      <c r="N13">
        <f t="shared" si="7"/>
        <v>74.304672220654695</v>
      </c>
    </row>
    <row r="14" spans="1:14" x14ac:dyDescent="0.3">
      <c r="F14">
        <v>10</v>
      </c>
      <c r="G14">
        <f t="shared" si="0"/>
        <v>875.03894600175693</v>
      </c>
      <c r="H14">
        <f t="shared" si="1"/>
        <v>43.751947300087849</v>
      </c>
      <c r="I14">
        <f t="shared" si="2"/>
        <v>40.177500000000002</v>
      </c>
      <c r="J14">
        <f t="shared" si="3"/>
        <v>83.929447300087844</v>
      </c>
      <c r="K14">
        <f t="shared" si="4"/>
        <v>1053.843772192439</v>
      </c>
      <c r="L14">
        <f t="shared" si="5"/>
        <v>52.692188609621951</v>
      </c>
      <c r="M14">
        <f t="shared" si="6"/>
        <v>17.89725</v>
      </c>
      <c r="N14">
        <f t="shared" si="7"/>
        <v>70.589438609621951</v>
      </c>
    </row>
    <row r="15" spans="1:14" x14ac:dyDescent="0.3">
      <c r="A15" t="s">
        <v>46</v>
      </c>
      <c r="B15">
        <f>SUM(B2:B14)</f>
        <v>55</v>
      </c>
      <c r="C15" t="s">
        <v>64</v>
      </c>
      <c r="F15">
        <v>11</v>
      </c>
      <c r="G15">
        <f t="shared" si="0"/>
        <v>791.10949870166905</v>
      </c>
      <c r="H15">
        <f t="shared" si="1"/>
        <v>39.555474935083453</v>
      </c>
      <c r="I15">
        <f t="shared" si="2"/>
        <v>40.177500000000002</v>
      </c>
      <c r="J15">
        <f t="shared" si="3"/>
        <v>79.732974935083462</v>
      </c>
      <c r="K15">
        <f t="shared" si="4"/>
        <v>983.25433358281703</v>
      </c>
      <c r="L15">
        <f t="shared" si="5"/>
        <v>49.162716679140857</v>
      </c>
      <c r="M15">
        <f t="shared" si="6"/>
        <v>17.89725</v>
      </c>
      <c r="N15">
        <f t="shared" si="7"/>
        <v>67.059966679140857</v>
      </c>
    </row>
    <row r="16" spans="1:14" x14ac:dyDescent="0.3">
      <c r="A16" t="s">
        <v>47</v>
      </c>
      <c r="B16">
        <f>B15-B5-B6</f>
        <v>24.5</v>
      </c>
      <c r="C16" t="s">
        <v>64</v>
      </c>
      <c r="F16">
        <v>12</v>
      </c>
      <c r="G16">
        <f t="shared" ref="G16:G29" si="8">G15-J15</f>
        <v>711.37652376658559</v>
      </c>
      <c r="H16">
        <f t="shared" si="1"/>
        <v>35.568826188329282</v>
      </c>
      <c r="I16">
        <f t="shared" si="2"/>
        <v>40.177500000000002</v>
      </c>
      <c r="J16">
        <f t="shared" ref="J16:J29" si="9">H16+I16</f>
        <v>75.746326188329277</v>
      </c>
      <c r="K16">
        <f t="shared" si="4"/>
        <v>916.19436690367615</v>
      </c>
      <c r="L16">
        <f t="shared" si="5"/>
        <v>45.809718345183811</v>
      </c>
      <c r="M16">
        <f t="shared" si="6"/>
        <v>17.89725</v>
      </c>
      <c r="N16">
        <f t="shared" si="7"/>
        <v>63.70696834518381</v>
      </c>
    </row>
    <row r="17" spans="1:14" x14ac:dyDescent="0.3">
      <c r="F17">
        <v>13</v>
      </c>
      <c r="G17">
        <f t="shared" si="8"/>
        <v>635.63019757825634</v>
      </c>
      <c r="H17">
        <f t="shared" si="1"/>
        <v>31.781509878912818</v>
      </c>
      <c r="I17">
        <f t="shared" si="2"/>
        <v>40.177500000000002</v>
      </c>
      <c r="J17">
        <f t="shared" si="9"/>
        <v>71.959009878912823</v>
      </c>
      <c r="K17">
        <f t="shared" si="4"/>
        <v>852.48739855849237</v>
      </c>
      <c r="L17">
        <f t="shared" si="5"/>
        <v>42.624369927924619</v>
      </c>
      <c r="M17">
        <f t="shared" si="6"/>
        <v>17.89725</v>
      </c>
      <c r="N17">
        <f t="shared" si="7"/>
        <v>60.521619927924618</v>
      </c>
    </row>
    <row r="18" spans="1:14" x14ac:dyDescent="0.3">
      <c r="A18" t="s">
        <v>75</v>
      </c>
      <c r="B18">
        <v>2000</v>
      </c>
      <c r="C18" t="s">
        <v>7</v>
      </c>
      <c r="F18">
        <v>14</v>
      </c>
      <c r="G18">
        <f t="shared" si="8"/>
        <v>563.67118769934348</v>
      </c>
      <c r="H18">
        <f t="shared" si="1"/>
        <v>28.183559384967175</v>
      </c>
      <c r="I18">
        <f t="shared" si="2"/>
        <v>40.177500000000002</v>
      </c>
      <c r="J18">
        <f t="shared" si="9"/>
        <v>68.361059384967177</v>
      </c>
      <c r="K18">
        <f t="shared" si="4"/>
        <v>791.9657786305678</v>
      </c>
      <c r="L18">
        <f t="shared" si="5"/>
        <v>39.598288931528394</v>
      </c>
      <c r="M18">
        <f t="shared" si="6"/>
        <v>17.89725</v>
      </c>
      <c r="N18">
        <f t="shared" si="7"/>
        <v>57.495538931528394</v>
      </c>
    </row>
    <row r="19" spans="1:14" x14ac:dyDescent="0.3">
      <c r="A19" t="s">
        <v>77</v>
      </c>
      <c r="B19">
        <f>B18/B15*1000</f>
        <v>36363.636363636368</v>
      </c>
      <c r="C19" t="s">
        <v>76</v>
      </c>
      <c r="F19">
        <v>15</v>
      </c>
      <c r="G19">
        <f t="shared" si="8"/>
        <v>495.3101283143763</v>
      </c>
      <c r="H19">
        <f t="shared" si="1"/>
        <v>24.765506415718818</v>
      </c>
      <c r="I19">
        <f t="shared" si="2"/>
        <v>40.177500000000002</v>
      </c>
      <c r="J19">
        <f t="shared" si="9"/>
        <v>64.943006415718827</v>
      </c>
      <c r="K19">
        <f t="shared" si="4"/>
        <v>734.47023969903944</v>
      </c>
      <c r="L19">
        <f t="shared" si="5"/>
        <v>36.723511984951976</v>
      </c>
      <c r="M19">
        <f t="shared" si="6"/>
        <v>17.89725</v>
      </c>
      <c r="N19">
        <f t="shared" si="7"/>
        <v>54.620761984951976</v>
      </c>
    </row>
    <row r="20" spans="1:14" x14ac:dyDescent="0.3">
      <c r="B20">
        <f>B19/24</f>
        <v>1515.1515151515152</v>
      </c>
      <c r="C20" t="s">
        <v>78</v>
      </c>
      <c r="F20">
        <v>16</v>
      </c>
      <c r="G20">
        <f t="shared" si="8"/>
        <v>430.3671218986575</v>
      </c>
      <c r="H20">
        <f t="shared" si="1"/>
        <v>21.518356094932876</v>
      </c>
      <c r="I20">
        <f t="shared" si="2"/>
        <v>40.177500000000002</v>
      </c>
      <c r="J20">
        <f t="shared" si="9"/>
        <v>61.695856094932878</v>
      </c>
      <c r="K20">
        <f t="shared" si="4"/>
        <v>679.84947771408747</v>
      </c>
      <c r="L20">
        <f t="shared" si="5"/>
        <v>33.992473885704378</v>
      </c>
      <c r="M20">
        <f t="shared" si="6"/>
        <v>17.89725</v>
      </c>
      <c r="N20">
        <f t="shared" si="7"/>
        <v>51.889723885704377</v>
      </c>
    </row>
    <row r="21" spans="1:14" x14ac:dyDescent="0.3">
      <c r="B21">
        <f>B20/365.25</f>
        <v>4.1482587683819716</v>
      </c>
      <c r="C21" t="s">
        <v>79</v>
      </c>
      <c r="F21">
        <v>17</v>
      </c>
      <c r="G21">
        <f t="shared" si="8"/>
        <v>368.67126580372462</v>
      </c>
      <c r="H21">
        <f t="shared" si="1"/>
        <v>18.433563290186232</v>
      </c>
      <c r="I21">
        <f t="shared" si="2"/>
        <v>40.177500000000002</v>
      </c>
      <c r="J21">
        <f t="shared" si="9"/>
        <v>58.611063290186237</v>
      </c>
      <c r="K21">
        <f t="shared" si="4"/>
        <v>627.9597538283831</v>
      </c>
      <c r="L21">
        <f t="shared" si="5"/>
        <v>31.397987691419157</v>
      </c>
      <c r="M21">
        <f t="shared" si="6"/>
        <v>17.89725</v>
      </c>
      <c r="N21">
        <f t="shared" si="7"/>
        <v>49.29523769141916</v>
      </c>
    </row>
    <row r="22" spans="1:14" x14ac:dyDescent="0.3">
      <c r="A22" t="s">
        <v>80</v>
      </c>
      <c r="B22">
        <f>B18/B16*1000</f>
        <v>81632.653061224482</v>
      </c>
      <c r="C22" t="s">
        <v>76</v>
      </c>
      <c r="F22">
        <v>18</v>
      </c>
      <c r="G22">
        <f t="shared" si="8"/>
        <v>310.0602025135384</v>
      </c>
      <c r="H22">
        <f t="shared" si="1"/>
        <v>15.503010125676921</v>
      </c>
      <c r="I22">
        <f t="shared" si="2"/>
        <v>40.177500000000002</v>
      </c>
      <c r="J22">
        <f t="shared" si="9"/>
        <v>55.680510125676925</v>
      </c>
      <c r="K22">
        <f t="shared" si="4"/>
        <v>578.66451613696393</v>
      </c>
      <c r="L22">
        <f t="shared" si="5"/>
        <v>28.933225806848199</v>
      </c>
      <c r="M22">
        <f t="shared" si="6"/>
        <v>17.89725</v>
      </c>
      <c r="N22">
        <f t="shared" si="7"/>
        <v>46.830475806848199</v>
      </c>
    </row>
    <row r="23" spans="1:14" x14ac:dyDescent="0.3">
      <c r="B23">
        <f>B22/24</f>
        <v>3401.3605442176868</v>
      </c>
      <c r="C23" t="s">
        <v>78</v>
      </c>
      <c r="F23">
        <v>19</v>
      </c>
      <c r="G23">
        <f t="shared" si="8"/>
        <v>254.37969238786147</v>
      </c>
      <c r="H23">
        <f t="shared" si="1"/>
        <v>12.718984619393074</v>
      </c>
      <c r="I23">
        <f t="shared" si="2"/>
        <v>40.177500000000002</v>
      </c>
      <c r="J23">
        <f t="shared" si="9"/>
        <v>52.896484619393078</v>
      </c>
      <c r="K23">
        <f t="shared" si="4"/>
        <v>531.83404033011573</v>
      </c>
      <c r="L23">
        <f t="shared" si="5"/>
        <v>26.591702016505788</v>
      </c>
      <c r="M23">
        <f t="shared" si="6"/>
        <v>17.89725</v>
      </c>
      <c r="N23">
        <f t="shared" si="7"/>
        <v>44.488952016505792</v>
      </c>
    </row>
    <row r="24" spans="1:14" x14ac:dyDescent="0.3">
      <c r="B24">
        <f>B23/365.25</f>
        <v>9.3124176433064658</v>
      </c>
      <c r="C24" t="s">
        <v>79</v>
      </c>
      <c r="F24">
        <v>20</v>
      </c>
      <c r="G24">
        <f t="shared" si="8"/>
        <v>201.48320776846839</v>
      </c>
      <c r="H24">
        <f t="shared" si="1"/>
        <v>10.074160388423421</v>
      </c>
      <c r="I24">
        <f t="shared" si="2"/>
        <v>40.177500000000002</v>
      </c>
      <c r="J24">
        <f t="shared" si="9"/>
        <v>50.251660388423424</v>
      </c>
      <c r="K24">
        <f t="shared" si="4"/>
        <v>487.34508831360995</v>
      </c>
      <c r="L24">
        <f t="shared" si="5"/>
        <v>24.367254415680499</v>
      </c>
      <c r="M24">
        <f t="shared" si="6"/>
        <v>17.89725</v>
      </c>
      <c r="N24">
        <f t="shared" si="7"/>
        <v>42.264504415680499</v>
      </c>
    </row>
    <row r="25" spans="1:14" x14ac:dyDescent="0.3">
      <c r="F25">
        <v>21</v>
      </c>
      <c r="G25">
        <f t="shared" si="8"/>
        <v>151.23154738004496</v>
      </c>
      <c r="H25">
        <f t="shared" si="1"/>
        <v>7.5615773690022481</v>
      </c>
      <c r="I25">
        <f t="shared" si="2"/>
        <v>40.177500000000002</v>
      </c>
      <c r="J25">
        <f t="shared" si="9"/>
        <v>47.739077369002253</v>
      </c>
      <c r="K25">
        <f t="shared" si="4"/>
        <v>445.08058389792944</v>
      </c>
      <c r="L25">
        <f t="shared" si="5"/>
        <v>22.254029194896475</v>
      </c>
      <c r="M25">
        <f t="shared" si="6"/>
        <v>17.89725</v>
      </c>
      <c r="N25">
        <f t="shared" si="7"/>
        <v>40.151279194896475</v>
      </c>
    </row>
    <row r="26" spans="1:14" x14ac:dyDescent="0.3">
      <c r="A26" t="s">
        <v>86</v>
      </c>
      <c r="B26" s="3">
        <v>0.05</v>
      </c>
      <c r="C26" t="s">
        <v>87</v>
      </c>
      <c r="F26">
        <v>22</v>
      </c>
      <c r="G26">
        <f t="shared" si="8"/>
        <v>103.49247001104271</v>
      </c>
      <c r="H26">
        <f t="shared" si="1"/>
        <v>5.1746235005521362</v>
      </c>
      <c r="I26">
        <f t="shared" si="2"/>
        <v>40.177500000000002</v>
      </c>
      <c r="J26">
        <f t="shared" si="9"/>
        <v>45.352123500552139</v>
      </c>
      <c r="K26">
        <f t="shared" si="4"/>
        <v>404.92930470303298</v>
      </c>
      <c r="L26">
        <f t="shared" si="5"/>
        <v>20.24646523515165</v>
      </c>
      <c r="M26">
        <f t="shared" si="6"/>
        <v>17.89725</v>
      </c>
      <c r="N26">
        <f t="shared" si="7"/>
        <v>38.143715235151646</v>
      </c>
    </row>
    <row r="27" spans="1:14" x14ac:dyDescent="0.3">
      <c r="A27" t="s">
        <v>90</v>
      </c>
      <c r="B27">
        <f>365.25*24/12</f>
        <v>730.5</v>
      </c>
      <c r="C27" t="s">
        <v>8</v>
      </c>
      <c r="F27">
        <v>23</v>
      </c>
      <c r="G27">
        <f t="shared" si="8"/>
        <v>58.140346510490573</v>
      </c>
      <c r="H27">
        <f t="shared" si="1"/>
        <v>2.9070173255245289</v>
      </c>
      <c r="I27">
        <f t="shared" si="2"/>
        <v>40.177500000000002</v>
      </c>
      <c r="J27">
        <f t="shared" si="9"/>
        <v>43.08451732552453</v>
      </c>
      <c r="K27">
        <f t="shared" si="4"/>
        <v>366.78558946788132</v>
      </c>
      <c r="L27">
        <f t="shared" si="5"/>
        <v>18.339279473394068</v>
      </c>
      <c r="M27">
        <f t="shared" si="6"/>
        <v>17.89725</v>
      </c>
      <c r="N27">
        <f t="shared" si="7"/>
        <v>36.236529473394071</v>
      </c>
    </row>
    <row r="28" spans="1:14" x14ac:dyDescent="0.3">
      <c r="F28">
        <v>24</v>
      </c>
      <c r="G28">
        <f t="shared" si="8"/>
        <v>15.055829184966043</v>
      </c>
      <c r="H28">
        <f t="shared" si="1"/>
        <v>0.75279145924830226</v>
      </c>
      <c r="I28">
        <f t="shared" si="2"/>
        <v>40.177500000000002</v>
      </c>
      <c r="J28">
        <f t="shared" si="9"/>
        <v>40.930291459248302</v>
      </c>
      <c r="K28">
        <f t="shared" si="4"/>
        <v>330.54905999448727</v>
      </c>
      <c r="L28">
        <f t="shared" si="5"/>
        <v>16.527452999724364</v>
      </c>
      <c r="M28">
        <f t="shared" si="6"/>
        <v>17.89725</v>
      </c>
      <c r="N28">
        <f t="shared" si="7"/>
        <v>34.42470299972436</v>
      </c>
    </row>
    <row r="29" spans="1:14" x14ac:dyDescent="0.3">
      <c r="F29">
        <v>25</v>
      </c>
      <c r="G29">
        <f t="shared" si="8"/>
        <v>-25.874462274282259</v>
      </c>
      <c r="H29">
        <f t="shared" si="1"/>
        <v>-1.293723113714113</v>
      </c>
      <c r="I29">
        <f t="shared" si="2"/>
        <v>40.177500000000002</v>
      </c>
      <c r="J29">
        <f t="shared" si="9"/>
        <v>38.883776886285887</v>
      </c>
      <c r="K29">
        <f t="shared" si="4"/>
        <v>296.12435699476293</v>
      </c>
      <c r="L29">
        <f t="shared" si="5"/>
        <v>14.806217849738147</v>
      </c>
      <c r="M29">
        <f t="shared" si="6"/>
        <v>17.89725</v>
      </c>
      <c r="N29">
        <f t="shared" si="7"/>
        <v>32.703467849738146</v>
      </c>
    </row>
    <row r="30" spans="1:14" x14ac:dyDescent="0.3">
      <c r="F30">
        <v>26</v>
      </c>
      <c r="G30">
        <f>G29-J29</f>
        <v>-64.758239160568138</v>
      </c>
      <c r="H30">
        <f>G30*$B$26</f>
        <v>-3.2379119580284073</v>
      </c>
      <c r="I30">
        <f>$B$15/1000*$B$27</f>
        <v>40.177500000000002</v>
      </c>
      <c r="J30">
        <f>H30+I30</f>
        <v>36.939588041971597</v>
      </c>
      <c r="K30">
        <f t="shared" si="4"/>
        <v>263.42088914502477</v>
      </c>
      <c r="L30">
        <f t="shared" si="5"/>
        <v>13.17104445725124</v>
      </c>
      <c r="M30">
        <f t="shared" si="6"/>
        <v>17.89725</v>
      </c>
      <c r="N30">
        <f t="shared" si="7"/>
        <v>31.068294457251241</v>
      </c>
    </row>
    <row r="31" spans="1:14" x14ac:dyDescent="0.3">
      <c r="F31">
        <v>27</v>
      </c>
      <c r="G31">
        <f t="shared" ref="G31" si="10">G30-J30</f>
        <v>-101.69782720253974</v>
      </c>
      <c r="H31">
        <f t="shared" si="1"/>
        <v>-5.0848913601269876</v>
      </c>
      <c r="I31">
        <f t="shared" si="2"/>
        <v>40.177500000000002</v>
      </c>
      <c r="J31">
        <f t="shared" ref="J31" si="11">H31+I31</f>
        <v>35.092608639873013</v>
      </c>
      <c r="K31">
        <f t="shared" si="4"/>
        <v>232.35259468777355</v>
      </c>
      <c r="L31">
        <f t="shared" si="5"/>
        <v>11.617629734388679</v>
      </c>
      <c r="M31">
        <f t="shared" si="6"/>
        <v>17.89725</v>
      </c>
      <c r="N31">
        <f t="shared" si="7"/>
        <v>29.514879734388678</v>
      </c>
    </row>
    <row r="32" spans="1:14" x14ac:dyDescent="0.3">
      <c r="F32">
        <v>28</v>
      </c>
      <c r="K32">
        <f t="shared" si="4"/>
        <v>202.83771495338488</v>
      </c>
      <c r="L32">
        <f t="shared" si="5"/>
        <v>10.141885747669244</v>
      </c>
      <c r="M32">
        <f t="shared" si="6"/>
        <v>17.89725</v>
      </c>
      <c r="N32">
        <f t="shared" si="7"/>
        <v>28.039135747669242</v>
      </c>
    </row>
    <row r="33" spans="6:14" x14ac:dyDescent="0.3">
      <c r="F33">
        <v>29</v>
      </c>
      <c r="K33">
        <f t="shared" si="4"/>
        <v>174.79857920571564</v>
      </c>
      <c r="L33">
        <f t="shared" si="5"/>
        <v>8.7399289602857824</v>
      </c>
      <c r="M33">
        <f t="shared" si="6"/>
        <v>17.89725</v>
      </c>
      <c r="N33">
        <f t="shared" si="7"/>
        <v>26.63717896028578</v>
      </c>
    </row>
    <row r="34" spans="6:14" x14ac:dyDescent="0.3">
      <c r="F34">
        <v>30</v>
      </c>
      <c r="K34">
        <f t="shared" si="4"/>
        <v>148.16140024542986</v>
      </c>
      <c r="L34">
        <f t="shared" si="5"/>
        <v>7.4080700122714935</v>
      </c>
      <c r="M34">
        <f t="shared" si="6"/>
        <v>17.89725</v>
      </c>
      <c r="N34">
        <f t="shared" si="7"/>
        <v>25.305320012271494</v>
      </c>
    </row>
    <row r="35" spans="6:14" x14ac:dyDescent="0.3">
      <c r="F35">
        <v>31</v>
      </c>
      <c r="K35">
        <f t="shared" si="4"/>
        <v>122.85608023315837</v>
      </c>
      <c r="L35">
        <f t="shared" si="5"/>
        <v>6.142804011657919</v>
      </c>
      <c r="M35">
        <f t="shared" si="6"/>
        <v>17.89725</v>
      </c>
      <c r="N35">
        <f t="shared" si="7"/>
        <v>24.040054011657919</v>
      </c>
    </row>
    <row r="36" spans="6:14" x14ac:dyDescent="0.3">
      <c r="F36">
        <v>32</v>
      </c>
      <c r="K36">
        <f t="shared" si="4"/>
        <v>98.816026221500451</v>
      </c>
      <c r="L36">
        <f t="shared" si="5"/>
        <v>4.9408013110750231</v>
      </c>
      <c r="M36">
        <f t="shared" si="6"/>
        <v>17.89725</v>
      </c>
      <c r="N36">
        <f t="shared" si="7"/>
        <v>22.838051311075024</v>
      </c>
    </row>
    <row r="37" spans="6:14" x14ac:dyDescent="0.3">
      <c r="F37">
        <v>33</v>
      </c>
      <c r="K37">
        <f t="shared" si="4"/>
        <v>75.977974910425431</v>
      </c>
      <c r="L37">
        <f t="shared" si="5"/>
        <v>3.7988987455212717</v>
      </c>
      <c r="M37">
        <f t="shared" si="6"/>
        <v>17.89725</v>
      </c>
      <c r="N37">
        <f t="shared" si="7"/>
        <v>21.69614874552127</v>
      </c>
    </row>
    <row r="38" spans="6:14" x14ac:dyDescent="0.3">
      <c r="F38">
        <v>34</v>
      </c>
      <c r="K38">
        <f t="shared" si="4"/>
        <v>54.28182616490416</v>
      </c>
      <c r="L38">
        <f t="shared" si="5"/>
        <v>2.7140913082452083</v>
      </c>
      <c r="M38">
        <f t="shared" si="6"/>
        <v>17.89725</v>
      </c>
      <c r="N38">
        <f t="shared" si="7"/>
        <v>20.611341308245208</v>
      </c>
    </row>
    <row r="39" spans="6:14" x14ac:dyDescent="0.3">
      <c r="F39">
        <v>35</v>
      </c>
      <c r="K39">
        <f t="shared" si="4"/>
        <v>33.670484856658952</v>
      </c>
      <c r="L39">
        <f t="shared" si="5"/>
        <v>1.6835242428329478</v>
      </c>
      <c r="M39">
        <f t="shared" si="6"/>
        <v>17.89725</v>
      </c>
      <c r="N39">
        <f t="shared" si="7"/>
        <v>19.580774242832948</v>
      </c>
    </row>
    <row r="40" spans="6:14" x14ac:dyDescent="0.3">
      <c r="F40">
        <v>36</v>
      </c>
      <c r="K40">
        <f t="shared" si="4"/>
        <v>14.089710613826004</v>
      </c>
      <c r="L40">
        <f t="shared" si="5"/>
        <v>0.70448553069130027</v>
      </c>
      <c r="M40">
        <f t="shared" si="6"/>
        <v>17.89725</v>
      </c>
      <c r="N40">
        <f t="shared" si="7"/>
        <v>18.6017355306913</v>
      </c>
    </row>
    <row r="41" spans="6:14" x14ac:dyDescent="0.3">
      <c r="F41">
        <v>37</v>
      </c>
      <c r="K41">
        <f t="shared" si="4"/>
        <v>-4.5120249168652968</v>
      </c>
      <c r="L41">
        <f t="shared" si="5"/>
        <v>-0.22560124584326485</v>
      </c>
      <c r="M41">
        <f t="shared" si="6"/>
        <v>17.89725</v>
      </c>
      <c r="N41">
        <f t="shared" si="7"/>
        <v>17.671648754156735</v>
      </c>
    </row>
    <row r="42" spans="6:14" x14ac:dyDescent="0.3">
      <c r="F42">
        <v>38</v>
      </c>
      <c r="K42">
        <f t="shared" si="4"/>
        <v>-22.183673671022031</v>
      </c>
      <c r="L42">
        <f t="shared" si="5"/>
        <v>-1.1091836835511015</v>
      </c>
      <c r="M42">
        <f t="shared" si="6"/>
        <v>17.89725</v>
      </c>
      <c r="N42">
        <f t="shared" si="7"/>
        <v>16.788066316448898</v>
      </c>
    </row>
    <row r="43" spans="6:14" x14ac:dyDescent="0.3">
      <c r="F43">
        <v>39</v>
      </c>
      <c r="K43">
        <f t="shared" si="4"/>
        <v>-38.971739987470926</v>
      </c>
      <c r="L43">
        <f t="shared" si="5"/>
        <v>-1.9485869993735463</v>
      </c>
      <c r="M43">
        <f t="shared" si="6"/>
        <v>17.89725</v>
      </c>
      <c r="N43">
        <f t="shared" si="7"/>
        <v>15.948663000626453</v>
      </c>
    </row>
    <row r="44" spans="6:14" x14ac:dyDescent="0.3">
      <c r="F44">
        <v>40</v>
      </c>
      <c r="K44">
        <f t="shared" si="4"/>
        <v>-54.920402988097379</v>
      </c>
      <c r="L44">
        <f t="shared" si="5"/>
        <v>-2.746020149404869</v>
      </c>
      <c r="M44">
        <f t="shared" si="6"/>
        <v>17.89725</v>
      </c>
      <c r="N44">
        <f t="shared" si="7"/>
        <v>15.151229850595131</v>
      </c>
    </row>
    <row r="45" spans="6:14" x14ac:dyDescent="0.3">
      <c r="F45">
        <v>41</v>
      </c>
      <c r="K45">
        <f t="shared" si="4"/>
        <v>-70.071632838692508</v>
      </c>
      <c r="L45">
        <f t="shared" si="5"/>
        <v>-3.5035816419346255</v>
      </c>
      <c r="M45">
        <f t="shared" si="6"/>
        <v>17.89725</v>
      </c>
      <c r="N45">
        <f t="shared" si="7"/>
        <v>14.393668358065375</v>
      </c>
    </row>
    <row r="46" spans="6:14" x14ac:dyDescent="0.3">
      <c r="F46">
        <v>42</v>
      </c>
      <c r="K46">
        <f t="shared" si="4"/>
        <v>-84.465301196757878</v>
      </c>
      <c r="L46">
        <f t="shared" si="5"/>
        <v>-4.2232650598378942</v>
      </c>
      <c r="M46">
        <f t="shared" si="6"/>
        <v>17.89725</v>
      </c>
      <c r="N46">
        <f t="shared" si="7"/>
        <v>13.673984940162105</v>
      </c>
    </row>
  </sheetData>
  <conditionalFormatting sqref="G1:G1048576 K1:K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EFA9-BFD9-4C4C-A839-7D08EFC36D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A82-737B-4234-B5EF-1AD368197F76}">
  <dimension ref="A2:E12"/>
  <sheetViews>
    <sheetView workbookViewId="0">
      <selection activeCell="B12" sqref="B12"/>
    </sheetView>
  </sheetViews>
  <sheetFormatPr defaultRowHeight="14.4" x14ac:dyDescent="0.3"/>
  <cols>
    <col min="1" max="1" width="14.88671875" bestFit="1" customWidth="1"/>
  </cols>
  <sheetData>
    <row r="2" spans="1:5" x14ac:dyDescent="0.3">
      <c r="A2" t="s">
        <v>5</v>
      </c>
      <c r="B2">
        <v>1000</v>
      </c>
      <c r="C2">
        <v>1500</v>
      </c>
      <c r="D2">
        <v>2000</v>
      </c>
      <c r="E2" t="s">
        <v>7</v>
      </c>
    </row>
    <row r="3" spans="1:5" x14ac:dyDescent="0.3">
      <c r="A3" t="s">
        <v>22</v>
      </c>
      <c r="B3">
        <f>0.2*B2</f>
        <v>200</v>
      </c>
      <c r="C3">
        <f>0.2*C2</f>
        <v>300</v>
      </c>
      <c r="D3">
        <f>0.2*D2</f>
        <v>400</v>
      </c>
      <c r="E3" t="s">
        <v>14</v>
      </c>
    </row>
    <row r="4" spans="1:5" x14ac:dyDescent="0.3">
      <c r="A4" t="s">
        <v>23</v>
      </c>
      <c r="B4">
        <f>1200/B3</f>
        <v>6</v>
      </c>
      <c r="C4">
        <f>1200/C3</f>
        <v>4</v>
      </c>
      <c r="D4">
        <f>1200/D3</f>
        <v>3</v>
      </c>
      <c r="E4" t="s">
        <v>20</v>
      </c>
    </row>
    <row r="5" spans="1:5" x14ac:dyDescent="0.3">
      <c r="A5" t="s">
        <v>24</v>
      </c>
      <c r="B5">
        <v>5.6</v>
      </c>
      <c r="C5">
        <v>3.9</v>
      </c>
      <c r="D5">
        <v>3</v>
      </c>
      <c r="E5" t="s">
        <v>20</v>
      </c>
    </row>
    <row r="6" spans="1:5" x14ac:dyDescent="0.3">
      <c r="A6" t="s">
        <v>25</v>
      </c>
      <c r="B6">
        <f>1200/B5</f>
        <v>214.28571428571431</v>
      </c>
      <c r="C6">
        <f>1200/C5</f>
        <v>307.69230769230768</v>
      </c>
      <c r="D6">
        <f>1200/D5</f>
        <v>400</v>
      </c>
      <c r="E6" t="s">
        <v>14</v>
      </c>
    </row>
    <row r="7" spans="1:5" x14ac:dyDescent="0.3">
      <c r="A7" t="s">
        <v>26</v>
      </c>
      <c r="B7">
        <v>46</v>
      </c>
      <c r="C7">
        <v>46</v>
      </c>
      <c r="D7">
        <v>46</v>
      </c>
      <c r="E7" t="s">
        <v>14</v>
      </c>
    </row>
    <row r="8" spans="1:5" x14ac:dyDescent="0.3">
      <c r="A8" t="s">
        <v>27</v>
      </c>
      <c r="B8">
        <f>1200/B7</f>
        <v>26.086956521739129</v>
      </c>
      <c r="C8">
        <f>1200/C7</f>
        <v>26.086956521739129</v>
      </c>
      <c r="D8">
        <f>1200/D7</f>
        <v>26.086956521739129</v>
      </c>
      <c r="E8" t="s">
        <v>20</v>
      </c>
    </row>
    <row r="9" spans="1:5" x14ac:dyDescent="0.3">
      <c r="A9" t="s">
        <v>28</v>
      </c>
      <c r="B9">
        <f>B8-B5</f>
        <v>20.486956521739131</v>
      </c>
      <c r="C9">
        <f>C8-C5</f>
        <v>22.18695652173913</v>
      </c>
      <c r="D9">
        <f>D8-D5</f>
        <v>23.086956521739129</v>
      </c>
      <c r="E9" t="s">
        <v>20</v>
      </c>
    </row>
    <row r="10" spans="1:5" x14ac:dyDescent="0.3">
      <c r="A10" t="s">
        <v>29</v>
      </c>
      <c r="B10">
        <v>20</v>
      </c>
      <c r="C10">
        <v>22</v>
      </c>
      <c r="D10">
        <v>22</v>
      </c>
      <c r="E10" t="s">
        <v>20</v>
      </c>
    </row>
    <row r="11" spans="1:5" x14ac:dyDescent="0.3">
      <c r="A11" t="s">
        <v>30</v>
      </c>
      <c r="B11">
        <f>B10+B5</f>
        <v>25.6</v>
      </c>
      <c r="C11">
        <f>C10+C5</f>
        <v>25.9</v>
      </c>
      <c r="D11">
        <f>D10+D5</f>
        <v>25</v>
      </c>
      <c r="E11" t="s">
        <v>20</v>
      </c>
    </row>
    <row r="12" spans="1:5" x14ac:dyDescent="0.3">
      <c r="A12" t="s">
        <v>31</v>
      </c>
      <c r="B12">
        <f>1200/B11</f>
        <v>46.875</v>
      </c>
      <c r="C12">
        <f>1200/C11</f>
        <v>46.332046332046332</v>
      </c>
      <c r="D12">
        <f>1200/D11</f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9DA4-3BB5-486B-A83C-EDF70B7A698D}">
  <dimension ref="A1:C19"/>
  <sheetViews>
    <sheetView workbookViewId="0">
      <selection activeCell="B32" sqref="B32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t="s">
        <v>32</v>
      </c>
      <c r="B2">
        <v>0.55000000000000004</v>
      </c>
      <c r="C2" t="s">
        <v>11</v>
      </c>
    </row>
    <row r="3" spans="1:3" x14ac:dyDescent="0.3">
      <c r="A3" t="s">
        <v>33</v>
      </c>
      <c r="B3">
        <v>560</v>
      </c>
      <c r="C3" t="s">
        <v>20</v>
      </c>
    </row>
    <row r="4" spans="1:3" x14ac:dyDescent="0.3">
      <c r="A4" t="s">
        <v>34</v>
      </c>
      <c r="B4">
        <v>100</v>
      </c>
      <c r="C4" t="s">
        <v>20</v>
      </c>
    </row>
    <row r="5" spans="1:3" x14ac:dyDescent="0.3">
      <c r="A5" t="s">
        <v>35</v>
      </c>
      <c r="B5">
        <f>B2/B4*(B3+B4)</f>
        <v>3.6300000000000003</v>
      </c>
      <c r="C5" t="s">
        <v>11</v>
      </c>
    </row>
    <row r="6" spans="1:3" x14ac:dyDescent="0.3">
      <c r="A6" t="s">
        <v>63</v>
      </c>
      <c r="B6">
        <f>B5/(B3+B4)*1000</f>
        <v>5.5000000000000009</v>
      </c>
      <c r="C6" t="s">
        <v>64</v>
      </c>
    </row>
    <row r="7" spans="1:3" x14ac:dyDescent="0.3">
      <c r="B7" s="2"/>
    </row>
    <row r="8" spans="1:3" x14ac:dyDescent="0.3">
      <c r="B8" s="2"/>
    </row>
    <row r="10" spans="1:3" x14ac:dyDescent="0.3">
      <c r="A10" t="s">
        <v>40</v>
      </c>
      <c r="B10">
        <v>4.2</v>
      </c>
      <c r="C10" t="s">
        <v>11</v>
      </c>
    </row>
    <row r="11" spans="1:3" x14ac:dyDescent="0.3">
      <c r="A11" t="s">
        <v>38</v>
      </c>
      <c r="B11">
        <v>0.4</v>
      </c>
      <c r="C11" t="s">
        <v>39</v>
      </c>
    </row>
    <row r="12" spans="1:3" x14ac:dyDescent="0.3">
      <c r="A12" t="s">
        <v>36</v>
      </c>
      <c r="B12">
        <f>(B10-B5)*B11</f>
        <v>0.22799999999999995</v>
      </c>
      <c r="C12" t="s">
        <v>37</v>
      </c>
    </row>
    <row r="15" spans="1:3" x14ac:dyDescent="0.3">
      <c r="A15" t="s">
        <v>62</v>
      </c>
      <c r="B15">
        <v>0.1</v>
      </c>
      <c r="C15" t="s">
        <v>64</v>
      </c>
    </row>
    <row r="16" spans="1:3" x14ac:dyDescent="0.3">
      <c r="A16" t="s">
        <v>66</v>
      </c>
      <c r="B16">
        <f>B2/B4*1000</f>
        <v>5.5000000000000009</v>
      </c>
      <c r="C16" t="s">
        <v>64</v>
      </c>
    </row>
    <row r="17" spans="1:3" x14ac:dyDescent="0.3">
      <c r="A17" t="s">
        <v>65</v>
      </c>
      <c r="B17">
        <f>B16+B15</f>
        <v>5.6000000000000005</v>
      </c>
      <c r="C17" t="s">
        <v>64</v>
      </c>
    </row>
    <row r="18" spans="1:3" x14ac:dyDescent="0.3">
      <c r="A18" t="s">
        <v>67</v>
      </c>
      <c r="B18">
        <f>B17*B3/1000</f>
        <v>3.1360000000000006</v>
      </c>
      <c r="C18" t="s">
        <v>11</v>
      </c>
    </row>
    <row r="19" spans="1:3" x14ac:dyDescent="0.3">
      <c r="A19" t="s">
        <v>35</v>
      </c>
      <c r="B19">
        <f>B18+B2</f>
        <v>3.6860000000000008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Battery</vt:lpstr>
      <vt:lpstr>Load</vt:lpstr>
      <vt:lpstr>Model-HP35</vt:lpstr>
      <vt:lpstr>BQ21040</vt:lpstr>
      <vt:lpstr>Quiescent Current</vt:lpstr>
      <vt:lpstr>Sheet1</vt:lpstr>
      <vt:lpstr>TP4056</vt:lpstr>
      <vt:lpstr>TLV758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2024-01-13T03:44:03Z</dcterms:modified>
</cp:coreProperties>
</file>